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53.xml" ContentType="application/vnd.openxmlformats-officedocument.spreadsheetml.worksheet+xml"/>
  <Override PartName="/xl/worksheets/sheet13.xml" ContentType="application/vnd.openxmlformats-officedocument.spreadsheetml.worksheet+xml"/>
  <Override PartName="/xl/worksheets/sheet42.xml" ContentType="application/vnd.openxmlformats-officedocument.spreadsheetml.worksheet+xml"/>
  <Override PartName="/xl/worksheets/sheet60.xml" ContentType="application/vnd.openxmlformats-officedocument.spreadsheetml.worksheet+xml"/>
  <Override PartName="/xl/styles.xml" ContentType="application/vnd.openxmlformats-officedocument.spreadsheetml.styles+xml"/>
  <Override PartName="/xl/comments8.xml" ContentType="application/vnd.openxmlformats-officedocument.spreadsheetml.comments+xml"/>
  <Override PartName="/xl/charts/chart4.xml" ContentType="application/vnd.openxmlformats-officedocument.drawingml.chart+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29.xml" ContentType="application/vnd.openxmlformats-officedocument.spreadsheetml.comments+xml"/>
  <Default Extension="xml" ContentType="application/xml"/>
  <Override PartName="/xl/comments4.xml" ContentType="application/vnd.openxmlformats-officedocument.spreadsheetml.comments+xml"/>
  <Override PartName="/xl/comments18.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comments36.xml" ContentType="application/vnd.openxmlformats-officedocument.spreadsheetml.comments+xml"/>
  <Override PartName="/xl/worksheets/sheet1.xml" ContentType="application/vnd.openxmlformats-officedocument.spreadsheetml.worksheet+xml"/>
  <Override PartName="/xl/worksheets/sheet49.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comments34.xml" ContentType="application/vnd.openxmlformats-officedocument.spreadsheetml.comments+xml"/>
  <Override PartName="/xl/worksheets/sheet29.xml" ContentType="application/vnd.openxmlformats-officedocument.spreadsheetml.worksheet+xml"/>
  <Override PartName="/xl/worksheets/sheet38.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21.xml" ContentType="application/vnd.openxmlformats-officedocument.spreadsheetml.comments+xml"/>
  <Override PartName="/xl/comments32.xml" ContentType="application/vnd.openxmlformats-officedocument.spreadsheetml.comments+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45.xml" ContentType="application/vnd.openxmlformats-officedocument.spreadsheetml.worksheet+xml"/>
  <Override PartName="/xl/worksheets/sheet54.xml" ContentType="application/vnd.openxmlformats-officedocument.spreadsheetml.worksheet+xml"/>
  <Override PartName="/xl/worksheets/sheet56.xml" ContentType="application/vnd.openxmlformats-officedocument.spreadsheetml.worksheet+xml"/>
  <Override PartName="/xl/comments10.xml" ContentType="application/vnd.openxmlformats-officedocument.spreadsheetml.comments+xml"/>
  <Override PartName="/xl/comments30.xml" ContentType="application/vnd.openxmlformats-officedocument.spreadsheetml.comment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comments9.xml" ContentType="application/vnd.openxmlformats-officedocument.spreadsheetml.comments+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charts/chart3.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Override PartName="/xl/drawings/drawing1.xml" ContentType="application/vnd.openxmlformats-officedocument.drawing+xml"/>
  <Override PartName="/xl/comments35.xml" ContentType="application/vnd.openxmlformats-officedocument.spreadsheetml.comments+xml"/>
  <Override PartName="/xl/worksheets/sheet59.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comments13.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worksheets/sheet40.xml" ContentType="application/vnd.openxmlformats-officedocument.spreadsheetml.worksheet+xml"/>
  <Override PartName="/xl/comments6.xml" ContentType="application/vnd.openxmlformats-officedocument.spreadsheetml.comments+xml"/>
  <Override PartName="/xl/charts/chart2.xml" ContentType="application/vnd.openxmlformats-officedocument.drawingml.chart+xml"/>
  <Default Extension="rels" ContentType="application/vnd.openxmlformats-package.relationships+xml"/>
  <Override PartName="/xl/worksheets/sheet5.xml" ContentType="application/vnd.openxmlformats-officedocument.spreadsheetml.worksheet+xml"/>
  <Override PartName="/xl/comments27.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0245" yWindow="-15" windowWidth="10290" windowHeight="8115" tabRatio="936" firstSheet="40" activeTab="50"/>
  </bookViews>
  <sheets>
    <sheet name="Hoja1" sheetId="1" r:id="rId1"/>
    <sheet name="Hoja2" sheetId="2" r:id="rId2"/>
    <sheet name="Hoja3" sheetId="10" r:id="rId3"/>
    <sheet name="Hoja4" sheetId="12" r:id="rId4"/>
    <sheet name="Hoja5" sheetId="13" r:id="rId5"/>
    <sheet name="Hoja6" sheetId="25" r:id="rId6"/>
    <sheet name="Hoja7" sheetId="27" r:id="rId7"/>
    <sheet name="Hoja7s" sheetId="26" r:id="rId8"/>
    <sheet name="Hoja8" sheetId="29" r:id="rId9"/>
    <sheet name="Hoja8s" sheetId="28" r:id="rId10"/>
    <sheet name="Hoja9" sheetId="30" r:id="rId11"/>
    <sheet name="Hoja9s" sheetId="31" r:id="rId12"/>
    <sheet name="Hoja10" sheetId="33" r:id="rId13"/>
    <sheet name="Hoja10s" sheetId="35" r:id="rId14"/>
    <sheet name="Hoja11" sheetId="38" r:id="rId15"/>
    <sheet name="Hoja11s" sheetId="37" r:id="rId16"/>
    <sheet name="Hoja12" sheetId="49" r:id="rId17"/>
    <sheet name="Hoja12s" sheetId="48" r:id="rId18"/>
    <sheet name="Hoja13" sheetId="50" r:id="rId19"/>
    <sheet name="Hoja13s" sheetId="52" r:id="rId20"/>
    <sheet name="Hoja14" sheetId="54" r:id="rId21"/>
    <sheet name="Hoja14s" sheetId="55" r:id="rId22"/>
    <sheet name="Hoja15" sheetId="56" r:id="rId23"/>
    <sheet name="Hoja15s" sheetId="57" r:id="rId24"/>
    <sheet name="Hoja16" sheetId="58" r:id="rId25"/>
    <sheet name="Hoja16s" sheetId="59" r:id="rId26"/>
    <sheet name="Hoja17" sheetId="60" r:id="rId27"/>
    <sheet name="Hoja17s" sheetId="61" r:id="rId28"/>
    <sheet name="Hoja18" sheetId="62" r:id="rId29"/>
    <sheet name="Hoja18s" sheetId="63" r:id="rId30"/>
    <sheet name="Hoja19" sheetId="64" r:id="rId31"/>
    <sheet name="Hoja19s" sheetId="65" r:id="rId32"/>
    <sheet name="45&quot;" sheetId="53" r:id="rId33"/>
    <sheet name="TENDENCIAS ACTUALES" sheetId="3" r:id="rId34"/>
    <sheet name="Bajon de Cuotas" sheetId="4" r:id="rId35"/>
    <sheet name="Hist." sheetId="5" r:id="rId36"/>
    <sheet name="Hist. (2)" sheetId="6" r:id="rId37"/>
    <sheet name="Hist. (3)" sheetId="9" r:id="rId38"/>
    <sheet name="His. 27-02" sheetId="14" r:id="rId39"/>
    <sheet name="His. 27-02 (1)" sheetId="22" r:id="rId40"/>
    <sheet name="His. 27-02 (11)" sheetId="24" r:id="rId41"/>
    <sheet name="His. 27-02 (2)" sheetId="15" r:id="rId42"/>
    <sheet name="His. 27-02 (22)" sheetId="23" r:id="rId43"/>
    <sheet name="His. 27-02 (3)" sheetId="18" r:id="rId44"/>
    <sheet name="Hist. 15-05" sheetId="66" r:id="rId45"/>
    <sheet name="Hist. 15-05 (2)" sheetId="67" r:id="rId46"/>
    <sheet name="Hist. 15-05 (3)" sheetId="68" r:id="rId47"/>
    <sheet name="Hist. 15-05 (33)" sheetId="70" r:id="rId48"/>
    <sheet name="Hist. 15-05 (4)" sheetId="69" r:id="rId49"/>
    <sheet name="Hist. 15-05 (5)" sheetId="71" r:id="rId50"/>
    <sheet name="Hist. 15-05 (55)" sheetId="72" r:id="rId51"/>
    <sheet name="Bank" sheetId="32" r:id="rId52"/>
    <sheet name="Saldos" sheetId="36" r:id="rId53"/>
    <sheet name="Liga Adelante" sheetId="39" r:id="rId54"/>
    <sheet name="Liga Adelante (2)" sheetId="40" r:id="rId55"/>
    <sheet name="Liga Adelante (3)" sheetId="41" r:id="rId56"/>
    <sheet name="Liga Adelante (4)" sheetId="42" r:id="rId57"/>
    <sheet name="Liga BBVA" sheetId="44" r:id="rId58"/>
    <sheet name="Liga BBVA (2)" sheetId="45" r:id="rId59"/>
    <sheet name="Liga BBVA (3)" sheetId="46" r:id="rId60"/>
    <sheet name="Liga BBVA (4)" sheetId="47" r:id="rId61"/>
  </sheets>
  <calcPr calcId="125725"/>
</workbook>
</file>

<file path=xl/calcChain.xml><?xml version="1.0" encoding="utf-8"?>
<calcChain xmlns="http://schemas.openxmlformats.org/spreadsheetml/2006/main">
  <c r="J1" i="67"/>
  <c r="M1"/>
  <c r="L1" s="1"/>
  <c r="F2"/>
  <c r="J2"/>
  <c r="F3"/>
  <c r="J3" s="1"/>
  <c r="M3" s="1"/>
  <c r="L3" s="1"/>
  <c r="F4"/>
  <c r="J4"/>
  <c r="J5"/>
  <c r="M5"/>
  <c r="L5" s="1"/>
  <c r="J6"/>
  <c r="M6"/>
  <c r="L6" s="1"/>
  <c r="J7"/>
  <c r="M7" s="1"/>
  <c r="L7" s="1"/>
  <c r="F8"/>
  <c r="M8" s="1"/>
  <c r="L8" s="1"/>
  <c r="F9"/>
  <c r="F10"/>
  <c r="M10" s="1"/>
  <c r="L10" s="1"/>
  <c r="J10"/>
  <c r="J11"/>
  <c r="M11" s="1"/>
  <c r="L11" s="1"/>
  <c r="M12"/>
  <c r="L12" s="1"/>
  <c r="F13"/>
  <c r="J13" s="1"/>
  <c r="M13" s="1"/>
  <c r="L13" s="1"/>
  <c r="J14"/>
  <c r="M14" s="1"/>
  <c r="L14" s="1"/>
  <c r="F15"/>
  <c r="J15"/>
  <c r="J16"/>
  <c r="M16" s="1"/>
  <c r="L16" s="1"/>
  <c r="F17"/>
  <c r="J17"/>
  <c r="F18"/>
  <c r="F19"/>
  <c r="M19" s="1"/>
  <c r="L19" s="1"/>
  <c r="J19"/>
  <c r="J20"/>
  <c r="M20"/>
  <c r="L20" s="1"/>
  <c r="J21"/>
  <c r="M21"/>
  <c r="L21" s="1"/>
  <c r="J22"/>
  <c r="M22" s="1"/>
  <c r="L22" s="1"/>
  <c r="F23"/>
  <c r="J23" s="1"/>
  <c r="F24"/>
  <c r="J24" s="1"/>
  <c r="M24" s="1"/>
  <c r="L24" s="1"/>
  <c r="J25"/>
  <c r="M25" s="1"/>
  <c r="L25" s="1"/>
  <c r="F26"/>
  <c r="J26"/>
  <c r="F27"/>
  <c r="M27" s="1"/>
  <c r="L27" s="1"/>
  <c r="F28"/>
  <c r="F29"/>
  <c r="M29" s="1"/>
  <c r="L29" s="1"/>
  <c r="J30"/>
  <c r="M30" s="1"/>
  <c r="L30" s="1"/>
  <c r="F31"/>
  <c r="J31"/>
  <c r="F32"/>
  <c r="M32" s="1"/>
  <c r="L32" s="1"/>
  <c r="F33"/>
  <c r="M33" s="1"/>
  <c r="L33" s="1"/>
  <c r="F34"/>
  <c r="J34" s="1"/>
  <c r="M34" s="1"/>
  <c r="L34" s="1"/>
  <c r="F35"/>
  <c r="M35" s="1"/>
  <c r="L35" s="1"/>
  <c r="J35"/>
  <c r="F36"/>
  <c r="J36"/>
  <c r="N81" i="72"/>
  <c r="O81" s="1"/>
  <c r="E81" s="1"/>
  <c r="I81" s="1"/>
  <c r="N80"/>
  <c r="O80" s="1"/>
  <c r="E80" s="1"/>
  <c r="K80" s="1"/>
  <c r="N79"/>
  <c r="O79" s="1"/>
  <c r="E79" s="1"/>
  <c r="I79" s="1"/>
  <c r="N78"/>
  <c r="O78" s="1"/>
  <c r="E78" s="1"/>
  <c r="I78" s="1"/>
  <c r="N77"/>
  <c r="N76"/>
  <c r="N75"/>
  <c r="O75" s="1"/>
  <c r="E75" s="1"/>
  <c r="I75" s="1"/>
  <c r="N74"/>
  <c r="N73"/>
  <c r="N72"/>
  <c r="N71"/>
  <c r="O71" s="1"/>
  <c r="E71" s="1"/>
  <c r="I71" s="1"/>
  <c r="N70"/>
  <c r="N69"/>
  <c r="N68"/>
  <c r="O68" s="1"/>
  <c r="E68" s="1"/>
  <c r="I68" s="1"/>
  <c r="N67"/>
  <c r="N66"/>
  <c r="N65"/>
  <c r="N64"/>
  <c r="N63"/>
  <c r="N62"/>
  <c r="N61"/>
  <c r="N60"/>
  <c r="N59"/>
  <c r="N58"/>
  <c r="O58" s="1"/>
  <c r="E58" s="1"/>
  <c r="I58" s="1"/>
  <c r="N57"/>
  <c r="N56"/>
  <c r="N55"/>
  <c r="N54"/>
  <c r="O54" s="1"/>
  <c r="E54" s="1"/>
  <c r="I54" s="1"/>
  <c r="N53"/>
  <c r="O53" s="1"/>
  <c r="E53" s="1"/>
  <c r="I53" s="1"/>
  <c r="N52"/>
  <c r="N51"/>
  <c r="N50"/>
  <c r="N49"/>
  <c r="O49" s="1"/>
  <c r="E49" s="1"/>
  <c r="I49" s="1"/>
  <c r="N48"/>
  <c r="O48" s="1"/>
  <c r="E48" s="1"/>
  <c r="I48" s="1"/>
  <c r="N47"/>
  <c r="N46"/>
  <c r="O46" s="1"/>
  <c r="E46" s="1"/>
  <c r="K46" s="1"/>
  <c r="N45"/>
  <c r="O45" s="1"/>
  <c r="E45" s="1"/>
  <c r="I45" s="1"/>
  <c r="N44"/>
  <c r="O44" s="1"/>
  <c r="E44" s="1"/>
  <c r="I44" s="1"/>
  <c r="N43"/>
  <c r="N42"/>
  <c r="N39"/>
  <c r="O39" s="1"/>
  <c r="E39" s="1"/>
  <c r="I39" s="1"/>
  <c r="N41"/>
  <c r="N35"/>
  <c r="O35" s="1"/>
  <c r="E35" s="1"/>
  <c r="I35" s="1"/>
  <c r="N34"/>
  <c r="N37"/>
  <c r="N38"/>
  <c r="N31"/>
  <c r="O31" s="1"/>
  <c r="E31" s="1"/>
  <c r="I31" s="1"/>
  <c r="N30"/>
  <c r="O30" s="1"/>
  <c r="E30" s="1"/>
  <c r="K30" s="1"/>
  <c r="N40"/>
  <c r="N36"/>
  <c r="N27"/>
  <c r="N26"/>
  <c r="N25"/>
  <c r="N28"/>
  <c r="O28" s="1"/>
  <c r="E28" s="1"/>
  <c r="I28" s="1"/>
  <c r="N33"/>
  <c r="N24"/>
  <c r="N29"/>
  <c r="N23"/>
  <c r="N32"/>
  <c r="N21"/>
  <c r="N22"/>
  <c r="N19"/>
  <c r="N18"/>
  <c r="N20"/>
  <c r="N15"/>
  <c r="N17"/>
  <c r="N16"/>
  <c r="N13"/>
  <c r="N14"/>
  <c r="N12"/>
  <c r="N9"/>
  <c r="O9" s="1"/>
  <c r="E9" s="1"/>
  <c r="K9" s="1"/>
  <c r="N11"/>
  <c r="N8"/>
  <c r="N10"/>
  <c r="N7"/>
  <c r="N6"/>
  <c r="N4"/>
  <c r="N5"/>
  <c r="O5" s="1"/>
  <c r="E5" s="1"/>
  <c r="I5" s="1"/>
  <c r="N3"/>
  <c r="N2"/>
  <c r="O2" s="1"/>
  <c r="E2" s="1"/>
  <c r="I2" s="1"/>
  <c r="N1"/>
  <c r="O1" s="1"/>
  <c r="E1" s="1"/>
  <c r="I1" s="1"/>
  <c r="N2" i="71"/>
  <c r="N3"/>
  <c r="N4"/>
  <c r="N5"/>
  <c r="O5" s="1"/>
  <c r="E5" s="1"/>
  <c r="I5" s="1"/>
  <c r="N6"/>
  <c r="O6" s="1"/>
  <c r="E6" s="1"/>
  <c r="I6" s="1"/>
  <c r="N7"/>
  <c r="O7" s="1"/>
  <c r="E7" s="1"/>
  <c r="K7" s="1"/>
  <c r="N8"/>
  <c r="N9"/>
  <c r="N10"/>
  <c r="N11"/>
  <c r="O11" s="1"/>
  <c r="E11" s="1"/>
  <c r="I11" s="1"/>
  <c r="N12"/>
  <c r="O12" s="1"/>
  <c r="E12" s="1"/>
  <c r="I12" s="1"/>
  <c r="N13"/>
  <c r="N14"/>
  <c r="O14" s="1"/>
  <c r="E14" s="1"/>
  <c r="I14" s="1"/>
  <c r="N15"/>
  <c r="N16"/>
  <c r="O16" s="1"/>
  <c r="E16" s="1"/>
  <c r="I16" s="1"/>
  <c r="N17"/>
  <c r="N18"/>
  <c r="N19"/>
  <c r="N20"/>
  <c r="O20" s="1"/>
  <c r="E20" s="1"/>
  <c r="I20" s="1"/>
  <c r="N21"/>
  <c r="O21" s="1"/>
  <c r="E21" s="1"/>
  <c r="I21" s="1"/>
  <c r="N22"/>
  <c r="O22" s="1"/>
  <c r="E22" s="1"/>
  <c r="I22" s="1"/>
  <c r="N23"/>
  <c r="N24"/>
  <c r="N25"/>
  <c r="O25" s="1"/>
  <c r="E25" s="1"/>
  <c r="I25" s="1"/>
  <c r="N26"/>
  <c r="N27"/>
  <c r="N28"/>
  <c r="N29"/>
  <c r="N30"/>
  <c r="O30" s="1"/>
  <c r="E30" s="1"/>
  <c r="I30" s="1"/>
  <c r="N31"/>
  <c r="N32"/>
  <c r="N33"/>
  <c r="N34"/>
  <c r="N35"/>
  <c r="N36"/>
  <c r="N37"/>
  <c r="N38"/>
  <c r="N39"/>
  <c r="N40"/>
  <c r="N41"/>
  <c r="N42"/>
  <c r="N43"/>
  <c r="O43" s="1"/>
  <c r="E43" s="1"/>
  <c r="I43" s="1"/>
  <c r="N44"/>
  <c r="N45"/>
  <c r="N46"/>
  <c r="N47"/>
  <c r="N48"/>
  <c r="N49"/>
  <c r="N50"/>
  <c r="N51"/>
  <c r="N52"/>
  <c r="N53"/>
  <c r="N54"/>
  <c r="O54" s="1"/>
  <c r="E54" s="1"/>
  <c r="I54" s="1"/>
  <c r="N55"/>
  <c r="N56"/>
  <c r="N57"/>
  <c r="N58"/>
  <c r="N59"/>
  <c r="N60"/>
  <c r="O60" s="1"/>
  <c r="E60" s="1"/>
  <c r="I60" s="1"/>
  <c r="N61"/>
  <c r="N62"/>
  <c r="N63"/>
  <c r="N64"/>
  <c r="N65"/>
  <c r="O65" s="1"/>
  <c r="E65" s="1"/>
  <c r="I65" s="1"/>
  <c r="N66"/>
  <c r="N67"/>
  <c r="N68"/>
  <c r="N69"/>
  <c r="O69" s="1"/>
  <c r="E69" s="1"/>
  <c r="Q69" s="1"/>
  <c r="N70"/>
  <c r="N71"/>
  <c r="N72"/>
  <c r="N73"/>
  <c r="O73" s="1"/>
  <c r="E73" s="1"/>
  <c r="I73" s="1"/>
  <c r="N74"/>
  <c r="N75"/>
  <c r="N76"/>
  <c r="O76" s="1"/>
  <c r="E76" s="1"/>
  <c r="I76" s="1"/>
  <c r="N77"/>
  <c r="O77" s="1"/>
  <c r="E77" s="1"/>
  <c r="K77" s="1"/>
  <c r="N78"/>
  <c r="O78" s="1"/>
  <c r="E78" s="1"/>
  <c r="I78" s="1"/>
  <c r="N79"/>
  <c r="O79" s="1"/>
  <c r="E79" s="1"/>
  <c r="I79" s="1"/>
  <c r="N80"/>
  <c r="O80" s="1"/>
  <c r="E80" s="1"/>
  <c r="I80" s="1"/>
  <c r="N81"/>
  <c r="N1"/>
  <c r="O1" s="1"/>
  <c r="E1" s="1"/>
  <c r="I1" s="1"/>
  <c r="F12" i="72"/>
  <c r="F77"/>
  <c r="F76"/>
  <c r="F74"/>
  <c r="F24"/>
  <c r="F73"/>
  <c r="F41"/>
  <c r="F32"/>
  <c r="F22"/>
  <c r="F42"/>
  <c r="F14"/>
  <c r="F72"/>
  <c r="F11"/>
  <c r="F27"/>
  <c r="F13"/>
  <c r="F70"/>
  <c r="F20"/>
  <c r="F69"/>
  <c r="F8"/>
  <c r="F67"/>
  <c r="F66"/>
  <c r="F65"/>
  <c r="F38"/>
  <c r="F64"/>
  <c r="F34"/>
  <c r="F4"/>
  <c r="F7"/>
  <c r="F23"/>
  <c r="F40"/>
  <c r="F25"/>
  <c r="F63"/>
  <c r="F62"/>
  <c r="F21"/>
  <c r="F16"/>
  <c r="F61"/>
  <c r="F60"/>
  <c r="F6"/>
  <c r="F59"/>
  <c r="F10"/>
  <c r="F33"/>
  <c r="F57"/>
  <c r="F17"/>
  <c r="F3"/>
  <c r="F56"/>
  <c r="F37"/>
  <c r="F55"/>
  <c r="F52"/>
  <c r="F51"/>
  <c r="F50"/>
  <c r="F18"/>
  <c r="F36"/>
  <c r="F43"/>
  <c r="F15"/>
  <c r="F47"/>
  <c r="F26"/>
  <c r="F19"/>
  <c r="F29"/>
  <c r="F81" i="71"/>
  <c r="F75"/>
  <c r="F74"/>
  <c r="F72"/>
  <c r="F71"/>
  <c r="F70"/>
  <c r="F68"/>
  <c r="F67"/>
  <c r="F66"/>
  <c r="F64"/>
  <c r="F63"/>
  <c r="F62"/>
  <c r="F61"/>
  <c r="F59"/>
  <c r="F58"/>
  <c r="F57"/>
  <c r="F56"/>
  <c r="F55"/>
  <c r="F53"/>
  <c r="F52"/>
  <c r="F51"/>
  <c r="F50"/>
  <c r="F49"/>
  <c r="F48"/>
  <c r="F47"/>
  <c r="F46"/>
  <c r="F45"/>
  <c r="F44"/>
  <c r="F42"/>
  <c r="F41"/>
  <c r="F40"/>
  <c r="F39"/>
  <c r="F38"/>
  <c r="F37"/>
  <c r="F36"/>
  <c r="F35"/>
  <c r="F34"/>
  <c r="F33"/>
  <c r="F32"/>
  <c r="F31"/>
  <c r="F29"/>
  <c r="F28"/>
  <c r="F27"/>
  <c r="F26"/>
  <c r="F24"/>
  <c r="F23"/>
  <c r="F19"/>
  <c r="F18"/>
  <c r="F17"/>
  <c r="F15"/>
  <c r="F13"/>
  <c r="F10"/>
  <c r="F9"/>
  <c r="F8"/>
  <c r="F4"/>
  <c r="F3"/>
  <c r="F2"/>
  <c r="I83" i="70"/>
  <c r="H83"/>
  <c r="E83"/>
  <c r="F53"/>
  <c r="J52"/>
  <c r="F52"/>
  <c r="F51"/>
  <c r="J51" s="1"/>
  <c r="M51" s="1"/>
  <c r="L51" s="1"/>
  <c r="F50"/>
  <c r="J50" s="1"/>
  <c r="M50" s="1"/>
  <c r="L50" s="1"/>
  <c r="F49"/>
  <c r="J49" s="1"/>
  <c r="M49" s="1"/>
  <c r="L49" s="1"/>
  <c r="J48"/>
  <c r="M48" s="1"/>
  <c r="L48" s="1"/>
  <c r="F47"/>
  <c r="J47" s="1"/>
  <c r="J46"/>
  <c r="M46" s="1"/>
  <c r="L46" s="1"/>
  <c r="J45"/>
  <c r="F45"/>
  <c r="F44"/>
  <c r="J44" s="1"/>
  <c r="M44" s="1"/>
  <c r="L44" s="1"/>
  <c r="J43"/>
  <c r="M43" s="1"/>
  <c r="L43" s="1"/>
  <c r="J42"/>
  <c r="M42" s="1"/>
  <c r="L42" s="1"/>
  <c r="J41"/>
  <c r="F41"/>
  <c r="F40"/>
  <c r="J40" s="1"/>
  <c r="F39"/>
  <c r="J39" s="1"/>
  <c r="J38"/>
  <c r="M38" s="1"/>
  <c r="L38" s="1"/>
  <c r="M37"/>
  <c r="L37" s="1"/>
  <c r="J37"/>
  <c r="M36"/>
  <c r="L36" s="1"/>
  <c r="J36"/>
  <c r="J35"/>
  <c r="F35"/>
  <c r="J34"/>
  <c r="M34" s="1"/>
  <c r="L34" s="1"/>
  <c r="J33"/>
  <c r="M33" s="1"/>
  <c r="L33" s="1"/>
  <c r="F32"/>
  <c r="J32" s="1"/>
  <c r="F31"/>
  <c r="J31" s="1"/>
  <c r="F30"/>
  <c r="J30" s="1"/>
  <c r="F29"/>
  <c r="J29" s="1"/>
  <c r="F28"/>
  <c r="J28" s="1"/>
  <c r="J27"/>
  <c r="M27" s="1"/>
  <c r="L27" s="1"/>
  <c r="F26"/>
  <c r="J26" s="1"/>
  <c r="M26" s="1"/>
  <c r="L26" s="1"/>
  <c r="J25"/>
  <c r="F25"/>
  <c r="F24"/>
  <c r="M24" s="1"/>
  <c r="L24" s="1"/>
  <c r="M23"/>
  <c r="L23" s="1"/>
  <c r="J23"/>
  <c r="F22"/>
  <c r="J21"/>
  <c r="F21"/>
  <c r="J20"/>
  <c r="F20"/>
  <c r="F19"/>
  <c r="J18"/>
  <c r="M18" s="1"/>
  <c r="L18" s="1"/>
  <c r="J17"/>
  <c r="F17"/>
  <c r="M17" s="1"/>
  <c r="L17" s="1"/>
  <c r="F16"/>
  <c r="J16" s="1"/>
  <c r="M16" s="1"/>
  <c r="L16" s="1"/>
  <c r="J15"/>
  <c r="F15"/>
  <c r="M15" s="1"/>
  <c r="L15" s="1"/>
  <c r="F14"/>
  <c r="J14" s="1"/>
  <c r="J13"/>
  <c r="F13"/>
  <c r="F12"/>
  <c r="F11"/>
  <c r="M11" s="1"/>
  <c r="L11" s="1"/>
  <c r="J10"/>
  <c r="F10"/>
  <c r="M10" s="1"/>
  <c r="L10" s="1"/>
  <c r="J9"/>
  <c r="F9"/>
  <c r="J8"/>
  <c r="F8"/>
  <c r="F7"/>
  <c r="J7" s="1"/>
  <c r="M7" s="1"/>
  <c r="L7" s="1"/>
  <c r="F6"/>
  <c r="J6" s="1"/>
  <c r="F5"/>
  <c r="M5" s="1"/>
  <c r="L5" s="1"/>
  <c r="F4"/>
  <c r="J4" s="1"/>
  <c r="M3"/>
  <c r="L3" s="1"/>
  <c r="J3"/>
  <c r="M2"/>
  <c r="L2" s="1"/>
  <c r="J2"/>
  <c r="M1"/>
  <c r="J1"/>
  <c r="I83" i="69"/>
  <c r="H83"/>
  <c r="E83"/>
  <c r="J81"/>
  <c r="F81"/>
  <c r="J80"/>
  <c r="M80" s="1"/>
  <c r="L80" s="1"/>
  <c r="J79"/>
  <c r="M79" s="1"/>
  <c r="L79" s="1"/>
  <c r="J78"/>
  <c r="M78" s="1"/>
  <c r="L78" s="1"/>
  <c r="J77"/>
  <c r="M77" s="1"/>
  <c r="L77" s="1"/>
  <c r="M76"/>
  <c r="L76" s="1"/>
  <c r="J76"/>
  <c r="F75"/>
  <c r="J75" s="1"/>
  <c r="F74"/>
  <c r="J73"/>
  <c r="M73" s="1"/>
  <c r="L73" s="1"/>
  <c r="J72"/>
  <c r="F72"/>
  <c r="J71"/>
  <c r="F71"/>
  <c r="F70"/>
  <c r="J70" s="1"/>
  <c r="M69"/>
  <c r="L69" s="1"/>
  <c r="J69"/>
  <c r="F68"/>
  <c r="J68" s="1"/>
  <c r="M68" s="1"/>
  <c r="L68" s="1"/>
  <c r="F67"/>
  <c r="M67" s="1"/>
  <c r="L67" s="1"/>
  <c r="F66"/>
  <c r="J66" s="1"/>
  <c r="M66" s="1"/>
  <c r="L66" s="1"/>
  <c r="J65"/>
  <c r="M65" s="1"/>
  <c r="L65" s="1"/>
  <c r="F64"/>
  <c r="F63"/>
  <c r="F62"/>
  <c r="J61"/>
  <c r="F61"/>
  <c r="M61" s="1"/>
  <c r="L61" s="1"/>
  <c r="J60"/>
  <c r="M60" s="1"/>
  <c r="L60" s="1"/>
  <c r="J59"/>
  <c r="F59"/>
  <c r="F58"/>
  <c r="J58" s="1"/>
  <c r="M58" s="1"/>
  <c r="L58" s="1"/>
  <c r="F57"/>
  <c r="J57" s="1"/>
  <c r="M57" s="1"/>
  <c r="L57" s="1"/>
  <c r="F56"/>
  <c r="J56" s="1"/>
  <c r="M56" s="1"/>
  <c r="L56" s="1"/>
  <c r="F55"/>
  <c r="J55" s="1"/>
  <c r="J54"/>
  <c r="M54" s="1"/>
  <c r="L54" s="1"/>
  <c r="J53"/>
  <c r="F53"/>
  <c r="J52"/>
  <c r="F52"/>
  <c r="J51"/>
  <c r="F51"/>
  <c r="F50"/>
  <c r="J50" s="1"/>
  <c r="J49"/>
  <c r="F49"/>
  <c r="J48"/>
  <c r="F48"/>
  <c r="J47"/>
  <c r="F47"/>
  <c r="J46"/>
  <c r="F46"/>
  <c r="F45"/>
  <c r="J45" s="1"/>
  <c r="F44"/>
  <c r="J44" s="1"/>
  <c r="J43"/>
  <c r="M43" s="1"/>
  <c r="L43" s="1"/>
  <c r="F42"/>
  <c r="M42" s="1"/>
  <c r="L42" s="1"/>
  <c r="J41"/>
  <c r="F41"/>
  <c r="J40"/>
  <c r="F40"/>
  <c r="J39"/>
  <c r="F39"/>
  <c r="J38"/>
  <c r="F38"/>
  <c r="J37"/>
  <c r="F37"/>
  <c r="J36"/>
  <c r="F36"/>
  <c r="J35"/>
  <c r="F35"/>
  <c r="M35" s="1"/>
  <c r="L35" s="1"/>
  <c r="F34"/>
  <c r="J34" s="1"/>
  <c r="M34" s="1"/>
  <c r="L34" s="1"/>
  <c r="F33"/>
  <c r="M33" s="1"/>
  <c r="L33" s="1"/>
  <c r="F32"/>
  <c r="J32" s="1"/>
  <c r="J31"/>
  <c r="F31"/>
  <c r="J30"/>
  <c r="M30" s="1"/>
  <c r="L30" s="1"/>
  <c r="F29"/>
  <c r="M29" s="1"/>
  <c r="L29" s="1"/>
  <c r="F28"/>
  <c r="F27"/>
  <c r="M27" s="1"/>
  <c r="L27" s="1"/>
  <c r="J26"/>
  <c r="F26"/>
  <c r="J25"/>
  <c r="M25" s="1"/>
  <c r="L25" s="1"/>
  <c r="F24"/>
  <c r="J24" s="1"/>
  <c r="M24" s="1"/>
  <c r="L24" s="1"/>
  <c r="F23"/>
  <c r="M23" s="1"/>
  <c r="L23" s="1"/>
  <c r="J22"/>
  <c r="M22" s="1"/>
  <c r="L22" s="1"/>
  <c r="M21"/>
  <c r="L21" s="1"/>
  <c r="J21"/>
  <c r="M20"/>
  <c r="L20" s="1"/>
  <c r="J20"/>
  <c r="J19"/>
  <c r="F19"/>
  <c r="M19" s="1"/>
  <c r="L19" s="1"/>
  <c r="F18"/>
  <c r="J17"/>
  <c r="F17"/>
  <c r="J16"/>
  <c r="M16" s="1"/>
  <c r="L16" s="1"/>
  <c r="J15"/>
  <c r="F15"/>
  <c r="J14"/>
  <c r="M14" s="1"/>
  <c r="L14" s="1"/>
  <c r="F13"/>
  <c r="J13" s="1"/>
  <c r="M12"/>
  <c r="L12" s="1"/>
  <c r="J11"/>
  <c r="M11" s="1"/>
  <c r="L11" s="1"/>
  <c r="J10"/>
  <c r="F10"/>
  <c r="M10" s="1"/>
  <c r="L10" s="1"/>
  <c r="F9"/>
  <c r="F8"/>
  <c r="M8" s="1"/>
  <c r="L8" s="1"/>
  <c r="J7"/>
  <c r="M7" s="1"/>
  <c r="L7" s="1"/>
  <c r="M6"/>
  <c r="L6" s="1"/>
  <c r="J6"/>
  <c r="M5"/>
  <c r="L5" s="1"/>
  <c r="J5"/>
  <c r="J4"/>
  <c r="F4"/>
  <c r="F3"/>
  <c r="J3" s="1"/>
  <c r="M3" s="1"/>
  <c r="L3" s="1"/>
  <c r="J2"/>
  <c r="F2"/>
  <c r="M1"/>
  <c r="J1"/>
  <c r="I83" i="68"/>
  <c r="H83"/>
  <c r="E83"/>
  <c r="J45"/>
  <c r="F45"/>
  <c r="F24"/>
  <c r="J24" s="1"/>
  <c r="J46"/>
  <c r="M46" s="1"/>
  <c r="L46" s="1"/>
  <c r="F30"/>
  <c r="J30" s="1"/>
  <c r="M23"/>
  <c r="L23" s="1"/>
  <c r="J23"/>
  <c r="F29"/>
  <c r="J29" s="1"/>
  <c r="M29" s="1"/>
  <c r="L29" s="1"/>
  <c r="F12"/>
  <c r="M12" s="1"/>
  <c r="L12" s="1"/>
  <c r="F28"/>
  <c r="J28" s="1"/>
  <c r="M28" s="1"/>
  <c r="L28" s="1"/>
  <c r="J27"/>
  <c r="M27" s="1"/>
  <c r="L27" s="1"/>
  <c r="F44"/>
  <c r="J44" s="1"/>
  <c r="F26"/>
  <c r="J26" s="1"/>
  <c r="F53"/>
  <c r="J53" s="1"/>
  <c r="J10"/>
  <c r="F10"/>
  <c r="M10" s="1"/>
  <c r="L10" s="1"/>
  <c r="J43"/>
  <c r="M43" s="1"/>
  <c r="L43" s="1"/>
  <c r="J52"/>
  <c r="F52"/>
  <c r="F51"/>
  <c r="J51" s="1"/>
  <c r="F22"/>
  <c r="J22" s="1"/>
  <c r="J42"/>
  <c r="M42" s="1"/>
  <c r="L42" s="1"/>
  <c r="J9"/>
  <c r="F9"/>
  <c r="F50"/>
  <c r="J50" s="1"/>
  <c r="M50" s="1"/>
  <c r="L50" s="1"/>
  <c r="J25"/>
  <c r="F25"/>
  <c r="J8"/>
  <c r="F8"/>
  <c r="F7"/>
  <c r="J7" s="1"/>
  <c r="M7" s="1"/>
  <c r="L7" s="1"/>
  <c r="F49"/>
  <c r="J49" s="1"/>
  <c r="M49" s="1"/>
  <c r="L49" s="1"/>
  <c r="J48"/>
  <c r="M48" s="1"/>
  <c r="L48" s="1"/>
  <c r="F11"/>
  <c r="M11" s="1"/>
  <c r="L11" s="1"/>
  <c r="J41"/>
  <c r="F41"/>
  <c r="J21"/>
  <c r="F21"/>
  <c r="F6"/>
  <c r="J6" s="1"/>
  <c r="M6" s="1"/>
  <c r="L6" s="1"/>
  <c r="F5"/>
  <c r="J5" s="1"/>
  <c r="J20"/>
  <c r="F20"/>
  <c r="F47"/>
  <c r="M47" s="1"/>
  <c r="L47" s="1"/>
  <c r="F19"/>
  <c r="J19" s="1"/>
  <c r="F4"/>
  <c r="M4" s="1"/>
  <c r="L4" s="1"/>
  <c r="J18"/>
  <c r="M18" s="1"/>
  <c r="L18" s="1"/>
  <c r="F40"/>
  <c r="J40" s="1"/>
  <c r="F39"/>
  <c r="J39" s="1"/>
  <c r="J38"/>
  <c r="M38" s="1"/>
  <c r="L38" s="1"/>
  <c r="M37"/>
  <c r="L37" s="1"/>
  <c r="J37"/>
  <c r="M36"/>
  <c r="L36" s="1"/>
  <c r="J36"/>
  <c r="J17"/>
  <c r="F17"/>
  <c r="M17" s="1"/>
  <c r="L17" s="1"/>
  <c r="J35"/>
  <c r="F35"/>
  <c r="F16"/>
  <c r="J16" s="1"/>
  <c r="M16" s="1"/>
  <c r="L16" s="1"/>
  <c r="J34"/>
  <c r="M34" s="1"/>
  <c r="L34" s="1"/>
  <c r="J33"/>
  <c r="M33" s="1"/>
  <c r="L33" s="1"/>
  <c r="J15"/>
  <c r="F15"/>
  <c r="M15" s="1"/>
  <c r="L15" s="1"/>
  <c r="F32"/>
  <c r="J32" s="1"/>
  <c r="F14"/>
  <c r="M14" s="1"/>
  <c r="L14" s="1"/>
  <c r="M3"/>
  <c r="L3" s="1"/>
  <c r="J3"/>
  <c r="M2"/>
  <c r="L2" s="1"/>
  <c r="J2"/>
  <c r="F31"/>
  <c r="J31" s="1"/>
  <c r="J13"/>
  <c r="F13"/>
  <c r="M1"/>
  <c r="L1" s="1"/>
  <c r="J1"/>
  <c r="M69" i="67"/>
  <c r="L69" s="1"/>
  <c r="M76"/>
  <c r="L76" s="1"/>
  <c r="I83"/>
  <c r="H83"/>
  <c r="E83"/>
  <c r="J81"/>
  <c r="F81"/>
  <c r="J80"/>
  <c r="M80" s="1"/>
  <c r="L80" s="1"/>
  <c r="J79"/>
  <c r="M79" s="1"/>
  <c r="L79" s="1"/>
  <c r="J78"/>
  <c r="M78" s="1"/>
  <c r="L78" s="1"/>
  <c r="J77"/>
  <c r="M77" s="1"/>
  <c r="L77" s="1"/>
  <c r="J76"/>
  <c r="F75"/>
  <c r="J75" s="1"/>
  <c r="F74"/>
  <c r="J74" s="1"/>
  <c r="J73"/>
  <c r="M73" s="1"/>
  <c r="L73" s="1"/>
  <c r="J72"/>
  <c r="F72"/>
  <c r="J71"/>
  <c r="F71"/>
  <c r="F70"/>
  <c r="J70" s="1"/>
  <c r="J69"/>
  <c r="F68"/>
  <c r="J68" s="1"/>
  <c r="F67"/>
  <c r="J67" s="1"/>
  <c r="F66"/>
  <c r="J66" s="1"/>
  <c r="J65"/>
  <c r="M65" s="1"/>
  <c r="L65" s="1"/>
  <c r="F64"/>
  <c r="J64" s="1"/>
  <c r="F63"/>
  <c r="J63" s="1"/>
  <c r="F62"/>
  <c r="J62" s="1"/>
  <c r="J61"/>
  <c r="F61"/>
  <c r="M61" s="1"/>
  <c r="L61" s="1"/>
  <c r="J60"/>
  <c r="M60" s="1"/>
  <c r="L60" s="1"/>
  <c r="J59"/>
  <c r="F59"/>
  <c r="F58"/>
  <c r="J58" s="1"/>
  <c r="F57"/>
  <c r="J57" s="1"/>
  <c r="F56"/>
  <c r="J56" s="1"/>
  <c r="F55"/>
  <c r="J55" s="1"/>
  <c r="J54"/>
  <c r="M54" s="1"/>
  <c r="L54" s="1"/>
  <c r="J53"/>
  <c r="F53"/>
  <c r="J52"/>
  <c r="F52"/>
  <c r="J51"/>
  <c r="F51"/>
  <c r="F50"/>
  <c r="J50" s="1"/>
  <c r="J49"/>
  <c r="F49"/>
  <c r="J48"/>
  <c r="F48"/>
  <c r="J47"/>
  <c r="F47"/>
  <c r="J46"/>
  <c r="F46"/>
  <c r="F45"/>
  <c r="J45" s="1"/>
  <c r="F44"/>
  <c r="J44" s="1"/>
  <c r="J43"/>
  <c r="M43" s="1"/>
  <c r="L43" s="1"/>
  <c r="F42"/>
  <c r="J42" s="1"/>
  <c r="J41"/>
  <c r="F41"/>
  <c r="J40"/>
  <c r="F40"/>
  <c r="J39"/>
  <c r="F39"/>
  <c r="J38"/>
  <c r="F38"/>
  <c r="J37"/>
  <c r="F37"/>
  <c r="I83" i="66"/>
  <c r="H83"/>
  <c r="E83"/>
  <c r="J37"/>
  <c r="J38"/>
  <c r="J39"/>
  <c r="J40"/>
  <c r="J41"/>
  <c r="J43"/>
  <c r="J46"/>
  <c r="J47"/>
  <c r="J48"/>
  <c r="J49"/>
  <c r="J51"/>
  <c r="J52"/>
  <c r="J53"/>
  <c r="J54"/>
  <c r="J59"/>
  <c r="J60"/>
  <c r="J61"/>
  <c r="J65"/>
  <c r="J69"/>
  <c r="J71"/>
  <c r="J72"/>
  <c r="J73"/>
  <c r="J76"/>
  <c r="J77"/>
  <c r="J78"/>
  <c r="J79"/>
  <c r="J80"/>
  <c r="J81"/>
  <c r="F81"/>
  <c r="F75"/>
  <c r="J75" s="1"/>
  <c r="F74"/>
  <c r="J74" s="1"/>
  <c r="F72"/>
  <c r="F71"/>
  <c r="F70"/>
  <c r="J70" s="1"/>
  <c r="F68"/>
  <c r="J68" s="1"/>
  <c r="F67"/>
  <c r="J67" s="1"/>
  <c r="F66"/>
  <c r="J66" s="1"/>
  <c r="F64"/>
  <c r="J64" s="1"/>
  <c r="F63"/>
  <c r="J63" s="1"/>
  <c r="F62"/>
  <c r="J62" s="1"/>
  <c r="F61"/>
  <c r="F59"/>
  <c r="F58"/>
  <c r="J58" s="1"/>
  <c r="F57"/>
  <c r="J57" s="1"/>
  <c r="F56"/>
  <c r="J56" s="1"/>
  <c r="F55"/>
  <c r="J55" s="1"/>
  <c r="F53"/>
  <c r="F52"/>
  <c r="F51"/>
  <c r="F50"/>
  <c r="J50" s="1"/>
  <c r="F49"/>
  <c r="F48"/>
  <c r="F47"/>
  <c r="F46"/>
  <c r="F45"/>
  <c r="J45" s="1"/>
  <c r="F44"/>
  <c r="J44" s="1"/>
  <c r="F42"/>
  <c r="J42" s="1"/>
  <c r="F41"/>
  <c r="F40"/>
  <c r="F39"/>
  <c r="F38"/>
  <c r="F37"/>
  <c r="J36"/>
  <c r="F36"/>
  <c r="J35"/>
  <c r="F35"/>
  <c r="F34"/>
  <c r="J34" s="1"/>
  <c r="F33"/>
  <c r="J33" s="1"/>
  <c r="F32"/>
  <c r="J32" s="1"/>
  <c r="J31"/>
  <c r="F31"/>
  <c r="J30"/>
  <c r="F29"/>
  <c r="F28"/>
  <c r="J28" s="1"/>
  <c r="F27"/>
  <c r="J27" s="1"/>
  <c r="J26"/>
  <c r="F26"/>
  <c r="J25"/>
  <c r="F24"/>
  <c r="J24" s="1"/>
  <c r="F23"/>
  <c r="J23" s="1"/>
  <c r="J22"/>
  <c r="J21"/>
  <c r="J20"/>
  <c r="J19"/>
  <c r="F19"/>
  <c r="F18"/>
  <c r="J18" s="1"/>
  <c r="J17"/>
  <c r="F17"/>
  <c r="J16"/>
  <c r="J15"/>
  <c r="F15"/>
  <c r="J14"/>
  <c r="F13"/>
  <c r="J11"/>
  <c r="J10"/>
  <c r="F10"/>
  <c r="F9"/>
  <c r="J9" s="1"/>
  <c r="F8"/>
  <c r="J7"/>
  <c r="J6"/>
  <c r="J5"/>
  <c r="J4"/>
  <c r="F4"/>
  <c r="F3"/>
  <c r="J3" s="1"/>
  <c r="J2"/>
  <c r="F2"/>
  <c r="J1"/>
  <c r="K26" i="65"/>
  <c r="J26"/>
  <c r="K24"/>
  <c r="J24"/>
  <c r="K21"/>
  <c r="J21"/>
  <c r="K19"/>
  <c r="J19"/>
  <c r="K12"/>
  <c r="J12"/>
  <c r="K11"/>
  <c r="J11"/>
  <c r="K9"/>
  <c r="J9"/>
  <c r="K6"/>
  <c r="J6"/>
  <c r="K29"/>
  <c r="J29"/>
  <c r="K28"/>
  <c r="J28"/>
  <c r="K27"/>
  <c r="J27"/>
  <c r="K25"/>
  <c r="J25"/>
  <c r="K23"/>
  <c r="J23"/>
  <c r="K22"/>
  <c r="J22"/>
  <c r="K20"/>
  <c r="J20"/>
  <c r="K10"/>
  <c r="J10"/>
  <c r="K8"/>
  <c r="J8"/>
  <c r="K7"/>
  <c r="J7"/>
  <c r="K5"/>
  <c r="J5"/>
  <c r="K4"/>
  <c r="J4"/>
  <c r="K3"/>
  <c r="J3"/>
  <c r="F3"/>
  <c r="F20"/>
  <c r="F29"/>
  <c r="F28"/>
  <c r="F26"/>
  <c r="F24"/>
  <c r="F19"/>
  <c r="M15" i="67" l="1"/>
  <c r="L15" s="1"/>
  <c r="M36"/>
  <c r="L36" s="1"/>
  <c r="M26"/>
  <c r="L26" s="1"/>
  <c r="J33"/>
  <c r="J32"/>
  <c r="M23"/>
  <c r="L23" s="1"/>
  <c r="M4"/>
  <c r="L4" s="1"/>
  <c r="M2"/>
  <c r="L2" s="1"/>
  <c r="M31"/>
  <c r="L31" s="1"/>
  <c r="M17"/>
  <c r="L17" s="1"/>
  <c r="J29"/>
  <c r="J27"/>
  <c r="J9"/>
  <c r="M9" s="1"/>
  <c r="L9" s="1"/>
  <c r="J8"/>
  <c r="J28"/>
  <c r="M28" s="1"/>
  <c r="L28" s="1"/>
  <c r="J18"/>
  <c r="M18" s="1"/>
  <c r="L18" s="1"/>
  <c r="I80" i="72"/>
  <c r="I9"/>
  <c r="I30"/>
  <c r="I46"/>
  <c r="I7" i="71"/>
  <c r="I77"/>
  <c r="I69"/>
  <c r="Q79"/>
  <c r="Q5"/>
  <c r="Q21"/>
  <c r="M40" i="67"/>
  <c r="L40" s="1"/>
  <c r="M46"/>
  <c r="L46" s="1"/>
  <c r="J33" i="69"/>
  <c r="M38" i="67"/>
  <c r="L38" s="1"/>
  <c r="M48"/>
  <c r="L48" s="1"/>
  <c r="M59"/>
  <c r="L59" s="1"/>
  <c r="M72"/>
  <c r="L72" s="1"/>
  <c r="M20" i="68"/>
  <c r="L20" s="1"/>
  <c r="M8"/>
  <c r="L8" s="1"/>
  <c r="M37" i="69"/>
  <c r="L37" s="1"/>
  <c r="M39"/>
  <c r="L39" s="1"/>
  <c r="M41"/>
  <c r="L41" s="1"/>
  <c r="J67"/>
  <c r="O29" i="72"/>
  <c r="E29" s="1"/>
  <c r="O26"/>
  <c r="E26" s="1"/>
  <c r="O6"/>
  <c r="E6" s="1"/>
  <c r="O61"/>
  <c r="E61" s="1"/>
  <c r="O21"/>
  <c r="E21" s="1"/>
  <c r="O63"/>
  <c r="E63" s="1"/>
  <c r="O40"/>
  <c r="E40" s="1"/>
  <c r="O69"/>
  <c r="E69" s="1"/>
  <c r="O70"/>
  <c r="E70" s="1"/>
  <c r="O27"/>
  <c r="E27" s="1"/>
  <c r="O22"/>
  <c r="E22" s="1"/>
  <c r="O41"/>
  <c r="E41" s="1"/>
  <c r="O77"/>
  <c r="E77" s="1"/>
  <c r="M13" i="70"/>
  <c r="L13" s="1"/>
  <c r="O73" i="72"/>
  <c r="E73" s="1"/>
  <c r="O74"/>
  <c r="E74" s="1"/>
  <c r="M52" i="70"/>
  <c r="L52" s="1"/>
  <c r="M59" i="69"/>
  <c r="L59" s="1"/>
  <c r="O10" i="72"/>
  <c r="E10" s="1"/>
  <c r="O23"/>
  <c r="E23" s="1"/>
  <c r="O4"/>
  <c r="E4" s="1"/>
  <c r="O64"/>
  <c r="E64" s="1"/>
  <c r="O65"/>
  <c r="E65" s="1"/>
  <c r="O67"/>
  <c r="E67" s="1"/>
  <c r="O13"/>
  <c r="E13" s="1"/>
  <c r="O76"/>
  <c r="E76" s="1"/>
  <c r="H84" i="66"/>
  <c r="O81" i="71"/>
  <c r="E81" s="1"/>
  <c r="I81" s="1"/>
  <c r="O49"/>
  <c r="E49" s="1"/>
  <c r="I49" s="1"/>
  <c r="O38"/>
  <c r="E38" s="1"/>
  <c r="I38" s="1"/>
  <c r="O27"/>
  <c r="E27" s="1"/>
  <c r="I27" s="1"/>
  <c r="O17"/>
  <c r="E17" s="1"/>
  <c r="I17" s="1"/>
  <c r="O18" i="72"/>
  <c r="E18" s="1"/>
  <c r="K18" s="1"/>
  <c r="O60"/>
  <c r="E60" s="1"/>
  <c r="O72"/>
  <c r="E72" s="1"/>
  <c r="O42"/>
  <c r="E42" s="1"/>
  <c r="M35" i="68"/>
  <c r="L35" s="1"/>
  <c r="O51" i="72"/>
  <c r="E51" s="1"/>
  <c r="M25" i="68"/>
  <c r="L25" s="1"/>
  <c r="M52"/>
  <c r="L52" s="1"/>
  <c r="J23" i="69"/>
  <c r="M4" i="70"/>
  <c r="L4" s="1"/>
  <c r="M9"/>
  <c r="L9" s="1"/>
  <c r="M20"/>
  <c r="L20" s="1"/>
  <c r="M39" i="67"/>
  <c r="L39" s="1"/>
  <c r="M47"/>
  <c r="L47" s="1"/>
  <c r="M71"/>
  <c r="L71" s="1"/>
  <c r="M41" i="70"/>
  <c r="L41" s="1"/>
  <c r="O71" i="71"/>
  <c r="E71" s="1"/>
  <c r="I71" s="1"/>
  <c r="O61"/>
  <c r="E61" s="1"/>
  <c r="I61" s="1"/>
  <c r="O29"/>
  <c r="E29" s="1"/>
  <c r="I29" s="1"/>
  <c r="O2"/>
  <c r="E2" s="1"/>
  <c r="I2" s="1"/>
  <c r="O56" i="72"/>
  <c r="E56" s="1"/>
  <c r="O17"/>
  <c r="E17" s="1"/>
  <c r="M63" i="67"/>
  <c r="L63" s="1"/>
  <c r="O16" i="72"/>
  <c r="E16" s="1"/>
  <c r="M51" i="67"/>
  <c r="L51" s="1"/>
  <c r="M53"/>
  <c r="L53" s="1"/>
  <c r="M41" i="68"/>
  <c r="L41" s="1"/>
  <c r="J24" i="70"/>
  <c r="M45"/>
  <c r="L45" s="1"/>
  <c r="O43" i="72"/>
  <c r="E43" s="1"/>
  <c r="O55"/>
  <c r="E55" s="1"/>
  <c r="O20"/>
  <c r="E20" s="1"/>
  <c r="Q68"/>
  <c r="K68"/>
  <c r="O75" i="71"/>
  <c r="E75" s="1"/>
  <c r="I75" s="1"/>
  <c r="O70"/>
  <c r="E70" s="1"/>
  <c r="I70" s="1"/>
  <c r="O59"/>
  <c r="E59" s="1"/>
  <c r="I59" s="1"/>
  <c r="O13"/>
  <c r="E13" s="1"/>
  <c r="I13" s="1"/>
  <c r="O15" i="72"/>
  <c r="E15" s="1"/>
  <c r="O36"/>
  <c r="E36" s="1"/>
  <c r="O37"/>
  <c r="E37" s="1"/>
  <c r="O34"/>
  <c r="E34" s="1"/>
  <c r="O66"/>
  <c r="E66" s="1"/>
  <c r="O11"/>
  <c r="E11" s="1"/>
  <c r="O32"/>
  <c r="E32" s="1"/>
  <c r="O24"/>
  <c r="E24" s="1"/>
  <c r="M37" i="67"/>
  <c r="L37" s="1"/>
  <c r="M41"/>
  <c r="L41" s="1"/>
  <c r="M49"/>
  <c r="L49" s="1"/>
  <c r="M81"/>
  <c r="L81" s="1"/>
  <c r="M44"/>
  <c r="L44" s="1"/>
  <c r="M5" i="68"/>
  <c r="L5" s="1"/>
  <c r="M21"/>
  <c r="L21" s="1"/>
  <c r="J11"/>
  <c r="M15" i="69"/>
  <c r="L15" s="1"/>
  <c r="M8" i="70"/>
  <c r="L8" s="1"/>
  <c r="M14"/>
  <c r="L14" s="1"/>
  <c r="M40"/>
  <c r="L40" s="1"/>
  <c r="O56" i="71"/>
  <c r="E56" s="1"/>
  <c r="I56" s="1"/>
  <c r="O40"/>
  <c r="E40" s="1"/>
  <c r="I40" s="1"/>
  <c r="O24"/>
  <c r="E24" s="1"/>
  <c r="I24" s="1"/>
  <c r="O8"/>
  <c r="E8" s="1"/>
  <c r="I8" s="1"/>
  <c r="O47" i="72"/>
  <c r="E47" s="1"/>
  <c r="O50"/>
  <c r="E50" s="1"/>
  <c r="O52"/>
  <c r="E52" s="1"/>
  <c r="O3"/>
  <c r="E3" s="1"/>
  <c r="I3" s="1"/>
  <c r="O57"/>
  <c r="E57" s="1"/>
  <c r="O33"/>
  <c r="E33" s="1"/>
  <c r="O62"/>
  <c r="E62" s="1"/>
  <c r="O12"/>
  <c r="E12" s="1"/>
  <c r="O33" i="71"/>
  <c r="E33" s="1"/>
  <c r="I33" s="1"/>
  <c r="M52" i="67"/>
  <c r="L52" s="1"/>
  <c r="M47" i="69"/>
  <c r="L47" s="1"/>
  <c r="M49"/>
  <c r="L49" s="1"/>
  <c r="O45" i="71"/>
  <c r="E45" s="1"/>
  <c r="I45" s="1"/>
  <c r="O19" i="72"/>
  <c r="E19" s="1"/>
  <c r="O59"/>
  <c r="E59" s="1"/>
  <c r="O25"/>
  <c r="E25" s="1"/>
  <c r="O7"/>
  <c r="E7" s="1"/>
  <c r="O38"/>
  <c r="E38" s="1"/>
  <c r="O8"/>
  <c r="E8" s="1"/>
  <c r="O14"/>
  <c r="E14" s="1"/>
  <c r="M55" i="67"/>
  <c r="L55" s="1"/>
  <c r="J4" i="68"/>
  <c r="J47"/>
  <c r="M32" i="69"/>
  <c r="L32" s="1"/>
  <c r="M36"/>
  <c r="L36" s="1"/>
  <c r="M38"/>
  <c r="L38" s="1"/>
  <c r="M40"/>
  <c r="L40" s="1"/>
  <c r="J42"/>
  <c r="J74"/>
  <c r="M74" s="1"/>
  <c r="L74" s="1"/>
  <c r="J5" i="70"/>
  <c r="J11"/>
  <c r="M39"/>
  <c r="L39" s="1"/>
  <c r="J53"/>
  <c r="M53" s="1"/>
  <c r="L53" s="1"/>
  <c r="O63" i="71"/>
  <c r="E63" s="1"/>
  <c r="I63" s="1"/>
  <c r="O47"/>
  <c r="E47" s="1"/>
  <c r="I47" s="1"/>
  <c r="O15"/>
  <c r="E15" s="1"/>
  <c r="I15" s="1"/>
  <c r="K54"/>
  <c r="Q54"/>
  <c r="K43"/>
  <c r="Q43"/>
  <c r="K22"/>
  <c r="Q22"/>
  <c r="K11"/>
  <c r="Q11"/>
  <c r="Q80"/>
  <c r="K80"/>
  <c r="Q2" i="72"/>
  <c r="K2"/>
  <c r="K20" i="71"/>
  <c r="Q20"/>
  <c r="Q48" i="72"/>
  <c r="K48"/>
  <c r="Q31"/>
  <c r="K31"/>
  <c r="K28"/>
  <c r="Q28"/>
  <c r="K79"/>
  <c r="Q79"/>
  <c r="Q78" i="71"/>
  <c r="K78"/>
  <c r="Q73"/>
  <c r="K73"/>
  <c r="Q30"/>
  <c r="K30"/>
  <c r="Q25"/>
  <c r="K25"/>
  <c r="Q14"/>
  <c r="K14"/>
  <c r="Q1" i="72"/>
  <c r="K1"/>
  <c r="Q54"/>
  <c r="K54"/>
  <c r="Q71"/>
  <c r="K71"/>
  <c r="Q78"/>
  <c r="K78"/>
  <c r="K65" i="71"/>
  <c r="Q65"/>
  <c r="K6"/>
  <c r="Q6"/>
  <c r="Q16"/>
  <c r="K16"/>
  <c r="Q39" i="72"/>
  <c r="K39"/>
  <c r="Q44"/>
  <c r="K44"/>
  <c r="Q75"/>
  <c r="K75"/>
  <c r="Q45"/>
  <c r="K45"/>
  <c r="Q1" i="71"/>
  <c r="K1"/>
  <c r="Q76"/>
  <c r="K76"/>
  <c r="Q60"/>
  <c r="K60"/>
  <c r="Q12"/>
  <c r="K12"/>
  <c r="K5" i="72"/>
  <c r="Q5"/>
  <c r="K35"/>
  <c r="Q35"/>
  <c r="Q49"/>
  <c r="K49"/>
  <c r="Q53"/>
  <c r="K53"/>
  <c r="Q58"/>
  <c r="K58"/>
  <c r="Q81"/>
  <c r="K81"/>
  <c r="Q46"/>
  <c r="M74" i="67"/>
  <c r="L74" s="1"/>
  <c r="M66"/>
  <c r="L66" s="1"/>
  <c r="M58"/>
  <c r="L58" s="1"/>
  <c r="M50"/>
  <c r="L50" s="1"/>
  <c r="M45"/>
  <c r="L45" s="1"/>
  <c r="M42"/>
  <c r="L42" s="1"/>
  <c r="M9" i="68"/>
  <c r="L9" s="1"/>
  <c r="M30"/>
  <c r="L30" s="1"/>
  <c r="M2" i="69"/>
  <c r="L2" s="1"/>
  <c r="M4"/>
  <c r="L4" s="1"/>
  <c r="M52"/>
  <c r="L52" s="1"/>
  <c r="M81"/>
  <c r="L81" s="1"/>
  <c r="M25" i="70"/>
  <c r="L25" s="1"/>
  <c r="O74" i="71"/>
  <c r="E74" s="1"/>
  <c r="I74" s="1"/>
  <c r="O58"/>
  <c r="E58" s="1"/>
  <c r="I58" s="1"/>
  <c r="O42"/>
  <c r="E42" s="1"/>
  <c r="I42" s="1"/>
  <c r="O26"/>
  <c r="E26" s="1"/>
  <c r="I26" s="1"/>
  <c r="O10"/>
  <c r="E10" s="1"/>
  <c r="I10" s="1"/>
  <c r="O44"/>
  <c r="E44" s="1"/>
  <c r="I44" s="1"/>
  <c r="O28"/>
  <c r="E28" s="1"/>
  <c r="I28" s="1"/>
  <c r="O31"/>
  <c r="E31" s="1"/>
  <c r="I31" s="1"/>
  <c r="Q30" i="72"/>
  <c r="Q9"/>
  <c r="M75" i="67"/>
  <c r="L75" s="1"/>
  <c r="M67"/>
  <c r="L67" s="1"/>
  <c r="M64"/>
  <c r="L64" s="1"/>
  <c r="M56"/>
  <c r="L56" s="1"/>
  <c r="M55" i="69"/>
  <c r="L55" s="1"/>
  <c r="M75"/>
  <c r="L75" s="1"/>
  <c r="M6" i="70"/>
  <c r="L6" s="1"/>
  <c r="M12"/>
  <c r="L12" s="1"/>
  <c r="O67" i="71"/>
  <c r="E67" s="1"/>
  <c r="I67" s="1"/>
  <c r="O62"/>
  <c r="E62" s="1"/>
  <c r="I62" s="1"/>
  <c r="O57"/>
  <c r="E57" s="1"/>
  <c r="I57" s="1"/>
  <c r="O55"/>
  <c r="E55" s="1"/>
  <c r="I55" s="1"/>
  <c r="O53"/>
  <c r="E53" s="1"/>
  <c r="I53" s="1"/>
  <c r="O51"/>
  <c r="E51" s="1"/>
  <c r="I51" s="1"/>
  <c r="O46"/>
  <c r="E46" s="1"/>
  <c r="I46" s="1"/>
  <c r="O41"/>
  <c r="E41" s="1"/>
  <c r="I41" s="1"/>
  <c r="O39"/>
  <c r="E39" s="1"/>
  <c r="I39" s="1"/>
  <c r="O37"/>
  <c r="E37" s="1"/>
  <c r="I37" s="1"/>
  <c r="O35"/>
  <c r="E35" s="1"/>
  <c r="I35" s="1"/>
  <c r="O23"/>
  <c r="E23" s="1"/>
  <c r="I23" s="1"/>
  <c r="O19"/>
  <c r="E19" s="1"/>
  <c r="I19" s="1"/>
  <c r="O64"/>
  <c r="E64" s="1"/>
  <c r="I64" s="1"/>
  <c r="O48"/>
  <c r="E48" s="1"/>
  <c r="I48" s="1"/>
  <c r="O32"/>
  <c r="E32" s="1"/>
  <c r="I32" s="1"/>
  <c r="M68" i="67"/>
  <c r="L68" s="1"/>
  <c r="O72" i="71"/>
  <c r="E72" s="1"/>
  <c r="I72" s="1"/>
  <c r="Q80" i="72"/>
  <c r="M70" i="67"/>
  <c r="L70" s="1"/>
  <c r="M62"/>
  <c r="L62" s="1"/>
  <c r="M57"/>
  <c r="L57" s="1"/>
  <c r="J14" i="68"/>
  <c r="M31" i="69"/>
  <c r="L31" s="1"/>
  <c r="M72"/>
  <c r="L72" s="1"/>
  <c r="O66" i="71"/>
  <c r="E66" s="1"/>
  <c r="I66" s="1"/>
  <c r="O50"/>
  <c r="E50" s="1"/>
  <c r="I50" s="1"/>
  <c r="O34"/>
  <c r="E34" s="1"/>
  <c r="I34" s="1"/>
  <c r="O18"/>
  <c r="E18" s="1"/>
  <c r="I18" s="1"/>
  <c r="O9"/>
  <c r="E9" s="1"/>
  <c r="I9" s="1"/>
  <c r="O3"/>
  <c r="E3" s="1"/>
  <c r="I3" s="1"/>
  <c r="O68"/>
  <c r="E68" s="1"/>
  <c r="I68" s="1"/>
  <c r="O52"/>
  <c r="E52" s="1"/>
  <c r="I52" s="1"/>
  <c r="O36"/>
  <c r="E36" s="1"/>
  <c r="I36" s="1"/>
  <c r="O4"/>
  <c r="E4" s="1"/>
  <c r="I4" s="1"/>
  <c r="K79"/>
  <c r="Q77"/>
  <c r="K69"/>
  <c r="K21"/>
  <c r="Q7"/>
  <c r="K5"/>
  <c r="M21" i="70"/>
  <c r="L21" s="1"/>
  <c r="M35"/>
  <c r="L35" s="1"/>
  <c r="H84"/>
  <c r="L1"/>
  <c r="J19"/>
  <c r="M19" s="1"/>
  <c r="J22"/>
  <c r="M22" s="1"/>
  <c r="L22" s="1"/>
  <c r="M28"/>
  <c r="L28" s="1"/>
  <c r="M29"/>
  <c r="L29" s="1"/>
  <c r="M30"/>
  <c r="L30" s="1"/>
  <c r="M31"/>
  <c r="L31" s="1"/>
  <c r="M32"/>
  <c r="L32" s="1"/>
  <c r="M47"/>
  <c r="L47" s="1"/>
  <c r="M26" i="69"/>
  <c r="L26" s="1"/>
  <c r="M53"/>
  <c r="L53" s="1"/>
  <c r="M17"/>
  <c r="L17" s="1"/>
  <c r="M46"/>
  <c r="L46" s="1"/>
  <c r="M48"/>
  <c r="L48" s="1"/>
  <c r="M71"/>
  <c r="L71" s="1"/>
  <c r="M51"/>
  <c r="L51" s="1"/>
  <c r="H84"/>
  <c r="L1"/>
  <c r="J8"/>
  <c r="J9"/>
  <c r="M9" s="1"/>
  <c r="L9" s="1"/>
  <c r="M13"/>
  <c r="L13" s="1"/>
  <c r="J18"/>
  <c r="M18" s="1"/>
  <c r="L18" s="1"/>
  <c r="J27"/>
  <c r="J28"/>
  <c r="M28" s="1"/>
  <c r="L28" s="1"/>
  <c r="J29"/>
  <c r="M44"/>
  <c r="L44" s="1"/>
  <c r="M45"/>
  <c r="L45" s="1"/>
  <c r="M50"/>
  <c r="L50" s="1"/>
  <c r="J62"/>
  <c r="M62" s="1"/>
  <c r="L62" s="1"/>
  <c r="J63"/>
  <c r="M63" s="1"/>
  <c r="L63" s="1"/>
  <c r="J64"/>
  <c r="M64" s="1"/>
  <c r="L64" s="1"/>
  <c r="M70"/>
  <c r="L70" s="1"/>
  <c r="M31" i="68"/>
  <c r="L31" s="1"/>
  <c r="M19"/>
  <c r="L19" s="1"/>
  <c r="M26"/>
  <c r="L26" s="1"/>
  <c r="M45"/>
  <c r="L45" s="1"/>
  <c r="M32"/>
  <c r="L32" s="1"/>
  <c r="H84"/>
  <c r="M13"/>
  <c r="L13" s="1"/>
  <c r="M53"/>
  <c r="L53" s="1"/>
  <c r="M44"/>
  <c r="L44" s="1"/>
  <c r="M39"/>
  <c r="L39" s="1"/>
  <c r="M22"/>
  <c r="L22" s="1"/>
  <c r="M51"/>
  <c r="L51" s="1"/>
  <c r="M40"/>
  <c r="L40" s="1"/>
  <c r="M24"/>
  <c r="L24" s="1"/>
  <c r="H84" i="67"/>
  <c r="J8" i="66"/>
  <c r="J13"/>
  <c r="J29"/>
  <c r="F2" i="64"/>
  <c r="K81" i="71" l="1"/>
  <c r="K59" i="72"/>
  <c r="I59"/>
  <c r="K12"/>
  <c r="I12"/>
  <c r="Q66"/>
  <c r="I66"/>
  <c r="K15"/>
  <c r="I15"/>
  <c r="K55"/>
  <c r="I55"/>
  <c r="Q18"/>
  <c r="I18"/>
  <c r="Q13"/>
  <c r="I13"/>
  <c r="K27"/>
  <c r="I27"/>
  <c r="K26"/>
  <c r="I26"/>
  <c r="K14"/>
  <c r="I14"/>
  <c r="Q57"/>
  <c r="I57"/>
  <c r="Q36"/>
  <c r="I36"/>
  <c r="Q20"/>
  <c r="I20"/>
  <c r="Q51"/>
  <c r="I51"/>
  <c r="Q60"/>
  <c r="I60"/>
  <c r="K76"/>
  <c r="I76"/>
  <c r="K22"/>
  <c r="I22"/>
  <c r="Q6"/>
  <c r="I6"/>
  <c r="K7"/>
  <c r="I7"/>
  <c r="Q33"/>
  <c r="I33"/>
  <c r="Q50"/>
  <c r="I50"/>
  <c r="Q32"/>
  <c r="I32"/>
  <c r="K37"/>
  <c r="I37"/>
  <c r="K17"/>
  <c r="I17"/>
  <c r="K72"/>
  <c r="I72"/>
  <c r="Q65"/>
  <c r="I65"/>
  <c r="Q10"/>
  <c r="I10"/>
  <c r="K74"/>
  <c r="I74"/>
  <c r="K41"/>
  <c r="I41"/>
  <c r="K69"/>
  <c r="I69"/>
  <c r="K61"/>
  <c r="I61"/>
  <c r="K8"/>
  <c r="I8"/>
  <c r="K16"/>
  <c r="I16"/>
  <c r="K4"/>
  <c r="I4"/>
  <c r="K63"/>
  <c r="I63"/>
  <c r="Q25"/>
  <c r="I25"/>
  <c r="Q47"/>
  <c r="I47"/>
  <c r="Q11"/>
  <c r="I11"/>
  <c r="K56"/>
  <c r="I56"/>
  <c r="Q64"/>
  <c r="I64"/>
  <c r="Q73"/>
  <c r="I73"/>
  <c r="K40"/>
  <c r="I40"/>
  <c r="K38"/>
  <c r="I38"/>
  <c r="Q19"/>
  <c r="I19"/>
  <c r="Q62"/>
  <c r="I62"/>
  <c r="Q52"/>
  <c r="I52"/>
  <c r="K24"/>
  <c r="I24"/>
  <c r="K34"/>
  <c r="I34"/>
  <c r="K43"/>
  <c r="I43"/>
  <c r="K42"/>
  <c r="I42"/>
  <c r="Q67"/>
  <c r="I67"/>
  <c r="Q23"/>
  <c r="I23"/>
  <c r="K77"/>
  <c r="I77"/>
  <c r="K70"/>
  <c r="I70"/>
  <c r="Q21"/>
  <c r="I21"/>
  <c r="Q29"/>
  <c r="I29"/>
  <c r="K3"/>
  <c r="J83"/>
  <c r="I83" i="71"/>
  <c r="K13" i="72"/>
  <c r="Q69"/>
  <c r="K23" i="71"/>
  <c r="K55"/>
  <c r="Q63"/>
  <c r="K8"/>
  <c r="K75"/>
  <c r="Q2"/>
  <c r="Q49"/>
  <c r="K39"/>
  <c r="Q53"/>
  <c r="Q47"/>
  <c r="Q33"/>
  <c r="Q56"/>
  <c r="Q70"/>
  <c r="K71"/>
  <c r="K38"/>
  <c r="Q37"/>
  <c r="Q15"/>
  <c r="K45"/>
  <c r="Q40"/>
  <c r="Q59"/>
  <c r="K61"/>
  <c r="Q27"/>
  <c r="Q31"/>
  <c r="Q24"/>
  <c r="K13"/>
  <c r="K29"/>
  <c r="Q17"/>
  <c r="Q81"/>
  <c r="Q55" i="72"/>
  <c r="K66"/>
  <c r="Q4"/>
  <c r="Q15"/>
  <c r="K2" i="71"/>
  <c r="Q16" i="72"/>
  <c r="Q77"/>
  <c r="K37" i="71"/>
  <c r="Q27" i="72"/>
  <c r="K21"/>
  <c r="K49" i="71"/>
  <c r="Q63" i="72"/>
  <c r="Q26"/>
  <c r="Q70"/>
  <c r="Q29" i="71"/>
  <c r="Q74" i="72"/>
  <c r="Q41"/>
  <c r="Q61"/>
  <c r="K29"/>
  <c r="K15" i="71"/>
  <c r="Q72" i="72"/>
  <c r="K65"/>
  <c r="Q38" i="71"/>
  <c r="K6" i="72"/>
  <c r="Q22"/>
  <c r="K59" i="71"/>
  <c r="K73" i="72"/>
  <c r="Q40"/>
  <c r="Q76"/>
  <c r="K64"/>
  <c r="K51"/>
  <c r="K56" i="71"/>
  <c r="Q37" i="72"/>
  <c r="K20"/>
  <c r="K60"/>
  <c r="Q17"/>
  <c r="K10"/>
  <c r="K50"/>
  <c r="K40" i="71"/>
  <c r="K70"/>
  <c r="K17"/>
  <c r="Q43" i="72"/>
  <c r="Q75" i="71"/>
  <c r="Q8"/>
  <c r="Q34" i="72"/>
  <c r="K62"/>
  <c r="Q13" i="71"/>
  <c r="Q3" i="72"/>
  <c r="Q24"/>
  <c r="Q61" i="71"/>
  <c r="K33" i="72"/>
  <c r="K32"/>
  <c r="Q23" i="71"/>
  <c r="Q45"/>
  <c r="Q42" i="72"/>
  <c r="K67"/>
  <c r="K23"/>
  <c r="K19"/>
  <c r="K27" i="71"/>
  <c r="K52" i="72"/>
  <c r="K24" i="71"/>
  <c r="Q38" i="72"/>
  <c r="Q7"/>
  <c r="Q39" i="71"/>
  <c r="J83" i="66"/>
  <c r="J84" s="1"/>
  <c r="Q71" i="71"/>
  <c r="K57" i="72"/>
  <c r="K11"/>
  <c r="K25"/>
  <c r="Q56"/>
  <c r="Q14"/>
  <c r="K36"/>
  <c r="K33" i="71"/>
  <c r="J83" i="68"/>
  <c r="J84" s="1"/>
  <c r="Q55" i="71"/>
  <c r="E83" i="72"/>
  <c r="Q8"/>
  <c r="K53" i="71"/>
  <c r="Q12" i="72"/>
  <c r="K47"/>
  <c r="Q59"/>
  <c r="K47" i="71"/>
  <c r="K63"/>
  <c r="N83" i="67"/>
  <c r="Q4" i="71"/>
  <c r="K4"/>
  <c r="Q35"/>
  <c r="K35"/>
  <c r="Q26"/>
  <c r="K26"/>
  <c r="K36"/>
  <c r="Q36"/>
  <c r="Q9"/>
  <c r="K9"/>
  <c r="K66"/>
  <c r="Q66"/>
  <c r="Q64"/>
  <c r="K64"/>
  <c r="Q51"/>
  <c r="K51"/>
  <c r="Q62"/>
  <c r="K62"/>
  <c r="Q28"/>
  <c r="K28"/>
  <c r="K42"/>
  <c r="Q42"/>
  <c r="J83"/>
  <c r="K3"/>
  <c r="Q3"/>
  <c r="Q48"/>
  <c r="K48"/>
  <c r="Q57"/>
  <c r="K57"/>
  <c r="K68"/>
  <c r="Q68"/>
  <c r="K34"/>
  <c r="Q34"/>
  <c r="K72"/>
  <c r="Q72"/>
  <c r="Q32"/>
  <c r="K32"/>
  <c r="Q41"/>
  <c r="K41"/>
  <c r="Q10"/>
  <c r="K10"/>
  <c r="Q74"/>
  <c r="K74"/>
  <c r="J83" i="69"/>
  <c r="J84" s="1"/>
  <c r="E83" i="71"/>
  <c r="K50"/>
  <c r="Q50"/>
  <c r="Q46"/>
  <c r="K46"/>
  <c r="K52"/>
  <c r="Q52"/>
  <c r="Q18"/>
  <c r="K18"/>
  <c r="Q19"/>
  <c r="K19"/>
  <c r="Q67"/>
  <c r="K67"/>
  <c r="Q44"/>
  <c r="K44"/>
  <c r="K58"/>
  <c r="Q58"/>
  <c r="K31"/>
  <c r="J83" i="70"/>
  <c r="J84" s="1"/>
  <c r="L19"/>
  <c r="L83" s="1"/>
  <c r="M83"/>
  <c r="N83" i="69"/>
  <c r="L83"/>
  <c r="M83"/>
  <c r="N83" i="68"/>
  <c r="L83"/>
  <c r="M83"/>
  <c r="L83" i="67"/>
  <c r="J83"/>
  <c r="J84" s="1"/>
  <c r="M83"/>
  <c r="J31" i="65"/>
  <c r="J32" s="1"/>
  <c r="F31"/>
  <c r="F32" s="1"/>
  <c r="K31"/>
  <c r="K32" s="1"/>
  <c r="J14"/>
  <c r="J15" s="1"/>
  <c r="F29" i="63"/>
  <c r="F28"/>
  <c r="K29"/>
  <c r="J29"/>
  <c r="K28"/>
  <c r="J28"/>
  <c r="K25"/>
  <c r="K26"/>
  <c r="J26"/>
  <c r="J25"/>
  <c r="K23"/>
  <c r="J23"/>
  <c r="K21"/>
  <c r="J21"/>
  <c r="K27"/>
  <c r="J27"/>
  <c r="K24"/>
  <c r="J24"/>
  <c r="K22"/>
  <c r="J22"/>
  <c r="K20"/>
  <c r="J20"/>
  <c r="K19"/>
  <c r="J19"/>
  <c r="F24"/>
  <c r="F22"/>
  <c r="F26"/>
  <c r="F21"/>
  <c r="K9"/>
  <c r="K10"/>
  <c r="K11"/>
  <c r="J11"/>
  <c r="J10"/>
  <c r="J9"/>
  <c r="K4"/>
  <c r="K5"/>
  <c r="K6"/>
  <c r="K7"/>
  <c r="J7"/>
  <c r="J6"/>
  <c r="J5"/>
  <c r="J4"/>
  <c r="K12"/>
  <c r="J12"/>
  <c r="K8"/>
  <c r="J8"/>
  <c r="K3"/>
  <c r="J3"/>
  <c r="F3"/>
  <c r="F11"/>
  <c r="F10"/>
  <c r="F8"/>
  <c r="F7"/>
  <c r="F6"/>
  <c r="F5"/>
  <c r="F1" i="62"/>
  <c r="K11" i="61"/>
  <c r="J11"/>
  <c r="K12"/>
  <c r="J12"/>
  <c r="K10"/>
  <c r="J10"/>
  <c r="K7"/>
  <c r="K8"/>
  <c r="J8"/>
  <c r="J7"/>
  <c r="K4"/>
  <c r="J4"/>
  <c r="K9"/>
  <c r="J9"/>
  <c r="K6"/>
  <c r="J6"/>
  <c r="K5"/>
  <c r="J5"/>
  <c r="K3"/>
  <c r="J3"/>
  <c r="F6"/>
  <c r="F11"/>
  <c r="F9"/>
  <c r="F8"/>
  <c r="F7"/>
  <c r="K7" i="55"/>
  <c r="K8"/>
  <c r="J7"/>
  <c r="J8"/>
  <c r="K11"/>
  <c r="J11"/>
  <c r="K3"/>
  <c r="K4"/>
  <c r="J4"/>
  <c r="J3"/>
  <c r="K25"/>
  <c r="K26"/>
  <c r="K27"/>
  <c r="K28"/>
  <c r="K29"/>
  <c r="J29"/>
  <c r="J28"/>
  <c r="J25"/>
  <c r="J26"/>
  <c r="J6"/>
  <c r="K6"/>
  <c r="J9"/>
  <c r="K9"/>
  <c r="J10"/>
  <c r="K10"/>
  <c r="J12"/>
  <c r="K12"/>
  <c r="K5"/>
  <c r="J5"/>
  <c r="J20"/>
  <c r="K20"/>
  <c r="J21"/>
  <c r="K21"/>
  <c r="J22"/>
  <c r="K22"/>
  <c r="J23"/>
  <c r="K23"/>
  <c r="J24"/>
  <c r="K24"/>
  <c r="J27"/>
  <c r="K19"/>
  <c r="J19"/>
  <c r="F24"/>
  <c r="F23"/>
  <c r="F22"/>
  <c r="F9"/>
  <c r="F6"/>
  <c r="F5"/>
  <c r="F26"/>
  <c r="F12"/>
  <c r="F4"/>
  <c r="F3"/>
  <c r="K19" i="59"/>
  <c r="K20"/>
  <c r="K21"/>
  <c r="K22"/>
  <c r="K23"/>
  <c r="K24"/>
  <c r="K25"/>
  <c r="K26"/>
  <c r="K27"/>
  <c r="K28"/>
  <c r="K29"/>
  <c r="J27"/>
  <c r="J26"/>
  <c r="J24"/>
  <c r="J22"/>
  <c r="J21"/>
  <c r="J19"/>
  <c r="J20"/>
  <c r="J29"/>
  <c r="J28"/>
  <c r="K4"/>
  <c r="K5"/>
  <c r="K6"/>
  <c r="K7"/>
  <c r="K8"/>
  <c r="K9"/>
  <c r="K10"/>
  <c r="K11"/>
  <c r="K12"/>
  <c r="J11"/>
  <c r="J10"/>
  <c r="J9"/>
  <c r="J7"/>
  <c r="J5"/>
  <c r="J12"/>
  <c r="J25"/>
  <c r="J23"/>
  <c r="J8"/>
  <c r="J6"/>
  <c r="J4"/>
  <c r="K3"/>
  <c r="J3"/>
  <c r="F25"/>
  <c r="F21"/>
  <c r="F10"/>
  <c r="F4"/>
  <c r="F20"/>
  <c r="F8"/>
  <c r="F6"/>
  <c r="K31" i="61"/>
  <c r="K32" s="1"/>
  <c r="J31"/>
  <c r="J32" s="1"/>
  <c r="F31"/>
  <c r="F32" s="1"/>
  <c r="E30" i="36"/>
  <c r="I83" i="72" l="1"/>
  <c r="I84" s="1"/>
  <c r="I84" i="71"/>
  <c r="Q83" i="72"/>
  <c r="Q84" s="1"/>
  <c r="K83"/>
  <c r="K84" s="1"/>
  <c r="J14" i="61"/>
  <c r="J15" s="1"/>
  <c r="K83" i="71"/>
  <c r="K84" s="1"/>
  <c r="Q83"/>
  <c r="Q84" s="1"/>
  <c r="M84" i="70"/>
  <c r="N83"/>
  <c r="M84" i="69"/>
  <c r="M84" i="68"/>
  <c r="M84" i="67"/>
  <c r="F14" i="65"/>
  <c r="F15" s="1"/>
  <c r="K14"/>
  <c r="K15" s="1"/>
  <c r="K31" i="63"/>
  <c r="K32" s="1"/>
  <c r="J31"/>
  <c r="J32" s="1"/>
  <c r="F31"/>
  <c r="F32" s="1"/>
  <c r="K14"/>
  <c r="K15" s="1"/>
  <c r="J14"/>
  <c r="J15" s="1"/>
  <c r="F14"/>
  <c r="F15" s="1"/>
  <c r="K14" i="61"/>
  <c r="K15" s="1"/>
  <c r="F14"/>
  <c r="F15" s="1"/>
  <c r="E29" i="36"/>
  <c r="F7" i="58"/>
  <c r="F2"/>
  <c r="F5"/>
  <c r="F4"/>
  <c r="E28" i="36"/>
  <c r="D29" l="1"/>
  <c r="D30"/>
  <c r="K31" i="59"/>
  <c r="K32" s="1"/>
  <c r="J31"/>
  <c r="J32" s="1"/>
  <c r="F31"/>
  <c r="F32" s="1"/>
  <c r="K14"/>
  <c r="K15" s="1"/>
  <c r="J14"/>
  <c r="J15" s="1"/>
  <c r="F14"/>
  <c r="F15" s="1"/>
  <c r="E27" i="36"/>
  <c r="E26"/>
  <c r="E25"/>
  <c r="E24"/>
  <c r="F2" i="56"/>
  <c r="F1"/>
  <c r="D26" i="36" l="1"/>
  <c r="D27"/>
  <c r="D28"/>
  <c r="D25"/>
  <c r="K31" i="57"/>
  <c r="K32" s="1"/>
  <c r="J31"/>
  <c r="J32" s="1"/>
  <c r="F31"/>
  <c r="F32" s="1"/>
  <c r="K14"/>
  <c r="K15" s="1"/>
  <c r="J14"/>
  <c r="J15" s="1"/>
  <c r="F14"/>
  <c r="F15" s="1"/>
  <c r="E23" i="36"/>
  <c r="E22"/>
  <c r="E21"/>
  <c r="E20"/>
  <c r="E19"/>
  <c r="E18"/>
  <c r="E17"/>
  <c r="E16"/>
  <c r="F31" i="55"/>
  <c r="F32" s="1"/>
  <c r="J31"/>
  <c r="J32" s="1"/>
  <c r="K31"/>
  <c r="K32" s="1"/>
  <c r="J14"/>
  <c r="J15" s="1"/>
  <c r="K14"/>
  <c r="K15" s="1"/>
  <c r="F14"/>
  <c r="F15" s="1"/>
  <c r="D17" i="36" l="1"/>
  <c r="D20"/>
  <c r="D23"/>
  <c r="D18"/>
  <c r="D21"/>
  <c r="D24"/>
  <c r="D19"/>
  <c r="D22"/>
  <c r="E15"/>
  <c r="D16" l="1"/>
  <c r="K5" i="52"/>
  <c r="K3"/>
  <c r="J3"/>
  <c r="J5"/>
  <c r="K9"/>
  <c r="J9"/>
  <c r="K11"/>
  <c r="J11"/>
  <c r="K12"/>
  <c r="J12"/>
  <c r="K10"/>
  <c r="J10"/>
  <c r="K8"/>
  <c r="J8"/>
  <c r="K7"/>
  <c r="J7"/>
  <c r="K6"/>
  <c r="J6"/>
  <c r="K4"/>
  <c r="J4"/>
  <c r="F7"/>
  <c r="F6"/>
  <c r="F12"/>
  <c r="F9"/>
  <c r="F8"/>
  <c r="F5"/>
  <c r="E14" i="36"/>
  <c r="D15" s="1"/>
  <c r="G5" i="53"/>
  <c r="G4"/>
  <c r="G3"/>
  <c r="G2"/>
  <c r="E5"/>
  <c r="E4"/>
  <c r="E2"/>
  <c r="F7" i="50" l="1"/>
  <c r="F3"/>
  <c r="F1"/>
  <c r="E13" i="36"/>
  <c r="D14" s="1"/>
  <c r="K6" i="48"/>
  <c r="J6"/>
  <c r="K4"/>
  <c r="J4"/>
  <c r="K12"/>
  <c r="J12"/>
  <c r="K11"/>
  <c r="J11"/>
  <c r="K10"/>
  <c r="J10"/>
  <c r="K9"/>
  <c r="J9"/>
  <c r="K8"/>
  <c r="J8"/>
  <c r="K7"/>
  <c r="J7"/>
  <c r="K5"/>
  <c r="J5"/>
  <c r="K3"/>
  <c r="J3"/>
  <c r="F3"/>
  <c r="F8"/>
  <c r="F10"/>
  <c r="F11"/>
  <c r="F12"/>
  <c r="F6"/>
  <c r="F4"/>
  <c r="K14" i="52"/>
  <c r="K15" s="1"/>
  <c r="J14"/>
  <c r="J15" s="1"/>
  <c r="F14"/>
  <c r="F15" s="1"/>
  <c r="K28" i="48"/>
  <c r="J28"/>
  <c r="K26"/>
  <c r="J26"/>
  <c r="K23"/>
  <c r="J23"/>
  <c r="K21"/>
  <c r="J21"/>
  <c r="K20"/>
  <c r="J20"/>
  <c r="K29"/>
  <c r="J29"/>
  <c r="K27"/>
  <c r="J27"/>
  <c r="K25"/>
  <c r="J25"/>
  <c r="K24"/>
  <c r="J24"/>
  <c r="K19"/>
  <c r="J19"/>
  <c r="F25"/>
  <c r="F27"/>
  <c r="F23"/>
  <c r="F28"/>
  <c r="F21"/>
  <c r="F19"/>
  <c r="E12" i="36"/>
  <c r="E11"/>
  <c r="E10"/>
  <c r="F7" i="49"/>
  <c r="F4"/>
  <c r="F3"/>
  <c r="F2"/>
  <c r="E9" i="36"/>
  <c r="D11" l="1"/>
  <c r="D12"/>
  <c r="D10"/>
  <c r="D13"/>
  <c r="J31" i="48"/>
  <c r="J32" s="1"/>
  <c r="F31"/>
  <c r="F32" s="1"/>
  <c r="K31"/>
  <c r="K32" s="1"/>
  <c r="F14"/>
  <c r="F15" s="1"/>
  <c r="J14"/>
  <c r="J15" s="1"/>
  <c r="K14"/>
  <c r="K15" s="1"/>
  <c r="M29" i="47"/>
  <c r="M10"/>
  <c r="M11"/>
  <c r="M25"/>
  <c r="M2"/>
  <c r="M30"/>
  <c r="M40"/>
  <c r="M3"/>
  <c r="M21"/>
  <c r="M31"/>
  <c r="M4"/>
  <c r="M32"/>
  <c r="M12"/>
  <c r="M13"/>
  <c r="M5"/>
  <c r="M14"/>
  <c r="M15"/>
  <c r="M16"/>
  <c r="M33"/>
  <c r="M17"/>
  <c r="M6"/>
  <c r="M41"/>
  <c r="M18"/>
  <c r="M22"/>
  <c r="M7"/>
  <c r="M26"/>
  <c r="M23"/>
  <c r="M34"/>
  <c r="M24"/>
  <c r="M35"/>
  <c r="M36"/>
  <c r="M19"/>
  <c r="M8"/>
  <c r="M9"/>
  <c r="M38"/>
  <c r="M39"/>
  <c r="M37"/>
  <c r="M27"/>
  <c r="M28"/>
  <c r="M20"/>
  <c r="I43"/>
  <c r="H43"/>
  <c r="E43"/>
  <c r="K28"/>
  <c r="J28"/>
  <c r="K27"/>
  <c r="J27"/>
  <c r="K37"/>
  <c r="J37"/>
  <c r="K39"/>
  <c r="J39"/>
  <c r="F39"/>
  <c r="K38"/>
  <c r="J38"/>
  <c r="F38"/>
  <c r="K9"/>
  <c r="J9"/>
  <c r="F9"/>
  <c r="K8"/>
  <c r="J8"/>
  <c r="F8"/>
  <c r="K19"/>
  <c r="J19"/>
  <c r="F19"/>
  <c r="K36"/>
  <c r="J36"/>
  <c r="K35"/>
  <c r="J35"/>
  <c r="K24"/>
  <c r="J24"/>
  <c r="K34"/>
  <c r="J34"/>
  <c r="K23"/>
  <c r="J23"/>
  <c r="K26"/>
  <c r="J26"/>
  <c r="K7"/>
  <c r="J7"/>
  <c r="F7"/>
  <c r="K22"/>
  <c r="J22"/>
  <c r="K18"/>
  <c r="J18"/>
  <c r="F18"/>
  <c r="K41"/>
  <c r="J41"/>
  <c r="F41"/>
  <c r="K6"/>
  <c r="J6"/>
  <c r="F6"/>
  <c r="K17"/>
  <c r="J17"/>
  <c r="F17"/>
  <c r="K33"/>
  <c r="J33"/>
  <c r="K16"/>
  <c r="J16"/>
  <c r="F16"/>
  <c r="K15"/>
  <c r="J15"/>
  <c r="F15"/>
  <c r="K14"/>
  <c r="J14"/>
  <c r="F14"/>
  <c r="K5"/>
  <c r="J5"/>
  <c r="F5"/>
  <c r="K13"/>
  <c r="J13"/>
  <c r="F13"/>
  <c r="K12"/>
  <c r="J12"/>
  <c r="F12"/>
  <c r="K32"/>
  <c r="J32"/>
  <c r="K4"/>
  <c r="J4"/>
  <c r="F4"/>
  <c r="K31"/>
  <c r="J31"/>
  <c r="K21"/>
  <c r="J21"/>
  <c r="K3"/>
  <c r="J3"/>
  <c r="F3"/>
  <c r="K40"/>
  <c r="J40"/>
  <c r="F40"/>
  <c r="K30"/>
  <c r="J30"/>
  <c r="K2"/>
  <c r="J2"/>
  <c r="F2"/>
  <c r="K25"/>
  <c r="J25"/>
  <c r="K11"/>
  <c r="J11"/>
  <c r="F11"/>
  <c r="K10"/>
  <c r="J10"/>
  <c r="F10"/>
  <c r="K29"/>
  <c r="J29"/>
  <c r="K20"/>
  <c r="J20"/>
  <c r="M3" i="46"/>
  <c r="N3" s="1"/>
  <c r="M4"/>
  <c r="N4" s="1"/>
  <c r="M5"/>
  <c r="N5" s="1"/>
  <c r="M6"/>
  <c r="N6" s="1"/>
  <c r="M7"/>
  <c r="N7" s="1"/>
  <c r="M8"/>
  <c r="N8" s="1"/>
  <c r="M9"/>
  <c r="N9" s="1"/>
  <c r="M10"/>
  <c r="N10" s="1"/>
  <c r="M11"/>
  <c r="N11" s="1"/>
  <c r="M12"/>
  <c r="N12" s="1"/>
  <c r="M13"/>
  <c r="N13" s="1"/>
  <c r="M14"/>
  <c r="N14" s="1"/>
  <c r="M15"/>
  <c r="N15" s="1"/>
  <c r="M16"/>
  <c r="N16" s="1"/>
  <c r="M17"/>
  <c r="N17" s="1"/>
  <c r="M18"/>
  <c r="N18" s="1"/>
  <c r="M19"/>
  <c r="N19" s="1"/>
  <c r="M20"/>
  <c r="N20" s="1"/>
  <c r="M21"/>
  <c r="N21" s="1"/>
  <c r="M22"/>
  <c r="N22" s="1"/>
  <c r="M23"/>
  <c r="N23" s="1"/>
  <c r="M24"/>
  <c r="N24"/>
  <c r="M25"/>
  <c r="N25"/>
  <c r="M26"/>
  <c r="N26"/>
  <c r="M27"/>
  <c r="N27"/>
  <c r="M28"/>
  <c r="N28"/>
  <c r="M29"/>
  <c r="N29"/>
  <c r="M30"/>
  <c r="N30"/>
  <c r="M31"/>
  <c r="N31"/>
  <c r="M32"/>
  <c r="N32"/>
  <c r="M33"/>
  <c r="N33"/>
  <c r="M34"/>
  <c r="N34"/>
  <c r="M35"/>
  <c r="N35"/>
  <c r="M36"/>
  <c r="N36"/>
  <c r="M37"/>
  <c r="N37"/>
  <c r="M38"/>
  <c r="N38"/>
  <c r="M39"/>
  <c r="N39"/>
  <c r="M40"/>
  <c r="N40"/>
  <c r="M41"/>
  <c r="N41"/>
  <c r="M2"/>
  <c r="N2" s="1"/>
  <c r="E43"/>
  <c r="I43"/>
  <c r="H43"/>
  <c r="K41"/>
  <c r="J41"/>
  <c r="K40"/>
  <c r="J40"/>
  <c r="K39"/>
  <c r="J39"/>
  <c r="K17"/>
  <c r="J17"/>
  <c r="F17"/>
  <c r="K19"/>
  <c r="J19"/>
  <c r="F19"/>
  <c r="K12"/>
  <c r="J12"/>
  <c r="F12"/>
  <c r="K7"/>
  <c r="J7"/>
  <c r="F7"/>
  <c r="K21"/>
  <c r="J21"/>
  <c r="F21"/>
  <c r="K38"/>
  <c r="J38"/>
  <c r="K37"/>
  <c r="J37"/>
  <c r="K36"/>
  <c r="J36"/>
  <c r="K35"/>
  <c r="J35"/>
  <c r="K34"/>
  <c r="J34"/>
  <c r="K33"/>
  <c r="J33"/>
  <c r="K11"/>
  <c r="J11"/>
  <c r="F11"/>
  <c r="K32"/>
  <c r="J32"/>
  <c r="K23"/>
  <c r="J23"/>
  <c r="F23"/>
  <c r="K22"/>
  <c r="J22"/>
  <c r="F22"/>
  <c r="K4"/>
  <c r="J4"/>
  <c r="F4"/>
  <c r="K6"/>
  <c r="J6"/>
  <c r="F6"/>
  <c r="K31"/>
  <c r="J31"/>
  <c r="K18"/>
  <c r="J18"/>
  <c r="F18"/>
  <c r="K10"/>
  <c r="J10"/>
  <c r="F10"/>
  <c r="K3"/>
  <c r="J3"/>
  <c r="F3"/>
  <c r="K5"/>
  <c r="J5"/>
  <c r="F5"/>
  <c r="K16"/>
  <c r="J16"/>
  <c r="F16"/>
  <c r="K20"/>
  <c r="J20"/>
  <c r="F20"/>
  <c r="K30"/>
  <c r="J30"/>
  <c r="K2"/>
  <c r="J2"/>
  <c r="F2"/>
  <c r="K29"/>
  <c r="J29"/>
  <c r="K28"/>
  <c r="J28"/>
  <c r="K13"/>
  <c r="J13"/>
  <c r="F13"/>
  <c r="K15"/>
  <c r="J15"/>
  <c r="F15"/>
  <c r="K27"/>
  <c r="J27"/>
  <c r="K14"/>
  <c r="J14"/>
  <c r="F14"/>
  <c r="K26"/>
  <c r="J26"/>
  <c r="K8"/>
  <c r="J8"/>
  <c r="F8"/>
  <c r="K9"/>
  <c r="J9"/>
  <c r="F9"/>
  <c r="K25"/>
  <c r="J25"/>
  <c r="K24"/>
  <c r="J24"/>
  <c r="I43" i="45"/>
  <c r="H43"/>
  <c r="E43"/>
  <c r="K12"/>
  <c r="J12"/>
  <c r="K17"/>
  <c r="J17"/>
  <c r="K21"/>
  <c r="J21"/>
  <c r="K20"/>
  <c r="J20"/>
  <c r="F20"/>
  <c r="K24"/>
  <c r="J24"/>
  <c r="F24"/>
  <c r="K41"/>
  <c r="J41"/>
  <c r="F41"/>
  <c r="K39"/>
  <c r="J39"/>
  <c r="F39"/>
  <c r="K16"/>
  <c r="J16"/>
  <c r="F16"/>
  <c r="K36"/>
  <c r="J36"/>
  <c r="K11"/>
  <c r="J11"/>
  <c r="K28"/>
  <c r="J28"/>
  <c r="K7"/>
  <c r="J7"/>
  <c r="K19"/>
  <c r="J19"/>
  <c r="K6"/>
  <c r="J6"/>
  <c r="K10"/>
  <c r="J10"/>
  <c r="F10"/>
  <c r="K35"/>
  <c r="J35"/>
  <c r="K15"/>
  <c r="J15"/>
  <c r="F15"/>
  <c r="K5"/>
  <c r="J5"/>
  <c r="F5"/>
  <c r="K34"/>
  <c r="J34"/>
  <c r="F34"/>
  <c r="K23"/>
  <c r="J23"/>
  <c r="F23"/>
  <c r="K4"/>
  <c r="J4"/>
  <c r="K27"/>
  <c r="J27"/>
  <c r="F27"/>
  <c r="K33"/>
  <c r="J33"/>
  <c r="F33"/>
  <c r="K40"/>
  <c r="J40"/>
  <c r="F40"/>
  <c r="K26"/>
  <c r="J26"/>
  <c r="F26"/>
  <c r="K37"/>
  <c r="J37"/>
  <c r="F37"/>
  <c r="K32"/>
  <c r="J32"/>
  <c r="F32"/>
  <c r="K25"/>
  <c r="J25"/>
  <c r="K38"/>
  <c r="J38"/>
  <c r="F38"/>
  <c r="K3"/>
  <c r="J3"/>
  <c r="K9"/>
  <c r="J9"/>
  <c r="K8"/>
  <c r="J8"/>
  <c r="F8"/>
  <c r="K2"/>
  <c r="J2"/>
  <c r="F2"/>
  <c r="K14"/>
  <c r="J14"/>
  <c r="K22"/>
  <c r="J22"/>
  <c r="F22"/>
  <c r="K18"/>
  <c r="J18"/>
  <c r="K29"/>
  <c r="J29"/>
  <c r="F29"/>
  <c r="K31"/>
  <c r="J31"/>
  <c r="F31"/>
  <c r="K13"/>
  <c r="J13"/>
  <c r="K30"/>
  <c r="J30"/>
  <c r="I43" i="44"/>
  <c r="H43"/>
  <c r="E43"/>
  <c r="K41"/>
  <c r="J41"/>
  <c r="K40"/>
  <c r="J40"/>
  <c r="K39"/>
  <c r="J39"/>
  <c r="K38"/>
  <c r="J38"/>
  <c r="F38"/>
  <c r="K37"/>
  <c r="J37"/>
  <c r="F37"/>
  <c r="K36"/>
  <c r="J36"/>
  <c r="F36"/>
  <c r="K35"/>
  <c r="J35"/>
  <c r="F35"/>
  <c r="K34"/>
  <c r="J34"/>
  <c r="F34"/>
  <c r="K33"/>
  <c r="J33"/>
  <c r="K32"/>
  <c r="J32"/>
  <c r="K31"/>
  <c r="J31"/>
  <c r="K30"/>
  <c r="J30"/>
  <c r="K29"/>
  <c r="J29"/>
  <c r="K28"/>
  <c r="J28"/>
  <c r="K27"/>
  <c r="J27"/>
  <c r="F27"/>
  <c r="K26"/>
  <c r="J26"/>
  <c r="K25"/>
  <c r="J25"/>
  <c r="F25"/>
  <c r="K24"/>
  <c r="J24"/>
  <c r="F24"/>
  <c r="K23"/>
  <c r="J23"/>
  <c r="F23"/>
  <c r="K22"/>
  <c r="J22"/>
  <c r="F22"/>
  <c r="K21"/>
  <c r="J21"/>
  <c r="K20"/>
  <c r="J20"/>
  <c r="F20"/>
  <c r="K19"/>
  <c r="J19"/>
  <c r="F19"/>
  <c r="K18"/>
  <c r="J18"/>
  <c r="F18"/>
  <c r="K17"/>
  <c r="J17"/>
  <c r="F17"/>
  <c r="K16"/>
  <c r="J16"/>
  <c r="F16"/>
  <c r="K15"/>
  <c r="J15"/>
  <c r="F15"/>
  <c r="K14"/>
  <c r="J14"/>
  <c r="K13"/>
  <c r="J13"/>
  <c r="F13"/>
  <c r="K12"/>
  <c r="J12"/>
  <c r="K11"/>
  <c r="J11"/>
  <c r="K10"/>
  <c r="J10"/>
  <c r="F10"/>
  <c r="K9"/>
  <c r="J9"/>
  <c r="F9"/>
  <c r="K8"/>
  <c r="J8"/>
  <c r="K7"/>
  <c r="J7"/>
  <c r="F7"/>
  <c r="K6"/>
  <c r="J6"/>
  <c r="K5"/>
  <c r="J5"/>
  <c r="F5"/>
  <c r="K4"/>
  <c r="J4"/>
  <c r="F4"/>
  <c r="K3"/>
  <c r="J3"/>
  <c r="K2"/>
  <c r="J2"/>
  <c r="N22" i="41"/>
  <c r="N23"/>
  <c r="N24"/>
  <c r="N25"/>
  <c r="N26"/>
  <c r="N27"/>
  <c r="N28"/>
  <c r="N29"/>
  <c r="N30"/>
  <c r="N31"/>
  <c r="N32"/>
  <c r="N33"/>
  <c r="N34"/>
  <c r="M22"/>
  <c r="M23"/>
  <c r="M24"/>
  <c r="M25"/>
  <c r="M26"/>
  <c r="M27"/>
  <c r="M28"/>
  <c r="M29"/>
  <c r="M30"/>
  <c r="M31"/>
  <c r="M32"/>
  <c r="M33"/>
  <c r="M34"/>
  <c r="M3"/>
  <c r="N3" s="1"/>
  <c r="M4"/>
  <c r="N4" s="1"/>
  <c r="M5"/>
  <c r="N5" s="1"/>
  <c r="M6"/>
  <c r="N6" s="1"/>
  <c r="M7"/>
  <c r="N7" s="1"/>
  <c r="M8"/>
  <c r="N8" s="1"/>
  <c r="M9"/>
  <c r="N9" s="1"/>
  <c r="M10"/>
  <c r="N10" s="1"/>
  <c r="M11"/>
  <c r="N11" s="1"/>
  <c r="M12"/>
  <c r="N12" s="1"/>
  <c r="M13"/>
  <c r="N13" s="1"/>
  <c r="M14"/>
  <c r="N14" s="1"/>
  <c r="M15"/>
  <c r="N15" s="1"/>
  <c r="M16"/>
  <c r="N16" s="1"/>
  <c r="M17"/>
  <c r="N17" s="1"/>
  <c r="M18"/>
  <c r="N18" s="1"/>
  <c r="M19"/>
  <c r="N19" s="1"/>
  <c r="M20"/>
  <c r="N20" s="1"/>
  <c r="M21"/>
  <c r="N21" s="1"/>
  <c r="M2"/>
  <c r="N2" s="1"/>
  <c r="M1" i="42"/>
  <c r="M33"/>
  <c r="M2"/>
  <c r="M21"/>
  <c r="M11"/>
  <c r="M22"/>
  <c r="M19"/>
  <c r="M16"/>
  <c r="M23"/>
  <c r="M12"/>
  <c r="M3"/>
  <c r="M4"/>
  <c r="M29"/>
  <c r="M13"/>
  <c r="M24"/>
  <c r="M5"/>
  <c r="M6"/>
  <c r="M7"/>
  <c r="M8"/>
  <c r="M9"/>
  <c r="M10"/>
  <c r="M30"/>
  <c r="M14"/>
  <c r="M25"/>
  <c r="M17"/>
  <c r="M20"/>
  <c r="M15"/>
  <c r="M26"/>
  <c r="M27"/>
  <c r="M31"/>
  <c r="M32"/>
  <c r="M28"/>
  <c r="M18"/>
  <c r="I36"/>
  <c r="H36"/>
  <c r="E36"/>
  <c r="K28"/>
  <c r="J28"/>
  <c r="K32"/>
  <c r="J32"/>
  <c r="F32"/>
  <c r="K31"/>
  <c r="J31"/>
  <c r="F31"/>
  <c r="K27"/>
  <c r="J27"/>
  <c r="K26"/>
  <c r="J26"/>
  <c r="K15"/>
  <c r="J15"/>
  <c r="F15"/>
  <c r="K20"/>
  <c r="J20"/>
  <c r="K17"/>
  <c r="J17"/>
  <c r="K25"/>
  <c r="J25"/>
  <c r="K14"/>
  <c r="J14"/>
  <c r="F14"/>
  <c r="K30"/>
  <c r="J30"/>
  <c r="F30"/>
  <c r="K10"/>
  <c r="J10"/>
  <c r="F10"/>
  <c r="K9"/>
  <c r="J9"/>
  <c r="F9"/>
  <c r="K8"/>
  <c r="J8"/>
  <c r="F8"/>
  <c r="K7"/>
  <c r="J7"/>
  <c r="F7"/>
  <c r="K6"/>
  <c r="J6"/>
  <c r="F6"/>
  <c r="K5"/>
  <c r="J5"/>
  <c r="F5"/>
  <c r="K24"/>
  <c r="J24"/>
  <c r="K13"/>
  <c r="J13"/>
  <c r="F13"/>
  <c r="K29"/>
  <c r="J29"/>
  <c r="F29"/>
  <c r="K4"/>
  <c r="J4"/>
  <c r="F4"/>
  <c r="K3"/>
  <c r="J3"/>
  <c r="F3"/>
  <c r="K12"/>
  <c r="J12"/>
  <c r="F12"/>
  <c r="K23"/>
  <c r="J23"/>
  <c r="K16"/>
  <c r="J16"/>
  <c r="K19"/>
  <c r="J19"/>
  <c r="K22"/>
  <c r="J22"/>
  <c r="K11"/>
  <c r="J11"/>
  <c r="F11"/>
  <c r="K21"/>
  <c r="J21"/>
  <c r="K2"/>
  <c r="J2"/>
  <c r="F2"/>
  <c r="K33"/>
  <c r="J33"/>
  <c r="F33"/>
  <c r="K1"/>
  <c r="J1"/>
  <c r="F1"/>
  <c r="K18"/>
  <c r="J18"/>
  <c r="E36" i="41"/>
  <c r="I36"/>
  <c r="H36"/>
  <c r="K34"/>
  <c r="J34"/>
  <c r="K7"/>
  <c r="J7"/>
  <c r="F7"/>
  <c r="K5"/>
  <c r="J5"/>
  <c r="F5"/>
  <c r="K33"/>
  <c r="J33"/>
  <c r="K32"/>
  <c r="J32"/>
  <c r="K12"/>
  <c r="J12"/>
  <c r="F12"/>
  <c r="K31"/>
  <c r="J31"/>
  <c r="K30"/>
  <c r="J30"/>
  <c r="K29"/>
  <c r="J29"/>
  <c r="K4"/>
  <c r="J4"/>
  <c r="F4"/>
  <c r="K21"/>
  <c r="J21"/>
  <c r="F21"/>
  <c r="K3"/>
  <c r="J3"/>
  <c r="F3"/>
  <c r="K9"/>
  <c r="J9"/>
  <c r="F9"/>
  <c r="K6"/>
  <c r="J6"/>
  <c r="F6"/>
  <c r="K11"/>
  <c r="J11"/>
  <c r="F11"/>
  <c r="K18"/>
  <c r="J18"/>
  <c r="F18"/>
  <c r="K17"/>
  <c r="J17"/>
  <c r="F17"/>
  <c r="K28"/>
  <c r="J28"/>
  <c r="K16"/>
  <c r="J16"/>
  <c r="F16"/>
  <c r="K15"/>
  <c r="J15"/>
  <c r="F15"/>
  <c r="K8"/>
  <c r="J8"/>
  <c r="F8"/>
  <c r="K10"/>
  <c r="J10"/>
  <c r="F10"/>
  <c r="K14"/>
  <c r="J14"/>
  <c r="F14"/>
  <c r="K27"/>
  <c r="J27"/>
  <c r="K26"/>
  <c r="J26"/>
  <c r="K25"/>
  <c r="J25"/>
  <c r="K24"/>
  <c r="J24"/>
  <c r="K20"/>
  <c r="J20"/>
  <c r="F20"/>
  <c r="K23"/>
  <c r="J23"/>
  <c r="K13"/>
  <c r="J13"/>
  <c r="F13"/>
  <c r="K19"/>
  <c r="J19"/>
  <c r="F19"/>
  <c r="K2"/>
  <c r="J2"/>
  <c r="F2"/>
  <c r="K22"/>
  <c r="J22"/>
  <c r="I36" i="40"/>
  <c r="H36"/>
  <c r="E36"/>
  <c r="K5"/>
  <c r="J5"/>
  <c r="K11"/>
  <c r="J11"/>
  <c r="F11"/>
  <c r="K25"/>
  <c r="J25"/>
  <c r="F25"/>
  <c r="K4"/>
  <c r="J4"/>
  <c r="K10"/>
  <c r="J10"/>
  <c r="K30"/>
  <c r="J30"/>
  <c r="F30"/>
  <c r="K26"/>
  <c r="J26"/>
  <c r="K21"/>
  <c r="J21"/>
  <c r="K23"/>
  <c r="J23"/>
  <c r="K24"/>
  <c r="J24"/>
  <c r="F24"/>
  <c r="K9"/>
  <c r="J9"/>
  <c r="F9"/>
  <c r="K17"/>
  <c r="J17"/>
  <c r="F17"/>
  <c r="K8"/>
  <c r="J8"/>
  <c r="F8"/>
  <c r="K22"/>
  <c r="J22"/>
  <c r="F22"/>
  <c r="K29"/>
  <c r="J29"/>
  <c r="F29"/>
  <c r="K28"/>
  <c r="J28"/>
  <c r="F28"/>
  <c r="K16"/>
  <c r="J16"/>
  <c r="F16"/>
  <c r="K3"/>
  <c r="J3"/>
  <c r="K14"/>
  <c r="J14"/>
  <c r="F14"/>
  <c r="K20"/>
  <c r="J20"/>
  <c r="F20"/>
  <c r="K27"/>
  <c r="J27"/>
  <c r="F27"/>
  <c r="K31"/>
  <c r="J31"/>
  <c r="F31"/>
  <c r="K33"/>
  <c r="J33"/>
  <c r="F33"/>
  <c r="K19"/>
  <c r="J19"/>
  <c r="K34"/>
  <c r="J34"/>
  <c r="K2"/>
  <c r="J2"/>
  <c r="K7"/>
  <c r="J7"/>
  <c r="K18"/>
  <c r="J18"/>
  <c r="F18"/>
  <c r="K6"/>
  <c r="J6"/>
  <c r="K15"/>
  <c r="J15"/>
  <c r="F15"/>
  <c r="K13"/>
  <c r="J13"/>
  <c r="F13"/>
  <c r="K32"/>
  <c r="J32"/>
  <c r="F32"/>
  <c r="K12"/>
  <c r="J12"/>
  <c r="H36" i="39"/>
  <c r="I36"/>
  <c r="E36"/>
  <c r="K34"/>
  <c r="J34"/>
  <c r="K33"/>
  <c r="J33"/>
  <c r="F33"/>
  <c r="K32"/>
  <c r="J32"/>
  <c r="F32"/>
  <c r="K31"/>
  <c r="J31"/>
  <c r="K30"/>
  <c r="J30"/>
  <c r="K29"/>
  <c r="J29"/>
  <c r="F29"/>
  <c r="K28"/>
  <c r="J28"/>
  <c r="K27"/>
  <c r="J27"/>
  <c r="K26"/>
  <c r="J26"/>
  <c r="K25"/>
  <c r="J25"/>
  <c r="F25"/>
  <c r="K24"/>
  <c r="J24"/>
  <c r="F24"/>
  <c r="K23"/>
  <c r="J23"/>
  <c r="F23"/>
  <c r="K22"/>
  <c r="J22"/>
  <c r="F22"/>
  <c r="K21"/>
  <c r="J21"/>
  <c r="F21"/>
  <c r="K20"/>
  <c r="J20"/>
  <c r="F20"/>
  <c r="K19"/>
  <c r="J19"/>
  <c r="F19"/>
  <c r="K18"/>
  <c r="J18"/>
  <c r="F18"/>
  <c r="K17"/>
  <c r="J17"/>
  <c r="K16"/>
  <c r="J16"/>
  <c r="F16"/>
  <c r="K15"/>
  <c r="J15"/>
  <c r="F15"/>
  <c r="K14"/>
  <c r="J14"/>
  <c r="F14"/>
  <c r="K13"/>
  <c r="J13"/>
  <c r="F13"/>
  <c r="K12"/>
  <c r="J12"/>
  <c r="F12"/>
  <c r="K11"/>
  <c r="J11"/>
  <c r="K10"/>
  <c r="J10"/>
  <c r="K9"/>
  <c r="J9"/>
  <c r="K8"/>
  <c r="J8"/>
  <c r="K7"/>
  <c r="J7"/>
  <c r="F7"/>
  <c r="K6"/>
  <c r="J6"/>
  <c r="K5"/>
  <c r="J5"/>
  <c r="F5"/>
  <c r="K4"/>
  <c r="J4"/>
  <c r="F4"/>
  <c r="K3"/>
  <c r="J3"/>
  <c r="F3"/>
  <c r="K2"/>
  <c r="J2"/>
  <c r="J43" i="44" l="1"/>
  <c r="J44" s="1"/>
  <c r="K36" i="39"/>
  <c r="K37" s="1"/>
  <c r="K36" i="40"/>
  <c r="K37" s="1"/>
  <c r="J43" i="45"/>
  <c r="J44" s="1"/>
  <c r="K43"/>
  <c r="K44" s="1"/>
  <c r="F43" i="46"/>
  <c r="F44" s="1"/>
  <c r="J36" i="39"/>
  <c r="J37" s="1"/>
  <c r="F36" i="41"/>
  <c r="F37" s="1"/>
  <c r="F43" i="44"/>
  <c r="F44" s="1"/>
  <c r="F36" i="39"/>
  <c r="F37" s="1"/>
  <c r="J36" i="40"/>
  <c r="J37" s="1"/>
  <c r="K43" i="44"/>
  <c r="K44" s="1"/>
  <c r="J43" i="47"/>
  <c r="J44" s="1"/>
  <c r="F43"/>
  <c r="F44" s="1"/>
  <c r="K43"/>
  <c r="K44" s="1"/>
  <c r="J43" i="46"/>
  <c r="J44" s="1"/>
  <c r="K43"/>
  <c r="K44" s="1"/>
  <c r="F43" i="45"/>
  <c r="F44" s="1"/>
  <c r="F36" i="42"/>
  <c r="F37" s="1"/>
  <c r="J36"/>
  <c r="J37" s="1"/>
  <c r="K36"/>
  <c r="K37" s="1"/>
  <c r="J36" i="41"/>
  <c r="J37" s="1"/>
  <c r="K36"/>
  <c r="K37" s="1"/>
  <c r="F36" i="40"/>
  <c r="F37" s="1"/>
  <c r="K22" i="37"/>
  <c r="J22"/>
  <c r="K21"/>
  <c r="J21"/>
  <c r="K20"/>
  <c r="J20"/>
  <c r="K19"/>
  <c r="J19"/>
  <c r="K28"/>
  <c r="J28"/>
  <c r="K27"/>
  <c r="J27"/>
  <c r="K25"/>
  <c r="J25"/>
  <c r="J29"/>
  <c r="K29"/>
  <c r="K26"/>
  <c r="J26"/>
  <c r="J24"/>
  <c r="K24"/>
  <c r="K23"/>
  <c r="J23"/>
  <c r="K12"/>
  <c r="J12"/>
  <c r="K11"/>
  <c r="J11"/>
  <c r="K10"/>
  <c r="J10"/>
  <c r="K9"/>
  <c r="J9"/>
  <c r="J8"/>
  <c r="K8"/>
  <c r="K7"/>
  <c r="J7"/>
  <c r="K5"/>
  <c r="K6"/>
  <c r="J6"/>
  <c r="J5"/>
  <c r="K4"/>
  <c r="J4"/>
  <c r="K3"/>
  <c r="J3"/>
  <c r="E8" i="36" l="1"/>
  <c r="E7"/>
  <c r="F9" i="37"/>
  <c r="F7"/>
  <c r="F8"/>
  <c r="F6"/>
  <c r="F5"/>
  <c r="F20"/>
  <c r="F28"/>
  <c r="F27"/>
  <c r="F24"/>
  <c r="F19"/>
  <c r="I6" i="36"/>
  <c r="J6"/>
  <c r="E6"/>
  <c r="J5"/>
  <c r="I5"/>
  <c r="F1" i="38"/>
  <c r="F2"/>
  <c r="F5"/>
  <c r="L6" i="36" l="1"/>
  <c r="L5"/>
  <c r="D7"/>
  <c r="D8"/>
  <c r="D9"/>
  <c r="E5"/>
  <c r="E4"/>
  <c r="K31" i="37"/>
  <c r="K32" s="1"/>
  <c r="J31"/>
  <c r="J32" s="1"/>
  <c r="F31"/>
  <c r="F32" s="1"/>
  <c r="J14"/>
  <c r="J15" s="1"/>
  <c r="K14"/>
  <c r="K15" s="1"/>
  <c r="F14"/>
  <c r="F15" s="1"/>
  <c r="E3" i="36"/>
  <c r="D5" l="1"/>
  <c r="D4"/>
  <c r="D6"/>
  <c r="E2"/>
  <c r="D3" s="1"/>
  <c r="K12" i="35"/>
  <c r="J12"/>
  <c r="K5"/>
  <c r="J5"/>
  <c r="K3"/>
  <c r="K4"/>
  <c r="J3"/>
  <c r="J4"/>
  <c r="K7"/>
  <c r="J7"/>
  <c r="J11"/>
  <c r="K11"/>
  <c r="K10"/>
  <c r="J10"/>
  <c r="K9"/>
  <c r="J9"/>
  <c r="K8"/>
  <c r="J8"/>
  <c r="K6"/>
  <c r="J6"/>
  <c r="K29"/>
  <c r="K27"/>
  <c r="K19"/>
  <c r="J19"/>
  <c r="J29"/>
  <c r="J27"/>
  <c r="K28"/>
  <c r="J28"/>
  <c r="K26"/>
  <c r="J26"/>
  <c r="K25"/>
  <c r="J25"/>
  <c r="K24"/>
  <c r="J24"/>
  <c r="K23"/>
  <c r="J23"/>
  <c r="K22"/>
  <c r="J22"/>
  <c r="K21"/>
  <c r="J21"/>
  <c r="K20"/>
  <c r="J20"/>
  <c r="F22"/>
  <c r="F21"/>
  <c r="F20"/>
  <c r="F25"/>
  <c r="F24"/>
  <c r="F26"/>
  <c r="F28"/>
  <c r="F29"/>
  <c r="F27"/>
  <c r="F19"/>
  <c r="F8"/>
  <c r="F6"/>
  <c r="F5"/>
  <c r="F4"/>
  <c r="F3"/>
  <c r="F5" i="33" l="1"/>
  <c r="F4"/>
  <c r="F1"/>
  <c r="F31" i="35" l="1"/>
  <c r="F32" s="1"/>
  <c r="K31"/>
  <c r="K32" s="1"/>
  <c r="J31"/>
  <c r="J32" s="1"/>
  <c r="F14"/>
  <c r="F15" s="1"/>
  <c r="K14"/>
  <c r="K15" s="1"/>
  <c r="J14"/>
  <c r="J15" s="1"/>
  <c r="K12" i="31" l="1"/>
  <c r="J12"/>
  <c r="K10"/>
  <c r="J10"/>
  <c r="K6"/>
  <c r="K7"/>
  <c r="J7"/>
  <c r="J6"/>
  <c r="K4"/>
  <c r="J4"/>
  <c r="K11"/>
  <c r="J11"/>
  <c r="K9"/>
  <c r="J9"/>
  <c r="K8"/>
  <c r="J8"/>
  <c r="K5"/>
  <c r="J5"/>
  <c r="K3"/>
  <c r="J3"/>
  <c r="F11"/>
  <c r="F9"/>
  <c r="F8"/>
  <c r="F10"/>
  <c r="F7"/>
  <c r="F6"/>
  <c r="F4"/>
  <c r="F14" l="1"/>
  <c r="F15" s="1"/>
  <c r="K14"/>
  <c r="K15" s="1"/>
  <c r="J14"/>
  <c r="J15" s="1"/>
  <c r="F7" i="30"/>
  <c r="F1"/>
  <c r="F4"/>
  <c r="F3"/>
  <c r="K12" i="28"/>
  <c r="J12"/>
  <c r="K48" i="18"/>
  <c r="M48"/>
  <c r="P58"/>
  <c r="P57"/>
  <c r="P50"/>
  <c r="P49"/>
  <c r="K56"/>
  <c r="M56"/>
  <c r="M63"/>
  <c r="M62"/>
  <c r="M61"/>
  <c r="M60"/>
  <c r="M59"/>
  <c r="M55"/>
  <c r="M54"/>
  <c r="M53"/>
  <c r="M52"/>
  <c r="N52" s="1"/>
  <c r="E52" s="1"/>
  <c r="J52" s="1"/>
  <c r="M51"/>
  <c r="M47"/>
  <c r="M46"/>
  <c r="M45"/>
  <c r="M44"/>
  <c r="J58"/>
  <c r="J57"/>
  <c r="J50"/>
  <c r="J49"/>
  <c r="L65"/>
  <c r="K52"/>
  <c r="K45"/>
  <c r="K46"/>
  <c r="K47"/>
  <c r="K49"/>
  <c r="K50"/>
  <c r="K55"/>
  <c r="K57"/>
  <c r="K58"/>
  <c r="K59"/>
  <c r="K60"/>
  <c r="K62"/>
  <c r="K63"/>
  <c r="K44"/>
  <c r="F63"/>
  <c r="F62"/>
  <c r="F61"/>
  <c r="F60"/>
  <c r="F59"/>
  <c r="F56"/>
  <c r="F55"/>
  <c r="F54"/>
  <c r="F53"/>
  <c r="K53" s="1"/>
  <c r="F51"/>
  <c r="F48"/>
  <c r="F47"/>
  <c r="F46"/>
  <c r="F45"/>
  <c r="F44"/>
  <c r="K7" i="28"/>
  <c r="J7"/>
  <c r="K8"/>
  <c r="J8"/>
  <c r="K6"/>
  <c r="J6"/>
  <c r="J4"/>
  <c r="K4"/>
  <c r="J5"/>
  <c r="K5"/>
  <c r="J9"/>
  <c r="K9"/>
  <c r="J10"/>
  <c r="K10"/>
  <c r="J11"/>
  <c r="K11"/>
  <c r="J3"/>
  <c r="K3"/>
  <c r="K25"/>
  <c r="J25"/>
  <c r="J27"/>
  <c r="K27"/>
  <c r="K23"/>
  <c r="J23"/>
  <c r="K22"/>
  <c r="J22"/>
  <c r="K20"/>
  <c r="J20"/>
  <c r="K29"/>
  <c r="J29"/>
  <c r="K28"/>
  <c r="J28"/>
  <c r="K26"/>
  <c r="J26"/>
  <c r="K24"/>
  <c r="J24"/>
  <c r="K21"/>
  <c r="J21"/>
  <c r="K19"/>
  <c r="J19"/>
  <c r="F5"/>
  <c r="F11"/>
  <c r="F10"/>
  <c r="F8"/>
  <c r="F6"/>
  <c r="F29"/>
  <c r="F24"/>
  <c r="F22"/>
  <c r="F21"/>
  <c r="F20"/>
  <c r="F5" i="29"/>
  <c r="F4"/>
  <c r="F3"/>
  <c r="F2"/>
  <c r="F1"/>
  <c r="N44" i="18" l="1"/>
  <c r="E44" s="1"/>
  <c r="P44" s="1"/>
  <c r="N48"/>
  <c r="E48" s="1"/>
  <c r="J48" s="1"/>
  <c r="N55"/>
  <c r="E55" s="1"/>
  <c r="P55" s="1"/>
  <c r="N61"/>
  <c r="E61" s="1"/>
  <c r="P61" s="1"/>
  <c r="N54"/>
  <c r="E54" s="1"/>
  <c r="J54" s="1"/>
  <c r="N51"/>
  <c r="E51" s="1"/>
  <c r="J51" s="1"/>
  <c r="N62"/>
  <c r="E62" s="1"/>
  <c r="P62" s="1"/>
  <c r="N63"/>
  <c r="E63" s="1"/>
  <c r="P63" s="1"/>
  <c r="N45"/>
  <c r="E45" s="1"/>
  <c r="P45" s="1"/>
  <c r="N60"/>
  <c r="E60" s="1"/>
  <c r="J60" s="1"/>
  <c r="N46"/>
  <c r="E46" s="1"/>
  <c r="J46" s="1"/>
  <c r="K61"/>
  <c r="N56"/>
  <c r="E56" s="1"/>
  <c r="J56" s="1"/>
  <c r="K54"/>
  <c r="N47"/>
  <c r="E47" s="1"/>
  <c r="J47" s="1"/>
  <c r="N53"/>
  <c r="E53" s="1"/>
  <c r="K51"/>
  <c r="N59"/>
  <c r="E59" s="1"/>
  <c r="P52"/>
  <c r="K31" i="28"/>
  <c r="K32" s="1"/>
  <c r="K14"/>
  <c r="K15" s="1"/>
  <c r="J14"/>
  <c r="J15" s="1"/>
  <c r="F14"/>
  <c r="F15" s="1"/>
  <c r="J31"/>
  <c r="J32" s="1"/>
  <c r="F31"/>
  <c r="F32" s="1"/>
  <c r="F15" i="26"/>
  <c r="F18"/>
  <c r="F19"/>
  <c r="F20"/>
  <c r="F14"/>
  <c r="F9" i="27"/>
  <c r="F6"/>
  <c r="F5"/>
  <c r="F4"/>
  <c r="F3"/>
  <c r="F1"/>
  <c r="F5" i="25"/>
  <c r="F8"/>
  <c r="F9"/>
  <c r="F3"/>
  <c r="F4"/>
  <c r="F1"/>
  <c r="F2"/>
  <c r="M36" i="18"/>
  <c r="M35"/>
  <c r="M34"/>
  <c r="M33"/>
  <c r="N33" s="1"/>
  <c r="E33" s="1"/>
  <c r="M32"/>
  <c r="M31"/>
  <c r="M30"/>
  <c r="M29"/>
  <c r="N29" s="1"/>
  <c r="E29" s="1"/>
  <c r="M28"/>
  <c r="N28" s="1"/>
  <c r="E28" s="1"/>
  <c r="M27"/>
  <c r="M26"/>
  <c r="M25"/>
  <c r="M24"/>
  <c r="N24" s="1"/>
  <c r="M23"/>
  <c r="N23" s="1"/>
  <c r="E23" s="1"/>
  <c r="M22"/>
  <c r="M21"/>
  <c r="N21" s="1"/>
  <c r="E21" s="1"/>
  <c r="M20"/>
  <c r="M19"/>
  <c r="N19" s="1"/>
  <c r="E19" s="1"/>
  <c r="M18"/>
  <c r="M17"/>
  <c r="N17" s="1"/>
  <c r="M16"/>
  <c r="N16" s="1"/>
  <c r="M15"/>
  <c r="M14"/>
  <c r="M13"/>
  <c r="M12"/>
  <c r="M11"/>
  <c r="M10"/>
  <c r="M9"/>
  <c r="M8"/>
  <c r="M7"/>
  <c r="N7" s="1"/>
  <c r="E7" s="1"/>
  <c r="M6"/>
  <c r="M5"/>
  <c r="M4"/>
  <c r="N4" s="1"/>
  <c r="M3"/>
  <c r="M2"/>
  <c r="N2" s="1"/>
  <c r="M1"/>
  <c r="N1" s="1"/>
  <c r="E1" s="1"/>
  <c r="F7" i="24"/>
  <c r="J7"/>
  <c r="F8"/>
  <c r="J8" s="1"/>
  <c r="F9"/>
  <c r="J9"/>
  <c r="F10"/>
  <c r="J10" s="1"/>
  <c r="F11"/>
  <c r="J11"/>
  <c r="J12"/>
  <c r="F13"/>
  <c r="J13" s="1"/>
  <c r="F14"/>
  <c r="J14"/>
  <c r="J1" i="22"/>
  <c r="M1"/>
  <c r="L1" s="1"/>
  <c r="F2"/>
  <c r="J2"/>
  <c r="F3"/>
  <c r="J3" s="1"/>
  <c r="M3" s="1"/>
  <c r="L3" s="1"/>
  <c r="F4"/>
  <c r="J4"/>
  <c r="J5"/>
  <c r="M5"/>
  <c r="L5" s="1"/>
  <c r="J6"/>
  <c r="M6"/>
  <c r="L6" s="1"/>
  <c r="J7"/>
  <c r="M7" s="1"/>
  <c r="L7" s="1"/>
  <c r="F8"/>
  <c r="M8" s="1"/>
  <c r="L8" s="1"/>
  <c r="F9"/>
  <c r="F10"/>
  <c r="M10" s="1"/>
  <c r="L10" s="1"/>
  <c r="J10"/>
  <c r="J11"/>
  <c r="M11" s="1"/>
  <c r="L11" s="1"/>
  <c r="J12"/>
  <c r="M12" s="1"/>
  <c r="L12" s="1"/>
  <c r="F13"/>
  <c r="J13" s="1"/>
  <c r="M13" s="1"/>
  <c r="L13" s="1"/>
  <c r="J14"/>
  <c r="M14" s="1"/>
  <c r="L14" s="1"/>
  <c r="F15"/>
  <c r="J15"/>
  <c r="J16"/>
  <c r="M16" s="1"/>
  <c r="L16" s="1"/>
  <c r="J1" i="14"/>
  <c r="F2"/>
  <c r="J2"/>
  <c r="F3"/>
  <c r="J3" s="1"/>
  <c r="F4"/>
  <c r="J4"/>
  <c r="J5"/>
  <c r="J6"/>
  <c r="J7"/>
  <c r="F8"/>
  <c r="J8" s="1"/>
  <c r="F9"/>
  <c r="J9" s="1"/>
  <c r="F10"/>
  <c r="J10"/>
  <c r="J11"/>
  <c r="J12"/>
  <c r="F13"/>
  <c r="J13" s="1"/>
  <c r="J14"/>
  <c r="F15"/>
  <c r="J15"/>
  <c r="J16"/>
  <c r="I38" i="24"/>
  <c r="H38"/>
  <c r="H39" s="1"/>
  <c r="E38"/>
  <c r="M16" i="9"/>
  <c r="M15"/>
  <c r="M14"/>
  <c r="M13"/>
  <c r="M12"/>
  <c r="M11"/>
  <c r="M10"/>
  <c r="M9"/>
  <c r="M8"/>
  <c r="M7"/>
  <c r="M6"/>
  <c r="M5"/>
  <c r="M4"/>
  <c r="M3"/>
  <c r="M2"/>
  <c r="M1"/>
  <c r="J1" i="24"/>
  <c r="J2"/>
  <c r="J3"/>
  <c r="F6"/>
  <c r="J6" s="1"/>
  <c r="F5"/>
  <c r="J5" s="1"/>
  <c r="F4"/>
  <c r="J4" s="1"/>
  <c r="J1" i="23"/>
  <c r="M1"/>
  <c r="L1" s="1"/>
  <c r="F2"/>
  <c r="J2"/>
  <c r="F3"/>
  <c r="F4"/>
  <c r="J4"/>
  <c r="J5"/>
  <c r="M5"/>
  <c r="L5" s="1"/>
  <c r="J6"/>
  <c r="M6"/>
  <c r="L6" s="1"/>
  <c r="J7"/>
  <c r="M7" s="1"/>
  <c r="L7" s="1"/>
  <c r="F8"/>
  <c r="J8" s="1"/>
  <c r="F9"/>
  <c r="J9" s="1"/>
  <c r="M9" s="1"/>
  <c r="L9" s="1"/>
  <c r="F10"/>
  <c r="M10" s="1"/>
  <c r="L10" s="1"/>
  <c r="J10"/>
  <c r="J11"/>
  <c r="M11" s="1"/>
  <c r="L11" s="1"/>
  <c r="J12"/>
  <c r="M12" s="1"/>
  <c r="L12" s="1"/>
  <c r="F13"/>
  <c r="J13" s="1"/>
  <c r="M13" s="1"/>
  <c r="L13" s="1"/>
  <c r="J14"/>
  <c r="M14" s="1"/>
  <c r="L14" s="1"/>
  <c r="F15"/>
  <c r="J15"/>
  <c r="J16"/>
  <c r="M16" s="1"/>
  <c r="L16" s="1"/>
  <c r="M20"/>
  <c r="L20" s="1"/>
  <c r="M21"/>
  <c r="L21" s="1"/>
  <c r="I38"/>
  <c r="H38"/>
  <c r="H39" s="1"/>
  <c r="E38"/>
  <c r="J36"/>
  <c r="F36"/>
  <c r="J35"/>
  <c r="F35"/>
  <c r="M35" s="1"/>
  <c r="L35" s="1"/>
  <c r="F34"/>
  <c r="J34" s="1"/>
  <c r="F33"/>
  <c r="M33" s="1"/>
  <c r="L33" s="1"/>
  <c r="F32"/>
  <c r="J32" s="1"/>
  <c r="J31"/>
  <c r="F31"/>
  <c r="J30"/>
  <c r="M30" s="1"/>
  <c r="L30" s="1"/>
  <c r="F29"/>
  <c r="M29" s="1"/>
  <c r="L29" s="1"/>
  <c r="F28"/>
  <c r="J28" s="1"/>
  <c r="F27"/>
  <c r="M27" s="1"/>
  <c r="L27" s="1"/>
  <c r="J26"/>
  <c r="F26"/>
  <c r="J25"/>
  <c r="M25" s="1"/>
  <c r="L25" s="1"/>
  <c r="F24"/>
  <c r="J24" s="1"/>
  <c r="F23"/>
  <c r="J23" s="1"/>
  <c r="J22"/>
  <c r="M22" s="1"/>
  <c r="L22" s="1"/>
  <c r="J21"/>
  <c r="J20"/>
  <c r="J19"/>
  <c r="F19"/>
  <c r="M19" s="1"/>
  <c r="L19" s="1"/>
  <c r="F18"/>
  <c r="J18" s="1"/>
  <c r="J17"/>
  <c r="F17"/>
  <c r="M20" i="22"/>
  <c r="L20" s="1"/>
  <c r="M21"/>
  <c r="L21" s="1"/>
  <c r="I38"/>
  <c r="H38"/>
  <c r="H39" s="1"/>
  <c r="E38"/>
  <c r="J36"/>
  <c r="F36"/>
  <c r="J35"/>
  <c r="F35"/>
  <c r="M35" s="1"/>
  <c r="L35" s="1"/>
  <c r="F34"/>
  <c r="J34" s="1"/>
  <c r="M34" s="1"/>
  <c r="L34" s="1"/>
  <c r="F33"/>
  <c r="J33" s="1"/>
  <c r="F32"/>
  <c r="J32" s="1"/>
  <c r="J31"/>
  <c r="F31"/>
  <c r="J30"/>
  <c r="M30" s="1"/>
  <c r="L30" s="1"/>
  <c r="F29"/>
  <c r="M29" s="1"/>
  <c r="L29" s="1"/>
  <c r="F28"/>
  <c r="J28" s="1"/>
  <c r="F27"/>
  <c r="M27" s="1"/>
  <c r="L27" s="1"/>
  <c r="J26"/>
  <c r="F26"/>
  <c r="J25"/>
  <c r="M25" s="1"/>
  <c r="L25" s="1"/>
  <c r="F24"/>
  <c r="J24" s="1"/>
  <c r="F23"/>
  <c r="M23" s="1"/>
  <c r="L23" s="1"/>
  <c r="J22"/>
  <c r="M22" s="1"/>
  <c r="L22" s="1"/>
  <c r="J21"/>
  <c r="J20"/>
  <c r="J19"/>
  <c r="F19"/>
  <c r="M19" s="1"/>
  <c r="L19" s="1"/>
  <c r="F18"/>
  <c r="J18" s="1"/>
  <c r="J17"/>
  <c r="F17"/>
  <c r="J1" i="15"/>
  <c r="F2"/>
  <c r="J2"/>
  <c r="F3"/>
  <c r="J3" s="1"/>
  <c r="F4"/>
  <c r="J4"/>
  <c r="J5"/>
  <c r="J6"/>
  <c r="J7"/>
  <c r="F8"/>
  <c r="J8" s="1"/>
  <c r="F9"/>
  <c r="J9" s="1"/>
  <c r="F10"/>
  <c r="J10"/>
  <c r="J11"/>
  <c r="J12"/>
  <c r="F13"/>
  <c r="J13" s="1"/>
  <c r="J14"/>
  <c r="F15"/>
  <c r="J15"/>
  <c r="J16"/>
  <c r="F12" i="18"/>
  <c r="F13"/>
  <c r="F14"/>
  <c r="F15"/>
  <c r="F18"/>
  <c r="F20"/>
  <c r="F22"/>
  <c r="F25"/>
  <c r="F26"/>
  <c r="F27"/>
  <c r="F30"/>
  <c r="F31"/>
  <c r="F32"/>
  <c r="F34"/>
  <c r="F35"/>
  <c r="F36"/>
  <c r="F7" i="9"/>
  <c r="F8"/>
  <c r="F9"/>
  <c r="F11"/>
  <c r="H38" i="18"/>
  <c r="F5"/>
  <c r="F6"/>
  <c r="F8"/>
  <c r="F3"/>
  <c r="F10"/>
  <c r="F9"/>
  <c r="F11"/>
  <c r="I38" i="15"/>
  <c r="H38"/>
  <c r="H39" s="1"/>
  <c r="E38"/>
  <c r="J36"/>
  <c r="F36"/>
  <c r="J35"/>
  <c r="F35"/>
  <c r="F34"/>
  <c r="J34" s="1"/>
  <c r="F33"/>
  <c r="J33" s="1"/>
  <c r="F32"/>
  <c r="J32" s="1"/>
  <c r="J31"/>
  <c r="F31"/>
  <c r="J30"/>
  <c r="F29"/>
  <c r="J29" s="1"/>
  <c r="F28"/>
  <c r="J28" s="1"/>
  <c r="F27"/>
  <c r="J27" s="1"/>
  <c r="J26"/>
  <c r="F26"/>
  <c r="J25"/>
  <c r="F24"/>
  <c r="J24" s="1"/>
  <c r="F23"/>
  <c r="J23" s="1"/>
  <c r="J22"/>
  <c r="J21"/>
  <c r="J20"/>
  <c r="J19"/>
  <c r="F19"/>
  <c r="F18"/>
  <c r="J18" s="1"/>
  <c r="J17"/>
  <c r="F17"/>
  <c r="J17" i="14"/>
  <c r="J19"/>
  <c r="J20"/>
  <c r="J21"/>
  <c r="J22"/>
  <c r="J25"/>
  <c r="J26"/>
  <c r="J30"/>
  <c r="J31"/>
  <c r="J35"/>
  <c r="J36"/>
  <c r="F36"/>
  <c r="F35"/>
  <c r="F34"/>
  <c r="J34" s="1"/>
  <c r="F33"/>
  <c r="J33" s="1"/>
  <c r="F32"/>
  <c r="J32" s="1"/>
  <c r="F31"/>
  <c r="F29"/>
  <c r="J29" s="1"/>
  <c r="F28"/>
  <c r="J28" s="1"/>
  <c r="F27"/>
  <c r="J27" s="1"/>
  <c r="F26"/>
  <c r="F24"/>
  <c r="J24" s="1"/>
  <c r="F23"/>
  <c r="J23" s="1"/>
  <c r="F19"/>
  <c r="F18"/>
  <c r="J18" s="1"/>
  <c r="F17"/>
  <c r="I38"/>
  <c r="H38"/>
  <c r="H39" s="1"/>
  <c r="E38"/>
  <c r="F3" i="13"/>
  <c r="F6"/>
  <c r="F5"/>
  <c r="F2"/>
  <c r="F4"/>
  <c r="F1"/>
  <c r="F8" i="12"/>
  <c r="F11"/>
  <c r="F9"/>
  <c r="F7"/>
  <c r="F5"/>
  <c r="F3"/>
  <c r="F2"/>
  <c r="F3" i="10"/>
  <c r="F2"/>
  <c r="F1"/>
  <c r="J63" i="18" l="1"/>
  <c r="J44"/>
  <c r="N20"/>
  <c r="E20" s="1"/>
  <c r="P20" s="1"/>
  <c r="P48"/>
  <c r="J55"/>
  <c r="J61"/>
  <c r="N25"/>
  <c r="E25" s="1"/>
  <c r="P54"/>
  <c r="P46"/>
  <c r="J29" i="23"/>
  <c r="P47" i="18"/>
  <c r="J62"/>
  <c r="P51"/>
  <c r="N5"/>
  <c r="E5" s="1"/>
  <c r="P5" s="1"/>
  <c r="N34"/>
  <c r="E34" s="1"/>
  <c r="N13"/>
  <c r="E13" s="1"/>
  <c r="M31" i="23"/>
  <c r="L31" s="1"/>
  <c r="N9" i="18"/>
  <c r="E9" s="1"/>
  <c r="P9" s="1"/>
  <c r="J27" i="23"/>
  <c r="N8" i="18"/>
  <c r="E8" s="1"/>
  <c r="N36"/>
  <c r="E36" s="1"/>
  <c r="M36" i="23"/>
  <c r="L36" s="1"/>
  <c r="N31" i="18"/>
  <c r="E31" s="1"/>
  <c r="J45"/>
  <c r="K65"/>
  <c r="K66" s="1"/>
  <c r="N18"/>
  <c r="E18" s="1"/>
  <c r="P18" s="1"/>
  <c r="M17" i="23"/>
  <c r="L17" s="1"/>
  <c r="J27" i="22"/>
  <c r="J29"/>
  <c r="M28"/>
  <c r="L28" s="1"/>
  <c r="P60" i="18"/>
  <c r="M36" i="22"/>
  <c r="L36" s="1"/>
  <c r="M26" i="23"/>
  <c r="L26" s="1"/>
  <c r="J33"/>
  <c r="E65" i="18"/>
  <c r="J23" i="22"/>
  <c r="M26"/>
  <c r="L26" s="1"/>
  <c r="M15" i="23"/>
  <c r="L15" s="1"/>
  <c r="M2"/>
  <c r="L2" s="1"/>
  <c r="N32" i="18"/>
  <c r="E32" s="1"/>
  <c r="J32" s="1"/>
  <c r="N12"/>
  <c r="E12" s="1"/>
  <c r="M28" i="23"/>
  <c r="L28" s="1"/>
  <c r="M8"/>
  <c r="L8" s="1"/>
  <c r="M15" i="22"/>
  <c r="L15" s="1"/>
  <c r="M31"/>
  <c r="L31" s="1"/>
  <c r="N10" i="18"/>
  <c r="E10" s="1"/>
  <c r="J10" s="1"/>
  <c r="F26" i="26"/>
  <c r="F27" s="1"/>
  <c r="P56" i="18"/>
  <c r="N22"/>
  <c r="E22" s="1"/>
  <c r="J22" s="1"/>
  <c r="M17" i="22"/>
  <c r="L17" s="1"/>
  <c r="M24"/>
  <c r="L24" s="1"/>
  <c r="M34" i="23"/>
  <c r="L34" s="1"/>
  <c r="J28" i="18"/>
  <c r="P28"/>
  <c r="J59"/>
  <c r="P59"/>
  <c r="J33"/>
  <c r="P33"/>
  <c r="J23"/>
  <c r="P23"/>
  <c r="J7"/>
  <c r="P7"/>
  <c r="J19"/>
  <c r="P19"/>
  <c r="M32" i="22"/>
  <c r="L32" s="1"/>
  <c r="M18"/>
  <c r="L18" s="1"/>
  <c r="M18" i="23"/>
  <c r="L18" s="1"/>
  <c r="M32"/>
  <c r="L32" s="1"/>
  <c r="M24"/>
  <c r="L24" s="1"/>
  <c r="M4"/>
  <c r="L4" s="1"/>
  <c r="N3" i="18"/>
  <c r="E3" s="1"/>
  <c r="P3" s="1"/>
  <c r="N11"/>
  <c r="E11" s="1"/>
  <c r="N15"/>
  <c r="E15" s="1"/>
  <c r="N27"/>
  <c r="E27" s="1"/>
  <c r="N35"/>
  <c r="E35" s="1"/>
  <c r="J53"/>
  <c r="P53"/>
  <c r="J29"/>
  <c r="P29"/>
  <c r="J1"/>
  <c r="P1"/>
  <c r="J21"/>
  <c r="P21"/>
  <c r="N6"/>
  <c r="E6" s="1"/>
  <c r="P6" s="1"/>
  <c r="N14"/>
  <c r="E14" s="1"/>
  <c r="P14" s="1"/>
  <c r="N26"/>
  <c r="E26" s="1"/>
  <c r="N30"/>
  <c r="E30" s="1"/>
  <c r="M33" i="22"/>
  <c r="L33" s="1"/>
  <c r="M23" i="23"/>
  <c r="L23" s="1"/>
  <c r="M4" i="22"/>
  <c r="L4" s="1"/>
  <c r="M2"/>
  <c r="L2" s="1"/>
  <c r="J8"/>
  <c r="J9"/>
  <c r="M9" s="1"/>
  <c r="L9" s="1"/>
  <c r="J38" i="24"/>
  <c r="J39" s="1"/>
  <c r="E24" i="18"/>
  <c r="E17"/>
  <c r="E2"/>
  <c r="E16"/>
  <c r="E4"/>
  <c r="J3" i="23"/>
  <c r="M3" s="1"/>
  <c r="J38" i="14"/>
  <c r="J39" s="1"/>
  <c r="J38" i="15"/>
  <c r="J39" s="1"/>
  <c r="F15" i="9"/>
  <c r="N15" s="1"/>
  <c r="E15" s="1"/>
  <c r="N7"/>
  <c r="E7" s="1"/>
  <c r="J7" s="1"/>
  <c r="N3"/>
  <c r="E3" s="1"/>
  <c r="J3" s="1"/>
  <c r="N12"/>
  <c r="E12" s="1"/>
  <c r="N11"/>
  <c r="E11" s="1"/>
  <c r="J11" s="1"/>
  <c r="N14"/>
  <c r="E14" s="1"/>
  <c r="N8"/>
  <c r="E8" s="1"/>
  <c r="J8" s="1"/>
  <c r="N2"/>
  <c r="E2" s="1"/>
  <c r="J2" s="1"/>
  <c r="N10"/>
  <c r="E10" s="1"/>
  <c r="J10" s="1"/>
  <c r="N9"/>
  <c r="E9" s="1"/>
  <c r="J9" s="1"/>
  <c r="N16"/>
  <c r="E16" s="1"/>
  <c r="N1"/>
  <c r="E1" s="1"/>
  <c r="H18"/>
  <c r="F5"/>
  <c r="N5" s="1"/>
  <c r="E5" s="1"/>
  <c r="J5" s="1"/>
  <c r="F4"/>
  <c r="N4" s="1"/>
  <c r="E4" s="1"/>
  <c r="J4" s="1"/>
  <c r="F13"/>
  <c r="N13" s="1"/>
  <c r="E13" s="1"/>
  <c r="F6"/>
  <c r="N6" s="1"/>
  <c r="E6" s="1"/>
  <c r="J6" s="1"/>
  <c r="E65" i="6"/>
  <c r="J65" s="1"/>
  <c r="E69"/>
  <c r="J69" s="1"/>
  <c r="E70"/>
  <c r="J70" s="1"/>
  <c r="E71"/>
  <c r="J71" s="1"/>
  <c r="E75"/>
  <c r="J75" s="1"/>
  <c r="E76"/>
  <c r="J76" s="1"/>
  <c r="E80"/>
  <c r="J80" s="1"/>
  <c r="H82"/>
  <c r="M80"/>
  <c r="L80"/>
  <c r="F79"/>
  <c r="L79" s="1"/>
  <c r="F78"/>
  <c r="L78" s="1"/>
  <c r="F77"/>
  <c r="E77" s="1"/>
  <c r="J77" s="1"/>
  <c r="M76"/>
  <c r="L76"/>
  <c r="M75"/>
  <c r="L75"/>
  <c r="F74"/>
  <c r="E74" s="1"/>
  <c r="F73"/>
  <c r="L73" s="1"/>
  <c r="F72"/>
  <c r="M72" s="1"/>
  <c r="M71"/>
  <c r="L71"/>
  <c r="M70"/>
  <c r="L70"/>
  <c r="M69"/>
  <c r="L69"/>
  <c r="F68"/>
  <c r="E68" s="1"/>
  <c r="J68" s="1"/>
  <c r="F67"/>
  <c r="M67" s="1"/>
  <c r="F66"/>
  <c r="L66" s="1"/>
  <c r="M65"/>
  <c r="L65"/>
  <c r="E59"/>
  <c r="J59" s="1"/>
  <c r="E55"/>
  <c r="J55" s="1"/>
  <c r="E54"/>
  <c r="J54" s="1"/>
  <c r="E50"/>
  <c r="E49"/>
  <c r="E48"/>
  <c r="E44"/>
  <c r="H61"/>
  <c r="M59"/>
  <c r="L59"/>
  <c r="F58"/>
  <c r="L58" s="1"/>
  <c r="F57"/>
  <c r="M57" s="1"/>
  <c r="F56"/>
  <c r="E56" s="1"/>
  <c r="J56" s="1"/>
  <c r="M55"/>
  <c r="L55"/>
  <c r="M54"/>
  <c r="L54"/>
  <c r="F53"/>
  <c r="L53" s="1"/>
  <c r="F52"/>
  <c r="L52" s="1"/>
  <c r="F51"/>
  <c r="M51" s="1"/>
  <c r="M50"/>
  <c r="L50"/>
  <c r="M49"/>
  <c r="L49"/>
  <c r="M48"/>
  <c r="L48"/>
  <c r="F47"/>
  <c r="L47" s="1"/>
  <c r="F46"/>
  <c r="L46" s="1"/>
  <c r="F45"/>
  <c r="L45" s="1"/>
  <c r="M44"/>
  <c r="L44"/>
  <c r="J34"/>
  <c r="J35"/>
  <c r="J36"/>
  <c r="J38"/>
  <c r="I18" i="5"/>
  <c r="H18"/>
  <c r="H19" s="1"/>
  <c r="I40" i="6"/>
  <c r="H40"/>
  <c r="H41" s="1"/>
  <c r="F14" i="5"/>
  <c r="J14" s="1"/>
  <c r="M16" i="6"/>
  <c r="L16"/>
  <c r="E16" s="1"/>
  <c r="J16" s="1"/>
  <c r="M12"/>
  <c r="L12"/>
  <c r="E12" s="1"/>
  <c r="J12" s="1"/>
  <c r="M11"/>
  <c r="L11"/>
  <c r="E11" s="1"/>
  <c r="J11" s="1"/>
  <c r="M7"/>
  <c r="L7"/>
  <c r="E7" s="1"/>
  <c r="J7" s="1"/>
  <c r="M6"/>
  <c r="L6"/>
  <c r="E6" s="1"/>
  <c r="M5"/>
  <c r="L5"/>
  <c r="E5" s="1"/>
  <c r="M1"/>
  <c r="L1"/>
  <c r="E1" s="1"/>
  <c r="M36"/>
  <c r="M38"/>
  <c r="M26"/>
  <c r="M31"/>
  <c r="M29"/>
  <c r="M30"/>
  <c r="M34"/>
  <c r="L36"/>
  <c r="L38"/>
  <c r="L26"/>
  <c r="L31"/>
  <c r="L29"/>
  <c r="L30"/>
  <c r="L34"/>
  <c r="H18"/>
  <c r="E40"/>
  <c r="J30"/>
  <c r="J27"/>
  <c r="F27"/>
  <c r="M27" s="1"/>
  <c r="F24"/>
  <c r="J24" s="1"/>
  <c r="F33"/>
  <c r="M33" s="1"/>
  <c r="J29"/>
  <c r="J31"/>
  <c r="F35"/>
  <c r="M35" s="1"/>
  <c r="F25"/>
  <c r="J25" s="1"/>
  <c r="F37"/>
  <c r="J37" s="1"/>
  <c r="J26"/>
  <c r="J23"/>
  <c r="F23"/>
  <c r="M23" s="1"/>
  <c r="F28"/>
  <c r="J28" s="1"/>
  <c r="J32"/>
  <c r="F32"/>
  <c r="M32" s="1"/>
  <c r="F15"/>
  <c r="L15" s="1"/>
  <c r="E15" s="1"/>
  <c r="J15" s="1"/>
  <c r="F14"/>
  <c r="L14" s="1"/>
  <c r="E14" s="1"/>
  <c r="J14" s="1"/>
  <c r="F13"/>
  <c r="L13" s="1"/>
  <c r="E13" s="1"/>
  <c r="J13" s="1"/>
  <c r="F10"/>
  <c r="L10" s="1"/>
  <c r="E10" s="1"/>
  <c r="F9"/>
  <c r="M9" s="1"/>
  <c r="F8"/>
  <c r="L8" s="1"/>
  <c r="E8" s="1"/>
  <c r="F4"/>
  <c r="L4" s="1"/>
  <c r="E4" s="1"/>
  <c r="J4" s="1"/>
  <c r="F3"/>
  <c r="L3" s="1"/>
  <c r="E3" s="1"/>
  <c r="F2"/>
  <c r="L2" s="1"/>
  <c r="E2" s="1"/>
  <c r="J2" s="1"/>
  <c r="J2" i="5"/>
  <c r="J4"/>
  <c r="J5"/>
  <c r="J6"/>
  <c r="J7"/>
  <c r="J10"/>
  <c r="J11"/>
  <c r="J12"/>
  <c r="J15"/>
  <c r="J16"/>
  <c r="J1"/>
  <c r="E18"/>
  <c r="F15"/>
  <c r="F13"/>
  <c r="J13" s="1"/>
  <c r="F10"/>
  <c r="F9"/>
  <c r="J9" s="1"/>
  <c r="F8"/>
  <c r="J8" s="1"/>
  <c r="F4"/>
  <c r="F3"/>
  <c r="J3" s="1"/>
  <c r="F2"/>
  <c r="L56" i="6" l="1"/>
  <c r="P22" i="18"/>
  <c r="J6"/>
  <c r="J9"/>
  <c r="J5"/>
  <c r="J38" i="23"/>
  <c r="J39" s="1"/>
  <c r="L57" i="6"/>
  <c r="P32" i="18"/>
  <c r="J18"/>
  <c r="J65"/>
  <c r="J66" s="1"/>
  <c r="P10"/>
  <c r="J3"/>
  <c r="M3" i="6"/>
  <c r="L77"/>
  <c r="L37"/>
  <c r="J48"/>
  <c r="E66"/>
  <c r="L23"/>
  <c r="M15"/>
  <c r="E46"/>
  <c r="E51"/>
  <c r="E78"/>
  <c r="J78" s="1"/>
  <c r="E79"/>
  <c r="J79" s="1"/>
  <c r="P65" i="18"/>
  <c r="P66" s="1"/>
  <c r="M8" i="6"/>
  <c r="M68"/>
  <c r="M78"/>
  <c r="J33"/>
  <c r="J40" s="1"/>
  <c r="J41" s="1"/>
  <c r="L68"/>
  <c r="L38" i="22"/>
  <c r="J27" i="18"/>
  <c r="P27"/>
  <c r="L3" i="23"/>
  <c r="L38" s="1"/>
  <c r="M38"/>
  <c r="J15" i="18"/>
  <c r="P15"/>
  <c r="J24"/>
  <c r="P24"/>
  <c r="J2"/>
  <c r="P2"/>
  <c r="J17"/>
  <c r="P17"/>
  <c r="J36"/>
  <c r="P36"/>
  <c r="J34"/>
  <c r="P34"/>
  <c r="J26"/>
  <c r="P26"/>
  <c r="J16"/>
  <c r="P16"/>
  <c r="J31"/>
  <c r="P31"/>
  <c r="J13"/>
  <c r="P13"/>
  <c r="J8"/>
  <c r="P8"/>
  <c r="J30"/>
  <c r="P30"/>
  <c r="J35"/>
  <c r="P35"/>
  <c r="L24" i="6"/>
  <c r="E58"/>
  <c r="J58" s="1"/>
  <c r="E67"/>
  <c r="J67" s="1"/>
  <c r="J38" i="22"/>
  <c r="J39" s="1"/>
  <c r="M24" i="6"/>
  <c r="M13"/>
  <c r="M47"/>
  <c r="L51"/>
  <c r="E45"/>
  <c r="J45" s="1"/>
  <c r="E53"/>
  <c r="E57"/>
  <c r="J57" s="1"/>
  <c r="L72"/>
  <c r="E72"/>
  <c r="J72" s="1"/>
  <c r="J4" i="18"/>
  <c r="P4"/>
  <c r="J25"/>
  <c r="P25"/>
  <c r="J12"/>
  <c r="P12"/>
  <c r="J11"/>
  <c r="P11"/>
  <c r="J53" i="6"/>
  <c r="E47"/>
  <c r="J47" s="1"/>
  <c r="M37"/>
  <c r="M56"/>
  <c r="E52"/>
  <c r="J52" s="1"/>
  <c r="M77"/>
  <c r="E73"/>
  <c r="J73" s="1"/>
  <c r="J14" i="18"/>
  <c r="J20"/>
  <c r="H39"/>
  <c r="E38"/>
  <c r="I38"/>
  <c r="M38" i="22"/>
  <c r="M39" s="1"/>
  <c r="I18" i="9"/>
  <c r="E18"/>
  <c r="J1"/>
  <c r="J18" s="1"/>
  <c r="H19"/>
  <c r="J74" i="6"/>
  <c r="M74"/>
  <c r="M66"/>
  <c r="L67"/>
  <c r="M73"/>
  <c r="L74"/>
  <c r="M79"/>
  <c r="J49"/>
  <c r="J50"/>
  <c r="J46"/>
  <c r="J44"/>
  <c r="M46"/>
  <c r="M53"/>
  <c r="M45"/>
  <c r="M52"/>
  <c r="M58"/>
  <c r="L33"/>
  <c r="L25"/>
  <c r="M25"/>
  <c r="L9"/>
  <c r="E9" s="1"/>
  <c r="H19" s="1"/>
  <c r="L35"/>
  <c r="L32"/>
  <c r="M2"/>
  <c r="M4"/>
  <c r="M10"/>
  <c r="M14"/>
  <c r="L27"/>
  <c r="L28"/>
  <c r="M28"/>
  <c r="J18" i="5"/>
  <c r="J19" s="1"/>
  <c r="J3" i="6"/>
  <c r="P38" i="18" l="1"/>
  <c r="P39" s="1"/>
  <c r="M39" i="23"/>
  <c r="J51" i="6"/>
  <c r="J61" s="1"/>
  <c r="I61"/>
  <c r="H62"/>
  <c r="H83"/>
  <c r="E61"/>
  <c r="J38" i="18"/>
  <c r="J39" s="1"/>
  <c r="J19" i="9"/>
  <c r="E82" i="6"/>
  <c r="J66"/>
  <c r="J82" s="1"/>
  <c r="I82"/>
  <c r="J9"/>
  <c r="J18" s="1"/>
  <c r="I18"/>
  <c r="E18"/>
  <c r="J62" l="1"/>
  <c r="J19"/>
  <c r="J83"/>
  <c r="F19" i="2" l="1"/>
  <c r="F18"/>
  <c r="F17"/>
  <c r="F2"/>
  <c r="F1"/>
  <c r="G16" i="1"/>
  <c r="J6"/>
  <c r="G17"/>
  <c r="G18"/>
</calcChain>
</file>

<file path=xl/comments1.xml><?xml version="1.0" encoding="utf-8"?>
<comments xmlns="http://schemas.openxmlformats.org/spreadsheetml/2006/main">
  <authors>
    <author>vaio</author>
  </authors>
  <commentList>
    <comment ref="F18" authorId="0">
      <text>
        <r>
          <rPr>
            <b/>
            <sz val="9"/>
            <color indexed="81"/>
            <rFont val="Tahoma"/>
            <family val="2"/>
          </rPr>
          <t>empate no apuesta.
Si empatan me devuelven el dinero.
La cuota de 2 estaba a 6,2 en betfair.</t>
        </r>
      </text>
    </comment>
    <comment ref="D21"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List>
</comments>
</file>

<file path=xl/comments10.xml><?xml version="1.0" encoding="utf-8"?>
<comments xmlns="http://schemas.openxmlformats.org/spreadsheetml/2006/main">
  <authors>
    <author>vaio</author>
  </authors>
  <commentList>
    <comment ref="D45" authorId="0">
      <text>
        <r>
          <rPr>
            <b/>
            <sz val="9"/>
            <color indexed="81"/>
            <rFont val="Tahoma"/>
            <family val="2"/>
          </rPr>
          <t>habia puesto X y la cambie a ultima hora.</t>
        </r>
      </text>
    </comment>
    <comment ref="D46" authorId="0">
      <text>
        <r>
          <rPr>
            <b/>
            <sz val="9"/>
            <color indexed="81"/>
            <rFont val="Tahoma"/>
            <family val="2"/>
          </rPr>
          <t>según graficos</t>
        </r>
      </text>
    </comment>
  </commentList>
</comments>
</file>

<file path=xl/comments11.xml><?xml version="1.0" encoding="utf-8"?>
<comments xmlns="http://schemas.openxmlformats.org/spreadsheetml/2006/main">
  <authors>
    <author>vaio</author>
  </authors>
  <commentList>
    <comment ref="A13" authorId="0">
      <text>
        <r>
          <rPr>
            <b/>
            <sz val="9"/>
            <color indexed="81"/>
            <rFont val="Tahoma"/>
            <family val="2"/>
          </rPr>
          <t>gano</t>
        </r>
      </text>
    </comment>
    <comment ref="A17" authorId="0">
      <text>
        <r>
          <rPr>
            <b/>
            <sz val="9"/>
            <color indexed="81"/>
            <rFont val="Tahoma"/>
            <family val="2"/>
          </rPr>
          <t>fue una X</t>
        </r>
      </text>
    </comment>
    <comment ref="A21" authorId="0">
      <text>
        <r>
          <rPr>
            <b/>
            <sz val="9"/>
            <color indexed="81"/>
            <rFont val="Tahoma"/>
            <family val="2"/>
          </rPr>
          <t>gano</t>
        </r>
      </text>
    </comment>
  </commentList>
</comments>
</file>

<file path=xl/comments12.xml><?xml version="1.0" encoding="utf-8"?>
<comments xmlns="http://schemas.openxmlformats.org/spreadsheetml/2006/main">
  <authors>
    <author>vaio</author>
  </authors>
  <commentList>
    <comment ref="A11" authorId="0">
      <text>
        <r>
          <rPr>
            <b/>
            <sz val="9"/>
            <color indexed="81"/>
            <rFont val="Tahoma"/>
            <family val="2"/>
          </rPr>
          <t>Quedaron empate 2-2.
Empezo ganando la Real por 0-2, ya en el minuto 16.</t>
        </r>
      </text>
    </comment>
    <comment ref="A19" authorId="0">
      <text>
        <r>
          <rPr>
            <b/>
            <sz val="9"/>
            <color indexed="81"/>
            <rFont val="Tahoma"/>
            <family val="2"/>
          </rPr>
          <t>empataron a 0-0</t>
        </r>
      </text>
    </comment>
    <comment ref="A20" authorId="0">
      <text>
        <r>
          <rPr>
            <b/>
            <sz val="9"/>
            <color indexed="81"/>
            <rFont val="Tahoma"/>
            <family val="2"/>
          </rPr>
          <t>gano 4-2</t>
        </r>
        <r>
          <rPr>
            <sz val="9"/>
            <color indexed="81"/>
            <rFont val="Tahoma"/>
            <family val="2"/>
          </rPr>
          <t xml:space="preserve">
</t>
        </r>
      </text>
    </comment>
  </commentList>
</comments>
</file>

<file path=xl/comments13.xml><?xml version="1.0" encoding="utf-8"?>
<comments xmlns="http://schemas.openxmlformats.org/spreadsheetml/2006/main">
  <authors>
    <author>vaio</author>
  </authors>
  <commentList>
    <comment ref="A22" authorId="0">
      <text>
        <r>
          <rPr>
            <b/>
            <sz val="9"/>
            <color indexed="81"/>
            <rFont val="Tahoma"/>
            <family val="2"/>
          </rPr>
          <t>Suspendido.</t>
        </r>
      </text>
    </comment>
  </commentList>
</comments>
</file>

<file path=xl/comments14.xml><?xml version="1.0" encoding="utf-8"?>
<comments xmlns="http://schemas.openxmlformats.org/spreadsheetml/2006/main">
  <authors>
    <author>vaio</author>
  </authors>
  <commentList>
    <comment ref="A10" authorId="0">
      <text>
        <r>
          <rPr>
            <b/>
            <sz val="9"/>
            <color indexed="81"/>
            <rFont val="Tahoma"/>
            <family val="2"/>
          </rPr>
          <t>qudaron 1-1. el racing empato en el 93.</t>
        </r>
      </text>
    </comment>
    <comment ref="A18" authorId="0">
      <text>
        <r>
          <rPr>
            <b/>
            <sz val="9"/>
            <color indexed="81"/>
            <rFont val="Tahoma"/>
            <family val="2"/>
          </rPr>
          <t>quedaron 0-0.</t>
        </r>
      </text>
    </comment>
    <comment ref="A19" authorId="0">
      <text>
        <r>
          <rPr>
            <b/>
            <sz val="9"/>
            <color indexed="81"/>
            <rFont val="Tahoma"/>
            <family val="2"/>
          </rPr>
          <t>quedaron 1-1.</t>
        </r>
        <r>
          <rPr>
            <sz val="9"/>
            <color indexed="81"/>
            <rFont val="Tahoma"/>
            <family val="2"/>
          </rPr>
          <t xml:space="preserve">
</t>
        </r>
      </text>
    </comment>
    <comment ref="A20" authorId="0">
      <text>
        <r>
          <rPr>
            <b/>
            <sz val="9"/>
            <color indexed="81"/>
            <rFont val="Tahoma"/>
            <family val="2"/>
          </rPr>
          <t>quedaron 2-2, pero empezo ganando el xerez 0-2.</t>
        </r>
        <r>
          <rPr>
            <sz val="9"/>
            <color indexed="81"/>
            <rFont val="Tahoma"/>
            <family val="2"/>
          </rPr>
          <t xml:space="preserve">
</t>
        </r>
      </text>
    </comment>
    <comment ref="A21" authorId="0">
      <text>
        <r>
          <rPr>
            <b/>
            <sz val="9"/>
            <color indexed="81"/>
            <rFont val="Tahoma"/>
            <family val="2"/>
          </rPr>
          <t>perdió 2-6.</t>
        </r>
      </text>
    </comment>
    <comment ref="A24" authorId="0">
      <text>
        <r>
          <rPr>
            <b/>
            <sz val="9"/>
            <color indexed="81"/>
            <rFont val="Tahoma"/>
            <family val="2"/>
          </rPr>
          <t>quedaron 2-3, aunque en el min90 iban 2-2.</t>
        </r>
      </text>
    </comment>
  </commentList>
</comments>
</file>

<file path=xl/comments15.xml><?xml version="1.0" encoding="utf-8"?>
<comments xmlns="http://schemas.openxmlformats.org/spreadsheetml/2006/main">
  <authors>
    <author>vaio</author>
  </authors>
  <commentList>
    <comment ref="A23" authorId="0">
      <text>
        <r>
          <rPr>
            <b/>
            <sz val="9"/>
            <color indexed="81"/>
            <rFont val="Tahoma"/>
            <charset val="1"/>
          </rPr>
          <t>empezo ganando.</t>
        </r>
      </text>
    </comment>
    <comment ref="A24" authorId="0">
      <text>
        <r>
          <rPr>
            <b/>
            <sz val="9"/>
            <color indexed="81"/>
            <rFont val="Tahoma"/>
            <charset val="1"/>
          </rPr>
          <t>empezo ganando y fue ganando hasta el 94, cuando le empataron</t>
        </r>
        <r>
          <rPr>
            <sz val="9"/>
            <color indexed="81"/>
            <rFont val="Tahoma"/>
            <charset val="1"/>
          </rPr>
          <t xml:space="preserve">
</t>
        </r>
      </text>
    </comment>
  </commentList>
</comments>
</file>

<file path=xl/comments16.xml><?xml version="1.0" encoding="utf-8"?>
<comments xmlns="http://schemas.openxmlformats.org/spreadsheetml/2006/main">
  <authors>
    <author>vaio</author>
  </authors>
  <commentList>
    <comment ref="F14" authorId="0">
      <text>
        <r>
          <rPr>
            <b/>
            <sz val="9"/>
            <color indexed="81"/>
            <rFont val="Tahoma"/>
            <family val="2"/>
          </rPr>
          <t>empate no apuesta.
Si empatan me devuelven el dinero.
La cuota de 2 estaba a 6,2 en betfair.</t>
        </r>
      </text>
    </comment>
    <comment ref="D16"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List>
</comments>
</file>

<file path=xl/comments17.xml><?xml version="1.0" encoding="utf-8"?>
<comments xmlns="http://schemas.openxmlformats.org/spreadsheetml/2006/main">
  <authors>
    <author>vaio</author>
  </authors>
  <commentList>
    <comment ref="F14" authorId="0">
      <text>
        <r>
          <rPr>
            <b/>
            <sz val="9"/>
            <color indexed="81"/>
            <rFont val="Tahoma"/>
            <family val="2"/>
          </rPr>
          <t>empate no apuesta.
Si empatan me devuelven el dinero.
La cuota de 2 estaba a 6,2 en betfair.</t>
        </r>
      </text>
    </comment>
    <comment ref="D16"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 ref="F24" authorId="0">
      <text>
        <r>
          <rPr>
            <b/>
            <sz val="9"/>
            <color indexed="81"/>
            <rFont val="Tahoma"/>
            <family val="2"/>
          </rPr>
          <t>empate no apuesta.
Si empatan me devuelven el dinero.
La cuota de 2 estaba a 6,2 en betfair.</t>
        </r>
      </text>
    </comment>
    <comment ref="D30"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 ref="F57" authorId="0">
      <text>
        <r>
          <rPr>
            <b/>
            <sz val="9"/>
            <color indexed="81"/>
            <rFont val="Tahoma"/>
            <family val="2"/>
          </rPr>
          <t>empate no apuesta.
Si empatan me devuelven el dinero.
La cuota de 2 estaba a 6,2 en betfair.</t>
        </r>
      </text>
    </comment>
    <comment ref="D59"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 ref="F78" authorId="0">
      <text>
        <r>
          <rPr>
            <b/>
            <sz val="9"/>
            <color indexed="81"/>
            <rFont val="Tahoma"/>
            <family val="2"/>
          </rPr>
          <t>empate no apuesta.
Si empatan me devuelven el dinero.
La cuota de 2 estaba a 6,2 en betfair.</t>
        </r>
      </text>
    </comment>
    <comment ref="D80"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List>
</comments>
</file>

<file path=xl/comments18.xml><?xml version="1.0" encoding="utf-8"?>
<comments xmlns="http://schemas.openxmlformats.org/spreadsheetml/2006/main">
  <authors>
    <author>vaio</author>
  </authors>
  <commentList>
    <comment ref="F15" authorId="0">
      <text>
        <r>
          <rPr>
            <b/>
            <sz val="9"/>
            <color indexed="81"/>
            <rFont val="Tahoma"/>
            <family val="2"/>
          </rPr>
          <t>empate no apuesta.
Si empatan me devuelven el dinero.
La cuota de 2 estaba a 6,2 en betfair.</t>
        </r>
      </text>
    </comment>
    <comment ref="D16"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List>
</comments>
</file>

<file path=xl/comments19.xml><?xml version="1.0" encoding="utf-8"?>
<comments xmlns="http://schemas.openxmlformats.org/spreadsheetml/2006/main">
  <authors>
    <author>vaio</author>
  </authors>
  <commentList>
    <comment ref="F14" authorId="0">
      <text>
        <r>
          <rPr>
            <b/>
            <sz val="9"/>
            <color indexed="81"/>
            <rFont val="Tahoma"/>
            <family val="2"/>
          </rPr>
          <t>empate no apuesta.
Si empatan me devuelven el dinero.
La cuota de 2 estaba a 6,2 en betfair.</t>
        </r>
      </text>
    </comment>
    <comment ref="D16"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 ref="G36" authorId="0">
      <text>
        <r>
          <rPr>
            <b/>
            <sz val="9"/>
            <color indexed="81"/>
            <rFont val="Tahoma"/>
            <family val="2"/>
          </rPr>
          <t>gol en el minuto 89 del levante</t>
        </r>
      </text>
    </comment>
  </commentList>
</comments>
</file>

<file path=xl/comments2.xml><?xml version="1.0" encoding="utf-8"?>
<comments xmlns="http://schemas.openxmlformats.org/spreadsheetml/2006/main">
  <authors>
    <author>vaio</author>
  </authors>
  <commentList>
    <comment ref="D11" authorId="0">
      <text>
        <r>
          <rPr>
            <b/>
            <sz val="9"/>
            <color indexed="81"/>
            <rFont val="Tahoma"/>
            <family val="2"/>
          </rPr>
          <t>me abstengo de apostar a este partido debido a la reflexion de que si hay un pero grande mejor o apuesto, ya que asi no pierdo nada y de la otra manera puedo perder o ganar.
Aunque bajon cuotas dice que gana en Mallorca pero como no he comprobado ese sistema todavía...pues no le pauesto.</t>
        </r>
      </text>
    </comment>
  </commentList>
</comments>
</file>

<file path=xl/comments20.xml><?xml version="1.0" encoding="utf-8"?>
<comments xmlns="http://schemas.openxmlformats.org/spreadsheetml/2006/main">
  <authors>
    <author>vaio</author>
  </authors>
  <commentList>
    <comment ref="F14" authorId="0">
      <text>
        <r>
          <rPr>
            <b/>
            <sz val="9"/>
            <color indexed="81"/>
            <rFont val="Tahoma"/>
            <family val="2"/>
          </rPr>
          <t>empate no apuesta.
Si empatan me devuelven el dinero.
La cuota de 2 estaba a 6,2 en betfair.</t>
        </r>
      </text>
    </comment>
    <comment ref="D16"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 ref="G36" authorId="0">
      <text>
        <r>
          <rPr>
            <b/>
            <sz val="9"/>
            <color indexed="81"/>
            <rFont val="Tahoma"/>
            <family val="2"/>
          </rPr>
          <t>gol en el minuto 89 del levante</t>
        </r>
      </text>
    </comment>
  </commentList>
</comments>
</file>

<file path=xl/comments21.xml><?xml version="1.0" encoding="utf-8"?>
<comments xmlns="http://schemas.openxmlformats.org/spreadsheetml/2006/main">
  <authors>
    <author>vaio</author>
  </authors>
  <commentList>
    <comment ref="D21"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 ref="F22" authorId="0">
      <text>
        <r>
          <rPr>
            <b/>
            <sz val="9"/>
            <color indexed="81"/>
            <rFont val="Tahoma"/>
            <family val="2"/>
          </rPr>
          <t>empate no apuesta.
Si empatan me devuelven el dinero.
La cuota de 2 estaba a 6,2 en betfair.</t>
        </r>
      </text>
    </comment>
    <comment ref="G36" authorId="0">
      <text>
        <r>
          <rPr>
            <b/>
            <sz val="9"/>
            <color indexed="81"/>
            <rFont val="Tahoma"/>
            <family val="2"/>
          </rPr>
          <t>gol en el minuto 89 del levante</t>
        </r>
      </text>
    </comment>
  </commentList>
</comments>
</file>

<file path=xl/comments22.xml><?xml version="1.0" encoding="utf-8"?>
<comments xmlns="http://schemas.openxmlformats.org/spreadsheetml/2006/main">
  <authors>
    <author>vaio</author>
  </authors>
  <commentList>
    <comment ref="F14" authorId="0">
      <text>
        <r>
          <rPr>
            <b/>
            <sz val="9"/>
            <color indexed="81"/>
            <rFont val="Tahoma"/>
            <family val="2"/>
          </rPr>
          <t>empate no apuesta.
Si empatan me devuelven el dinero.
La cuota de 2 estaba a 6,2 en betfair.</t>
        </r>
      </text>
    </comment>
    <comment ref="D16"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 ref="G36" authorId="0">
      <text>
        <r>
          <rPr>
            <b/>
            <sz val="9"/>
            <color indexed="81"/>
            <rFont val="Tahoma"/>
            <family val="2"/>
          </rPr>
          <t>gol en el minuto 89 del levante</t>
        </r>
      </text>
    </comment>
  </commentList>
</comments>
</file>

<file path=xl/comments23.xml><?xml version="1.0" encoding="utf-8"?>
<comments xmlns="http://schemas.openxmlformats.org/spreadsheetml/2006/main">
  <authors>
    <author>vaio</author>
  </authors>
  <commentList>
    <comment ref="F14" authorId="0">
      <text>
        <r>
          <rPr>
            <b/>
            <sz val="9"/>
            <color indexed="81"/>
            <rFont val="Tahoma"/>
            <family val="2"/>
          </rPr>
          <t>empate no apuesta.
Si empatan me devuelven el dinero.
La cuota de 2 estaba a 6,2 en betfair.</t>
        </r>
      </text>
    </comment>
    <comment ref="D16"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 ref="G36" authorId="0">
      <text>
        <r>
          <rPr>
            <b/>
            <sz val="9"/>
            <color indexed="81"/>
            <rFont val="Tahoma"/>
            <family val="2"/>
          </rPr>
          <t>gol en el minuto 89 del levante</t>
        </r>
      </text>
    </comment>
  </commentList>
</comments>
</file>

<file path=xl/comments24.xml><?xml version="1.0" encoding="utf-8"?>
<comments xmlns="http://schemas.openxmlformats.org/spreadsheetml/2006/main">
  <authors>
    <author>vaio</author>
  </authors>
  <commentList>
    <comment ref="F19" authorId="0">
      <text>
        <r>
          <rPr>
            <b/>
            <sz val="9"/>
            <color indexed="81"/>
            <rFont val="Tahoma"/>
            <family val="2"/>
          </rPr>
          <t>empate no apuesta.
Si empatan me devuelven el dinero.
La cuota de 2 estaba a 6,2 en betfair.</t>
        </r>
      </text>
    </comment>
    <comment ref="D24"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 ref="G36" authorId="0">
      <text>
        <r>
          <rPr>
            <b/>
            <sz val="9"/>
            <color indexed="81"/>
            <rFont val="Tahoma"/>
            <family val="2"/>
          </rPr>
          <t>gol en el minuto 89 del levante</t>
        </r>
      </text>
    </comment>
    <comment ref="D45" authorId="0">
      <text>
        <r>
          <rPr>
            <b/>
            <sz val="9"/>
            <color indexed="81"/>
            <rFont val="Tahoma"/>
            <family val="2"/>
          </rPr>
          <t>Papa: Empate @3,28</t>
        </r>
      </text>
    </comment>
    <comment ref="D46" authorId="0">
      <text>
        <r>
          <rPr>
            <b/>
            <sz val="9"/>
            <color indexed="81"/>
            <rFont val="Tahoma"/>
            <family val="2"/>
          </rPr>
          <t>Papa: Valencia @2,14</t>
        </r>
        <r>
          <rPr>
            <sz val="9"/>
            <color indexed="81"/>
            <rFont val="Tahoma"/>
            <family val="2"/>
          </rPr>
          <t xml:space="preserve">
</t>
        </r>
      </text>
    </comment>
    <comment ref="A47" authorId="0">
      <text>
        <r>
          <rPr>
            <b/>
            <sz val="9"/>
            <color indexed="81"/>
            <rFont val="Tahoma"/>
            <family val="2"/>
          </rPr>
          <t>Derbi del Pais Vaco</t>
        </r>
      </text>
    </comment>
    <comment ref="D47" authorId="0">
      <text>
        <r>
          <rPr>
            <b/>
            <sz val="9"/>
            <color indexed="81"/>
            <rFont val="Tahoma"/>
            <family val="2"/>
          </rPr>
          <t>Papa: Bilbao @1,64</t>
        </r>
      </text>
    </comment>
    <comment ref="D48" authorId="0">
      <text>
        <r>
          <rPr>
            <b/>
            <sz val="9"/>
            <color indexed="81"/>
            <rFont val="Tahoma"/>
            <family val="2"/>
          </rPr>
          <t>Papa: Real Madrid @1,14</t>
        </r>
      </text>
    </comment>
    <comment ref="D52" authorId="0">
      <text>
        <r>
          <rPr>
            <b/>
            <sz val="9"/>
            <color indexed="81"/>
            <rFont val="Tahoma"/>
            <family val="2"/>
          </rPr>
          <t>Papa: no apuesta.</t>
        </r>
      </text>
    </comment>
    <comment ref="D53" authorId="0">
      <text>
        <r>
          <rPr>
            <b/>
            <sz val="9"/>
            <color indexed="81"/>
            <rFont val="Tahoma"/>
            <family val="2"/>
          </rPr>
          <t>Papa: Villarreal. @1,94</t>
        </r>
      </text>
    </comment>
    <comment ref="D55" authorId="0">
      <text>
        <r>
          <rPr>
            <b/>
            <sz val="9"/>
            <color indexed="81"/>
            <rFont val="Tahoma"/>
            <family val="2"/>
          </rPr>
          <t>Papa: Empate. @3,30</t>
        </r>
      </text>
    </comment>
    <comment ref="D56" authorId="0">
      <text>
        <r>
          <rPr>
            <b/>
            <sz val="9"/>
            <color indexed="81"/>
            <rFont val="Tahoma"/>
            <family val="2"/>
          </rPr>
          <t>Papa: Atletico. @1,29</t>
        </r>
      </text>
    </comment>
    <comment ref="G56" authorId="0">
      <text>
        <r>
          <rPr>
            <b/>
            <sz val="9"/>
            <color indexed="81"/>
            <rFont val="Tahoma"/>
            <family val="2"/>
          </rPr>
          <t>el 2-0 lo metieron en el descuento.</t>
        </r>
      </text>
    </comment>
    <comment ref="D59" authorId="0">
      <text>
        <r>
          <rPr>
            <b/>
            <sz val="9"/>
            <color indexed="81"/>
            <rFont val="Tahoma"/>
            <family val="2"/>
          </rPr>
          <t>Papa: osasuna @2,75</t>
        </r>
      </text>
    </comment>
    <comment ref="G59" authorId="0">
      <text>
        <r>
          <rPr>
            <b/>
            <sz val="9"/>
            <color indexed="81"/>
            <rFont val="Tahoma"/>
            <family val="2"/>
          </rPr>
          <t>gol de zaragoza en el 86 y del osasuna en el 88.</t>
        </r>
      </text>
    </comment>
    <comment ref="D61" authorId="0">
      <text>
        <r>
          <rPr>
            <b/>
            <sz val="9"/>
            <color indexed="81"/>
            <rFont val="Tahoma"/>
            <family val="2"/>
          </rPr>
          <t>Papa: empate @3,25</t>
        </r>
      </text>
    </comment>
    <comment ref="D62" authorId="0">
      <text>
        <r>
          <rPr>
            <b/>
            <sz val="9"/>
            <color indexed="81"/>
            <rFont val="Tahoma"/>
            <family val="2"/>
          </rPr>
          <t>Papa: rayo @2,25</t>
        </r>
      </text>
    </comment>
    <comment ref="G63" authorId="0">
      <text>
        <r>
          <rPr>
            <b/>
            <sz val="9"/>
            <color indexed="81"/>
            <rFont val="Tahoma"/>
            <family val="2"/>
          </rPr>
          <t>gol en el min 82.</t>
        </r>
      </text>
    </comment>
  </commentList>
</comments>
</file>

<file path=xl/comments25.xml><?xml version="1.0" encoding="utf-8"?>
<comments xmlns="http://schemas.openxmlformats.org/spreadsheetml/2006/main">
  <authors>
    <author>vaio</author>
  </authors>
  <commentList>
    <comment ref="F14" authorId="0">
      <text>
        <r>
          <rPr>
            <b/>
            <sz val="9"/>
            <color indexed="81"/>
            <rFont val="Tahoma"/>
            <family val="2"/>
          </rPr>
          <t>empate no apuesta.
Si empatan me devuelven el dinero.
La cuota de 2 estaba a 6,2 en betfair.</t>
        </r>
      </text>
    </comment>
    <comment ref="D16"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 ref="G36" authorId="0">
      <text>
        <r>
          <rPr>
            <b/>
            <sz val="9"/>
            <color indexed="81"/>
            <rFont val="Tahoma"/>
            <family val="2"/>
          </rPr>
          <t>gol en el minuto 89 del levante</t>
        </r>
      </text>
    </comment>
    <comment ref="D38" authorId="0">
      <text>
        <r>
          <rPr>
            <b/>
            <sz val="9"/>
            <color indexed="81"/>
            <rFont val="Tahoma"/>
            <family val="2"/>
          </rPr>
          <t>Papa: Empate @3,28</t>
        </r>
      </text>
    </comment>
    <comment ref="D39" authorId="0">
      <text>
        <r>
          <rPr>
            <b/>
            <sz val="9"/>
            <color indexed="81"/>
            <rFont val="Tahoma"/>
            <family val="2"/>
          </rPr>
          <t>Papa: Valencia @2,14</t>
        </r>
        <r>
          <rPr>
            <sz val="9"/>
            <color indexed="81"/>
            <rFont val="Tahoma"/>
            <family val="2"/>
          </rPr>
          <t xml:space="preserve">
</t>
        </r>
      </text>
    </comment>
    <comment ref="A40" authorId="0">
      <text>
        <r>
          <rPr>
            <b/>
            <sz val="9"/>
            <color indexed="81"/>
            <rFont val="Tahoma"/>
            <family val="2"/>
          </rPr>
          <t>Derbi del Pais Vaco</t>
        </r>
      </text>
    </comment>
    <comment ref="D40" authorId="0">
      <text>
        <r>
          <rPr>
            <b/>
            <sz val="9"/>
            <color indexed="81"/>
            <rFont val="Tahoma"/>
            <family val="2"/>
          </rPr>
          <t>Papa: Bilbao @1,64</t>
        </r>
      </text>
    </comment>
    <comment ref="D41" authorId="0">
      <text>
        <r>
          <rPr>
            <b/>
            <sz val="9"/>
            <color indexed="81"/>
            <rFont val="Tahoma"/>
            <family val="2"/>
          </rPr>
          <t>Papa: Real Madrid @1,14</t>
        </r>
      </text>
    </comment>
    <comment ref="D43" authorId="0">
      <text>
        <r>
          <rPr>
            <b/>
            <sz val="9"/>
            <color indexed="81"/>
            <rFont val="Tahoma"/>
            <family val="2"/>
          </rPr>
          <t>Papa: no apuesta.</t>
        </r>
      </text>
    </comment>
    <comment ref="D44" authorId="0">
      <text>
        <r>
          <rPr>
            <b/>
            <sz val="9"/>
            <color indexed="81"/>
            <rFont val="Tahoma"/>
            <family val="2"/>
          </rPr>
          <t>Papa: Villarreal. @1,94</t>
        </r>
      </text>
    </comment>
    <comment ref="D46" authorId="0">
      <text>
        <r>
          <rPr>
            <b/>
            <sz val="9"/>
            <color indexed="81"/>
            <rFont val="Tahoma"/>
            <family val="2"/>
          </rPr>
          <t>Papa: Empate. @3,30</t>
        </r>
      </text>
    </comment>
    <comment ref="D47" authorId="0">
      <text>
        <r>
          <rPr>
            <b/>
            <sz val="9"/>
            <color indexed="81"/>
            <rFont val="Tahoma"/>
            <family val="2"/>
          </rPr>
          <t>Papa: Atletico. @1,29</t>
        </r>
      </text>
    </comment>
    <comment ref="G47" authorId="0">
      <text>
        <r>
          <rPr>
            <b/>
            <sz val="9"/>
            <color indexed="81"/>
            <rFont val="Tahoma"/>
            <family val="2"/>
          </rPr>
          <t>el 2-0 lo metieron en el descuento.</t>
        </r>
      </text>
    </comment>
    <comment ref="D48" authorId="0">
      <text>
        <r>
          <rPr>
            <b/>
            <sz val="9"/>
            <color indexed="81"/>
            <rFont val="Tahoma"/>
            <family val="2"/>
          </rPr>
          <t>Papa: osasuna @2,75</t>
        </r>
      </text>
    </comment>
    <comment ref="G48" authorId="0">
      <text>
        <r>
          <rPr>
            <b/>
            <sz val="9"/>
            <color indexed="81"/>
            <rFont val="Tahoma"/>
            <family val="2"/>
          </rPr>
          <t>gol de zaragoza en el 86 y del osasuna en el 88.</t>
        </r>
      </text>
    </comment>
    <comment ref="D50" authorId="0">
      <text>
        <r>
          <rPr>
            <b/>
            <sz val="9"/>
            <color indexed="81"/>
            <rFont val="Tahoma"/>
            <family val="2"/>
          </rPr>
          <t>Papa: empate @3,25</t>
        </r>
      </text>
    </comment>
    <comment ref="D51" authorId="0">
      <text>
        <r>
          <rPr>
            <b/>
            <sz val="9"/>
            <color indexed="81"/>
            <rFont val="Tahoma"/>
            <family val="2"/>
          </rPr>
          <t>Papa: rayo @2,25</t>
        </r>
      </text>
    </comment>
    <comment ref="G52" authorId="0">
      <text>
        <r>
          <rPr>
            <b/>
            <sz val="9"/>
            <color indexed="81"/>
            <rFont val="Tahoma"/>
            <family val="2"/>
          </rPr>
          <t>gol en el min 82.</t>
        </r>
      </text>
    </comment>
    <comment ref="G57" authorId="0">
      <text>
        <r>
          <rPr>
            <b/>
            <sz val="9"/>
            <color indexed="81"/>
            <rFont val="Tahoma"/>
            <family val="2"/>
          </rPr>
          <t>gol en el minuto 95 de penalti.</t>
        </r>
      </text>
    </comment>
  </commentList>
</comments>
</file>

<file path=xl/comments26.xml><?xml version="1.0" encoding="utf-8"?>
<comments xmlns="http://schemas.openxmlformats.org/spreadsheetml/2006/main">
  <authors>
    <author>vaio</author>
  </authors>
  <commentList>
    <comment ref="F14" authorId="0">
      <text>
        <r>
          <rPr>
            <b/>
            <sz val="9"/>
            <color indexed="81"/>
            <rFont val="Tahoma"/>
            <family val="2"/>
          </rPr>
          <t>empate no apuesta.
Si empatan me devuelven el dinero.
La cuota de 2 estaba a 6,2 en betfair.</t>
        </r>
      </text>
    </comment>
    <comment ref="D16"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 ref="G36" authorId="0">
      <text>
        <r>
          <rPr>
            <b/>
            <sz val="9"/>
            <color indexed="81"/>
            <rFont val="Tahoma"/>
            <family val="2"/>
          </rPr>
          <t>gol en el minuto 89 del levante</t>
        </r>
      </text>
    </comment>
    <comment ref="D38" authorId="0">
      <text>
        <r>
          <rPr>
            <b/>
            <sz val="9"/>
            <color indexed="81"/>
            <rFont val="Tahoma"/>
            <family val="2"/>
          </rPr>
          <t>Papa: Empate @3,28</t>
        </r>
      </text>
    </comment>
    <comment ref="D39" authorId="0">
      <text>
        <r>
          <rPr>
            <b/>
            <sz val="9"/>
            <color indexed="81"/>
            <rFont val="Tahoma"/>
            <family val="2"/>
          </rPr>
          <t>Papa: Valencia @2,14</t>
        </r>
        <r>
          <rPr>
            <sz val="9"/>
            <color indexed="81"/>
            <rFont val="Tahoma"/>
            <family val="2"/>
          </rPr>
          <t xml:space="preserve">
</t>
        </r>
      </text>
    </comment>
    <comment ref="A40" authorId="0">
      <text>
        <r>
          <rPr>
            <b/>
            <sz val="9"/>
            <color indexed="81"/>
            <rFont val="Tahoma"/>
            <family val="2"/>
          </rPr>
          <t>Derbi del Pais Vaco</t>
        </r>
      </text>
    </comment>
    <comment ref="D40" authorId="0">
      <text>
        <r>
          <rPr>
            <b/>
            <sz val="9"/>
            <color indexed="81"/>
            <rFont val="Tahoma"/>
            <family val="2"/>
          </rPr>
          <t>Papa: Bilbao @1,64</t>
        </r>
      </text>
    </comment>
    <comment ref="D41" authorId="0">
      <text>
        <r>
          <rPr>
            <b/>
            <sz val="9"/>
            <color indexed="81"/>
            <rFont val="Tahoma"/>
            <family val="2"/>
          </rPr>
          <t>Papa: Real Madrid @1,14</t>
        </r>
      </text>
    </comment>
    <comment ref="D43" authorId="0">
      <text>
        <r>
          <rPr>
            <b/>
            <sz val="9"/>
            <color indexed="81"/>
            <rFont val="Tahoma"/>
            <family val="2"/>
          </rPr>
          <t>Papa: no apuesta.</t>
        </r>
      </text>
    </comment>
    <comment ref="D44" authorId="0">
      <text>
        <r>
          <rPr>
            <b/>
            <sz val="9"/>
            <color indexed="81"/>
            <rFont val="Tahoma"/>
            <family val="2"/>
          </rPr>
          <t>Papa: Villarreal. @1,94</t>
        </r>
      </text>
    </comment>
    <comment ref="D46" authorId="0">
      <text>
        <r>
          <rPr>
            <b/>
            <sz val="9"/>
            <color indexed="81"/>
            <rFont val="Tahoma"/>
            <family val="2"/>
          </rPr>
          <t>Papa: Empate. @3,30</t>
        </r>
      </text>
    </comment>
    <comment ref="D47" authorId="0">
      <text>
        <r>
          <rPr>
            <b/>
            <sz val="9"/>
            <color indexed="81"/>
            <rFont val="Tahoma"/>
            <family val="2"/>
          </rPr>
          <t>Papa: Atletico. @1,29</t>
        </r>
      </text>
    </comment>
    <comment ref="G47" authorId="0">
      <text>
        <r>
          <rPr>
            <b/>
            <sz val="9"/>
            <color indexed="81"/>
            <rFont val="Tahoma"/>
            <family val="2"/>
          </rPr>
          <t>el 2-0 lo metieron en el descuento.</t>
        </r>
      </text>
    </comment>
    <comment ref="D48" authorId="0">
      <text>
        <r>
          <rPr>
            <b/>
            <sz val="9"/>
            <color indexed="81"/>
            <rFont val="Tahoma"/>
            <family val="2"/>
          </rPr>
          <t>Papa: osasuna @2,75</t>
        </r>
      </text>
    </comment>
    <comment ref="G48" authorId="0">
      <text>
        <r>
          <rPr>
            <b/>
            <sz val="9"/>
            <color indexed="81"/>
            <rFont val="Tahoma"/>
            <family val="2"/>
          </rPr>
          <t>gol de zaragoza en el 86 y del osasuna en el 88.</t>
        </r>
      </text>
    </comment>
    <comment ref="D50" authorId="0">
      <text>
        <r>
          <rPr>
            <b/>
            <sz val="9"/>
            <color indexed="81"/>
            <rFont val="Tahoma"/>
            <family val="2"/>
          </rPr>
          <t>Papa: empate @3,25</t>
        </r>
      </text>
    </comment>
    <comment ref="D51" authorId="0">
      <text>
        <r>
          <rPr>
            <b/>
            <sz val="9"/>
            <color indexed="81"/>
            <rFont val="Tahoma"/>
            <family val="2"/>
          </rPr>
          <t>Papa: rayo @2,25</t>
        </r>
      </text>
    </comment>
    <comment ref="G52" authorId="0">
      <text>
        <r>
          <rPr>
            <b/>
            <sz val="9"/>
            <color indexed="81"/>
            <rFont val="Tahoma"/>
            <family val="2"/>
          </rPr>
          <t>gol en el min 82.</t>
        </r>
      </text>
    </comment>
    <comment ref="G57" authorId="0">
      <text>
        <r>
          <rPr>
            <b/>
            <sz val="9"/>
            <color indexed="81"/>
            <rFont val="Tahoma"/>
            <family val="2"/>
          </rPr>
          <t>gol en el minuto 95 de penalti.</t>
        </r>
      </text>
    </comment>
  </commentList>
</comments>
</file>

<file path=xl/comments27.xml><?xml version="1.0" encoding="utf-8"?>
<comments xmlns="http://schemas.openxmlformats.org/spreadsheetml/2006/main">
  <authors>
    <author>vaio</author>
  </authors>
  <commentList>
    <comment ref="D8" authorId="0">
      <text>
        <r>
          <rPr>
            <b/>
            <sz val="9"/>
            <color indexed="81"/>
            <rFont val="Tahoma"/>
            <family val="2"/>
          </rPr>
          <t>Papa: Empate. @3,30</t>
        </r>
      </text>
    </comment>
    <comment ref="D41" authorId="0">
      <text>
        <r>
          <rPr>
            <b/>
            <sz val="9"/>
            <color indexed="81"/>
            <rFont val="Tahoma"/>
            <family val="2"/>
          </rPr>
          <t>Papa: Empate @3,28</t>
        </r>
      </text>
    </comment>
    <comment ref="D48" authorId="0">
      <text>
        <r>
          <rPr>
            <b/>
            <sz val="9"/>
            <color indexed="81"/>
            <rFont val="Tahoma"/>
            <family val="2"/>
          </rPr>
          <t>Papa: no apuesta.</t>
        </r>
      </text>
    </comment>
    <comment ref="D49" authorId="0">
      <text>
        <r>
          <rPr>
            <b/>
            <sz val="9"/>
            <color indexed="81"/>
            <rFont val="Tahoma"/>
            <family val="2"/>
          </rPr>
          <t>Papa: Villarreal. @1,94</t>
        </r>
      </text>
    </comment>
    <comment ref="D50" authorId="0">
      <text>
        <r>
          <rPr>
            <b/>
            <sz val="9"/>
            <color indexed="81"/>
            <rFont val="Tahoma"/>
            <family val="2"/>
          </rPr>
          <t>Papa: empate @3,25</t>
        </r>
      </text>
    </comment>
    <comment ref="D55"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 ref="D61" authorId="0">
      <text>
        <r>
          <rPr>
            <b/>
            <sz val="9"/>
            <color indexed="81"/>
            <rFont val="Tahoma"/>
            <family val="2"/>
          </rPr>
          <t>Papa: osasuna @2,75</t>
        </r>
      </text>
    </comment>
    <comment ref="G61" authorId="0">
      <text>
        <r>
          <rPr>
            <b/>
            <sz val="9"/>
            <color indexed="81"/>
            <rFont val="Tahoma"/>
            <family val="2"/>
          </rPr>
          <t>gol de zaragoza en el 86 y del osasuna en el 88.</t>
        </r>
      </text>
    </comment>
    <comment ref="G63" authorId="0">
      <text>
        <r>
          <rPr>
            <b/>
            <sz val="9"/>
            <color indexed="81"/>
            <rFont val="Tahoma"/>
            <family val="2"/>
          </rPr>
          <t>gol en el minuto 95 de penalti.</t>
        </r>
      </text>
    </comment>
    <comment ref="F67" authorId="0">
      <text>
        <r>
          <rPr>
            <b/>
            <sz val="9"/>
            <color indexed="81"/>
            <rFont val="Tahoma"/>
            <family val="2"/>
          </rPr>
          <t>empate no apuesta.
Si empatan me devuelven el dinero.
La cuota de 2 estaba a 6,2 en betfair.</t>
        </r>
      </text>
    </comment>
    <comment ref="D69" authorId="0">
      <text>
        <r>
          <rPr>
            <b/>
            <sz val="9"/>
            <color indexed="81"/>
            <rFont val="Tahoma"/>
            <family val="2"/>
          </rPr>
          <t>Papa: rayo @2,25</t>
        </r>
      </text>
    </comment>
    <comment ref="G75" authorId="0">
      <text>
        <r>
          <rPr>
            <b/>
            <sz val="9"/>
            <color indexed="81"/>
            <rFont val="Tahoma"/>
            <family val="2"/>
          </rPr>
          <t>gol en el minuto 89 del levante</t>
        </r>
      </text>
    </comment>
    <comment ref="D76" authorId="0">
      <text>
        <r>
          <rPr>
            <b/>
            <sz val="9"/>
            <color indexed="81"/>
            <rFont val="Tahoma"/>
            <family val="2"/>
          </rPr>
          <t>Papa: Valencia @2,14</t>
        </r>
        <r>
          <rPr>
            <sz val="9"/>
            <color indexed="81"/>
            <rFont val="Tahoma"/>
            <family val="2"/>
          </rPr>
          <t xml:space="preserve">
</t>
        </r>
      </text>
    </comment>
    <comment ref="A77" authorId="0">
      <text>
        <r>
          <rPr>
            <b/>
            <sz val="9"/>
            <color indexed="81"/>
            <rFont val="Tahoma"/>
            <family val="2"/>
          </rPr>
          <t>Derbi del Pais Vaco</t>
        </r>
      </text>
    </comment>
    <comment ref="D77" authorId="0">
      <text>
        <r>
          <rPr>
            <b/>
            <sz val="9"/>
            <color indexed="81"/>
            <rFont val="Tahoma"/>
            <family val="2"/>
          </rPr>
          <t>Papa: Bilbao @1,64</t>
        </r>
      </text>
    </comment>
    <comment ref="D78" authorId="0">
      <text>
        <r>
          <rPr>
            <b/>
            <sz val="9"/>
            <color indexed="81"/>
            <rFont val="Tahoma"/>
            <family val="2"/>
          </rPr>
          <t>Papa: Real Madrid @1,14</t>
        </r>
      </text>
    </comment>
    <comment ref="D79" authorId="0">
      <text>
        <r>
          <rPr>
            <b/>
            <sz val="9"/>
            <color indexed="81"/>
            <rFont val="Tahoma"/>
            <family val="2"/>
          </rPr>
          <t>Papa: Atletico. @1,29</t>
        </r>
      </text>
    </comment>
    <comment ref="G79" authorId="0">
      <text>
        <r>
          <rPr>
            <b/>
            <sz val="9"/>
            <color indexed="81"/>
            <rFont val="Tahoma"/>
            <family val="2"/>
          </rPr>
          <t>el 2-0 lo metieron en el descuento.</t>
        </r>
      </text>
    </comment>
    <comment ref="G80" authorId="0">
      <text>
        <r>
          <rPr>
            <b/>
            <sz val="9"/>
            <color indexed="81"/>
            <rFont val="Tahoma"/>
            <family val="2"/>
          </rPr>
          <t>gol en el min 82.</t>
        </r>
      </text>
    </comment>
  </commentList>
</comments>
</file>

<file path=xl/comments28.xml><?xml version="1.0" encoding="utf-8"?>
<comments xmlns="http://schemas.openxmlformats.org/spreadsheetml/2006/main">
  <authors>
    <author>vaio</author>
  </authors>
  <commentList>
    <comment ref="D8" authorId="0">
      <text>
        <r>
          <rPr>
            <b/>
            <sz val="9"/>
            <color indexed="81"/>
            <rFont val="Tahoma"/>
            <family val="2"/>
          </rPr>
          <t>Papa: Empate. @3,30</t>
        </r>
      </text>
    </comment>
    <comment ref="D41" authorId="0">
      <text>
        <r>
          <rPr>
            <b/>
            <sz val="9"/>
            <color indexed="81"/>
            <rFont val="Tahoma"/>
            <family val="2"/>
          </rPr>
          <t>Papa: Empate @3,28</t>
        </r>
      </text>
    </comment>
    <comment ref="D48" authorId="0">
      <text>
        <r>
          <rPr>
            <b/>
            <sz val="9"/>
            <color indexed="81"/>
            <rFont val="Tahoma"/>
            <family val="2"/>
          </rPr>
          <t>Papa: no apuesta.</t>
        </r>
      </text>
    </comment>
    <comment ref="D49" authorId="0">
      <text>
        <r>
          <rPr>
            <b/>
            <sz val="9"/>
            <color indexed="81"/>
            <rFont val="Tahoma"/>
            <family val="2"/>
          </rPr>
          <t>Papa: Villarreal. @1,94</t>
        </r>
      </text>
    </comment>
    <comment ref="D50" authorId="0">
      <text>
        <r>
          <rPr>
            <b/>
            <sz val="9"/>
            <color indexed="81"/>
            <rFont val="Tahoma"/>
            <family val="2"/>
          </rPr>
          <t>Papa: empate @3,25</t>
        </r>
      </text>
    </comment>
    <comment ref="D55"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 ref="D61" authorId="0">
      <text>
        <r>
          <rPr>
            <b/>
            <sz val="9"/>
            <color indexed="81"/>
            <rFont val="Tahoma"/>
            <family val="2"/>
          </rPr>
          <t>Papa: osasuna @2,75</t>
        </r>
      </text>
    </comment>
    <comment ref="G61" authorId="0">
      <text>
        <r>
          <rPr>
            <b/>
            <sz val="9"/>
            <color indexed="81"/>
            <rFont val="Tahoma"/>
            <family val="2"/>
          </rPr>
          <t>gol de zaragoza en el 86 y del osasuna en el 88.</t>
        </r>
      </text>
    </comment>
    <comment ref="G63" authorId="0">
      <text>
        <r>
          <rPr>
            <b/>
            <sz val="9"/>
            <color indexed="81"/>
            <rFont val="Tahoma"/>
            <family val="2"/>
          </rPr>
          <t>gol en el minuto 95 de penalti.</t>
        </r>
      </text>
    </comment>
    <comment ref="F67" authorId="0">
      <text>
        <r>
          <rPr>
            <b/>
            <sz val="9"/>
            <color indexed="81"/>
            <rFont val="Tahoma"/>
            <family val="2"/>
          </rPr>
          <t>empate no apuesta.
Si empatan me devuelven el dinero.
La cuota de 2 estaba a 6,2 en betfair.</t>
        </r>
      </text>
    </comment>
    <comment ref="D69" authorId="0">
      <text>
        <r>
          <rPr>
            <b/>
            <sz val="9"/>
            <color indexed="81"/>
            <rFont val="Tahoma"/>
            <family val="2"/>
          </rPr>
          <t>Papa: rayo @2,25</t>
        </r>
      </text>
    </comment>
    <comment ref="G75" authorId="0">
      <text>
        <r>
          <rPr>
            <b/>
            <sz val="9"/>
            <color indexed="81"/>
            <rFont val="Tahoma"/>
            <family val="2"/>
          </rPr>
          <t>gol en el minuto 89 del levante</t>
        </r>
      </text>
    </comment>
    <comment ref="D76" authorId="0">
      <text>
        <r>
          <rPr>
            <b/>
            <sz val="9"/>
            <color indexed="81"/>
            <rFont val="Tahoma"/>
            <family val="2"/>
          </rPr>
          <t>Papa: Valencia @2,14</t>
        </r>
        <r>
          <rPr>
            <sz val="9"/>
            <color indexed="81"/>
            <rFont val="Tahoma"/>
            <family val="2"/>
          </rPr>
          <t xml:space="preserve">
</t>
        </r>
      </text>
    </comment>
    <comment ref="A77" authorId="0">
      <text>
        <r>
          <rPr>
            <b/>
            <sz val="9"/>
            <color indexed="81"/>
            <rFont val="Tahoma"/>
            <family val="2"/>
          </rPr>
          <t>Derbi del Pais Vaco</t>
        </r>
      </text>
    </comment>
    <comment ref="D77" authorId="0">
      <text>
        <r>
          <rPr>
            <b/>
            <sz val="9"/>
            <color indexed="81"/>
            <rFont val="Tahoma"/>
            <family val="2"/>
          </rPr>
          <t>Papa: Bilbao @1,64</t>
        </r>
      </text>
    </comment>
    <comment ref="D78" authorId="0">
      <text>
        <r>
          <rPr>
            <b/>
            <sz val="9"/>
            <color indexed="81"/>
            <rFont val="Tahoma"/>
            <family val="2"/>
          </rPr>
          <t>Papa: Real Madrid @1,14</t>
        </r>
      </text>
    </comment>
    <comment ref="D79" authorId="0">
      <text>
        <r>
          <rPr>
            <b/>
            <sz val="9"/>
            <color indexed="81"/>
            <rFont val="Tahoma"/>
            <family val="2"/>
          </rPr>
          <t>Papa: Atletico. @1,29</t>
        </r>
      </text>
    </comment>
    <comment ref="G79" authorId="0">
      <text>
        <r>
          <rPr>
            <b/>
            <sz val="9"/>
            <color indexed="81"/>
            <rFont val="Tahoma"/>
            <family val="2"/>
          </rPr>
          <t>el 2-0 lo metieron en el descuento.</t>
        </r>
      </text>
    </comment>
    <comment ref="G80" authorId="0">
      <text>
        <r>
          <rPr>
            <b/>
            <sz val="9"/>
            <color indexed="81"/>
            <rFont val="Tahoma"/>
            <family val="2"/>
          </rPr>
          <t>gol en el min 82.</t>
        </r>
      </text>
    </comment>
  </commentList>
</comments>
</file>

<file path=xl/comments29.xml><?xml version="1.0" encoding="utf-8"?>
<comments xmlns="http://schemas.openxmlformats.org/spreadsheetml/2006/main">
  <authors>
    <author>vaio</author>
  </authors>
  <commentList>
    <comment ref="F14" authorId="0">
      <text>
        <r>
          <rPr>
            <b/>
            <sz val="9"/>
            <color indexed="81"/>
            <rFont val="Tahoma"/>
            <family val="2"/>
          </rPr>
          <t>empate no apuesta.
Si empatan me devuelven el dinero.
La cuota de 2 estaba a 6,2 en betfair.</t>
        </r>
      </text>
    </comment>
    <comment ref="D16"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 ref="G36" authorId="0">
      <text>
        <r>
          <rPr>
            <b/>
            <sz val="9"/>
            <color indexed="81"/>
            <rFont val="Tahoma"/>
            <family val="2"/>
          </rPr>
          <t>gol en el minuto 89 del levante</t>
        </r>
      </text>
    </comment>
    <comment ref="D38" authorId="0">
      <text>
        <r>
          <rPr>
            <b/>
            <sz val="9"/>
            <color indexed="81"/>
            <rFont val="Tahoma"/>
            <family val="2"/>
          </rPr>
          <t>Papa: Empate @3,28</t>
        </r>
      </text>
    </comment>
    <comment ref="D39" authorId="0">
      <text>
        <r>
          <rPr>
            <b/>
            <sz val="9"/>
            <color indexed="81"/>
            <rFont val="Tahoma"/>
            <family val="2"/>
          </rPr>
          <t>Papa: Valencia @2,14</t>
        </r>
        <r>
          <rPr>
            <sz val="9"/>
            <color indexed="81"/>
            <rFont val="Tahoma"/>
            <family val="2"/>
          </rPr>
          <t xml:space="preserve">
</t>
        </r>
      </text>
    </comment>
    <comment ref="A40" authorId="0">
      <text>
        <r>
          <rPr>
            <b/>
            <sz val="9"/>
            <color indexed="81"/>
            <rFont val="Tahoma"/>
            <family val="2"/>
          </rPr>
          <t>Derbi del Pais Vaco</t>
        </r>
      </text>
    </comment>
    <comment ref="D40" authorId="0">
      <text>
        <r>
          <rPr>
            <b/>
            <sz val="9"/>
            <color indexed="81"/>
            <rFont val="Tahoma"/>
            <family val="2"/>
          </rPr>
          <t>Papa: Bilbao @1,64</t>
        </r>
      </text>
    </comment>
    <comment ref="D41" authorId="0">
      <text>
        <r>
          <rPr>
            <b/>
            <sz val="9"/>
            <color indexed="81"/>
            <rFont val="Tahoma"/>
            <family val="2"/>
          </rPr>
          <t>Papa: Real Madrid @1,14</t>
        </r>
      </text>
    </comment>
    <comment ref="D43" authorId="0">
      <text>
        <r>
          <rPr>
            <b/>
            <sz val="9"/>
            <color indexed="81"/>
            <rFont val="Tahoma"/>
            <family val="2"/>
          </rPr>
          <t>Papa: no apuesta.</t>
        </r>
      </text>
    </comment>
    <comment ref="D44" authorId="0">
      <text>
        <r>
          <rPr>
            <b/>
            <sz val="9"/>
            <color indexed="81"/>
            <rFont val="Tahoma"/>
            <family val="2"/>
          </rPr>
          <t>Papa: Villarreal. @1,94</t>
        </r>
      </text>
    </comment>
    <comment ref="D46" authorId="0">
      <text>
        <r>
          <rPr>
            <b/>
            <sz val="9"/>
            <color indexed="81"/>
            <rFont val="Tahoma"/>
            <family val="2"/>
          </rPr>
          <t>Papa: Empate. @3,30</t>
        </r>
      </text>
    </comment>
    <comment ref="D47" authorId="0">
      <text>
        <r>
          <rPr>
            <b/>
            <sz val="9"/>
            <color indexed="81"/>
            <rFont val="Tahoma"/>
            <family val="2"/>
          </rPr>
          <t>Papa: Atletico. @1,29</t>
        </r>
      </text>
    </comment>
    <comment ref="G47" authorId="0">
      <text>
        <r>
          <rPr>
            <b/>
            <sz val="9"/>
            <color indexed="81"/>
            <rFont val="Tahoma"/>
            <family val="2"/>
          </rPr>
          <t>el 2-0 lo metieron en el descuento.</t>
        </r>
      </text>
    </comment>
    <comment ref="D48" authorId="0">
      <text>
        <r>
          <rPr>
            <b/>
            <sz val="9"/>
            <color indexed="81"/>
            <rFont val="Tahoma"/>
            <family val="2"/>
          </rPr>
          <t>Papa: osasuna @2,75</t>
        </r>
      </text>
    </comment>
    <comment ref="G48" authorId="0">
      <text>
        <r>
          <rPr>
            <b/>
            <sz val="9"/>
            <color indexed="81"/>
            <rFont val="Tahoma"/>
            <family val="2"/>
          </rPr>
          <t>gol de zaragoza en el 86 y del osasuna en el 88.</t>
        </r>
      </text>
    </comment>
    <comment ref="D50" authorId="0">
      <text>
        <r>
          <rPr>
            <b/>
            <sz val="9"/>
            <color indexed="81"/>
            <rFont val="Tahoma"/>
            <family val="2"/>
          </rPr>
          <t>Papa: empate @3,25</t>
        </r>
      </text>
    </comment>
    <comment ref="D51" authorId="0">
      <text>
        <r>
          <rPr>
            <b/>
            <sz val="9"/>
            <color indexed="81"/>
            <rFont val="Tahoma"/>
            <family val="2"/>
          </rPr>
          <t>Papa: rayo @2,25</t>
        </r>
      </text>
    </comment>
    <comment ref="G52" authorId="0">
      <text>
        <r>
          <rPr>
            <b/>
            <sz val="9"/>
            <color indexed="81"/>
            <rFont val="Tahoma"/>
            <family val="2"/>
          </rPr>
          <t>gol en el min 82.</t>
        </r>
      </text>
    </comment>
    <comment ref="G57" authorId="0">
      <text>
        <r>
          <rPr>
            <b/>
            <sz val="9"/>
            <color indexed="81"/>
            <rFont val="Tahoma"/>
            <family val="2"/>
          </rPr>
          <t>gol en el minuto 95 de penalti.</t>
        </r>
      </text>
    </comment>
  </commentList>
</comments>
</file>

<file path=xl/comments3.xml><?xml version="1.0" encoding="utf-8"?>
<comments xmlns="http://schemas.openxmlformats.org/spreadsheetml/2006/main">
  <authors>
    <author>vaio</author>
  </authors>
  <commentList>
    <comment ref="G6" authorId="0">
      <text>
        <r>
          <rPr>
            <b/>
            <sz val="9"/>
            <color indexed="81"/>
            <rFont val="Tahoma"/>
            <family val="2"/>
          </rPr>
          <t>gol en el minuto 89 del levante</t>
        </r>
      </text>
    </comment>
  </commentList>
</comments>
</file>

<file path=xl/comments30.xml><?xml version="1.0" encoding="utf-8"?>
<comments xmlns="http://schemas.openxmlformats.org/spreadsheetml/2006/main">
  <authors>
    <author>vaio</author>
  </authors>
  <commentList>
    <comment ref="F14" authorId="0">
      <text>
        <r>
          <rPr>
            <b/>
            <sz val="9"/>
            <color indexed="81"/>
            <rFont val="Tahoma"/>
            <family val="2"/>
          </rPr>
          <t>empate no apuesta.
Si empatan me devuelven el dinero.
La cuota de 2 estaba a 6,2 en betfair.</t>
        </r>
      </text>
    </comment>
    <comment ref="D16"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 ref="G36" authorId="0">
      <text>
        <r>
          <rPr>
            <b/>
            <sz val="9"/>
            <color indexed="81"/>
            <rFont val="Tahoma"/>
            <family val="2"/>
          </rPr>
          <t>gol en el minuto 89 del levante</t>
        </r>
      </text>
    </comment>
    <comment ref="D38" authorId="0">
      <text>
        <r>
          <rPr>
            <b/>
            <sz val="9"/>
            <color indexed="81"/>
            <rFont val="Tahoma"/>
            <family val="2"/>
          </rPr>
          <t>Papa: Empate @3,28</t>
        </r>
      </text>
    </comment>
    <comment ref="D39" authorId="0">
      <text>
        <r>
          <rPr>
            <b/>
            <sz val="9"/>
            <color indexed="81"/>
            <rFont val="Tahoma"/>
            <family val="2"/>
          </rPr>
          <t>Papa: Valencia @2,14</t>
        </r>
        <r>
          <rPr>
            <sz val="9"/>
            <color indexed="81"/>
            <rFont val="Tahoma"/>
            <family val="2"/>
          </rPr>
          <t xml:space="preserve">
</t>
        </r>
      </text>
    </comment>
    <comment ref="A40" authorId="0">
      <text>
        <r>
          <rPr>
            <b/>
            <sz val="9"/>
            <color indexed="81"/>
            <rFont val="Tahoma"/>
            <family val="2"/>
          </rPr>
          <t>Derbi del Pais Vaco</t>
        </r>
      </text>
    </comment>
    <comment ref="D40" authorId="0">
      <text>
        <r>
          <rPr>
            <b/>
            <sz val="9"/>
            <color indexed="81"/>
            <rFont val="Tahoma"/>
            <family val="2"/>
          </rPr>
          <t>Papa: Bilbao @1,64</t>
        </r>
      </text>
    </comment>
    <comment ref="D41" authorId="0">
      <text>
        <r>
          <rPr>
            <b/>
            <sz val="9"/>
            <color indexed="81"/>
            <rFont val="Tahoma"/>
            <family val="2"/>
          </rPr>
          <t>Papa: Real Madrid @1,14</t>
        </r>
      </text>
    </comment>
    <comment ref="D43" authorId="0">
      <text>
        <r>
          <rPr>
            <b/>
            <sz val="9"/>
            <color indexed="81"/>
            <rFont val="Tahoma"/>
            <family val="2"/>
          </rPr>
          <t>Papa: no apuesta.</t>
        </r>
      </text>
    </comment>
    <comment ref="D44" authorId="0">
      <text>
        <r>
          <rPr>
            <b/>
            <sz val="9"/>
            <color indexed="81"/>
            <rFont val="Tahoma"/>
            <family val="2"/>
          </rPr>
          <t>Papa: Villarreal. @1,94</t>
        </r>
      </text>
    </comment>
    <comment ref="D46" authorId="0">
      <text>
        <r>
          <rPr>
            <b/>
            <sz val="9"/>
            <color indexed="81"/>
            <rFont val="Tahoma"/>
            <family val="2"/>
          </rPr>
          <t>Papa: Empate. @3,30</t>
        </r>
      </text>
    </comment>
    <comment ref="D47" authorId="0">
      <text>
        <r>
          <rPr>
            <b/>
            <sz val="9"/>
            <color indexed="81"/>
            <rFont val="Tahoma"/>
            <family val="2"/>
          </rPr>
          <t>Papa: Atletico. @1,29</t>
        </r>
      </text>
    </comment>
    <comment ref="G47" authorId="0">
      <text>
        <r>
          <rPr>
            <b/>
            <sz val="9"/>
            <color indexed="81"/>
            <rFont val="Tahoma"/>
            <family val="2"/>
          </rPr>
          <t>el 2-0 lo metieron en el descuento.</t>
        </r>
      </text>
    </comment>
    <comment ref="D48" authorId="0">
      <text>
        <r>
          <rPr>
            <b/>
            <sz val="9"/>
            <color indexed="81"/>
            <rFont val="Tahoma"/>
            <family val="2"/>
          </rPr>
          <t>Papa: osasuna @2,75</t>
        </r>
      </text>
    </comment>
    <comment ref="G48" authorId="0">
      <text>
        <r>
          <rPr>
            <b/>
            <sz val="9"/>
            <color indexed="81"/>
            <rFont val="Tahoma"/>
            <family val="2"/>
          </rPr>
          <t>gol de zaragoza en el 86 y del osasuna en el 88.</t>
        </r>
      </text>
    </comment>
    <comment ref="D50" authorId="0">
      <text>
        <r>
          <rPr>
            <b/>
            <sz val="9"/>
            <color indexed="81"/>
            <rFont val="Tahoma"/>
            <family val="2"/>
          </rPr>
          <t>Papa: empate @3,25</t>
        </r>
      </text>
    </comment>
    <comment ref="D51" authorId="0">
      <text>
        <r>
          <rPr>
            <b/>
            <sz val="9"/>
            <color indexed="81"/>
            <rFont val="Tahoma"/>
            <family val="2"/>
          </rPr>
          <t>Papa: rayo @2,25</t>
        </r>
      </text>
    </comment>
    <comment ref="G52" authorId="0">
      <text>
        <r>
          <rPr>
            <b/>
            <sz val="9"/>
            <color indexed="81"/>
            <rFont val="Tahoma"/>
            <family val="2"/>
          </rPr>
          <t>gol en el min 82.</t>
        </r>
      </text>
    </comment>
    <comment ref="G57" authorId="0">
      <text>
        <r>
          <rPr>
            <b/>
            <sz val="9"/>
            <color indexed="81"/>
            <rFont val="Tahoma"/>
            <family val="2"/>
          </rPr>
          <t>gol en el minuto 95 de penalti.</t>
        </r>
      </text>
    </comment>
  </commentList>
</comments>
</file>

<file path=xl/comments31.xml><?xml version="1.0" encoding="utf-8"?>
<comments xmlns="http://schemas.openxmlformats.org/spreadsheetml/2006/main">
  <authors>
    <author>vaio</author>
  </authors>
  <commentList>
    <comment ref="D4" authorId="0">
      <text>
        <r>
          <rPr>
            <b/>
            <sz val="9"/>
            <color indexed="81"/>
            <rFont val="Tahoma"/>
            <family val="2"/>
          </rPr>
          <t>Papa: Empate. @3,30</t>
        </r>
      </text>
    </comment>
    <comment ref="D21" authorId="0">
      <text>
        <r>
          <rPr>
            <b/>
            <sz val="9"/>
            <color indexed="81"/>
            <rFont val="Tahoma"/>
            <family val="2"/>
          </rPr>
          <t>Papa: Empate @3,28</t>
        </r>
      </text>
    </comment>
    <comment ref="D23" authorId="0">
      <text>
        <r>
          <rPr>
            <b/>
            <sz val="9"/>
            <color indexed="81"/>
            <rFont val="Tahoma"/>
            <family val="2"/>
          </rPr>
          <t>Papa: Villarreal. @1,94</t>
        </r>
      </text>
    </comment>
    <comment ref="D25" authorId="0">
      <text>
        <r>
          <rPr>
            <b/>
            <sz val="9"/>
            <color indexed="81"/>
            <rFont val="Tahoma"/>
            <family val="2"/>
          </rPr>
          <t>Papa: Real Madrid @1,14</t>
        </r>
      </text>
    </comment>
    <comment ref="D34" authorId="0">
      <text>
        <r>
          <rPr>
            <b/>
            <sz val="9"/>
            <color indexed="81"/>
            <rFont val="Tahoma"/>
            <family val="2"/>
          </rPr>
          <t>Papa: Atletico. @1,29</t>
        </r>
      </text>
    </comment>
    <comment ref="G34" authorId="0">
      <text>
        <r>
          <rPr>
            <b/>
            <sz val="9"/>
            <color indexed="81"/>
            <rFont val="Tahoma"/>
            <family val="2"/>
          </rPr>
          <t>el 2-0 lo metieron en el descuento.</t>
        </r>
      </text>
    </comment>
    <comment ref="F35" authorId="0">
      <text>
        <r>
          <rPr>
            <b/>
            <sz val="9"/>
            <color indexed="81"/>
            <rFont val="Tahoma"/>
            <family val="2"/>
          </rPr>
          <t>empate no apuesta.
Si empatan me devuelven el dinero.
La cuota de 2 estaba a 6,2 en betfair.</t>
        </r>
      </text>
    </comment>
    <comment ref="D39" authorId="0">
      <text>
        <r>
          <rPr>
            <b/>
            <sz val="9"/>
            <color indexed="81"/>
            <rFont val="Tahoma"/>
            <family val="2"/>
          </rPr>
          <t>Papa: no apuesta.</t>
        </r>
      </text>
    </comment>
    <comment ref="D49" authorId="0">
      <text>
        <r>
          <rPr>
            <sz val="9"/>
            <color indexed="81"/>
            <rFont val="Tahoma"/>
            <family val="2"/>
          </rPr>
          <t>apuesto al atletico porque esta muy enrachado desde el cambio de entranador, pero según el sistema deberia apostar al osasuna o no apostar.
Papa dice que apueste al atletico. Cuotas bwin:
3,00 - 3,30 - 2,30</t>
        </r>
      </text>
    </comment>
    <comment ref="G61" authorId="0">
      <text>
        <r>
          <rPr>
            <b/>
            <sz val="9"/>
            <color indexed="81"/>
            <rFont val="Tahoma"/>
            <family val="2"/>
          </rPr>
          <t>gol en el minuto 89 del levante</t>
        </r>
      </text>
    </comment>
    <comment ref="D62" authorId="0">
      <text>
        <r>
          <rPr>
            <b/>
            <sz val="9"/>
            <color indexed="81"/>
            <rFont val="Tahoma"/>
            <family val="2"/>
          </rPr>
          <t>Papa: Valencia @2,14</t>
        </r>
        <r>
          <rPr>
            <sz val="9"/>
            <color indexed="81"/>
            <rFont val="Tahoma"/>
            <family val="2"/>
          </rPr>
          <t xml:space="preserve">
</t>
        </r>
      </text>
    </comment>
    <comment ref="A63" authorId="0">
      <text>
        <r>
          <rPr>
            <b/>
            <sz val="9"/>
            <color indexed="81"/>
            <rFont val="Tahoma"/>
            <family val="2"/>
          </rPr>
          <t>Derbi del Pais Vaco</t>
        </r>
      </text>
    </comment>
    <comment ref="D63" authorId="0">
      <text>
        <r>
          <rPr>
            <b/>
            <sz val="9"/>
            <color indexed="81"/>
            <rFont val="Tahoma"/>
            <family val="2"/>
          </rPr>
          <t>Papa: Bilbao @1,64</t>
        </r>
      </text>
    </comment>
    <comment ref="D64" authorId="0">
      <text>
        <r>
          <rPr>
            <b/>
            <sz val="9"/>
            <color indexed="81"/>
            <rFont val="Tahoma"/>
            <family val="2"/>
          </rPr>
          <t>Papa: osasuna @2,75</t>
        </r>
      </text>
    </comment>
    <comment ref="G64" authorId="0">
      <text>
        <r>
          <rPr>
            <b/>
            <sz val="9"/>
            <color indexed="81"/>
            <rFont val="Tahoma"/>
            <family val="2"/>
          </rPr>
          <t>gol de zaragoza en el 86 y del osasuna en el 88.</t>
        </r>
      </text>
    </comment>
    <comment ref="D65" authorId="0">
      <text>
        <r>
          <rPr>
            <b/>
            <sz val="9"/>
            <color indexed="81"/>
            <rFont val="Tahoma"/>
            <family val="2"/>
          </rPr>
          <t>Papa: empate @3,25</t>
        </r>
      </text>
    </comment>
    <comment ref="D66" authorId="0">
      <text>
        <r>
          <rPr>
            <b/>
            <sz val="9"/>
            <color indexed="81"/>
            <rFont val="Tahoma"/>
            <family val="2"/>
          </rPr>
          <t>Papa: rayo @2,25</t>
        </r>
      </text>
    </comment>
    <comment ref="G67" authorId="0">
      <text>
        <r>
          <rPr>
            <b/>
            <sz val="9"/>
            <color indexed="81"/>
            <rFont val="Tahoma"/>
            <family val="2"/>
          </rPr>
          <t>gol en el min 82.</t>
        </r>
      </text>
    </comment>
    <comment ref="G70" authorId="0">
      <text>
        <r>
          <rPr>
            <b/>
            <sz val="9"/>
            <color indexed="81"/>
            <rFont val="Tahoma"/>
            <family val="2"/>
          </rPr>
          <t>gol en el minuto 95 de penalti.</t>
        </r>
      </text>
    </comment>
  </commentList>
</comments>
</file>

<file path=xl/comments32.xml><?xml version="1.0" encoding="utf-8"?>
<comments xmlns="http://schemas.openxmlformats.org/spreadsheetml/2006/main">
  <authors>
    <author>vaio</author>
  </authors>
  <commentList>
    <comment ref="A15" authorId="0">
      <text>
        <r>
          <rPr>
            <b/>
            <sz val="9"/>
            <color indexed="81"/>
            <rFont val="Tahoma"/>
            <family val="2"/>
          </rPr>
          <t>la jornada 13 solo hice una apuesta y fue void.</t>
        </r>
        <r>
          <rPr>
            <sz val="9"/>
            <color indexed="81"/>
            <rFont val="Tahoma"/>
            <family val="2"/>
          </rPr>
          <t xml:space="preserve">
</t>
        </r>
      </text>
    </comment>
    <comment ref="A17" authorId="0">
      <text>
        <r>
          <rPr>
            <b/>
            <sz val="9"/>
            <color indexed="81"/>
            <rFont val="Tahoma"/>
            <family val="2"/>
          </rPr>
          <t>fue por arriesgar un poco, el pick fuerte y seguro lo acerte de calle, y los otros se pusieron de cara pero en los ultimos minutos se torcieron.</t>
        </r>
      </text>
    </comment>
  </commentList>
</comments>
</file>

<file path=xl/comments33.xml><?xml version="1.0" encoding="utf-8"?>
<comments xmlns="http://schemas.openxmlformats.org/spreadsheetml/2006/main">
  <authors>
    <author>vaio</author>
  </authors>
  <commentList>
    <comment ref="A16" authorId="0">
      <text>
        <r>
          <rPr>
            <b/>
            <sz val="9"/>
            <color indexed="81"/>
            <rFont val="Tahoma"/>
            <family val="2"/>
          </rPr>
          <t>5º por la cola en EDF</t>
        </r>
      </text>
    </comment>
    <comment ref="B17" authorId="0">
      <text>
        <r>
          <rPr>
            <b/>
            <sz val="9"/>
            <color indexed="81"/>
            <rFont val="Tahoma"/>
            <family val="2"/>
          </rPr>
          <t>antepenultimo en EDF</t>
        </r>
      </text>
    </comment>
    <comment ref="A18" authorId="0">
      <text>
        <r>
          <rPr>
            <b/>
            <sz val="9"/>
            <color indexed="81"/>
            <rFont val="Tahoma"/>
            <family val="2"/>
          </rPr>
          <t>penultimo en EDF</t>
        </r>
      </text>
    </comment>
    <comment ref="A19" authorId="0">
      <text>
        <r>
          <rPr>
            <b/>
            <sz val="9"/>
            <color indexed="81"/>
            <rFont val="Tahoma"/>
            <family val="2"/>
          </rPr>
          <t>ultimo en EDF</t>
        </r>
      </text>
    </comment>
    <comment ref="A20" authorId="0">
      <text>
        <r>
          <rPr>
            <b/>
            <sz val="9"/>
            <color indexed="81"/>
            <rFont val="Tahoma"/>
            <family val="2"/>
          </rPr>
          <t>4º por la cola en EDF</t>
        </r>
      </text>
    </comment>
  </commentList>
</comments>
</file>

<file path=xl/comments34.xml><?xml version="1.0" encoding="utf-8"?>
<comments xmlns="http://schemas.openxmlformats.org/spreadsheetml/2006/main">
  <authors>
    <author>vaio</author>
  </authors>
  <commentList>
    <comment ref="B26" authorId="0">
      <text>
        <r>
          <rPr>
            <b/>
            <sz val="9"/>
            <color indexed="81"/>
            <rFont val="Tahoma"/>
            <family val="2"/>
          </rPr>
          <t>antepenultimo en EDF</t>
        </r>
      </text>
    </comment>
    <comment ref="A27" authorId="0">
      <text>
        <r>
          <rPr>
            <b/>
            <sz val="9"/>
            <color indexed="81"/>
            <rFont val="Tahoma"/>
            <family val="2"/>
          </rPr>
          <t>4º por la cola en EDF</t>
        </r>
      </text>
    </comment>
    <comment ref="A33" authorId="0">
      <text>
        <r>
          <rPr>
            <b/>
            <sz val="9"/>
            <color indexed="81"/>
            <rFont val="Tahoma"/>
            <family val="2"/>
          </rPr>
          <t>ultimo en EDF</t>
        </r>
      </text>
    </comment>
    <comment ref="A37" authorId="0">
      <text>
        <r>
          <rPr>
            <b/>
            <sz val="9"/>
            <color indexed="81"/>
            <rFont val="Tahoma"/>
            <family val="2"/>
          </rPr>
          <t>5º por la cola en EDF</t>
        </r>
      </text>
    </comment>
    <comment ref="A40" authorId="0">
      <text>
        <r>
          <rPr>
            <b/>
            <sz val="9"/>
            <color indexed="81"/>
            <rFont val="Tahoma"/>
            <family val="2"/>
          </rPr>
          <t>penultimo en EDF</t>
        </r>
      </text>
    </comment>
  </commentList>
</comments>
</file>

<file path=xl/comments35.xml><?xml version="1.0" encoding="utf-8"?>
<comments xmlns="http://schemas.openxmlformats.org/spreadsheetml/2006/main">
  <authors>
    <author>vaio</author>
  </authors>
  <commentList>
    <comment ref="A3" authorId="0">
      <text>
        <r>
          <rPr>
            <b/>
            <sz val="9"/>
            <color indexed="81"/>
            <rFont val="Tahoma"/>
            <family val="2"/>
          </rPr>
          <t>penultimo en EDF</t>
        </r>
      </text>
    </comment>
    <comment ref="B5" authorId="0">
      <text>
        <r>
          <rPr>
            <b/>
            <sz val="9"/>
            <color indexed="81"/>
            <rFont val="Tahoma"/>
            <family val="2"/>
          </rPr>
          <t>antepenultimo en EDF</t>
        </r>
      </text>
    </comment>
    <comment ref="A10" authorId="0">
      <text>
        <r>
          <rPr>
            <b/>
            <sz val="9"/>
            <color indexed="81"/>
            <rFont val="Tahoma"/>
            <family val="2"/>
          </rPr>
          <t>ultimo en EDF</t>
        </r>
      </text>
    </comment>
    <comment ref="A16" authorId="0">
      <text>
        <r>
          <rPr>
            <b/>
            <sz val="9"/>
            <color indexed="81"/>
            <rFont val="Tahoma"/>
            <family val="2"/>
          </rPr>
          <t>5º por la cola en EDF</t>
        </r>
      </text>
    </comment>
    <comment ref="A18" authorId="0">
      <text>
        <r>
          <rPr>
            <b/>
            <sz val="9"/>
            <color indexed="81"/>
            <rFont val="Tahoma"/>
            <family val="2"/>
          </rPr>
          <t>4º por la cola en EDF</t>
        </r>
      </text>
    </comment>
  </commentList>
</comments>
</file>

<file path=xl/comments36.xml><?xml version="1.0" encoding="utf-8"?>
<comments xmlns="http://schemas.openxmlformats.org/spreadsheetml/2006/main">
  <authors>
    <author>vaio</author>
  </authors>
  <commentList>
    <comment ref="B5" authorId="0">
      <text>
        <r>
          <rPr>
            <b/>
            <sz val="9"/>
            <color indexed="81"/>
            <rFont val="Tahoma"/>
            <family val="2"/>
          </rPr>
          <t>antepenultimo en EDF</t>
        </r>
      </text>
    </comment>
    <comment ref="A13" authorId="0">
      <text>
        <r>
          <rPr>
            <b/>
            <sz val="9"/>
            <color indexed="81"/>
            <rFont val="Tahoma"/>
            <family val="2"/>
          </rPr>
          <t>5º por la cola en EDF</t>
        </r>
      </text>
    </comment>
    <comment ref="A14" authorId="0">
      <text>
        <r>
          <rPr>
            <b/>
            <sz val="9"/>
            <color indexed="81"/>
            <rFont val="Tahoma"/>
            <family val="2"/>
          </rPr>
          <t>penultimo en EDF</t>
        </r>
      </text>
    </comment>
    <comment ref="A15" authorId="0">
      <text>
        <r>
          <rPr>
            <b/>
            <sz val="9"/>
            <color indexed="81"/>
            <rFont val="Tahoma"/>
            <family val="2"/>
          </rPr>
          <t>ultimo en EDF</t>
        </r>
      </text>
    </comment>
    <comment ref="A16" authorId="0">
      <text>
        <r>
          <rPr>
            <b/>
            <sz val="9"/>
            <color indexed="81"/>
            <rFont val="Tahoma"/>
            <family val="2"/>
          </rPr>
          <t>4º por la cola en EDF</t>
        </r>
      </text>
    </comment>
  </commentList>
</comments>
</file>

<file path=xl/comments4.xml><?xml version="1.0" encoding="utf-8"?>
<comments xmlns="http://schemas.openxmlformats.org/spreadsheetml/2006/main">
  <authors>
    <author>vaio</author>
  </authors>
  <commentList>
    <comment ref="D2" authorId="0">
      <text>
        <r>
          <rPr>
            <b/>
            <sz val="9"/>
            <color indexed="81"/>
            <rFont val="Tahoma"/>
            <family val="2"/>
          </rPr>
          <t>Papa: Empate @3,28</t>
        </r>
      </text>
    </comment>
    <comment ref="D3" authorId="0">
      <text>
        <r>
          <rPr>
            <b/>
            <sz val="9"/>
            <color indexed="81"/>
            <rFont val="Tahoma"/>
            <family val="2"/>
          </rPr>
          <t>Papa: Valencia @2,14</t>
        </r>
        <r>
          <rPr>
            <sz val="9"/>
            <color indexed="81"/>
            <rFont val="Tahoma"/>
            <family val="2"/>
          </rPr>
          <t xml:space="preserve">
</t>
        </r>
      </text>
    </comment>
    <comment ref="A4" authorId="0">
      <text>
        <r>
          <rPr>
            <b/>
            <sz val="9"/>
            <color indexed="81"/>
            <rFont val="Tahoma"/>
            <family val="2"/>
          </rPr>
          <t>Derbi del Pais Vaco</t>
        </r>
      </text>
    </comment>
    <comment ref="D4" authorId="0">
      <text>
        <r>
          <rPr>
            <b/>
            <sz val="9"/>
            <color indexed="81"/>
            <rFont val="Tahoma"/>
            <family val="2"/>
          </rPr>
          <t>Papa: Bilbao @1,64</t>
        </r>
      </text>
    </comment>
    <comment ref="D5" authorId="0">
      <text>
        <r>
          <rPr>
            <b/>
            <sz val="9"/>
            <color indexed="81"/>
            <rFont val="Tahoma"/>
            <family val="2"/>
          </rPr>
          <t>Papa: Real Madrid @1,14</t>
        </r>
      </text>
    </comment>
    <comment ref="D8" authorId="0">
      <text>
        <r>
          <rPr>
            <b/>
            <sz val="9"/>
            <color indexed="81"/>
            <rFont val="Tahoma"/>
            <family val="2"/>
          </rPr>
          <t>Papa: Rayo @1,82</t>
        </r>
      </text>
    </comment>
  </commentList>
</comments>
</file>

<file path=xl/comments5.xml><?xml version="1.0" encoding="utf-8"?>
<comments xmlns="http://schemas.openxmlformats.org/spreadsheetml/2006/main">
  <authors>
    <author>vaio</author>
  </authors>
  <commentList>
    <comment ref="D2" authorId="0">
      <text>
        <r>
          <rPr>
            <b/>
            <sz val="9"/>
            <color indexed="81"/>
            <rFont val="Tahoma"/>
            <family val="2"/>
          </rPr>
          <t>Papa: no apuesta.</t>
        </r>
      </text>
    </comment>
    <comment ref="D3" authorId="0">
      <text>
        <r>
          <rPr>
            <b/>
            <sz val="9"/>
            <color indexed="81"/>
            <rFont val="Tahoma"/>
            <family val="2"/>
          </rPr>
          <t>Papa: Villarreal. @1,94</t>
        </r>
      </text>
    </comment>
    <comment ref="D5" authorId="0">
      <text>
        <r>
          <rPr>
            <b/>
            <sz val="9"/>
            <color indexed="81"/>
            <rFont val="Tahoma"/>
            <family val="2"/>
          </rPr>
          <t>Papa: Empate. @3,30</t>
        </r>
      </text>
    </comment>
    <comment ref="D6" authorId="0">
      <text>
        <r>
          <rPr>
            <b/>
            <sz val="9"/>
            <color indexed="81"/>
            <rFont val="Tahoma"/>
            <family val="2"/>
          </rPr>
          <t>Papa: Atletico. @1,29</t>
        </r>
      </text>
    </comment>
    <comment ref="G6" authorId="0">
      <text>
        <r>
          <rPr>
            <b/>
            <sz val="9"/>
            <color indexed="81"/>
            <rFont val="Tahoma"/>
            <family val="2"/>
          </rPr>
          <t>el 2-0 lo metieron en el descuento.</t>
        </r>
      </text>
    </comment>
    <comment ref="D9" authorId="0">
      <text>
        <r>
          <rPr>
            <b/>
            <sz val="9"/>
            <color indexed="81"/>
            <rFont val="Tahoma"/>
            <family val="2"/>
          </rPr>
          <t>Papa: Valencia. @1,61</t>
        </r>
      </text>
    </comment>
  </commentList>
</comments>
</file>

<file path=xl/comments6.xml><?xml version="1.0" encoding="utf-8"?>
<comments xmlns="http://schemas.openxmlformats.org/spreadsheetml/2006/main">
  <authors>
    <author>vaio</author>
  </authors>
  <commentList>
    <comment ref="C22" authorId="0">
      <text>
        <r>
          <rPr>
            <b/>
            <sz val="9"/>
            <color indexed="81"/>
            <rFont val="Tahoma"/>
            <family val="2"/>
          </rPr>
          <t>acabaron 0-0</t>
        </r>
      </text>
    </comment>
    <comment ref="C24" authorId="0">
      <text>
        <r>
          <rPr>
            <b/>
            <sz val="9"/>
            <color indexed="81"/>
            <rFont val="Tahoma"/>
            <family val="2"/>
          </rPr>
          <t>acabaron 2-2</t>
        </r>
        <r>
          <rPr>
            <sz val="9"/>
            <color indexed="81"/>
            <rFont val="Tahoma"/>
            <family val="2"/>
          </rPr>
          <t xml:space="preserve">
</t>
        </r>
      </text>
    </comment>
  </commentList>
</comments>
</file>

<file path=xl/comments7.xml><?xml version="1.0" encoding="utf-8"?>
<comments xmlns="http://schemas.openxmlformats.org/spreadsheetml/2006/main">
  <authors>
    <author>vaio</author>
  </authors>
  <commentList>
    <comment ref="D1" authorId="0">
      <text>
        <r>
          <rPr>
            <b/>
            <sz val="9"/>
            <color indexed="81"/>
            <rFont val="Tahoma"/>
            <family val="2"/>
          </rPr>
          <t>Papa: osasuna @2,75</t>
        </r>
      </text>
    </comment>
    <comment ref="G1" authorId="0">
      <text>
        <r>
          <rPr>
            <b/>
            <sz val="9"/>
            <color indexed="81"/>
            <rFont val="Tahoma"/>
            <family val="2"/>
          </rPr>
          <t>gol de zaragoza en el 86 y del osasuna en el 88.</t>
        </r>
      </text>
    </comment>
    <comment ref="D3" authorId="0">
      <text>
        <r>
          <rPr>
            <b/>
            <sz val="9"/>
            <color indexed="81"/>
            <rFont val="Tahoma"/>
            <family val="2"/>
          </rPr>
          <t>Papa: empate @3,25</t>
        </r>
      </text>
    </comment>
    <comment ref="D4" authorId="0">
      <text>
        <r>
          <rPr>
            <b/>
            <sz val="9"/>
            <color indexed="81"/>
            <rFont val="Tahoma"/>
            <family val="2"/>
          </rPr>
          <t>Papa: rayo @2,25</t>
        </r>
      </text>
    </comment>
    <comment ref="G5" authorId="0">
      <text>
        <r>
          <rPr>
            <b/>
            <sz val="9"/>
            <color indexed="81"/>
            <rFont val="Tahoma"/>
            <family val="2"/>
          </rPr>
          <t>gol en el min 82.</t>
        </r>
      </text>
    </comment>
    <comment ref="D8" authorId="0">
      <text>
        <r>
          <rPr>
            <b/>
            <sz val="9"/>
            <color indexed="81"/>
            <rFont val="Tahoma"/>
            <family val="2"/>
          </rPr>
          <t>Papa: atletico @2,30</t>
        </r>
      </text>
    </comment>
  </commentList>
</comments>
</file>

<file path=xl/comments8.xml><?xml version="1.0" encoding="utf-8"?>
<comments xmlns="http://schemas.openxmlformats.org/spreadsheetml/2006/main">
  <authors>
    <author>vaio</author>
  </authors>
  <commentList>
    <comment ref="A7" authorId="0">
      <text>
        <r>
          <rPr>
            <b/>
            <sz val="9"/>
            <color indexed="81"/>
            <rFont val="Tahoma"/>
            <family val="2"/>
          </rPr>
          <t>5º por la cola en EDF</t>
        </r>
      </text>
    </comment>
    <comment ref="B8" authorId="0">
      <text>
        <r>
          <rPr>
            <b/>
            <sz val="9"/>
            <color indexed="81"/>
            <rFont val="Tahoma"/>
            <family val="2"/>
          </rPr>
          <t>antepenultimo en EDF</t>
        </r>
      </text>
    </comment>
    <comment ref="A9" authorId="0">
      <text>
        <r>
          <rPr>
            <b/>
            <sz val="9"/>
            <color indexed="81"/>
            <rFont val="Tahoma"/>
            <family val="2"/>
          </rPr>
          <t>penultimo en EDF</t>
        </r>
      </text>
    </comment>
    <comment ref="A10" authorId="0">
      <text>
        <r>
          <rPr>
            <b/>
            <sz val="9"/>
            <color indexed="81"/>
            <rFont val="Tahoma"/>
            <family val="2"/>
          </rPr>
          <t>ultimo en EDF</t>
        </r>
      </text>
    </comment>
    <comment ref="A11" authorId="0">
      <text>
        <r>
          <rPr>
            <b/>
            <sz val="9"/>
            <color indexed="81"/>
            <rFont val="Tahoma"/>
            <family val="2"/>
          </rPr>
          <t>4º por la cola en EDF</t>
        </r>
      </text>
    </comment>
  </commentList>
</comments>
</file>

<file path=xl/comments9.xml><?xml version="1.0" encoding="utf-8"?>
<comments xmlns="http://schemas.openxmlformats.org/spreadsheetml/2006/main">
  <authors>
    <author>vaio</author>
  </authors>
  <commentList>
    <comment ref="G1" authorId="0">
      <text>
        <r>
          <rPr>
            <b/>
            <sz val="9"/>
            <color indexed="81"/>
            <rFont val="Tahoma"/>
            <family val="2"/>
          </rPr>
          <t>gol en el minuto 95 de penalti.</t>
        </r>
      </text>
    </comment>
    <comment ref="A17" authorId="0">
      <text>
        <r>
          <rPr>
            <b/>
            <sz val="9"/>
            <color indexed="81"/>
            <rFont val="Tahoma"/>
            <family val="2"/>
          </rPr>
          <t>perdio 2-1. Empezo ganando (min 9) empato el barça en el (min 22) y gano el barça en el (min 81)</t>
        </r>
      </text>
    </comment>
  </commentList>
</comments>
</file>

<file path=xl/sharedStrings.xml><?xml version="1.0" encoding="utf-8"?>
<sst xmlns="http://schemas.openxmlformats.org/spreadsheetml/2006/main" count="8826" uniqueCount="772">
  <si>
    <t>betis</t>
  </si>
  <si>
    <t>zaragoza</t>
  </si>
  <si>
    <t>rayo</t>
  </si>
  <si>
    <t>sporting</t>
  </si>
  <si>
    <t>valencia</t>
  </si>
  <si>
    <t>sevilla</t>
  </si>
  <si>
    <t>copa</t>
  </si>
  <si>
    <t>GANA</t>
  </si>
  <si>
    <t>http://www.futbolsa.es/equipos.php?</t>
  </si>
  <si>
    <t>PIERDE</t>
  </si>
  <si>
    <t>racing</t>
  </si>
  <si>
    <t>son mas importantes los soportes y resistencias….los enfrentamientos directos no son importantes</t>
  </si>
  <si>
    <t>liga</t>
  </si>
  <si>
    <t>mirandes</t>
  </si>
  <si>
    <t>LO MAS IMPORTANTES SON LAS RESISTENCIAS Y LOS SOPORTES</t>
  </si>
  <si>
    <t>granada</t>
  </si>
  <si>
    <t>espanyol</t>
  </si>
  <si>
    <t xml:space="preserve">la tendencia de casa y fuera junto es bajista clara para granada y alcista para rayo, pero por separado es lo contrario </t>
  </si>
  <si>
    <t>el sevilla esta en resistencia total de partidos enn casa y el espanyol esta en soporte total de partidos fuera, solo el pero de que el espanyol esta en resistencia clara de partidos totales</t>
  </si>
  <si>
    <t>valencia-real sociedad</t>
  </si>
  <si>
    <t>tendencias generales favorable para el valencia</t>
  </si>
  <si>
    <t>pero soporte del realsociedad (para subir)</t>
  </si>
  <si>
    <t>ver como se desarrolla el partido</t>
  </si>
  <si>
    <t>atletico-villareal</t>
  </si>
  <si>
    <t>soporte claro del atletico, tendencia clarisima bajista villareal (general y fuera)</t>
  </si>
  <si>
    <t>pequeño giro en la tendencia del atletico en casa, NUEVO ENTRENADOR VILLAREAL</t>
  </si>
  <si>
    <t>osasuna</t>
  </si>
  <si>
    <t>bilbao</t>
  </si>
  <si>
    <t>levante</t>
  </si>
  <si>
    <t>sporting-malaga</t>
  </si>
  <si>
    <t>los dos estan en soporte claro a corto plazo en (juntos)</t>
  </si>
  <si>
    <t>los dos serian claros para ganar….por tanto un empate creo que estaria bien o 1X</t>
  </si>
  <si>
    <t>VALENCIA</t>
  </si>
  <si>
    <t>ATLETICO</t>
  </si>
  <si>
    <t>EMPATE</t>
  </si>
  <si>
    <t>esperar a que empiece</t>
  </si>
  <si>
    <t>2-0</t>
  </si>
  <si>
    <t>0-0</t>
  </si>
  <si>
    <t>1-1</t>
  </si>
  <si>
    <t>1-2</t>
  </si>
  <si>
    <t>AL FINAL NO LE APOSTE Y QUDARON 0-1, analizarlo</t>
  </si>
  <si>
    <t>3-0</t>
  </si>
  <si>
    <t>2-1</t>
  </si>
  <si>
    <t>0-1</t>
  </si>
  <si>
    <t>ver que los dos equipos esten en concordancia para que se produzca el resultado elegido</t>
  </si>
  <si>
    <t xml:space="preserve">los enfrentamientos directos son importantes si tienen una racha muy clara en los ultimos </t>
  </si>
  <si>
    <t>partidos, si no no sirve</t>
  </si>
  <si>
    <t>mallorca</t>
  </si>
  <si>
    <t>VISITANTE</t>
  </si>
  <si>
    <t>LOCAL</t>
  </si>
  <si>
    <t>en el anual liga el levante esta en claro aponyo sobre tendencia alcista y tambien sobre soporte, el zaragoza esta en clara tendencia bajista de todo</t>
  </si>
  <si>
    <t>ver carpeta descargas</t>
  </si>
  <si>
    <t>analizar el sistema de bolsa nasdaq</t>
  </si>
  <si>
    <t>hacer la operación vendeta</t>
  </si>
  <si>
    <t>en el largo(visitante anual) el malaga ha pasao pa abajo un soporte muy claro y el sporting esta casi en el canal alcista</t>
  </si>
  <si>
    <t>canal lateral</t>
  </si>
  <si>
    <t>liga-todos</t>
  </si>
  <si>
    <t>2007-2008</t>
  </si>
  <si>
    <t>apoyo en tendecia alcista</t>
  </si>
  <si>
    <t>tendencia alcista</t>
  </si>
  <si>
    <t>tendencia bajista</t>
  </si>
  <si>
    <t>cuidado porque era de seguda</t>
  </si>
  <si>
    <t>r. sociedad</t>
  </si>
  <si>
    <t>2006-2007</t>
  </si>
  <si>
    <t>liga-LOCAL</t>
  </si>
  <si>
    <t>liga-VISITANTE</t>
  </si>
  <si>
    <t>no mirar hasta dentro de 4 jornada</t>
  </si>
  <si>
    <t>malaga</t>
  </si>
  <si>
    <t>2004-2005</t>
  </si>
  <si>
    <t>resistencia tremenda</t>
  </si>
  <si>
    <t>2005-2006</t>
  </si>
  <si>
    <t>no mirar hasta dentro de 2 jornadas</t>
  </si>
  <si>
    <t>esta a puto, solo ver que supere la resitencia</t>
  </si>
  <si>
    <t>villarreal</t>
  </si>
  <si>
    <t>ver como evolucionan</t>
  </si>
  <si>
    <t>ha superado tendencia bajista</t>
  </si>
  <si>
    <t>soporte tremendo</t>
  </si>
  <si>
    <t>2003-2004</t>
  </si>
  <si>
    <t>pero no es muy clara, cuidado con las resistencias (aunque confiar en la tendencia si se confirman cosas malas del rival)</t>
  </si>
  <si>
    <t>mini tendencia alcista</t>
  </si>
  <si>
    <t>en totales liga el osasuna debe perder para apoyarse ne tendencia, en totales de todo, el osasuna debe ganar (esta poyado en ten.), en liga visitante el osasuna ha perdido el ultimo pero lleva un ten. Alcista; en totales de todo el valencia acaba de rebotar en ten. alcista, en totales liga el valencia debe ganar (esta apoyado en ten. alcista), en liga visitante en valencia esta apoyado en ten. alcista; y en partidos directos el valencia debe ganar (ya que hay una resistenica brutal en contra del osasuna en casa) y en directos totales la ten. es bajista ademas. lo unico malo es que el valencia tiene varias bajas: pablo, r.costa, piatti. No es un partido muy seguro (los 2 equipos llevan una racha de incertidumbre, perdiendo y ganando)</t>
  </si>
  <si>
    <t>en los totales actuales es claramente un 2 ya que ambos estan en concordancia total (sop. Y res. clarisimas); rayo locales anuales pierde. ES UNA PAUESTA UN POCO CONTRA TENDENCIA DEL RAYO ya que ha ganado los ultimos 3 partidos, o sea, que la apuesta es por los sop. y res. mas que todo</t>
  </si>
  <si>
    <t>0-2</t>
  </si>
  <si>
    <t>ver lo de las cuentas y los regalos</t>
  </si>
  <si>
    <t>ver lo del riesgo novatos</t>
  </si>
  <si>
    <t>texto BOLSA MACD</t>
  </si>
  <si>
    <t>http://masters-hackers.com/foro/showthread.php?t=10525</t>
  </si>
  <si>
    <t>PROBAR DE NUEVO EL hilo DE SOLO CUOOTAS DE 2,00 O MAS</t>
  </si>
  <si>
    <t>LECCIONES APRENDIDAS</t>
  </si>
  <si>
    <r>
      <t xml:space="preserve">según los </t>
    </r>
    <r>
      <rPr>
        <b/>
        <sz val="11"/>
        <color theme="1"/>
        <rFont val="Calibri"/>
        <family val="2"/>
        <scheme val="minor"/>
      </rPr>
      <t>enfrentamientos directos</t>
    </r>
    <r>
      <rPr>
        <sz val="11"/>
        <color theme="1"/>
        <rFont val="Calibri"/>
        <family val="2"/>
        <scheme val="minor"/>
      </rPr>
      <t xml:space="preserve"> deberia perder el racing o empatar </t>
    </r>
    <r>
      <rPr>
        <b/>
        <sz val="11"/>
        <color theme="1"/>
        <rFont val="Calibri"/>
        <family val="2"/>
        <scheme val="minor"/>
      </rPr>
      <t>(clara resistencia)</t>
    </r>
  </si>
  <si>
    <t>en totales de todo el athletic esta en resistencia, y el rayo (este es el unico pero) ha perdido el ultimo partido y no hay soporte alguno; pero en totales visitante el bilbao ha vuelto a estar bajo la M18 y ademas esta en resistencia; en totales locales el rayo esta en un soporte CLARISIMO; en totales liga solo el athletic ha chocado y ya ha tirado pa abajo con una resistencia</t>
  </si>
  <si>
    <t>racing-valencia</t>
  </si>
  <si>
    <t>en enfrentamientos directos totales, hay un soporte clarisimo a favor del racing, pero la tendencia desde el 2009 es totalmente bajista</t>
  </si>
  <si>
    <t>medio sporte para el racing liga locales….pero con muchisimos empates en ese soporte</t>
  </si>
  <si>
    <t>medio soporte en valencia liga totales</t>
  </si>
  <si>
    <t>resistencia en valencia totales, medio soporte pero con la mayoria empates en racing totales</t>
  </si>
  <si>
    <t>en racing locales de todo medio soporte y en valencia visitantes de todo medio resistencia</t>
  </si>
  <si>
    <t>en liga totales desde 2007 el santander esta en tendencia bajista y ha rebota contra la M40 y contra la linea de tendencia</t>
  </si>
  <si>
    <t>en liga totales desde 2007 el valencia esta medio apoyado en tendencia alcista pero terciaria…no muy claro</t>
  </si>
  <si>
    <t>ANALIZAR EL RESULTADO Y VER QUE COSA LO PREDIJO….habia según yo claras posibilidades de empate…al menos sino para hacer trading en la primera parte</t>
  </si>
  <si>
    <t>rompe soporte tremendo</t>
  </si>
  <si>
    <t>en totales de todo los dos estan sobre soporte aunque es mas claro el del mallorca (este es el pero); en locales totales tendencia totalmente alcista del espanyol; en locales liga el espanyol acaba de romper una super resistencia; en totales liga el espanyol esta en resistencia clara (un pero gordo); en totales liga el mallorca esta en medio soporte; en enfrentameintos directos el espanyol debe ganar debido a un soporte CLARISIMO, y en enf. directos locales el espanyol tiene tendencia claramente alcista</t>
  </si>
  <si>
    <t>real sociedad-sporting</t>
  </si>
  <si>
    <t>en totales de todo los dos estan en soportes CLARISIMOS</t>
  </si>
  <si>
    <t>en locales la real sociedad tiene tendencia clara alcista y ha retrocedido a un soporte</t>
  </si>
  <si>
    <t>en visitantes el sporting esta en soporte CLARISIMO (limpio..sin empates ni picos mas bajos)</t>
  </si>
  <si>
    <t>en totales liga la real esta en un soportecillo de empates, y el sporting sigue estando en clarisimo soporte (el mismo de antes)</t>
  </si>
  <si>
    <t>en liga locales la real esta en un soporte claro; y en liga visitantes el esporting acaba de romper un soporte bastante claro</t>
  </si>
  <si>
    <t>ANALIZARLO BIEN…se puede aprender bastante</t>
  </si>
  <si>
    <t>en totales de todo el granada esta en claro soporte y el betis tiene que perder para apoyarse en soporte y en la linea de ten. alcista; en totales liga el granada esta en claro soporte (el mismo de antes) y el betis nada especial; en locales el betis esta en clara resistencia y el granada hace dos partidos que rompio soporte a la baja (esto ultimo es el unico pero); si quedan empate ver si conviene apostar al X2 si la cuota del 2 es muy alta</t>
  </si>
  <si>
    <t>levante-getafe</t>
  </si>
  <si>
    <t>ANALIZARLO…y sacar conclusiones y anotarlas, no borrar estos comentarios</t>
  </si>
  <si>
    <t>en totales de todo el levante esta en tendencia bajista y le falta perder un partido para poyarse en un soporte importante, qunue ahora mismo esta apoyado en un medio soporte (muchos empates y picos pequeños)</t>
  </si>
  <si>
    <t>en totales de todo el getafe esta en una bastante clara resistencia si miramos desde el 2003 sino solo es una resistencia de un piquillo, pero esta haciendo claramente una figura de suelo redondo/circular y ya esta cerrando el ovalo y tirando pa arriba en los ultimos partidos, (se avecina una inversion de tendencia clara, creo/opino)</t>
  </si>
  <si>
    <t>en totales liga el levante esta apoyado en un soporte claro y el ultimo partido ya fue un empate sobre el soporte, y ademas esta apoyado perfectamente sobre linea de ten. alcista, por lo que deberia ganar claramente por ese lado</t>
  </si>
  <si>
    <t>en totales liga el getafe esta en una resistencia</t>
  </si>
  <si>
    <t>en locales el levante esta en tendencia alcista clara; *IMP. (porque respeta bastante bien la M4, y esta se ha girado ya claramente hacia arriba): y en visitantes del getafe ha cambiado su tendencia totalmente bajista y ahora ya esta para arriba</t>
  </si>
  <si>
    <t>en liga locales el malaga viene de rebotar con una enorme resistencia, en liga visitantes el sevilla esta apoyado sobre un soporte clarisimo y ya ha hecho un empate sobre él; en totales de todo el malaga acaba de romper un soporte, el sevilla en totales de todo lleva GEE por lo qe seria probable que gane ahora, aunque esta en un resistencia (pero con empates, y mas que todo es soporte); en totales liga el malag esta en soporte (este es el pero de la apauesta); y en enf. directos (tanto totales como solo en locales) estan en un CLARISIMO soporte, pero la tendencia es totalmente bajista en los ultimos años, y ya el ultimo partido rompio otro soporte clarisimo por lo que no parece que tengan mucha validez (este es el mayor pero de todos creo)</t>
  </si>
  <si>
    <t>http://www.mitele.es/series-online/la-fuga/temporada-1/capitulo-1/</t>
  </si>
  <si>
    <t>A. de madrid</t>
  </si>
  <si>
    <t>en totales de todo osasuna esta en clarisimo soporte y apoyado en linea de ten. alcista (aunque se ha pasado un poco, con el ultimo empate), en totales de todo el atletico esta en una resistencia importante; en totales liga osasuna esta en soporte importante y el atletico en resistencia clarisima; EL UNICO PERO ES que el atelito a cambiado de entrenador y lleva un parcial de 7-0 en los ultimos dos partidos (incluyendo un 0-4 en el ultimo partido), y el osasuna lleva una racha en casa de EPPE pero he visto que contra los grandes tiene buenos resultados en su campo a pesar de venir de una rachca negativa; en enf. directos hay un soporte muy claro a favor de osasuna, y en enf. directos locales esta en soporte y tiene una tendencia claramente alcista desde siempre</t>
  </si>
  <si>
    <t>2-3</t>
  </si>
  <si>
    <t>1-0</t>
  </si>
  <si>
    <t>PROBAR EL SISTEMA DE LA BAJADA DE CUOTAS DE oddsportal de BWIN</t>
  </si>
  <si>
    <t>hacer mas analisis del excel intradia</t>
  </si>
  <si>
    <t>ver cual hubiera sido las mejores cantidades de apuestas</t>
  </si>
  <si>
    <t>ver como detecta el indicador de divergencias MACD del PRT las divergencias y intentar hacer uno yo</t>
  </si>
  <si>
    <t>Mirandés</t>
  </si>
  <si>
    <t>Athletic</t>
  </si>
  <si>
    <t>cuotas bwin cuando saliero</t>
  </si>
  <si>
    <t>ultimo cambio bwin</t>
  </si>
  <si>
    <t>http://www.oddsportal.com/predictions/</t>
  </si>
  <si>
    <t>cuotas bwin finales</t>
  </si>
  <si>
    <t>cuotas betafir finales (desc. com.)</t>
  </si>
  <si>
    <t>atletico</t>
  </si>
  <si>
    <t>este deberia poner cuota 6,2 y entonces si.</t>
  </si>
  <si>
    <t>si apuesto solo a los de 1 o 1,2 o 1,25 para arriba la rentabillidad hubiera sido bestial, ver si continua la tendencia</t>
  </si>
  <si>
    <t>Valencia</t>
  </si>
  <si>
    <t>Barcelona</t>
  </si>
  <si>
    <t>Resultado</t>
  </si>
  <si>
    <t>Dia</t>
  </si>
  <si>
    <t>Hora</t>
  </si>
  <si>
    <t>Local</t>
  </si>
  <si>
    <t>Visitante</t>
  </si>
  <si>
    <t>Com.</t>
  </si>
  <si>
    <t>2-2</t>
  </si>
  <si>
    <t>5-1</t>
  </si>
  <si>
    <t>yo respiraba en el ambiente que ganaria el getafe…</t>
  </si>
  <si>
    <t>ver la pestaña guardada con articulos de f optima de google chrome</t>
  </si>
  <si>
    <t>seguir haciendo lo de las op. Nasdaq pero solo para el dia siguiente</t>
  </si>
  <si>
    <t>http://masters-hackers.com/foro/showthread.php?t=8676</t>
  </si>
  <si>
    <t>http://www.cvvtools.net/multimail/</t>
  </si>
  <si>
    <t>es importante el dato de LIGA LOCALES y LIGA VISITANTES</t>
  </si>
  <si>
    <t>mas que cual quier otro locales, vamos me refiero en caso de duda</t>
  </si>
  <si>
    <t>en este dato lo importante es para donde apunta el grafico y de donde viene</t>
  </si>
  <si>
    <t>en totales de todo el levante esta en un soporte muy claro, y el racing oscila entre un canal y le toca bajar a la linea inferiror del canal; en totales liga el levante esta en ten. Alcista, pero mira para abajo (que es lo que acorde que era importante), y el racing al contrario esta en tendencia bajista pero apunta para arriba (en esto el levante esta en un soporteciiillo y el racing en una resistenciiiilla); en totales local y visitante lo mismo pero mas a favor del racing (no hay ni sop. ni res.); en enf directos hay una resistencia bastante clara a favor del racing, pero se esta apoyado sobre ella y los dos ultimos partidos han sido empates, en enf directos locales el levante nunca ha perdido y lleva tendencia continua de GGEGGEG y ahora le toca volver a ganar</t>
  </si>
  <si>
    <t>en totales de todo el mallorca acaba de romper soporte (este es el PERO) y el betis esta apoyado en un soporte bastante bueno (pero si pierde tambien se apoya en otro buen soporte); en totales liga el mallorca esta en un soporte regulin y el betis igual que antes; en locales liga el mallorca esta en soporte clarisimo y en visitantes liga el betis esta en super tendencia bajista (solo ha ganado 1 partido) que es el penultimo y por tanto esta en el tipo soportecillo de un pico; en totales locales y visitantes igual que lo utlimo dicho; en enf directos el mallorca esta en un soporte CLARISIMO a su favor, y en enf directos locales tendencia claramente alcista con secuencia GEGE y le toca ganar ahora</t>
  </si>
  <si>
    <t>si el granada gana al malaga poner que el dato de LOCALES LIGA ES MUY IMPORTANTE</t>
  </si>
  <si>
    <t>el granada esta en muelle y esta en soporte por tanto le toca ganar (y ha cambiado de entrenador y el ultimo partido lo gano dando la sorpresa)</t>
  </si>
  <si>
    <t>el malaga ha roto soporte hace 2 jornadas y esta en caida libre (pero gano el ultimo partido al sevilla)</t>
  </si>
  <si>
    <t>si osasuna gana habra rebotado contra un soporte y contra la linea de tendencia en totales liga</t>
  </si>
  <si>
    <t>en totales de todo el sevilla esta en un soporte CLARISIMO (aunque si pierde tambien cae a otro muy claro) y el villareal esta en tendencia bajista nifunifa; en totales liga el sevilla esta en soporte CLARISIMO y el villareal igual que antes nifunifa; en locales liga el sevilla esta en soporte y en visitantes liga el villareal esta en caida libre; en totales locales el sevilla esta en resistencia (este el unico pero junto con que el ambiente en sevilla es malo y en villareal se aprecia cierta mejora con el nuevo entrenador y viene de empatar con el barcelona), en totales visitantes el villareal esta en caida libre; en enf directos hay una resistenciilla en contra del sevilla pero ya ha habido como estas antes y no se han cumplidol, en enf directos locales tendencia super alcista para sevilla (solo ha perdido 2 partidos desde el 2000 y los ultimos los ha ganado todos)</t>
  </si>
  <si>
    <t>bilbao-espanyol</t>
  </si>
  <si>
    <t xml:space="preserve">en totales de todo el bilbao esta en clara tend. Alcista y el espanyol esta en una resistencia </t>
  </si>
  <si>
    <t>en totales liga el bilbao esta en una resistencia muy clara, y el espanyol esta en una resistenciiilla (ESTE ES EL PERO)</t>
  </si>
  <si>
    <t xml:space="preserve">en locales lliga el bilbao apunta pa arriba pero su grafico es muy irregular </t>
  </si>
  <si>
    <t>en visitantes liga el espanyol esta en nifunifa puede ir pa arriba o pa abajo no se sabe</t>
  </si>
  <si>
    <t>en totales locales el bilbao esta en una super tendenci alacista, y en visitantes totales el espanyol acaba de romper un soporte muy claro</t>
  </si>
  <si>
    <t>en enf directos esta la cosa que nifunifa los locales estan mejor para el athletic (ten. alcista), pero los totales ha roto soporte</t>
  </si>
  <si>
    <t>no tener en cuenta los enfrentamientos directos ya que NO DICEN/ACLARAN NADA</t>
  </si>
  <si>
    <t>CREO QUE CASI APOSTARIA 1,5-2 AL ATHLETIC</t>
  </si>
  <si>
    <t>Y EL VALENCIA VIENE DE JUGAR LA COPA Y HARA ROTACIONES</t>
  </si>
  <si>
    <t>VER CARPETA DE DESCARGAS Y HACER ORDEN DE ESO</t>
  </si>
  <si>
    <t>y ver lo del athletic</t>
  </si>
  <si>
    <r>
      <t xml:space="preserve">VER SI APUESTO AL </t>
    </r>
    <r>
      <rPr>
        <b/>
        <u/>
        <sz val="11"/>
        <color theme="1"/>
        <rFont val="Calibri"/>
        <family val="2"/>
        <scheme val="minor"/>
      </rPr>
      <t>ATLETICO</t>
    </r>
    <r>
      <rPr>
        <sz val="11"/>
        <color theme="1"/>
        <rFont val="Calibri"/>
        <family val="2"/>
        <scheme val="minor"/>
      </rPr>
      <t xml:space="preserve"> PORQUE ESTA ENRACHADO</t>
    </r>
  </si>
  <si>
    <t>a. madrid</t>
  </si>
  <si>
    <t>hacer lo de las cuotas que bajan de ODDsPortal</t>
  </si>
  <si>
    <t>mandarle el trabajito a Andrea si quiere</t>
  </si>
  <si>
    <t>https://www.geekstoy.co.uk/</t>
  </si>
  <si>
    <t>3-3</t>
  </si>
  <si>
    <t>EL DATO DE LOCALES/VISITANTES LIGA ES SUPER IMPORTANTE</t>
  </si>
  <si>
    <t>getafe</t>
  </si>
  <si>
    <t>real sociedad</t>
  </si>
  <si>
    <t>en totales de todo el malaga esta en un soportecillo y el mallorca en una resistencilla; en totales liga el malaga esta en soporte bastante claro y el mallorca en resistencia bastante clara; en locales liga el malaga apunta pa arriba en la tendencia alcista de fondo (lo unico malo es que esta en resistencia de dos empates seguidos) y en visitantes liga el mallorca apunta para abajo aunque esta en un soportecillo de empates; el unico medio pero es que en enf directos el malaga deberia perder porque esta en pico, pero solo es uno y dije que si no eran muy claras las resistencias o soportes no se tenian en cuenta, pero el caso es que en enf directos locales pasa tambien lo mismo</t>
  </si>
  <si>
    <t>en totales de todo la real esta en un soporte CLARISIMO tipo muelle; en totales liga la real esta en un soporte bastante claro pero con unos varios empates), y el sevilla ya hace dos partidos que rompio la tendencia alcista (aunque podriamos decir que esta en soporte) pero ya estaba la jornada anterior y perdio; en liga locales la real acaba de rebotar contrala linea de ten alcista y apunta pa arriba (lo unico es que esta en una resistencia de emaptes), en visitantes liga el sevilla acaba de romper un soporte clarisimo; en enf directos la real acaba de romper un soporte muy claro, pero ante eso no dice nada el sistema, en enf directos locales la real ha perdido los 3 ultimos partidos, ESTE PARTIDO TIENE SOBRE TODO EL PERO DE QUE ES EL PRIMER PARTIDO DEL SEVILLA DESPUES DEL CAMBIO DE ENTRENADOR</t>
  </si>
  <si>
    <t>en totales de todo el betis esta en un soporte CLARISIMO y el pero es que el bilbao esta en tendencia alcista total (pero tiene tropiezos); en totales liga el betis esta en soporte CLARISIMO y el bilbao esta en resistencia CLARISIMA y ya ha hecho empate sobre ella; en locales liga el betis apunta pa abajo pero ni frio ni calor, y en visitantes liga el bilbao esta en resistencia; enf directos no nos dice nada de nada; en totales locales el betis igual que los locales liga y en visitantes locales el bilbao esta en resistencia de pico maximo (y por ello clara); TAMBIEN TENER EN CUENTA QUE EL BILBAO VIENE DE JUGAR MUCHAS SEMANAS SEGUIDAS LOS MIERCOLES Y SE ACABA DE CLASIFICAR PARA LA FINAL DE COPA, por ello estara cansado y a lo mejor sale relajado al quitarse tanta presion de encima con la clasificacion. [este partido lo veo bastante claro la verdad]</t>
  </si>
  <si>
    <t>en totales de todo el racing esta en soporte de empates (pero ya lleva dos seguidos) y el atletico esta en una resistencia ClARISIMA y ya ha hecho empate sobre ella; en totales liga lo mismo que en totales de todo; en locales liga el racing esta sobre soporte de empates y ya ha hecho empate sobre el, en visitantes loga el atletico esta en clara tendencia pa arriba y le falta ganar un partido para llegar a resistencia (este es uno de los mayores peros); en enf directos locales estan en resistencia muy clara aunque falta ganar un partido al racing para llegar a resistencia historica, y de los 4 ultimos enf el racing ha ganado 3 y empatado 1, (la resistencia de los enf directos es otro de los grandes peros); en locales totales el raicng esta en soporte claro y en visitantes totales el atletico esta en resistencia clara. (partido dudosillo pero con buena cuota pal racing, LO UNICO ES QUE EL ATLETICO ESTA EN PLENA FORMA)</t>
  </si>
  <si>
    <t>3-1</t>
  </si>
  <si>
    <t>en totales de todo el sevilla esta en un soporte CLARISIMO y el osasuna en una resistencia CLARISIMA; en totales liga pasa lo mismo; en unico medio pero es que en locales liga el sevilla apunta para abajo, en visitantes liga el osasuna lleva 3 empates seguidos; en locales totales el sevilla esta en un soporteciiillo y en visitantes totales el osasuna tambien; en enf directos totales el sevilla deberia ganar debido a un soporte CLARISIMO y en enf directos locales el sevilla esta en clara tendencia alcista</t>
  </si>
  <si>
    <t>en totales de todo el granada esta en un claro soporte y la real esta en una resistencia CLARISIMA; en totales liga el granada esta en un soporte muy claro y la real en una resistencia tambien muy clara; en locales liga el granada esta en resistencia clarisima (este es el mayor pero, y es bastante grande); en locales totales el granada esta en una resistenciilla y la real en un soporteciillo pero en ninguno de los dos casos se han respetado las veces anteriores que se han dado; en enf directos locales el granada ha ganado los ultimos 7 partidos (no pierde ni empata contra la real desde 1970)</t>
  </si>
  <si>
    <t>en totales liga el rayo esta en un resistenciilla y el getafe esta en un soporte; en locales liga el rayo acaba de romper un soporte claro, y en visitantes liga el getafe ha invertido la tendencia claramente y ahora va pa arriba con fuerza; el unico pero es que en totales locales el rayo esta en un soporte clarisimo</t>
  </si>
  <si>
    <t>en totales de todo el bilbao esta medio apoyado en linea de tendencia y el malaga esta en resistencia clara; en totales liga el bilbao esta en soporte y el malaga en resistencia; en locales totales clara tendencia alcista del bilbao y en visitantes totales clara tendencia bajista del malaga; el pero de esta apuesta es que se nota que esta decayendo el estado de forma del bilbao en los ultimos partidos y tambien que segun la secuencia GGEPE que se esta desarrollando en locales liga del bilbao hora le tocaria perder al bilbao</t>
  </si>
  <si>
    <t>el atletico ha roto resistencia historica en totales de todo, pero en totales liga esta en resistencia historica con 2 empates sobre ella, ver que pasa y anotar en caso de duda seria cual de los 2 es mas importante</t>
  </si>
  <si>
    <t>yo creo que este partido puede ser como el del sevill-espanyol y el del racing-atletico, pero con menos posibilidades de ganar el sporting y mas el atletico, por tanto apostaria al EMPATE</t>
  </si>
  <si>
    <t>en totales de todo el levante esta en soporteciillo y el rayo esta en resistencia CLARISIMA; en totales liga el levante esta en soporte y el rayo en resistencia CLARISIMA; en visitantes liga el rayo esta en una resistencia de empates; en enf directos y locales el levante esta en clara tendencia alcista</t>
  </si>
  <si>
    <t>en el getafe-espanyol en totales de todo y totales liga estan los dos en soportes y ninguno de los 2 ha hecho empate sobre ellos, asi que apostaria al EMPATE</t>
  </si>
  <si>
    <t>aunque bajon de cuotas y otros factorcillos de los graficos dan ligera ventaja al getafe; es un partido incierto ya que los dos vienen de perder 2-0 el getafe en el derbi madrileño y el espanyol contra el colista</t>
  </si>
  <si>
    <t>yo creo que moralmente esta mas afectado el espanyol; VER QUE PASA FINALMENTE, Y ANOTAR LAS CONCLUSIONES</t>
  </si>
  <si>
    <t>villreal</t>
  </si>
  <si>
    <t>en totales de todo el mallorca esta soporte y el villareal en una resistenciiiiilla de 2 empates; en totales liga el mallorca esta en soporte CLARÍSIMO y el villareal esta en resistencia; en locales liga el mallorca esta en resistencia CLARISIMA (este es el gran pero de la apuesta, aunque actuar, actua mas como soporte que como resistencia); en locales totales al mallorca le pasa lo mismo que he descrito en el ultimo apartado</t>
  </si>
  <si>
    <t>Si en un partido los dos equipos estan en soportes claros en totales liga y totales todo, apostarle al empate. (el getafe-espanyol paso eso), sino tambien podria ser apostar al empate en el primer tiempo</t>
  </si>
  <si>
    <t>4-1</t>
  </si>
  <si>
    <t>analizar los resultados si hubiera aposta en sistemas de combiandas a los patidos de cada fin de semana</t>
  </si>
  <si>
    <t>Si por ejemplo en totales de todo se acaba de romper resistencia pero en totales liga se esta en resistencia, apostar al empate, ya que es mas importante totales liga, y ademas cuando se acaba de romper resistencia se suele producir un empate</t>
  </si>
  <si>
    <t>4-0</t>
  </si>
  <si>
    <t>Si un partido esta claro para un equipo pero no le apuesto porque hay una resistencia importante en su contra, ver si la resistencia esa ha actuado mas como resistencia o como soporte, y si ha actuado mas como soporte, apostarle a pesar de su existencia</t>
  </si>
  <si>
    <t>3-5</t>
  </si>
  <si>
    <t>hubiera aposatdo en contra del granada a 4,90 y del getafe 3,85 , o es decir, a favor del osasuna 1,91 y del betis 2,16</t>
  </si>
  <si>
    <t>a favor del mallorca a 1,95</t>
  </si>
  <si>
    <t>a favor del bilbao a 1,65</t>
  </si>
  <si>
    <t>a favor del valencia 2,05</t>
  </si>
  <si>
    <t>a favor del madrid 1,15</t>
  </si>
  <si>
    <t>a favor del barcelona 1,08</t>
  </si>
  <si>
    <t>y para la proxima proxima, hubiera paostado en bwin, porque en betfair no estan</t>
  </si>
  <si>
    <t>el getafe esta en soporte clarisimo (aunque de sporte solo ha hecho empates, es mas de resistencia) pero el betis en enf directos esta en soporte clarisimo (no hay empates ni picos mas bajos ni nada); el betis en locales totales esta en resistencia. Los demas graficos no dicen nada importante. PARTIDO MUY DIFICIL LA VERDAD. segun bajon de cuotas gana el betis claramente, no tiene errores los cambios de cuotas, las tendencias son claras</t>
  </si>
  <si>
    <t>en totales de todo el malaga esta en soporte CLARISIMO y el zaragoza esta en soporteciiiiillo (es de un solo pico y de hace 2 partidos, este es quizás el único medio pero); en totales liga igual que en totales lde todo; en locales liga el malaga acaba de romper resistencia; en enf directos el málaga debe ganar porque esta en soporte CLARISIMO e histórico (y ademas ya ha hecho empate sobre él); en enf locales el malaga tambien esta en soporte; en locales totales el malaga esta en resistenciilla de empates solo</t>
  </si>
  <si>
    <t>en totales de todo el osasuna esta en soporte CLARISIMO (lo malo es que la mayoria son empates, y todavia no ha hecho empate sobre él) y el granada esta en resistencia; en totales liga el osasuna esta en soporte CLARISMO y el granada en resistencia; en locales liga el osasuna esta en tendencia alcista y en visitantes liga el garanda esta en tendencia bajista pero esta en soporteciiiillo (este es el unico medio pero); en locales totales y visitantes totales pasa lo mismo</t>
  </si>
  <si>
    <t>en totales de todo la real sociedad esta en soporte CLARISIMO y el mallorca en resistencia muy clara; en totales liga la real sociedad esta en soporte CLARISIMO y el mallorca en resistencia CLARISIMA; en locales liga la real esta en resistencia (este es el pero de esta apuesta) y en visitantes liga el mallorca esta en tendencia bajista; segun enf directos totales la real debe ganar porque esta en un soporte CLARISIMO y en enf locales la real esta en clara tendencia alcista; en locales totales la real esta en tendencia alcista y en visitantes totales el mallorca esta en soporte (este es un medio pero)</t>
  </si>
  <si>
    <t>en totales de todo el valencia esta en una resistenciiiilla (de un pico de hace 2 partidos) y el sevilla esta en resistencia CLARISIMA; en totales liga el valencia esta en un soporte muy claro y el sevilla en resistencia clara; en locales totales y locales liga el valencia esta en tendencia alcista y en visitantes totales y visitantes liga el sevilla esta en tendencia bajista; el unico pero de esta apuesta es que puede que el sevilla comience un cambio de tendencia con la ultima victoria frente a osasuna por 2-0 y con el nuevo entrenador. otro pero es que el valencia viene de jugando entre semana durante el ultimo mes. PERO SEGUN EL SISTEMA ESTRICTAMENTE HAY QUE APOSTARLE AL VALENCIA</t>
  </si>
  <si>
    <t>betis-getafe</t>
  </si>
  <si>
    <t>villarreal-bilbao</t>
  </si>
  <si>
    <t>en totales de todo el bilbao esta en resistencia; en totales liga el villareal esta en soporte y el bilbao en resistencia CLARISIMA (historica); en totales liga el villareal esta en clara tendencia alcista desde hace rato y en visitantes liga el bilbao esta en un soporte CLARISIMO (este es uno de los grandes peros de la apuesta); en enf locales el villareal le ha ganado los ultimos 7 partidos consecuitivos; en locales totales el villareal esta en una resistencia CLARISIMA (este es el otro gran pero de la apuestas) y en visitantes totales el bilbao esta en soporte. NO LE APUEZSTO AL VILLAREAL PORQUE HAY DOS PEROS MUY IMPORTANTES EN SU CONTRA. y al empate no le apuesto, porque no es que los 2 equipos esten en sporte sino que hay peros, entonces puede ganar cualquiera de los dos o eso creyo yo. VER COMO ACABA Y ANALIZARLO, no poner solo el resultado sino tambien como fue el partido</t>
  </si>
  <si>
    <t>en totales de todo el espanyol esta en soporte CLARISIMO y el levante esta en soporte claro; en totales liga el espanyol esta en soporte y el levante esta en soporte CLARISIMO; los demas factores benefician ligeramente al espanyol pero según el sistema si los dos equipos estan en soportes claros en totales de todo y totales liga se apuesta al empate, me imagino un partido como el getafe-espanyol de la jornada pasada</t>
  </si>
  <si>
    <t>en totales de todo el racing esta en un soporte CLARISIMO y el sporting esta en clara tendencia bajista; en totales liga el racing esta en soporte y el sporting en tendencia bajista; en locales totales el racing esta en soporte y en visitantes totales sporting hace dos partidos que rompio soporte</t>
  </si>
  <si>
    <t>no apostar a los partidos en que no se vean las 3 lineas escritas que se ven al desplegar el cuadro de texto, ya que siempre que la explicacion ha sido corta, se ha fallado el pick</t>
  </si>
  <si>
    <t>o si apuesto al empate tambien quiere decir, que no va a ser un partido facil para el favorito, pero no se con uqe tipo de apuesta se puede aprovechar esa información. (no se si seria bueno cerrar todas las apuestas si estan a un gol de ser falladas y las tengo acertadas por el momento)</t>
  </si>
  <si>
    <r>
      <t xml:space="preserve">si un equipo esta en un soporte de </t>
    </r>
    <r>
      <rPr>
        <b/>
        <u/>
        <sz val="11"/>
        <color theme="1"/>
        <rFont val="Calibri"/>
        <family val="2"/>
        <scheme val="minor"/>
      </rPr>
      <t>muchos</t>
    </r>
    <r>
      <rPr>
        <b/>
        <sz val="11"/>
        <color theme="1"/>
        <rFont val="Calibri"/>
        <family val="2"/>
        <scheme val="minor"/>
      </rPr>
      <t xml:space="preserve"> empates, de momento, seria bueno haber apostado al empate creo (betis-getafe)</t>
    </r>
  </si>
  <si>
    <t>APOSTAR AL EMPATE EN LOS PARTIDOS DE LOS QUE PONGO SUS ANALISIS PERO NO LES APUESTO</t>
  </si>
  <si>
    <t>SEGUIR ANALOZANDO LO DE APOSTAR AL NO FAVORITO EN LOS PARTIDOS QUE NO PONGO NINGUN TIPO DE ANALISIS NI LOS NOMBRO, (sin contar los partidos del madrid y del barcelona). [de momento iria ganando]</t>
  </si>
  <si>
    <t>en los partidos que apuesto al empate, yo creo que en el minuto 85 o 90 o cuando vayan empate ya cerrar la apuesta haciendo greenbook, porque siempre me han fallado por un gol en el ultimo minuto, HE COMPROBADO QUE A UNA CUOTA DE 1,25 (que se da por el minuto 87-88 mas o menos) SI QUE ES RENTABLE Y CONVIENE HACERLO</t>
  </si>
  <si>
    <t>si cambio el 80 de la fila L por otro numero menor me da mas rentabilidad</t>
  </si>
  <si>
    <t>en totales de todo el rayo esta en soporte claro y el racing esta en soporte CLARISIMO; en totales liga el rayo esta en soporte claro y el racing esta en soporte; en locales liga el rayo esta en soporte muy claro y en visitantes liga el racing esta en soporte; en enf directos totales hay una resistencia CLARISIMA en contra del rayo y en enf locales tambien hay una resistencia muy clara en contra del rayo; en locales totales el rayo esta en un soporte CLARISIMO y en visitantes totales el racing esta en soporteciillo</t>
  </si>
  <si>
    <t>levante-betis</t>
  </si>
  <si>
    <t>creo que ganara el betis pero no por concordancia, mas que todo porque el betis no esta en resistencia y el levante esta en algunas resistencias, ademas en enf totales hay clara resistencia historia en contra del levante y sin empates, pero en locales liga y totales el levante esta en soporte (aunque no fuertes), pero en enf locales el levante acaba de romper al alza resistencia historica clarisima.NO BET</t>
  </si>
  <si>
    <t>en totales de todo el getafe esta en soporte claro y ya ha hecho 2 ampates sobre el y el malaga esta en resistencia CLARISIMA; en totales liga el getafe esta en soporte y el malaga en resistencia clara; en locales liga el getafe esta en tendencia alcista de fondo y en visitantes liga el malaga esta en clara tendencia bajista; en locales totales y visitantes totales lo mismo; en enf directos locales hay un soporte claro a favor del getafe</t>
  </si>
  <si>
    <t>en totales de todo el sevilla esta en resistencia clara (limpia) y el atletico en soporteciiiillo; en totales liga el sevilla esta en resistencia CLARISIMA y el atletico esta en soporte claro; en locales liga el sevilla esta en resistenciiilla y el atletico se giro para arriba pero ha hecho 2 empates segidos; en locales totales el sevilla esta en resistencia CLARISIMA; el unico pero de esta apuesta es el cambio de racha que parece ha efectuado el sevilla, pero el atletico tambien esta en racha</t>
  </si>
  <si>
    <t>en totales de todo el bilbao esta en resistencia y la real sociedad esta en resistencia CLARISIMA (muelle); en totales liga el bilbao esta en resistencia CLARISIMA y la real tambien esta en resistencia CKARISIMA (muelle); en locales liga el bilbao esta en tendencia alcista y la real en soportecillo; en locales totales el bilbao esta en tendencia alcista clarisima y en visitantes totales la real esta en tendencia bajista muy clara (este es el mayor pero de esta apuesta, junto con que se nota que el bilbao esta en racha). ACORDARSE DE HACER TRADING.</t>
  </si>
  <si>
    <t>en totales de todo el granada esta en un soporte muy claro y el valencia también esta en un soporte muy claro; en totales liga el granada esta en un soporte muy claro y el valencia en soporte; en locales liga el granada acaba de superar resistencia clara (me he dado cuenta de que despues de superar resistencia, o romper soporte es muy típico que se haga un empate y luego se continue con la tendencia) y el valencia esta en soporte; en enf directos no hay nada remarcable; en visitantes totales el valencia esta en un soporte CLARISIMO. ACORDARSE DE HACER TRADING.</t>
  </si>
  <si>
    <t>en totales de todo el mallorca esta en soporte CLARISIMO y el osasuna esta en resistencia CLARISIMA; en totales liga el mallorca esta en soporte CLARISIMO y el osasuna esta en resistencia clara; en locales liga el mallorca esta en resistencia SUPER CLARISIMA (historica, pero con la bastantes empates) [esto es lo que hace que no apueste a favor del mallorca] y en visitantes liga el osasuna esta en soporteciiillo; en locales totales el mallorca esta en una resistencia CLARISIMA (aunque esos si actua como soporte la mayoria de las veces, cuando la ataca por debajo el mallorca siempre ha sido empate salvo cuando jugo contra el madrid que perdio por 1-2) y el osasuna esta en soporteciiiillo</t>
  </si>
  <si>
    <t>real madrid</t>
  </si>
  <si>
    <t>tanto en totales de todo como en totales liga el espanyol esta en soporte claro, y si vemos desde el año 2008 el espanyol esta en soporte de un pico historico (limpisimo). ESTA POR VER SI HAGO TRADING O NO</t>
  </si>
  <si>
    <t>si fallo el partido del getafe-malaga, poner que si desde luego la explicacion no es muy larga no apostarle, pero suspuestamente era no apostar si la explicacion es solo de 2 lineas, y esta es de 3 lineas</t>
  </si>
  <si>
    <t>Estrategia de Empates para los partidos Dudosos</t>
  </si>
  <si>
    <t>1-3</t>
  </si>
  <si>
    <t>4-2</t>
  </si>
  <si>
    <t>LO HE FALLADO, asi que para otra ya se</t>
  </si>
  <si>
    <t>5-0</t>
  </si>
  <si>
    <t>nuevo metodo estado de forma y locales y visitantes de mismarcadores.com</t>
  </si>
  <si>
    <t>celta</t>
  </si>
  <si>
    <t>numancia</t>
  </si>
  <si>
    <t>pronostico</t>
  </si>
  <si>
    <t>stake (1-3)</t>
  </si>
  <si>
    <t>girona</t>
  </si>
  <si>
    <t>xerez</t>
  </si>
  <si>
    <t>alcorcon</t>
  </si>
  <si>
    <t>hercules</t>
  </si>
  <si>
    <t>nobet</t>
  </si>
  <si>
    <t>nobet (X)</t>
  </si>
  <si>
    <t>almeria</t>
  </si>
  <si>
    <t>recreativo</t>
  </si>
  <si>
    <t>cordoba</t>
  </si>
  <si>
    <t>huesca</t>
  </si>
  <si>
    <t>guadalajara</t>
  </si>
  <si>
    <t>deportivo</t>
  </si>
  <si>
    <t>nastic</t>
  </si>
  <si>
    <t>por desmerito mas qe todo del nastic (stake a lo mejor de 0,75)</t>
  </si>
  <si>
    <t>villarreal B</t>
  </si>
  <si>
    <t>murcia</t>
  </si>
  <si>
    <t>las palmas</t>
  </si>
  <si>
    <t>muy igualado en todo salvo en racha, que las palmas claramente esta mejor</t>
  </si>
  <si>
    <t>sabadell</t>
  </si>
  <si>
    <t>barcelona B</t>
  </si>
  <si>
    <t>x</t>
  </si>
  <si>
    <t>elche</t>
  </si>
  <si>
    <t>valladolid</t>
  </si>
  <si>
    <t>es un no bet clarisimo, mas que los otros, por eso no pongo ni la x</t>
  </si>
  <si>
    <t>alcoyano</t>
  </si>
  <si>
    <t>cartagena</t>
  </si>
  <si>
    <t>muy igualado en todo (por eso pongo la x directa) (rivales directos)</t>
  </si>
  <si>
    <t>PONER TAMBIEN CUAL SERIA EL PRONOSTICO TENIENDO EN CUENTA SOLO ES ESTADO DE FORMA Y TENIENDO EN CUENTA SOLO LA CLASIFICACION (y si puedo teniendo en cuenta solo el numerito de local y de visitante)</t>
  </si>
  <si>
    <t>en totales de todo la real esta en un soporte CLARISIMO (tipo muelle) y el zaragoza en tendencia bajista clara; en totales liga la real esta en un soporte CLARISIMO (tipo muelle) y el zaragoza en tendencia bajista clara; en locales liga la real esta en clara tendenci alcista (acaba de superar resistencia) y el zaragoza esta en un soportecilllo (es lo unico malillo de la apuesta); en enf directos totales hay un soporte muy claro a favor de la real y en enf locales hay una resistenciilla en contra de la real (el unico medio pero); en locales y visitantes liga pasa lo mismo que en locales y visitantes totales</t>
  </si>
  <si>
    <t>en totales de todo el sporting esta en clara tendencia bajista (esto es lo malo de la apuesta) y el sevilla esta en resistencia clara; en totales liga el sporting esta tambien en ten bajista y el sevilla en resistencia clara (ya ha hecho un empate sobre ella); en locales liga el sporting esta en una linea de empates (puede ir para arriba o para abajo) y en visitantes liga el sevilla esta en tendencia bajista clara; en enf directos totales hay un soporte CLARISIMO a favor del sporting y en enf locales la tendencia es alcista; en locales totales el sporting esta en resistencilla (ya ha hecho dos empates sobre ella) y el sevilla en clara tendencia bajista</t>
  </si>
  <si>
    <t>ver la iamgen del betis madrid guaradad</t>
  </si>
  <si>
    <t>en totales de todo el villarreal esta en un soportecillo de empates (si pierde se apoyara en soporte claro) y el getafe esta en un soporte CLARISIMO; en totales liga el villarreal esta igual que antes y el getafe esta en soporte muy claro (aunque si pierde se apoyara en soporte histirico); en locales liga el villarreal esta en tendencia alcista y desarrolla el patron EGEG y ahora le toca ganar, y en visitantes liga el getafe esta remontando la ten bajista; en enf directos locales la tendencia es claramente alcista y favorable para el villarreal (el getafe nunca le ha ganado, solo empatado); en locales totales el villarreal esta en una resistencia CLARISIMA historica (y ya ha hecho empate sobre ella y nunca ha hecho mas de 1 empate sobre ella antes, por tanto le tocaria perder claramente)</t>
  </si>
  <si>
    <t>en totales de todo el espanyol esta en un soporte muy claro y el rayo esta en resistencia; en totales liga el espanyol esta en soporte (pero si pierde apoyara en soporte clarisimo historico, este es el pero de la apuesta) y el rayo esta en resistencia; en locales liga el espanyol esta en soporte CLARISIMO y en visitantes liga el rayo esta en resistencia CLARISIMA (historica y sin empates); en enf directos no hay nada remarcable; en locales totales el espanyol esta en mini ten. bajista dentro de la ten. alcista de fondo  y en visitantes totales el rayo esta en resistencia (auqnue si gana topara con resistencia historica)</t>
  </si>
  <si>
    <t>podria a lo mejor apostar al racing o al empate mejor, pero el messi esta enrachado, y en enf locales el barça siempre ha ganado desde el 2007 y nunca ha perdido desde el 2004, si el barça reserva jugadores pues todavia se podria ver si apostarle, pero si no yo creo que no</t>
  </si>
  <si>
    <t>en totales de todo el osasuna esta e una resistencia CLARISIMA (ya ha hecho empate sobre ella) y el bilbao esta en clara tendencia alcista; en totales liga el osasuna esta en resistencia clara y el bilbao acaba de superar resistencia historica; en locales liga el osasuna esta en resistencia y en visitantes liga el bilbao esta en un soporte CLARISIMO (ya ha hecho empate sobre el); en enf directos totales el bilbao ha ganado 4 de los ultimos 5 partidos contra el osasuna y enf locales acaba de rebotar el osasuna contra linea de tendencia bajista por tanto deberia ganar el bilbao; en locales totales el bilbao esta en resistencilla pero si gana se topara con resistencia historica</t>
  </si>
  <si>
    <t>malaga-levante</t>
  </si>
  <si>
    <t>podria haber apostado al empate o al levante, pero en realidad era apostar por apostar porque no habi ningun soporte ni resistencia clarisima, por eso ni siquiera lo puse en la estrategia de analisis</t>
  </si>
  <si>
    <t>en totales de todo el valencia acaba de romper resistencia (este es uno de los peros de la apuestas) y el mallorca esta en soporte CLARISIMO (y ya ha empatado sobre el); en totales liga el valencia esta resistencia (aunque mejor dicho seria resistenciiilla porque siempre ha actuado como soporte) y el mallorca esta en soporte CLARISIMO (y ya ha empatado sobre el); en locales liga el valencia esta en soporte (este es el gran pero de la apuesta) y en visitantes liga el mallorca esta en soportecillo; en locales liga el valencia esta en resistencilla y en visitantes liga el mallorca acaba de romper soporte (este es otro pero de la apuesta). PUEDE QUE HAGA TRADING.</t>
  </si>
  <si>
    <t>en totales de todo el atletico esta en resistencilla y el granada esta en soporte CLARISIMO historico y limpio(sin empates); en totales liga el atletico esta en soporte muy claro pero ha actuado siempre como resistencia como soportes solo ha hecho empates y luego ha perdido (o sea, que mejor dicho no es un soporte muy claro, sino que se convertiria en soporteciiillo) y el granada esta en soporte CLARISIMO; en locales liga el atletico esta en soporte cillo y en visitantes liga el granada esta en clara tendencia bajista (este es uno de los peros de la apuesta); en enf directos locales la tendencia es clarisimamente favorable al atletico (este es el gran pero de la apuesta); en locales totales el atletico esta en resistencia CLARISIMA (historica y sin empates) y en visitantes totales el granada esta en ten bajista. PUEDE QUE HAGA TRADING.</t>
  </si>
  <si>
    <t>almeria y murcia ganan clarisimo</t>
  </si>
  <si>
    <t>papa dice que el malaga</t>
  </si>
  <si>
    <t>FINAL</t>
  </si>
  <si>
    <t>cuota</t>
  </si>
  <si>
    <t>o a lo mejor por un poquito el cordoba</t>
  </si>
  <si>
    <t>empatados en todo, pero en enf totales el cartagena no ha ganado nunca, de los 7 que hay 5 ha ganado el nastic y 2 han sido empate. TAMBIEN PODRIA SER EMPATE ESTE PARTIDO. Por eso apuesto solo 0,75 y no 1,00</t>
  </si>
  <si>
    <t>pero no es que sea muy claro, lo pongo, porque pongo todos los partidos mas que todo, pero sino seria no bet. PUEDE saltar la sopresa y ganar el guadalajara porque su penultimo partido gano 0-2 y el ultimo perdio 1-2 pero contra el betis, o sea que esta cambiando un poco su super tendencia negativa</t>
  </si>
  <si>
    <t>partido que en realidad yo creo que seria nobet porque a pesar de que el celta solo ha empatado 1p de los ultimos 10, las palmas estan enrachado y sobre todo en casa, ademas en enf totales casi siempre ha ganado el local (en este caso las palmas). NO CREO QUE SEA BUENO TAMPOCO APOSTAR A LA X, porque poder puede ganar cualquiera, por tanto creo que seria nobet</t>
  </si>
  <si>
    <t>estan muy igualados, podria a lo mejor poner x directa pero no me termina de convencer. Pero si que estan muy empatados, aunque un poquito gana el recreativo en clas/loc/vis</t>
  </si>
  <si>
    <t>partido nada claro, en loc/vis gana el murcia claramente pero en EDF gana el xerez claramente, y en enf directos tampoco hay nada claro</t>
  </si>
  <si>
    <t>en clas/loc/vis estan mas o menos igualados pero en EDF gana muy claro el alcorcon que va 2º (solo ha perdido 1p), pero en enf directos hay 2 vic. Del barça una fuera y otra en casa, y 1 empate fuera, o sea que eso beneficia al barça. PODRIA SER X</t>
  </si>
  <si>
    <t>EDF (teniendo en cuenta solo el EDF, si la dif es de 10 o mas posiciones (resto los numeros de las posiciones) apuesto 3, si es de 10 a 5 apuesto 2, y si es menos de 5 apuesto 1</t>
  </si>
  <si>
    <t>Pronostico</t>
  </si>
  <si>
    <t>Stake</t>
  </si>
  <si>
    <t xml:space="preserve"> </t>
  </si>
  <si>
    <t>en clas/loc/vis estan empatados, en EDF gana muy claramente la real, y en enf locales el getafe los ha ganado todos menos 1 que empato, pero los ultimos 2 enf totales han acabado empate. POR TANTO HAY RAZONES PARA QUE PUEDA GANAR EL GETAFE, O LA REAL O SER EMPATE</t>
  </si>
  <si>
    <t>estan muy empatados en todo</t>
  </si>
  <si>
    <t>barcelona</t>
  </si>
  <si>
    <t>no pongo mas stake porque los 2 ultimos enf directos han sido empate</t>
  </si>
  <si>
    <t>en clas gana el rayo, en loc/vis gana el betis y en EDF gana el rayo, pero en los 3 casos es por poco. PONGO la x porque en enf locales ha habido varias x (3 de 4 p han sido x)</t>
  </si>
  <si>
    <t>empatados en todo menos en clas; en enf directos ha habido algunos empates. NO ES UN PARTIDO MUY CLARO, podria poner un nobet (X) quizas.</t>
  </si>
  <si>
    <t>el madrid gana en todo claramente (inlcuidos enf totales) menos en EDF donde el madrid es 1º y el malaga 3º solo por diferencia de 1p perdido.</t>
  </si>
  <si>
    <t>el espanyol gana muy claro en clas/loc/vis pero en EDF estan mas o menos emptados los dos llevas muy mala racha,  y en enf locales el esanyol esta fatal, el racing le ha ganado muchos partidos. POR ELLO PONGO NOBET, sobre todo por lo de los enf locales; lo unico malo es que el espanyol en su ultimo partido (que fue en casa) gano 5-1 al rayo</t>
  </si>
  <si>
    <t>Stake poniendo lo que da la resta como resultado. (ej: si el madrid es el 1º y el sevilla el 5º pondria 5-1=4, o sea, un stake de 4 unid.)</t>
  </si>
  <si>
    <t>en EDF estan empatados, pero en clas/loc/vis gana el valencia aunque no sea por mucho y en enf totales el valencia ha ganado 4 de los ultimos 5 partidos (el ultimo lo ha empatado)</t>
  </si>
  <si>
    <t>http://www.yogano.com/</t>
  </si>
  <si>
    <t>NO ES LARGA LA EXPL</t>
  </si>
  <si>
    <t>en totales de todo el bilbao esta en clara tendencia alcista y el valencia esta bastante irregular (ha hecho 2 empates seguidos); en totales liga el bilbao esta en soporte y el valencia en resistencia; en locales liga el bilbao esta en clara tendencia alcista y en visitantes liga el valencia esta en resistenciilla; en enf locales el bilbao esta en soporte y apoyado en linea de tendencia; en locales totales el bilbao esta en tendencia alcista CLARISIMA (lleva sin perder 13 partidos, solo ha empatado 2) y en visitantes totales el valencia esta en resistencia CLARISIMA (ya ha hecho empate sobre ella)</t>
  </si>
  <si>
    <t xml:space="preserve">en totales de todo el mallorca esta en un soporte muy claro (ya ha hecho 2 empates sobre el) y el atletico esta en ten alcista y sin resistencias por delante; en totales liga el mallorca esta en un soporte clarisimo (es de tipo muelle, aunque acaba de hacer 2 empates seguidos) y el atletico esta en resistencia CLARISIMA (limpia e historica); en locales liga el mallorca esta en resistencia SUPER CLARISIMA (limpisima e historica y ya ha hecho empate sobre ella y nunca ha hecho 2 empates seguidos sobre ella) y en visitante liga el atletico lleva 3 empates seguidos; en enf totales el mallorca esta en soporte muy claro; en locales totales el mallorca esta en resistencia CLARISIMA y en visitantes totales el atletico esta en resistenciiilla </t>
  </si>
  <si>
    <t>en totales de todo el rayo esta en soporte CLARISIMO y el betis tambien esta en soporte CLARISIMO (los dos son super limpios y sin empates); en totales liga el rayo esta en soporte CLARISIMO y el betis tambien esta en soporte CLARISIMO; en locales liga el rayo esta en resistencilla y en visitantes liga el betis esta en ten bajista; en enf directos no hay nada remarcable. A priori es un empate clarisimo segun el sistema (por eso apuesto un poco mas de lo normal). HACER TRADING.</t>
  </si>
  <si>
    <t>en totales de todo los dos estan en tendencia bajista al igual que en totales liga; en locales liga el granada esta en soporte y en visitantes liga el sporting esta en clara tendencia bajista; en enf totales el granada esta en un soporte CLARISIMO limpio y en enf locales el granada nunca ha perdido (ha ganado 10 partidos y empatado 2); en locales totales el granada esta en soportecillo y sigue el patron GGP y ahora le toca ganar (patron repetido 3 veces) y en visitantes totales el sporting esta en clara tendencia bajista.</t>
  </si>
  <si>
    <t>en totales de todo el getafe esta en resistencia CLARISIMA (esta plagada de empates, hay 8) y la real esta en resistencia CLARISIMA (tipo muelle); en totales liga el getafe esta en resistencia clara (hay 4 empates sobre ella) y la real esta en resistencia CLARISIMA (tipo muelle); en los demas graficos no hay nada remarcable. HACER TRADING.</t>
  </si>
  <si>
    <t>en totales de todo el zaragoza esta en soporteciiiiillo y tendencia bajista clarisima y el osasuna acaba de superar una resistencia muy clara (la ultima vez que paso eso, empato el siguiente partido); en totales liga el zaragoza esta igual que en totales de todo y el osasuna esta en resistencia CLARISIMA; en locales liga el zaragoza esta en resistencia y en visitantes liga el osasuna esta en soportecillo; en enf totales hay un soporte CLARISIMO a favor del zaragoza (de los 6 apoyos que ha hecho 5 ha ganado y 1 ha sido empate). A LO MEJOR TENDRIA QUE HABER APOSTADO AL 1X CON STAKE 2,00.</t>
  </si>
  <si>
    <t>en totales de todo el levante esta en clara tendencia bajista y el villarreal esta en soporte; en totales liga el levante esta en tendencia bajista y si pierde se apoyara en un soporte clarisimo y el villarreal esta en soporte; en locales liga el levante esta en una resistenciiiilla y el villarreal esta en clarisima tendencia bajista (caida libre, este es el pero de la apuesta); en enf locales el villarreal ha ganado los 4 ultimos partidos y no ha perdido en ninguno de los ultimos 7 partidos.</t>
  </si>
  <si>
    <t>http://www.apuestasdeportivas.com/pronosticos/estadisticas/32741</t>
  </si>
  <si>
    <t>Granada</t>
  </si>
  <si>
    <t>Mallorca</t>
  </si>
  <si>
    <t>Zaragoza</t>
  </si>
  <si>
    <t>Getafe</t>
  </si>
  <si>
    <t>Levante</t>
  </si>
  <si>
    <t>R. Madrid</t>
  </si>
  <si>
    <t>Rayo</t>
  </si>
  <si>
    <t>Espanyol</t>
  </si>
  <si>
    <t>Hércules</t>
  </si>
  <si>
    <t>Cartagena</t>
  </si>
  <si>
    <t>Huesca</t>
  </si>
  <si>
    <t>Las Palmas</t>
  </si>
  <si>
    <t>Valladolid</t>
  </si>
  <si>
    <t>Sevilla</t>
  </si>
  <si>
    <t>Sporting</t>
  </si>
  <si>
    <t>Atlético</t>
  </si>
  <si>
    <t>X</t>
  </si>
  <si>
    <t>Osasuna</t>
  </si>
  <si>
    <t>R.Sociedad</t>
  </si>
  <si>
    <t>Villarreal</t>
  </si>
  <si>
    <t>Málaga</t>
  </si>
  <si>
    <t>Betis</t>
  </si>
  <si>
    <t>Racing</t>
  </si>
  <si>
    <t>Guadalajara</t>
  </si>
  <si>
    <t>Nástic</t>
  </si>
  <si>
    <t>Girona</t>
  </si>
  <si>
    <t>Celta</t>
  </si>
  <si>
    <t>Almeria</t>
  </si>
  <si>
    <t>Base</t>
  </si>
  <si>
    <t>Papa-Otra</t>
  </si>
  <si>
    <t>1X</t>
  </si>
  <si>
    <t>1X2</t>
  </si>
  <si>
    <t>base amp</t>
  </si>
  <si>
    <t>X2</t>
  </si>
  <si>
    <t>base+historico</t>
  </si>
  <si>
    <t>base+his &lt;&lt;</t>
  </si>
  <si>
    <t>RUBEN</t>
  </si>
  <si>
    <t>PAPA</t>
  </si>
  <si>
    <t>077-01913967-084</t>
  </si>
  <si>
    <t>8C91CB6AC9DD361197485997 E26A302556FED5CF167A1CFF</t>
  </si>
  <si>
    <t>0-3</t>
  </si>
  <si>
    <t>el valencia esta en super resistencia en totales liga, pero no apuesto al zaragoza porque solo le beneficia eso, y por tanto la explicacion no seria suficientemente larga</t>
  </si>
  <si>
    <t>en totales de todo la real esta en un soporte CLARISIMO (tipo muelle y sin empates) y el levante esta en resistencia clara; en totales liga la real esta en un soporte CLARISIMO (tipo muelle y sin empates) y el levante esta en resistencia; en locales liga la real esta en ten claramente alcista (ha ganado sus 4 ultimos partidos) y en visitantes liga el levante esta en clara ten bajista; en enf totales la real esta en un soporte historico (aunque son pocos partidos) y en enf locales la real nunca ha perdido; en locales y visitantes totales pasa lo mismo que en locales y visitantes liga.</t>
  </si>
  <si>
    <t>el villarreal esta en super soporte en locales totales, pero no le apuesto porque solo le beneficia eso, y por tanto la explicacion no seria suficientemente larga.</t>
  </si>
  <si>
    <t>PERO ESO UNIDO AL CAMBIO DE ENTRENADOR Y AL TROPIEZO DEL MADRID, PODRIA SER BUENO PARA HACER TRADING CON EL LAY AL MADRID</t>
  </si>
  <si>
    <t>en totales de todo el sporting esta en soporteciiiillo y el mallorca esta en resistencia CLARISIMA; en totales liga el sporting esta en soporteciiiillo y el mallorca esta en resistencia CLARISIMA; en locales liga el sporting esta en resistencia (este es un pero de la apuesta) pero si gana se topara con resistencia historica y ademas no ha perdido en los ultimos 4 partidos, y en visitantes liga el mallorca esta en soporte (este es el otro pero de la apuesta); en enf totales el sporting esta en soporte y en enf locales en soporteciiillo; en locales totales el sporting esta en ten alcista y en visitantes totales el mallorca ha roto soporte hace 2 partidos y el ultimo empato</t>
  </si>
  <si>
    <t>mirandes y teruel ganan CLARISIMO, y tienen cuotones</t>
  </si>
  <si>
    <t>en totales de todo el racing esta en clara ten bajosta (caida libre) y el sevilla esta en soporte CLARISIMO; en totales liga el racing esta en caida libre y el sevilla esta en soporte SUPER CLARISIMO (muchisimos apoyos y sin ningun empate); en locales liga el racing esta en soporte CLARISIMO (4 apoyos sin empates) (este es el unico pero de la apuesta) y en visitantes liga el sevilla esta en soporteciiiillo; en enf directos no hay nada remarcable; en locales totales el racing esta en soporte aunque mas bien es resistencia pues nunca ha actuado como sporte y en visitantes totales el sevilla esta en soporteciiiiilllo. SI NO FUERA POR LO DE LOCALES LIGA, seria clarisima la victoria del sevilla.</t>
  </si>
  <si>
    <t>dudoso, ya llevan 4 emp seguidos en enf local, creo que seria mejor no apostarle o hacer trading o algo</t>
  </si>
  <si>
    <t>Jornada1</t>
  </si>
  <si>
    <t>Jornada2</t>
  </si>
  <si>
    <t>Jornada3</t>
  </si>
  <si>
    <t>Jornada4</t>
  </si>
  <si>
    <t>Jornada5</t>
  </si>
  <si>
    <t>Jornada6</t>
  </si>
  <si>
    <t>Jornada7</t>
  </si>
  <si>
    <t>% Acierto</t>
  </si>
  <si>
    <t>Gan/Per</t>
  </si>
  <si>
    <t>Bank</t>
  </si>
  <si>
    <t>Yield</t>
  </si>
  <si>
    <t>Gan/Per Tot.</t>
  </si>
  <si>
    <t>Yield Tot.</t>
  </si>
  <si>
    <t>Jornada8</t>
  </si>
  <si>
    <t>aunque en EDF gana bastante claro bilbao</t>
  </si>
  <si>
    <t>aunque en enf locales no ha ganado nunca el levante, pero 3 de 5 han sido empates</t>
  </si>
  <si>
    <t>puede ser empate porque ha habido mucho empate en enf locales</t>
  </si>
  <si>
    <t>1.</t>
  </si>
  <si>
    <t>2.</t>
  </si>
  <si>
    <t>3.</t>
  </si>
  <si>
    <t>4.</t>
  </si>
  <si>
    <t>5.</t>
  </si>
  <si>
    <t>6.</t>
  </si>
  <si>
    <t>7.</t>
  </si>
  <si>
    <t>8.</t>
  </si>
  <si>
    <t>9.</t>
  </si>
  <si>
    <t>10.</t>
  </si>
  <si>
    <t>11.</t>
  </si>
  <si>
    <t>12.</t>
  </si>
  <si>
    <t>13.</t>
  </si>
  <si>
    <t>14.</t>
  </si>
  <si>
    <t>15.</t>
  </si>
  <si>
    <t xml:space="preserve">racing </t>
  </si>
  <si>
    <t xml:space="preserve">barcelona </t>
  </si>
  <si>
    <t xml:space="preserve">at. madrid </t>
  </si>
  <si>
    <t xml:space="preserve">valencia </t>
  </si>
  <si>
    <t xml:space="preserve">osasuna </t>
  </si>
  <si>
    <t xml:space="preserve">r. sociedad </t>
  </si>
  <si>
    <t xml:space="preserve">villarreal </t>
  </si>
  <si>
    <t xml:space="preserve">málaga </t>
  </si>
  <si>
    <t xml:space="preserve">betis </t>
  </si>
  <si>
    <t xml:space="preserve">conquense </t>
  </si>
  <si>
    <t xml:space="preserve">palencia </t>
  </si>
  <si>
    <t xml:space="preserve">salamanca </t>
  </si>
  <si>
    <t xml:space="preserve">teruel </t>
  </si>
  <si>
    <t xml:space="preserve">cádiz </t>
  </si>
  <si>
    <t xml:space="preserve">sporting </t>
  </si>
  <si>
    <t>r.madrid</t>
  </si>
  <si>
    <t>r.vallecano</t>
  </si>
  <si>
    <t>oviedo</t>
  </si>
  <si>
    <t>arandina</t>
  </si>
  <si>
    <t>melilla</t>
  </si>
  <si>
    <t>sant andreu</t>
  </si>
  <si>
    <t>athletic</t>
  </si>
  <si>
    <t>SUPER AMP</t>
  </si>
  <si>
    <t>3T y 6D</t>
  </si>
  <si>
    <t>SUPER AMP2</t>
  </si>
  <si>
    <t>3T y 7D</t>
  </si>
  <si>
    <t>NORMALILLA</t>
  </si>
  <si>
    <t>2T y 5D</t>
  </si>
  <si>
    <t>VER LOS 3 ARCHIVOS QUE ESTAN EN MIS DOCUMENTOS</t>
  </si>
  <si>
    <t>TERMINAR ANALISIS QUINIELAS EN CARPETA DE APUESTAS</t>
  </si>
  <si>
    <t>RUBEN(5)</t>
  </si>
  <si>
    <t>PAPA(6)</t>
  </si>
  <si>
    <t>Villarreal B</t>
  </si>
  <si>
    <t>Murcia</t>
  </si>
  <si>
    <t>podria ser X perfectamente, pero es que en EDF gana villarrealB clarisimo</t>
  </si>
  <si>
    <t>a lo mejor la X tiene value, pues en enf directos ha habido varios empates y ha ganado 1p cada uno</t>
  </si>
  <si>
    <t>podria ser X perfectamente, pero en end loc gana bastante claro, y en visitantes el otro solo ha empatado 3p en toda la temporada</t>
  </si>
  <si>
    <t>podria ser nobet la verdad, porque en enf tot y loc no esta nada clara la cosa, y en EDF el celta va 1º (solo ha perdido 1p (el ultimo) y el huesca va 4º (solo ha perdido 1 y empatado 1)</t>
  </si>
  <si>
    <t>almería</t>
  </si>
  <si>
    <t>alcorcón</t>
  </si>
  <si>
    <t>Barcelona B</t>
  </si>
  <si>
    <t>Numancia</t>
  </si>
  <si>
    <t>Deportivo</t>
  </si>
  <si>
    <t>Cordoba</t>
  </si>
  <si>
    <t>aunque en loc/vis gana el otro y en clas tambien, en EDF gana xerez, y el elche esta en muy mala racha, y en enf loc tambien gana xerez, pero podria ser nobet o x por suma de pros y contras</t>
  </si>
  <si>
    <t>esta super enrachado las palmas tanto en loc como en tot</t>
  </si>
  <si>
    <t>aunque enf directos es muy irregular</t>
  </si>
  <si>
    <t>en totales de todo el zaragoza esta en resistencia (ese es el pero de la apuesta) y el atletico esta en resistenciiiilla de un pico; en totales liga el zaragoza esta igual y el atletico esta en resistencia CLARISIMA (historica y sin fallos, pero ha habido empates); en locales liga el zaragoza esta en resistenciilla; en enf totales el zaragoza ha igualado el minimo historico por tanto esta en soporte, aunque nunca ha actuado todavia, pero en otras ocasiones antes con otros soportes minimos si se cumplieron, por tanto deberia ganar zaragoza, o en todo caso empatar.</t>
  </si>
  <si>
    <t>podria apostar en contra del bilbao (a favor del sporting o X) porque en enf totales esta en resistencia historica y ha hehco empate sobre ella y ya antes cuando empato a la siguiente perdio, y en enf loc esta en resistencia, auqnue aquí todavia no ha hecho empate, el bilbao no esta en muy buena racha los ultimos partidos. SI NO JUEGA LLORENTE PODRIA APOSTAR CON MAS RAZON.</t>
  </si>
  <si>
    <t>creo que finalmente hubiera puesto el espanyol-malaga en "dudosos", o apostado un poquillo al espanyol, pero es que tambien puede ganar el malaga claramente. POR TANTO CONSIDERO QUE ES UN NO-BET CLARO</t>
  </si>
  <si>
    <t>en totales de todo el rayo esta en SOPORTE CLARISIMO (sin ningun empate y totalmente limpio, tipo muelle) y el villarreal esta en ten bajista; en totales liga lo mismo; en locales liga el rayo esta en resistencia pero no muy clara y el villarreal en visitantes liga esta en ten bajista; en enf directos no hay nada remarcable; en locales totales el rayo esta en resistencia CLARSIMA (limpia y con varios apoyos) y en visitantes totales el villarreal esta en ten bajista. EL VILLARREAL VIENE DE CAMBIAR DE ENTRENADOR Y EMPATAR CON EL MADRID EN CASA.</t>
  </si>
  <si>
    <t>podria ser X</t>
  </si>
  <si>
    <t>no esta muy claro</t>
  </si>
  <si>
    <t>LAY ATLETICO</t>
  </si>
  <si>
    <t>Gimnástic</t>
  </si>
  <si>
    <t>Córdoba</t>
  </si>
  <si>
    <t>Almería</t>
  </si>
  <si>
    <t>R. Sociedad</t>
  </si>
  <si>
    <t>Las palmas</t>
  </si>
  <si>
    <t>At. Madrid</t>
  </si>
  <si>
    <t>gimanastic</t>
  </si>
  <si>
    <t>gana muy claro por tendencia</t>
  </si>
  <si>
    <t>gana muy claro por resistencias del contrario</t>
  </si>
  <si>
    <t>gana clarisimo por resistencias del contrario, o por lomenos el numancia no gana ni de coña</t>
  </si>
  <si>
    <t>2T y 8D</t>
  </si>
  <si>
    <t>gana o empata bastante claro</t>
  </si>
  <si>
    <t xml:space="preserve">en totales de todo el levante ha ganado 4 de los ultimos 5p y el osasuna ha 2 de los ultimos 5p y ha empatado los dos ultimos y otro; en totales liga el levante en resistencia pero nada clara, hay veces que no se ha cumplido y el osasuna esta en resistencia CLARISIMA (ya ha hecho dos empates sobre ella); en locales liga el levante esta en resistencilla pero nunca las ha cumplido las de este tipo y en vistantes liga el osasuna esta en soporte claro (ya  ha hecho 2 empates sobre el) </t>
  </si>
  <si>
    <t>gol en el minuto 95 de penalti del zaragoza</t>
  </si>
  <si>
    <t>5T y 5D</t>
  </si>
  <si>
    <t>Jornada9</t>
  </si>
  <si>
    <t>de segunda según graficos:</t>
  </si>
  <si>
    <t>el bilbao quedo 1-1 (gol en el 75 del bilbao y en el 90 del sporting) y el espanyol quedo 1-2 a pesar de que empezo ganando</t>
  </si>
  <si>
    <t>SI ESTOY DUDANDO MUCHO SI PONER UN PARTIDO EN DUDOSO O NO, ES MEJOR NO PONERLO, PORQUE ES UN NO-BET CLARO (como los dos de esta jornada)</t>
  </si>
  <si>
    <t>Lo de los partidos dudosos es cuando hay una resistencia clarisima y un soporte clarisimo en los graficos de un equipo, vamos que hay dos graficos muy claramente contradecidos</t>
  </si>
  <si>
    <t>Bwin</t>
  </si>
  <si>
    <t>Betfair</t>
  </si>
  <si>
    <t>TOTAL</t>
  </si>
  <si>
    <t>Real Madrid</t>
  </si>
  <si>
    <t>Elche</t>
  </si>
  <si>
    <t>A. Madrid</t>
  </si>
  <si>
    <t>A. Bilbao</t>
  </si>
  <si>
    <t>puedo quitar la x creo</t>
  </si>
  <si>
    <t>gana muy claro según mi sistema</t>
  </si>
  <si>
    <t>no hay nada claro, los dos estan en ten bajista clara, pero lo unico es que en locales el murcia esta en soporte clarisima limpisimo (sin empates) y con varios apoyos</t>
  </si>
  <si>
    <t>nada claro pero un poco mas para el elche</t>
  </si>
  <si>
    <t>nada claro, lo unico que en totales el valladolid esta en resistencia historica (sin empates, pero con poco apoyos y todo recientes y juntos); y en locales clara ten alcista para valladolid y en visitantes clara ten bajista para las palmas, en enf locales clara ten alcista para valladolid solo ha peridod 1 y empatado 2 de 22p</t>
  </si>
  <si>
    <t>nástic</t>
  </si>
  <si>
    <t>córdoba</t>
  </si>
  <si>
    <t>hércules</t>
  </si>
  <si>
    <t>aunque lo mejor seria un 1X, por tanto no se si poner nobet o nobet(X)</t>
  </si>
  <si>
    <t>o a lo mejor stake 2,50 pero lo que pasa es que en EDF gana las palmas, pero en enf loc los ha ganado todos valladolid y en loc/vis  y clas gana claramente</t>
  </si>
  <si>
    <t>en tot de todo el girona esta en soporte muy claro y ya ha hecho empate, y el depor en clarisima ten alcista; en loc el girona esta en resistencia clarisima super historica y limpia; y en vis el depor esta en resistencia clara</t>
  </si>
  <si>
    <t>e enf loc gana el villarreal B, y en EDF el villareal B va 1º y el celta 3º pero el celta ha ganado sus 5 ultimos en casa</t>
  </si>
  <si>
    <t>le pongo el 1 solo por loc/vis porque el numancia en casa es muy fuerte, pero sino seria nobet o nobet(x) pero prefiero claramente nobet</t>
  </si>
  <si>
    <t>aunque el sabadell lleva 3 empates seguidos</t>
  </si>
  <si>
    <t>no pongo la (X) porque el almeria lleva 3 empates seguidos</t>
  </si>
  <si>
    <t>los dos que en han jugado en casa del nastic han sido empate, sino hubiera puesto un 2, porque es mas un X2 que un X a secas</t>
  </si>
  <si>
    <t>málaga</t>
  </si>
  <si>
    <t>pero no se si ponerle nobet porque estan bastante igulados en loc/vis y en EDF los dos estan muy bien uno 2º y el otro 4º, y el ultimo p en osasuna gano el osasuna y el penultimo quedaron empate</t>
  </si>
  <si>
    <t>pero en enf directos hay mucho empate</t>
  </si>
  <si>
    <t>no se si poner nobet (X)</t>
  </si>
  <si>
    <t>los dos estan en ten claramengte bajista en todo, menos en enf loc donde la ten es alcista para el racing, y en locales totales donde el racing esta en soporte CLARISIMO, con MUCHISIMOS apoyos, sin ningun empate, limpisimo vamos y muy fiable</t>
  </si>
  <si>
    <t>ES BASTANTE CLARO SEGÚN MI SISTEMA, PERO SI ALCANZA PUES PONGO EL 1</t>
  </si>
  <si>
    <t>en totales de todo el malaga esta en resistencia CLARISIMA (muchos apoyos, sin empates, limpia, historica) y el betis esta en ten bajista pero lleva 2 empates seguidos; en totales liga el malaga esta en clara ten alcista y acaba de romper resistencia (esta en resistenciiiilla antigua) y el betis esta igual que antes; en locales liga el malaga esta en clara ten alcista (5p sin perder) y en visitantes liga el betis en clara ten bajista pero cumple el patro PPG y ahora le toca ganar; en enf totales el malaga esta en una resistencia CLARISIMA y lleva 2 empates sobre ella; en locales y visitantes totales pasa lo mismo que en los de liga</t>
  </si>
  <si>
    <t>en totales de todo el sevilla esta en resistencia CLARISIMA (muchos apoyos, y bastante limpia auqnue tiene algunos empates) y el mallorca esta en soporte CLARISIMO (sin ningun empate, limpio); en totales liga el sevilla esta en resistencia muy clara y el mallorca esta en soporte muy claro; en locales liga el sevilla esta en soportecillo y en visitantes liga el mallorca ha rebotado en soporte con empate y una victoria (por tanto, apunta hacia arriba); en enf directos no hay nada remarcable; en locales totales el sevilla esta en soporte (este es el mayor pero de la apuesta, JUNTO CON QUE EL SEVILLA VIENE DE GANAR 0-3 LOS DOS ULTIMOS PARTIDOS (que han sido fuera de casa, y por tanto se le ve muy fuerte y puede venir un cambio de tendencia grande)</t>
  </si>
  <si>
    <t xml:space="preserve">en totales de todo la real esta en soporte historico (la otra vez hizo un empate sobre el) y el rayo acaba de romper soporte; en totales liga la real esta en soporte historico y el rayo acaba de romper soporte; en locales liga la real esta en clara ten alcista (aunque ha perdido el ultimop) y en visitantes liga el rayo; en enf totales la real esta en soporte (pero hay varios empates) </t>
  </si>
  <si>
    <t>borrado porque la explicacion no es suficientemente larga, y porque tambien puede ser X, y el lay esta muy caro</t>
  </si>
  <si>
    <t>gana o empata muy claro, pongo el empte porque el huelva en totales tambien esta en soporte, pero luego en vis esta en resistencia clarisima y en enf hay soportes para numancia</t>
  </si>
  <si>
    <t>iria a la estrategia de dudosos por tanto una X, pero en todo caso seria mas un 1 que un 2</t>
  </si>
  <si>
    <t>gana clarillo, pero menos que anteriores, mas por demerito del rival que por merito suyo</t>
  </si>
  <si>
    <t>gimnastic</t>
  </si>
  <si>
    <t>gana, pero podria ser X, pero no si apuesto a algo es a que gana</t>
  </si>
  <si>
    <t>en totales de todo el valencia esta en soporte CLARISIMO y el levante esta en soporte muy CLARO (esto es lo unico malo de la apuesta); en totales liga el valencia esta en soporte CLARISIMO y el levante soporte; en locales liga el valencia esta en soporte y en visitantes liga el levante esta en resistencia; en enf locales y totales la ten es claramente alcista; en locales totales el valencia esta en soporte y en visitantes totales el levante esta en resistencia.</t>
  </si>
  <si>
    <t>atlético</t>
  </si>
  <si>
    <t>en totales de todo el atletico esta en resistencia CLARISIMA (historica, sin empates, limpia) y el getafe esta en RESISTENCIA CLARISIMA (sin empates); en totales liga el atletico esta soporte CLARISIMO y el getafe esta en resistencia CLARISIMA; en locales liga el atletico acaba de romper resistencia y en visitantes liga el getafe esta en resistencia y ya ha hecho empate sobre ella; en enf directos no hay nada remarcable; en locales totales el atletico esta en clara ten alcista y en visitantes totales el getafe esta en resistencia (ya ha hecho empate sobre el)</t>
  </si>
  <si>
    <t>2T y 6D</t>
  </si>
  <si>
    <t>4T y 5D</t>
  </si>
  <si>
    <t>5T y 6D</t>
  </si>
  <si>
    <t>si quitaba algun doble es el del valencia, y asi me valdria lo de siempre 3.888€</t>
  </si>
  <si>
    <t>o sino quitar el 2 del valladolid y valdria 5.184€</t>
  </si>
  <si>
    <t>RUBEN_2</t>
  </si>
  <si>
    <t>JOSEP</t>
  </si>
  <si>
    <t>borrado porque la explicacion no es suficientemente larga, y porque hay un par de peros en contra de la apuesta, no esta clara la cosa, y mejor ser coservador, porque la cuota tampoco es nada alta</t>
  </si>
  <si>
    <t>VISITANTE-DNB</t>
  </si>
  <si>
    <t>west brom</t>
  </si>
  <si>
    <t>gana bastante claro</t>
  </si>
  <si>
    <t>fulham</t>
  </si>
  <si>
    <t>gana o empata</t>
  </si>
  <si>
    <t>Ap. Bwin</t>
  </si>
  <si>
    <t>Ap. Betfair</t>
  </si>
  <si>
    <t>gana bastante claro por totales y locales/visitantes, pero en enf tot esta en resistencia (hay varios empates) y en enf loc esta en resistenica (pero aquí hay pocos partidos), iria a dudosos empate</t>
  </si>
  <si>
    <t>Jornada10</t>
  </si>
  <si>
    <t>no le pongo un 2 porque en enf loc nunca ha ganado el villarreal y la mayoria han sido empates</t>
  </si>
  <si>
    <t>no muy claro, falta inf en enf directos</t>
  </si>
  <si>
    <t>pero a lo mejor un poco mas el 1, no muy claro</t>
  </si>
  <si>
    <t>muy claro según loc/vis y EDF; pero en enf loc hay mucho empate, y en enft tot gana muy claro numancia</t>
  </si>
  <si>
    <t>pero no muy claro, podria ser un pelin mas 1, pero creo que x es lo mejor la verdad</t>
  </si>
  <si>
    <t>los dos ultimos enf tot han acabado en empate, por eso no pongo stake 3 y porque el murcia fuera no es tan malo</t>
  </si>
  <si>
    <t>gimnàstic</t>
  </si>
  <si>
    <t>r. madrid</t>
  </si>
  <si>
    <t>según graficos gana sabadell</t>
  </si>
  <si>
    <t>el murcia solo ganaria según graf de visitantes</t>
  </si>
  <si>
    <t>no muy claro pero diria que gana almeria</t>
  </si>
  <si>
    <t>el xerex no gana ni de coña, pero podria ser X pues en visitantes el vall esta en resistencia, y el xerez nunca ha perdido en casa</t>
  </si>
  <si>
    <t>las palmas gana bastante claro solo que en enf tot ten bajosta y en enf loc esta en resistenciilla. Pero en totales de todo el numancia esta en resistencia clarisima y en loc el villarreal ten clara alcista y en vis el numancia ten clara bajista</t>
  </si>
  <si>
    <t>gana bastante claro, concordancia sop-res en totales, y ten en loc/vis, y enf loc acompaña</t>
  </si>
  <si>
    <t>tiene "opciones" de ganar o empatar al celta según graf de visitantes y enf loc pero este ultimo no tanto</t>
  </si>
  <si>
    <t>gana pero no es la apuesta del siglo tampoco, solo favorecen los graf del recre, pues los del cartagena no dicen nada, inlcuso en vis esta en soportecillo</t>
  </si>
  <si>
    <t>yo apostaria a la x, (si pierde el cordoba poner que en los soportecillos tipicos de visitantes, ver si el graf de 45'' ya ha roto soporte o no, y si lo ha roto (como en este caso) poner que pierde y que rompera el soporte normal)</t>
  </si>
  <si>
    <t>en enf loc tira mas para el villarreal, pero en loc/vis tira mas para el betis. Podria ser nobet (X)</t>
  </si>
  <si>
    <t>pero podria ser nobet perfectamente, que es lo primero que puse, porque en loc/vis gana muy claro levante, en EDF gana el atletico, y en enf toto y loc gana muy claro el atletico. ASI QUE NO ESTA CLARO, pero un poco mas el atletico, aunque lo malo es que viene de jugar la europa league</t>
  </si>
  <si>
    <t>en totales de todo el rayo esta en soporte y el osasuna nada en particular (aunque podriamos decir que esta en soportecilloP); en totales liga el rayo esta en soporte CLARISIMO (historico, sin empates, limpio) y el osasuan esta en soporte claro (pero nunca ha actuado como soporte, siempre ha actuado como resistencia clarisima); en locales liga el rayo esta en soporte CLARISIMO y en visitantes liga el osasuna esta en resistencia; en enf locales ten claramente alcista y el rayo esta en soporte y ya ha hecho empate sobre el (la otra vez que paso esto al siguiente partido gano); en locales totales al rayo le falta perder un partido para llegar a un soporte CLARISISIMO (esto es lo malo de la apuesta) y el osasuna esta en resistencia</t>
  </si>
  <si>
    <t>la explicacion no es lo suficientemente larga y ademas no esta del todo clara la cosa, vamos que no hay suficientes factores a favor como para apostar</t>
  </si>
  <si>
    <t>en totales de todo el getafe esta en soporte y el sporting en clara ten bajista; en totales liga el getafe esta en soporte y el sporting en clara ten bajista; en locales liga el getafe esta en resistencia (y muy clara en 45'') y en visitantes liga el sporting esta en clara ten bajista; en enf tot el getafe esta en soporte CLARISIMO y en enf loc esta en resistencia pero hay solo pocos partidos y es de un solo pico; en locales totales el getafe esta en resistencia/resistencilla y en visitantes totales el sporting esta en clara ten bajista. YO APOSTARIA AL 1 DIRECTO, pero hay 1 o 2 graficos que se contradicen del propio getafe y por eso lo puse en la estrategia dudosos.</t>
  </si>
  <si>
    <t>el malaga puede perder contra el racing, pero tampoco esta muy claro, tambien lo digo por los graf de 45''</t>
  </si>
  <si>
    <t>el valencia puede ganar al madrid, pero la exlpicacion no seria lo suficientemente larga, pero según graf visitantes totales es bastante claro, y totales liga tambien acompaña</t>
  </si>
  <si>
    <t>si el madrid gana la 1ª parte el valencia gana la 2ª parte. MUY CLARO</t>
  </si>
  <si>
    <t>en totales de todo el bilbao esta en soporte claro y ya ha hecho empate sobre el y el sevilla esta en resistencia clara (pero con mucho empate); en totales liga el bilbao esta en soporte muy claro y el sevilla esta en resistencia de empates; en locales liga el bilbao esta en ten alcista y en visitantes liga el sevilla esta en resistencia CLARISIMA (aunque no ha sido probada como resistencia, sino solo como soporte); en enf totalaes hay una resistenciiilla en contra del bilbao (pero dije que si no eran claras no se tenian en cuenta) y en enf loc si que hay una resistencia muy clara en contra del bilbao (esto es lo malo); en locales totales el bilbao esta en clara ten alcista. LOS PEROS QUE HAY JUNTO QUE EL BILBAO VIENE DE JUGAR CHAMPIONS Y QUE EL SEVILLA ESTA ENRACHADO, hace que pudiera ser X, o inlcuso ganar el sevilla (pero esto ultimo si que no creo)</t>
  </si>
  <si>
    <t>en totales de todo el levante esta en soporte CLARISIMO (ya ha hecho empate sobre el) y el atletico esta en clara ten alcista (esto es lo malo de la pauesta); en totales liga el levante esta en soporte muy claro (ya ha hecho empate sobre el) y el atletico esta en resistencia CLARISIMA (historica y con muchos apoyos); en locales liga el levante esta en soportecillo y en visitantes liga el atletico esta en soporteciiiillo (es de un solo pico y nunca ha sido puesto a prueba por tanto); en enf directos no hay nada remarcable; en visitantes totales el atletico esta en resistencilla de empates solo (simpre que ha pasado por ahi ha empatado). PODRIA SER X ESTE PARTIDO.</t>
  </si>
  <si>
    <t>en totales de todo el mallorca esta en soporte CLARISIMO (historico) y el granada en ten bajista; en totales liga el mallorca esta en soporte CLARISIMO y el granada esta en resistencia; en locales de todo el mallorca esta en soporte clarisimo (pero que siempre ha actuado como resistencia, pero tambien es que nunca ha sido puesto a prueba como soporte) y en visitantes totales el granada esta en clara ten bajista; en enf tot el mallorca esta en resistencia (pero no es clara, y es regularcilla; pero este es el unico pero de la apuesta) y en enf loc esta en clara ten alcista y en resistencia de un pico que nunca antes ha cumplido; en locales totales el mallorca esta en soporte CLARISISIMO y en visitantes totales el granada esta en clara ten bajista</t>
  </si>
  <si>
    <t>TyD PAPA</t>
  </si>
  <si>
    <t>6T y 3D</t>
  </si>
  <si>
    <t>4T y 4D</t>
  </si>
  <si>
    <t>en un principio no tenia el 2 del atletico y por tanto serian 3Ty5D y valdria 432€</t>
  </si>
  <si>
    <t>6-0</t>
  </si>
  <si>
    <t>JORNADA 43</t>
  </si>
  <si>
    <t>JORNADA 44</t>
  </si>
  <si>
    <t>JORNADA 45</t>
  </si>
  <si>
    <t>JORNADA 46</t>
  </si>
  <si>
    <t>Si un equipo esta en el tipico soportecillo de visitantes de un pico, ver si en el graf de 45'' ya lo ha roto, y si lo ha roto ya apostar a que pierde, y rompe el soportecillo</t>
  </si>
  <si>
    <t>Jornada11</t>
  </si>
  <si>
    <t>Jornada0</t>
  </si>
  <si>
    <t>se contradice muy claramente el osasuna totales de todo y totales liga (soporte clarisimo en 45'') con el de enf directos totales (resistencia clarisima), y ademas en totales de todo y liga el espanyol tambien esta en soporte</t>
  </si>
  <si>
    <t>en totales de todo el sporting esta en clara ten bajista (eso es lo malo de la apuesta) y el levante esta en resistencia clara; en totales liga el sporting esta en clara ten bajista y el levante esta en resistencia muy clara; en locales liga el sporting esta en soporte CLARISIMO (sin empates, limpio, 3 apoyos) y en visitantes liga el levante esta en resistencia (ya ha hecho empate sobre ella); en enf totales la ten es bajista pero esta en soporteciiillo y en enf locales esta en soporteciillo (y ya ha hecho empate sobre el); en locales totales el sporting esta en soporte CLARISIMO (limpio, con varios apoyos) y en visitantes totales el levante esta en resistencia (y ya ha hecho empate)</t>
  </si>
  <si>
    <t>en totales liga el ATLETICO ESTA EN SOPORTE CLARISISIMO, y tambien esta en ten claramente alcista en locales liga y locales totales, pero el RM tambien esta en ten alcista en visitantes y, el AM esta en ten clarisimamante bajista en enf tot y enf loc</t>
  </si>
  <si>
    <t>la real no gana el 1er tiempo, sino que empatan o gana el betis, yo creo que seria muy interesante apostar en contra de la real HT y un poco al "Empate/Betis"</t>
  </si>
  <si>
    <t>se contradicen muchos graficos de los 2, entre los mismos de cada equipo y tambien entre los de un equipo y el otro</t>
  </si>
  <si>
    <t>JORNADA 47</t>
  </si>
  <si>
    <t>rácing</t>
  </si>
  <si>
    <t>ath.bilbao</t>
  </si>
  <si>
    <t>at.madrid</t>
  </si>
  <si>
    <t>r.sociedad</t>
  </si>
  <si>
    <t>chievo</t>
  </si>
  <si>
    <t>milan</t>
  </si>
  <si>
    <t>bologna</t>
  </si>
  <si>
    <t>cagliari</t>
  </si>
  <si>
    <t>roma</t>
  </si>
  <si>
    <t>udinese</t>
  </si>
  <si>
    <t>juventus</t>
  </si>
  <si>
    <t>lazio</t>
  </si>
  <si>
    <t>fiorentina</t>
  </si>
  <si>
    <t>palermo</t>
  </si>
  <si>
    <t>spórting</t>
  </si>
  <si>
    <t>según mi sistema el chievo no gana ni de coña, y seguramente gana el milan, pero puede empatar el chievo pues hay varios empates en su resistencia</t>
  </si>
  <si>
    <t>gana aunque puede empatar, pero al X2 no hay value creo, podria ser al DNB</t>
  </si>
  <si>
    <t>pongo la x porque hace 21 jornadas que no aparece la x en esa casilla</t>
  </si>
  <si>
    <t>gana tambien bastante claro, pero no tanto como el bologna. Stake 2</t>
  </si>
  <si>
    <t>gana clarisimo. Stake 3</t>
  </si>
  <si>
    <t>la x es solo por asegurar</t>
  </si>
  <si>
    <t>gana el juventus creo, pro hay un par de graf que dicen que puede haber sorpresa aunque son bastante debiles</t>
  </si>
  <si>
    <t>tipico partido que meteria en la estrategia dudosos, yo creo que tiene bastantes probabilidades de ser X</t>
  </si>
  <si>
    <t>una posible apuesta seria a que el rayo o el zaragoza ganan la 1ª parte, pero no se si tendria mucha logica porque si despues acaban ganando tambien contradecerian el graf, veo mas factible lo del RAYO, que lo del zaragoza</t>
  </si>
  <si>
    <t>o una combinada a que ganan valencia y sevilla, y tambien podria ser hacer las dos cosas para que gane o con una o con otra, eso si que tendria logica</t>
  </si>
  <si>
    <t>en totales de todo el villarreal esta en soportecillo y el malaga esta en resistencia CLARISIMA (historica, limpia, sin empates); en totales liga el villarreal esta en soportecillo y el malaga esta en resistencia CLARISIMA (sobre en el de 45'', es historica y limpia); en locales liga el villarreal esta en soporte y ya ha hecho dos empates sobre él y en visitantes liga el levante esta en un rebote de la ten bajista (esto es lo malo de la apuesta, junto con el buenisimo estado de forma del malaga); en enf totales el villarreal esta en soporte CLARISIMO (sin empates y muchos apoyos); en locales totales el villarreal esta en soporte CLARISIMO (y lleva 2 empates sobre el)</t>
  </si>
  <si>
    <t>en totales de todo el racing esta en clarisima ten bajista y el mallorca esta en soporte CLARISIMO (historico, y ya ha hecho empate sobre el, confirmado en el de 45'' donde tambien es muy claro); en totales liga el racing esta en clarisima ten bajista y el mallorca esta en soporte CLARISIMO (ya ha hecho empate sobre el, y confirmado con el de 45''); en locales liga el racing esta en soporte (pero en muy clara ten bajista, pero el soporte tambien esta en 45'' donde es historico; este es el unico pero de la apuesta) y en visitantes liga el mallorca esta en soporte; en enf locales el racing esta en resistencia CLARISIMA (historica); en locales totales el racing esta en clarisima ten bajista (acaba de romper un soporte muy claro) y en visitantes totales el mallorca esta en soportecillo.</t>
  </si>
  <si>
    <t>apostar al "Osasuna/Empate" o "Osasuna/Espanyol" seria bastante interesante</t>
  </si>
  <si>
    <t>o un poco más el osasuna</t>
  </si>
  <si>
    <t>apostar 0,1 a "Getafe/Barcelona" porque en graf de 45'' de visitantes liga y totales el getafe esta en soporte CLARISIMO, historico, y sin ningun empate, PERO POR LOS DEMAS GRAFICOS PIERDE CLARO EL GETAFE</t>
  </si>
  <si>
    <t>mercado</t>
  </si>
  <si>
    <t>apuesta</t>
  </si>
  <si>
    <t>cantidad</t>
  </si>
  <si>
    <t>HT/FT</t>
  </si>
  <si>
    <t>getafe/barcelona</t>
  </si>
  <si>
    <t>Descanso</t>
  </si>
  <si>
    <t>lay r. sociedad</t>
  </si>
  <si>
    <t>empate/betis</t>
  </si>
  <si>
    <t>osasuna/espanyol</t>
  </si>
  <si>
    <t>apostar al "Osasuna/Empate" o "Osasuna/Espanyol" seria bastante interesante, ya he apostado al empate normal según el sistema</t>
  </si>
  <si>
    <t>5T y 3D</t>
  </si>
  <si>
    <t>poner un 1 al segundo</t>
  </si>
  <si>
    <t>poner un 1 al ultimo</t>
  </si>
  <si>
    <t>CON ESPERANZA MATEMATICA POSTIVA, DE LA RED AL 13 DE LA AMPLIADA</t>
  </si>
  <si>
    <t>SELECCIONADAS POR MI DE LAS 7, Y CON CAMBIOS EN AZUL</t>
  </si>
  <si>
    <t>3-2</t>
  </si>
  <si>
    <t>Jornada12</t>
  </si>
  <si>
    <t>JORNADA 48</t>
  </si>
  <si>
    <t>gana el partido bastante claro, si pierde la 1ª parte gana la 2ª parte muy claro, (aunque según otro graf podria empatar, pero yo creo que mejor ganar, la 2ªparte me refiero)</t>
  </si>
  <si>
    <t>creo que gana pero enf directos no apoya, podria ser X, por tanto 1 o X, pero si sube la cuota de cordoba al descanso o al final meterle, o por lo menos al DNB</t>
  </si>
  <si>
    <t>gana muy claro (pero existe la remota posibilidad de que queden X)</t>
  </si>
  <si>
    <t>si gana la 1ª parte, la segunda casi seguro que no la gana (apostarle al lay si pasa eso); el partido lo gana el XEREZ bastante claro</t>
  </si>
  <si>
    <t>creo que apostaria por la X, pero mejor dicho es un nobet, porque no esta nada claro nada</t>
  </si>
  <si>
    <t>si gana la 1ª parte, gana la 2ª parte tambien, me refiero de manera independiente, pero tampoco es una cosa muy clara</t>
  </si>
  <si>
    <t>mas que todo por enf loc donde la mayoria son X y las palmas nunca ha ganado</t>
  </si>
  <si>
    <t>yo pondria la X, que ademas concuerda con el otro analisis</t>
  </si>
  <si>
    <t>en caso de apostar a algo apostaria al empate que es posible, pero no es nada claro nada</t>
  </si>
  <si>
    <t>pero sin ninguna X ni nada</t>
  </si>
  <si>
    <t>poca inf</t>
  </si>
  <si>
    <t>gana la 1ª parte, bastante seguro(si quiero asgurar podria ir al lay del villarrealB HT). y seguramente el partido (pero esto ya no es claro). si empatan la 1ª parte el almeria gana la segunsa.</t>
  </si>
  <si>
    <t>el levante no gana, no hay nada a su favor y ademas hay varias en contra, apostar al barcelona es buena idea tiene buena cuota @1,22 o esperar que empiece el partido y ver si sube un poco, meterle stakazo</t>
  </si>
  <si>
    <t>podria ser X por enf loc</t>
  </si>
  <si>
    <t>enf loc no acompaña</t>
  </si>
  <si>
    <t>aunque podria ser nobet (X)</t>
  </si>
  <si>
    <t>yo creo que gana el valencia, pero ya eso es una apuesta por mi parte, y una inuicion de que va a pasar en los graficos</t>
  </si>
  <si>
    <t>yo creo que el malaga debe ganar, pero tambien es a titulo personal, porque no hay sop y res claras ni concordancia ni nada de eso, pero siempre apoyado un poco por los graf claro</t>
  </si>
  <si>
    <t>si zaragoza pierde la 1ª parte, gana la 2ª parte</t>
  </si>
  <si>
    <t>podria ganar el racing, pues en loc liga y loc totales el villarreal esta en resistencia CLARISISIMA (historica) pero pueden acabar empate, podria apostar al lay del villarreal</t>
  </si>
  <si>
    <t>yo creo que gana el bilbao, pero este no lo tengo tan claro como los otros, podria ser empate, ganar el mallorca eso si que no creo</t>
  </si>
  <si>
    <t>si el getafe pierde la 1ª parte, gana la 2ª parte casi seguro</t>
  </si>
  <si>
    <t>en totales de todo y en totales liga los dos estan en soportes claros; en locales liga el rayo esta en resistencia muy clara y en visitantes liga el atletico esta en soportecillo (pero que es solo un pico lejano y nunca ha sido puesto a prueba); en locales totales el rayo esta en resistencia CLARISIMA y en visitantes totales el atletico esta en soporte claro (estos dos ultimso factores son los que hacen que dude de la apuesta), pero segun el otro sistema tambien pone que es empate</t>
  </si>
  <si>
    <t>EMPATE (Atletico NB)</t>
  </si>
  <si>
    <t>apostar pero fuera del sistema al getafe DNB</t>
  </si>
  <si>
    <t>4T y 3D</t>
  </si>
  <si>
    <t>5T y 4D</t>
  </si>
  <si>
    <t>en totales de todo el mallorca esta en soporte CLARISIMO y el zaragoza esta en ten. Bajista y resistenciiilla; en totales liga el mallorca esta en soporte CLARÍSIMO y el zaragoza esta en ten bajista; en locales liga el mallorca esta en soporte CLARISIMO (ya ha hecho empate sobre el) y en visitantes liga el zaragoza esta en ten bajista; en enf locales el mallorca supero resistencia muy clara hace unos años y desde entonces los ha ganado todos; en locales totales el mallorca esta en soporte CLARÍSIMO (y ya ha hecho empate sobre el y nunca ha hecho mas de un empate) y en visitantes totales el zaragoza esta en ten bajista</t>
  </si>
  <si>
    <t>sevilla-levante seria X por soportes de los 2 y por algunas contradicciones, pero tradear, yo creo que apuesto al empate y tradeo al descanso o un poco mas tarde</t>
  </si>
  <si>
    <t>rayo vallecano gana al descanso o hago lay al descanso del sporting, yo creo que es mejor rayo gana, según totales de todo es muy claro</t>
  </si>
  <si>
    <t>en totales de todo el granada esta en soporte y el getafe esta en resistencia CLARISIMA (tipo muelle, sin empates); en totales liga el granada esta en soporte y el getafe en resistencia CLARISIMA (tipo muelle); en locales liga el granada esta en soporte CLARISIMO (ya ah ehcho empate sobre el, y ademas tambien es clarisimo en 45'') y en visitantes liga el getafe esta en ten bajista (y ha roto soporte claro en 45'' hace unos partidos y no ha vuelto a ganar desde eso); en enf directos hay pocos partidos; en locales y visitantes totales pasa lo mismo que en locales y visitantes liga</t>
  </si>
  <si>
    <t>layear malaga al descanso, osasuna no pierde la 1ª parte muy claramente, el partido yo opino por que sera X. el malaga puede perder pero osasuna no creo, yo creo que es X clara</t>
  </si>
  <si>
    <t>si el valencia pierde la 1ª parte gana la 2ª, en general creo que va a ganar el valencia el partido y según el sistema tambien, pero no es claro del todo y puede reservar emery a gente, ver como empieza, pero apostar al valencia</t>
  </si>
  <si>
    <t>la real sociedad no creo que pierda por enf tot, pero vamos es solo por eso, si va ganando el villarreal de 1 gol en los ultimos min, layearlo.</t>
  </si>
  <si>
    <t>hercules pierde clarisisimo. Meterle stakazo al celta bueno 2,50-2,75</t>
  </si>
  <si>
    <t>elche tiene posibilidades según vis</t>
  </si>
  <si>
    <t>cartagena no pierde ni loco según loc</t>
  </si>
  <si>
    <t>numancia no gana según tot ni loco, y huesca no creo que gane según loc</t>
  </si>
  <si>
    <t>xerez gana clarillo pero no mucho</t>
  </si>
  <si>
    <t>Jornada14</t>
  </si>
  <si>
    <t>el espanyol puede ser empate porque se contradice en totales y locales, meterle un poquillo en los ultimos minutos si la cuota es muy alta</t>
  </si>
  <si>
    <t>en totales de todo el getafe esta en soporte CLARISIMO (tipo muelle) y el mallorca esta en resistencia CLARISIMA; en totales iga el getafe esta en soporte CLARISIMO (tipo muelle) y el mallorca esta en resistencia CLARISIMA (tipo muelle); en locales liga el getafe esta en ten alcista y en visitantes liga el mallorca esta en soporte CLARISIMO (historico, aunque con empates, este es el pero de la apuesta); en enf totales el getafe esta en resistencia CLARISIMA (este es el otro pero de la apuesta); en locales totales el getafe esta en ten alcista y en visitantes totales el mallorca esta en soporte CLARISIMO. HAY UN PAR DE PEROS MUY GRANDES, por tanto no se si no apostar, bajar el stake, tradear, o apostar al DNB</t>
  </si>
  <si>
    <t>yo apostaria al betis 1,50€ o 1,25€ pero no se si añadirla al sistema, porque no es muy claro porque no hay mucha concordancia, pero por graficos sueltos y situacion y eso si es bastante claro</t>
  </si>
  <si>
    <t>el sevilla deberia ganar al madrid bastante claro además, apoya todo menos enf directos, pero si no quiero arriesgar puedo meter al lay del madrid o al DNB, pero meterle sin miedo</t>
  </si>
  <si>
    <t>el zaragoza según enf tot no pierde muy claramente, pero puede empatar, y según los otros graf tambien tiran un poco mas pa su victoria pero no muy claro, yo creo que puede acabar en X, por tanto meterle o un poco a la X o lay al bilbao o a X y que si gana zaragoza void, o a zaragoza DNB</t>
  </si>
  <si>
    <t>el malaga-valencia veo probable que sea X</t>
  </si>
  <si>
    <t>layear al villarreal tanto HT como FT, yo creo que el resultado final será empate, pero tampoco muy claro</t>
  </si>
  <si>
    <t>o incluso podría meterle unas pipillas al guadalajara que tiene cuota @7,50</t>
  </si>
  <si>
    <t>no le pongo stake 3 porque enf no acompaña para nada, solo hay 2 empates y una derrota y en casa fue la derrota</t>
  </si>
  <si>
    <t>enf directos no acompaña para nada</t>
  </si>
  <si>
    <t>los dos estan muy bien, y no hay nada claro</t>
  </si>
  <si>
    <t>la pongo porque estan muy igualados en todo, son muy malos los dos</t>
  </si>
  <si>
    <t>no hay nada claro, por eso no pongo nada</t>
  </si>
  <si>
    <t>pero lo de la X no esta muy claro, auqnue un poco si, yo creo que si que esta bien</t>
  </si>
  <si>
    <t>gimnástic</t>
  </si>
  <si>
    <t>no es claro porque solo apoya tot de girona y alcorcon, pero según esos gana alcorcon claramente</t>
  </si>
  <si>
    <t>puede ganr cualquiera de los dos, en loc el murcis esta en sop clarisisimo sin empates</t>
  </si>
  <si>
    <t>no esta nada claro, pero para las simples el elche no gana</t>
  </si>
  <si>
    <t>yo apostaria por almeria o X</t>
  </si>
  <si>
    <t>VISITANTE DNB</t>
  </si>
  <si>
    <t>LAY LOCAL</t>
  </si>
  <si>
    <t>recreativo huelva</t>
  </si>
  <si>
    <t>gana clarisimo le he metido stake2,50 @3,85</t>
  </si>
  <si>
    <t>2T y 7D</t>
  </si>
  <si>
    <t>Jornada15</t>
  </si>
  <si>
    <t>JORNADA 49</t>
  </si>
  <si>
    <t>JORNADA 50</t>
  </si>
  <si>
    <t>no esta nada claro, pero meterle unas pipillas al lay del getafe, lo que no se es si esparar al live o no, pero creo que no, pues pueden ir empate todo el rato, y tambien meterle pipillas al X o racing al final si tienen cuoton, pero pipillas solo</t>
  </si>
  <si>
    <t>yo apostaria por el valencia, pero no esta muy claro (no hay concordancia) y además la cuota es muy pequeña, si empieza perdiendo meterle algo, (si gana la 1ª parte, no creo que gane la segunda)</t>
  </si>
  <si>
    <t>el malaga no gana ni loco, seguramente ni si quiera empate la 1ª parte, pero esto ultimo no es tan seguro, pero lo de que pierde es segurisisimo</t>
  </si>
  <si>
    <t>layear al mallorca pero no es estrategia pura, pues no hay concordancia, pero hay bastantes peros en contra del mallorca y muy gordos, lo malo es enf loc donde el mallorca solo ha perdido 2 veces, y que el rayo es en ten bajista en todo, pero como hay un par de peros super fuertes en contra del mallorca, layearlo y sobre todo en los ultimos minutos que habra cuotones</t>
  </si>
  <si>
    <t>hay un par de graficos que indican que el madrid puede perder o empatar, según tot del bilbao y enf loc es bastante claro (sobre todo enf loc donde es clarisimo), por tanto layear al madrid, y atento a los ultimos minutos sobre todo</t>
  </si>
  <si>
    <t>granada-espanyol. Partido muy dificil, pues los dos estan en soportes en totales, limpios, historicos, y auqnue en loc el granda esta en resistencia limpia, historica, el getafe acaba de romper soporte claro en visitantes, yo apostaria en los ultimos minutos (o layearia)  por el cuoton si solo les separa un gol de la victoria o del empate a cualquiera de los dos</t>
  </si>
  <si>
    <t>napoles</t>
  </si>
  <si>
    <t>parma</t>
  </si>
  <si>
    <t>inter</t>
  </si>
  <si>
    <t>cesena</t>
  </si>
  <si>
    <t>genoa</t>
  </si>
  <si>
    <t>según graf puede ganar cualquiera de los dos, no se si poner un 1 (loc) o un 2 (enf) o una X (ni pa uno ni pa otro)</t>
  </si>
  <si>
    <t>no hay nada claro según graf, pero pondria 1, por enf y porque el otro ha roto sop</t>
  </si>
  <si>
    <t>graf no muy claro en nada, pero si hay que poner algo pongo un 2 creo, pero mas que por graf por clas</t>
  </si>
  <si>
    <t>un 2 por clas, pero según graf no vamos</t>
  </si>
  <si>
    <t>no tengo ni idea que poner, los dos necesitan ganar, pero mucho mas el genoa el otro no tanto</t>
  </si>
  <si>
    <t>apostaria al valencia pero en enf directos no esta nada nada claro, y la cuota es baja además</t>
  </si>
  <si>
    <t>JORNADA 51</t>
  </si>
  <si>
    <t>JORNADA 52</t>
  </si>
  <si>
    <t>no creo que pierda, (o gana o empata) pero tampoco es muy claro</t>
  </si>
  <si>
    <t>no gana, yo creo que pierde (aunque puede ser X tambine), pero vamos es solo por un muelle que tiene el girona, por nada mas</t>
  </si>
  <si>
    <t>huseca-xerez</t>
  </si>
  <si>
    <t>los dos estan en resistencias, no hay nada claro</t>
  </si>
  <si>
    <t>gana stake1,50</t>
  </si>
  <si>
    <t>gana stake1,75</t>
  </si>
  <si>
    <t>yo creo que gana, stake1</t>
  </si>
  <si>
    <t>enf directos no le beneficia para nada, le he bajado el stake por eso, inlcuso se podria quitar si tengo en cuenta más eso</t>
  </si>
  <si>
    <t>auqnue estoy indesico entre la X o el 1 con stake1</t>
  </si>
  <si>
    <t>me pinta a X total según los graficos</t>
  </si>
  <si>
    <t>nobet(X)</t>
  </si>
  <si>
    <t>aunque podria haber puesto un 1, pero en enf directos muchisimos son empates, por tanto seria o nobet, o dejarlo en blanco, pero me decidi por el noebt(X) por dichos empates</t>
  </si>
  <si>
    <t>en clas y EDF estan mas o menos iguales, a lo mejor un poquito por delante el sporting, pero en enf directos el betis los ha ganado todos</t>
  </si>
  <si>
    <t>el r.madrid gana creo, aunque según enf loc podria ser x, y tot del granada posible, pues esta en res de muchos empates</t>
  </si>
  <si>
    <t>el malaga gana, o por lo menos no pierde, (y el atletico tampoco gana, o pierde o empata). Por tanto, no se si apostar a malaga y tradear, si esperar al partido, o si al DNB, o lay del atletico. METERLE FIJO EN LOS ULTIMOS MINUTOS.</t>
  </si>
  <si>
    <t>el mallorca no creo que gane el partido o pierde o empata, meterle pero stake bajo0,75o1,00; y seguramente al descanso tampoco gana el mallorca, meterle un poco, pero poco, al final del descanso y del partido</t>
  </si>
  <si>
    <t>apostar un poquillo, a que el valencia pierde la 1º parte satke0,50 o asi, o sino layearlo. El partido en general no esta nada claro, pero si hay que apostar por uno apostaria por el villarreal la verdad o por la X</t>
  </si>
  <si>
    <t>el espanyol tiene opcion de ganr según totales de todo, pero solo según ese graf. Meterle algo desde el principio, y tradear o no dependiendo de cómo vea al barça, y por suspuesto en los ultimos min si solo pierde de 1</t>
  </si>
  <si>
    <t>hay bastantes opciones de que el zaragoza no gane, que pierde o empate vamos. Meterle un poco prepartido stake0,75 y por supuesto en los ultimos min</t>
  </si>
  <si>
    <t>el osasuna no creo que pierda la verdad según tot de el y del otro, (empata o gana, pero según loc y vis no gana, sino que empata o pierde) no esta claro la verdad</t>
  </si>
  <si>
    <t>7T y 3D</t>
  </si>
  <si>
    <t>3T y 5D</t>
  </si>
  <si>
    <t>podria quitar el 1 si lo que quiero es rentabilizar la quiniela, costaria 5.832€</t>
  </si>
  <si>
    <t>LAY-LOCAL</t>
  </si>
  <si>
    <t>5-2</t>
  </si>
  <si>
    <t>Jornada16</t>
  </si>
  <si>
    <t>nada</t>
  </si>
  <si>
    <t>nada, pero un pelin pelin puede ganar o no perder el cartagena, pero vamos nada de nada</t>
  </si>
  <si>
    <t>JORNADA 53</t>
  </si>
  <si>
    <t>yo creo que gana, pero vamos solo porque en enf direct esta en soporte (eso si es claro y sin empates), y en tot acaba de superar resistencia muy clara</t>
  </si>
  <si>
    <t>gudalajara</t>
  </si>
  <si>
    <t>si hay que apostar por alguien apostaria por el guadalajara, pero no es suficiente como para apostarle, creo, o en todo caso que sea poco</t>
  </si>
  <si>
    <t>el numancia gana por tot suyos y por loc, pero el depor gana por visitantes, y bueno en tot tiene ten clara alcista, y en enf direct la ten es bajista del numancia</t>
  </si>
  <si>
    <t>gana el recreativo stake1</t>
  </si>
  <si>
    <t>yo si hay que apostar por alguien apostaria por el valladolis, pero vamos eso para la quiniela no para apostar</t>
  </si>
  <si>
    <t>si hay que apostar por alguien apuesto por el elche, pero lo digo para la quiniela</t>
  </si>
  <si>
    <t xml:space="preserve">no hay nada claro, el xerez esta en un medio soporte en tot y acaba de superar resistencia clara en loc (incluido 45'') y el villarreal esta en soporte muy claro (muelle) </t>
  </si>
  <si>
    <t>tampoco es que sea muy predilecta, mas que nada es por no dejarlo en blanco, y porque estan igualadillos</t>
  </si>
  <si>
    <t>bastante clara, los dos estan muy bien (igulados) y en enf hay muchos empates</t>
  </si>
  <si>
    <t>este es el nobet mas claro de todos</t>
  </si>
  <si>
    <t>este nobet tambien es bastante claro</t>
  </si>
  <si>
    <t>no esta nada claro, yo no apostaria, lo unico claro es que en enf directos loc el espanyol esta en soporte CLARISIMO (pero con empates), en la quiniela le apuesto al espanyol creo</t>
  </si>
  <si>
    <t>el osasuna no gana, sino que pierde o empata el partido y la 1ª parte tambien, pero stake1, creo que mejor no publicarla</t>
  </si>
  <si>
    <t>rayo-granada; puede pasar de todo los dos estan en soportes muy claros en diversos graf (y sin empates)[el granada en tot y el rayo en loc]  y para la 1ª parte tambien, pero de la 1ª parte es mas claro lo del rayo.</t>
  </si>
  <si>
    <t>por tanto yo creo que apostar a que cambia el resultado en los ultimos min del primer tiempo y en los ultimos min del partido. El granada tiene muchisimas bajas</t>
  </si>
  <si>
    <t>no parece que vaya a ganar (según graf de tot) pues esta en resistencia CLARISIMA historica, pero en el graf de 45'' la acaba de romper en el ultimo partido de forma clara, ver qe pasa y anotar la conclusion</t>
  </si>
  <si>
    <t>meterle pipillas al "villarreal/X y al villarreal/atletico", el villarreal según locales no gana el partido ni de coña marinera (resistencia CLARISISISISIMA)</t>
  </si>
  <si>
    <t>apostar por el bilbao stake1,5 (lo malo es que el levante esta en soporte en tot), sino le meteria stakazo al bilbao DNB o al X2. [esto no es tan seguro, pero si el levante pierde la 1ª parte gana la segunda, y si el levante gana la 1ª parte, pierde la segunda]</t>
  </si>
  <si>
    <t>LAY VISITANTE</t>
  </si>
  <si>
    <t>getafe no creo que gane la verdad, yo apostaria por una X, pero ver si le sirve al zaragoza</t>
  </si>
  <si>
    <t>2-4</t>
  </si>
  <si>
    <t>se pudo tradear en los dos con buenas ganancias, pues el raing empezo ganando, y la cuota del bilbao bajo un monton durante los primeros compases del partido</t>
  </si>
  <si>
    <t>Jorndada17</t>
  </si>
</sst>
</file>

<file path=xl/styles.xml><?xml version="1.0" encoding="utf-8"?>
<styleSheet xmlns="http://schemas.openxmlformats.org/spreadsheetml/2006/main">
  <numFmts count="4">
    <numFmt numFmtId="164" formatCode="#,##0.00\ &quot;€&quot;"/>
    <numFmt numFmtId="165" formatCode="0.00_ ;[Red]\-0.00\ "/>
    <numFmt numFmtId="166" formatCode="0.0%"/>
    <numFmt numFmtId="167" formatCode="0.0"/>
  </numFmts>
  <fonts count="16">
    <font>
      <sz val="11"/>
      <color theme="1"/>
      <name val="Calibri"/>
      <family val="2"/>
      <scheme val="minor"/>
    </font>
    <font>
      <u/>
      <sz val="11"/>
      <color theme="10"/>
      <name val="Calibri"/>
      <family val="2"/>
    </font>
    <font>
      <b/>
      <sz val="11"/>
      <color theme="1"/>
      <name val="Calibri"/>
      <family val="2"/>
      <scheme val="minor"/>
    </font>
    <font>
      <b/>
      <sz val="9"/>
      <color indexed="81"/>
      <name val="Tahoma"/>
      <family val="2"/>
    </font>
    <font>
      <strike/>
      <sz val="11"/>
      <color theme="1"/>
      <name val="Calibri"/>
      <family val="2"/>
      <scheme val="minor"/>
    </font>
    <font>
      <sz val="9"/>
      <color indexed="81"/>
      <name val="Tahoma"/>
      <family val="2"/>
    </font>
    <font>
      <sz val="11"/>
      <color theme="1"/>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sz val="9"/>
      <color rgb="FF333333"/>
      <name val="Verdana"/>
      <family val="2"/>
    </font>
    <font>
      <b/>
      <strike/>
      <sz val="11"/>
      <color theme="1"/>
      <name val="Calibri"/>
      <family val="2"/>
      <scheme val="minor"/>
    </font>
    <font>
      <sz val="11"/>
      <color rgb="FFFF0000"/>
      <name val="Calibri"/>
      <family val="2"/>
      <scheme val="minor"/>
    </font>
    <font>
      <b/>
      <sz val="11"/>
      <color rgb="FF002060"/>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rgb="FF92D050"/>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7030A0"/>
        <bgColor indexed="64"/>
      </patternFill>
    </fill>
    <fill>
      <patternFill patternType="solid">
        <fgColor theme="8" tint="0.59999389629810485"/>
        <bgColor indexed="64"/>
      </patternFill>
    </fill>
    <fill>
      <patternFill patternType="solid">
        <fgColor theme="4" tint="0.79998168889431442"/>
        <bgColor indexed="64"/>
      </patternFill>
    </fill>
  </fills>
  <borders count="28">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1" fillId="0" borderId="0" applyNumberFormat="0" applyFill="0" applyBorder="0" applyAlignment="0" applyProtection="0">
      <alignment vertical="top"/>
      <protection locked="0"/>
    </xf>
    <xf numFmtId="9" fontId="6" fillId="0" borderId="0" applyFont="0" applyFill="0" applyBorder="0" applyAlignment="0" applyProtection="0"/>
  </cellStyleXfs>
  <cellXfs count="312">
    <xf numFmtId="0" fontId="0" fillId="0" borderId="0" xfId="0"/>
    <xf numFmtId="0" fontId="1" fillId="0" borderId="0" xfId="1" applyAlignment="1" applyProtection="1"/>
    <xf numFmtId="0" fontId="0" fillId="0" borderId="0" xfId="0" applyFill="1"/>
    <xf numFmtId="164" fontId="0" fillId="0" borderId="0" xfId="0" applyNumberFormat="1" applyFill="1"/>
    <xf numFmtId="0" fontId="0" fillId="2" borderId="0" xfId="0" applyFill="1"/>
    <xf numFmtId="164" fontId="0" fillId="2" borderId="0" xfId="0" applyNumberFormat="1" applyFill="1"/>
    <xf numFmtId="0" fontId="0" fillId="3" borderId="0" xfId="0" applyFill="1"/>
    <xf numFmtId="0" fontId="0" fillId="4" borderId="0" xfId="0" applyFill="1"/>
    <xf numFmtId="0" fontId="0" fillId="5" borderId="0" xfId="0" applyFill="1"/>
    <xf numFmtId="2" fontId="0" fillId="2" borderId="0" xfId="0" applyNumberFormat="1" applyFill="1"/>
    <xf numFmtId="49" fontId="0" fillId="2" borderId="0" xfId="0" applyNumberFormat="1" applyFill="1" applyAlignment="1">
      <alignment horizontal="center"/>
    </xf>
    <xf numFmtId="0" fontId="0" fillId="6" borderId="0" xfId="0" applyFill="1"/>
    <xf numFmtId="0" fontId="0" fillId="7" borderId="0" xfId="0" applyFill="1"/>
    <xf numFmtId="164" fontId="0" fillId="7" borderId="0" xfId="0" applyNumberFormat="1" applyFill="1"/>
    <xf numFmtId="2" fontId="0" fillId="7" borderId="0" xfId="0" applyNumberFormat="1" applyFill="1"/>
    <xf numFmtId="49" fontId="0" fillId="7" borderId="0" xfId="0" applyNumberFormat="1" applyFill="1" applyAlignment="1">
      <alignment horizontal="center"/>
    </xf>
    <xf numFmtId="0" fontId="0" fillId="2" borderId="0" xfId="0" applyFill="1" applyAlignment="1">
      <alignment horizontal="center"/>
    </xf>
    <xf numFmtId="0" fontId="2" fillId="0" borderId="0" xfId="0" applyFont="1" applyFill="1"/>
    <xf numFmtId="0" fontId="2" fillId="0" borderId="0" xfId="0" applyFont="1"/>
    <xf numFmtId="0" fontId="2" fillId="3" borderId="0" xfId="0" applyFont="1" applyFill="1"/>
    <xf numFmtId="0" fontId="0" fillId="8" borderId="0" xfId="0" applyFill="1"/>
    <xf numFmtId="0" fontId="0" fillId="0" borderId="0" xfId="0" applyAlignment="1">
      <alignment horizontal="left"/>
    </xf>
    <xf numFmtId="0" fontId="0" fillId="9" borderId="0" xfId="0" applyFont="1" applyFill="1"/>
    <xf numFmtId="0" fontId="0" fillId="9" borderId="0" xfId="0" applyFont="1" applyFill="1" applyAlignment="1">
      <alignment horizontal="left"/>
    </xf>
    <xf numFmtId="0" fontId="0" fillId="9" borderId="0" xfId="0" applyFill="1"/>
    <xf numFmtId="0" fontId="0" fillId="10" borderId="0" xfId="0" applyFill="1" applyAlignment="1">
      <alignment horizontal="left"/>
    </xf>
    <xf numFmtId="0" fontId="0" fillId="10" borderId="0" xfId="0" applyFill="1"/>
    <xf numFmtId="0" fontId="0" fillId="0" borderId="0" xfId="0" applyFill="1" applyAlignment="1">
      <alignment wrapText="1"/>
    </xf>
    <xf numFmtId="49" fontId="0" fillId="0" borderId="0" xfId="0" applyNumberFormat="1" applyAlignment="1">
      <alignment horizontal="center"/>
    </xf>
    <xf numFmtId="0" fontId="0" fillId="11" borderId="0" xfId="0" applyFill="1"/>
    <xf numFmtId="49" fontId="0" fillId="0" borderId="0" xfId="0" applyNumberFormat="1" applyFill="1" applyAlignment="1">
      <alignment horizontal="center"/>
    </xf>
    <xf numFmtId="0" fontId="4" fillId="0" borderId="0" xfId="0" applyFont="1"/>
    <xf numFmtId="164" fontId="4" fillId="0" borderId="0" xfId="0" applyNumberFormat="1" applyFont="1" applyFill="1"/>
    <xf numFmtId="2" fontId="4" fillId="0" borderId="0" xfId="0" applyNumberFormat="1" applyFont="1"/>
    <xf numFmtId="49" fontId="4" fillId="0" borderId="0" xfId="0" applyNumberFormat="1" applyFont="1" applyAlignment="1">
      <alignment horizontal="center"/>
    </xf>
    <xf numFmtId="14" fontId="0" fillId="0" borderId="0" xfId="0" applyNumberFormat="1"/>
    <xf numFmtId="20" fontId="0" fillId="0" borderId="0" xfId="0" applyNumberFormat="1"/>
    <xf numFmtId="0" fontId="2" fillId="0" borderId="0" xfId="0" applyFont="1" applyAlignment="1">
      <alignment horizontal="center" vertical="center"/>
    </xf>
    <xf numFmtId="22" fontId="0" fillId="0" borderId="0" xfId="0" applyNumberFormat="1"/>
    <xf numFmtId="0" fontId="2" fillId="0" borderId="0" xfId="0" applyFont="1" applyAlignment="1">
      <alignment horizontal="center" vertical="center"/>
    </xf>
    <xf numFmtId="2" fontId="2" fillId="0" borderId="0" xfId="0" applyNumberFormat="1" applyFont="1" applyAlignment="1">
      <alignment horizontal="center" vertical="center"/>
    </xf>
    <xf numFmtId="2" fontId="0" fillId="0" borderId="0" xfId="0" applyNumberFormat="1"/>
    <xf numFmtId="0" fontId="0" fillId="2" borderId="1" xfId="0" applyFill="1" applyBorder="1"/>
    <xf numFmtId="164" fontId="0" fillId="2" borderId="1" xfId="0" applyNumberFormat="1" applyFill="1" applyBorder="1"/>
    <xf numFmtId="2" fontId="0" fillId="2" borderId="1" xfId="0" applyNumberFormat="1" applyFill="1" applyBorder="1"/>
    <xf numFmtId="49" fontId="0" fillId="2" borderId="1" xfId="0" applyNumberFormat="1" applyFill="1" applyBorder="1" applyAlignment="1">
      <alignment horizontal="center"/>
    </xf>
    <xf numFmtId="0" fontId="0" fillId="7" borderId="0" xfId="0" applyFill="1" applyBorder="1"/>
    <xf numFmtId="164" fontId="0" fillId="7" borderId="0" xfId="0" applyNumberFormat="1" applyFill="1" applyBorder="1"/>
    <xf numFmtId="2" fontId="0" fillId="7" borderId="0" xfId="0" applyNumberFormat="1" applyFill="1" applyBorder="1"/>
    <xf numFmtId="49" fontId="0" fillId="7" borderId="0" xfId="0" applyNumberFormat="1" applyFill="1" applyBorder="1" applyAlignment="1">
      <alignment horizontal="center"/>
    </xf>
    <xf numFmtId="0" fontId="0" fillId="7" borderId="1" xfId="0" applyFill="1" applyBorder="1"/>
    <xf numFmtId="164" fontId="0" fillId="7" borderId="1" xfId="0" applyNumberFormat="1" applyFill="1" applyBorder="1"/>
    <xf numFmtId="2" fontId="0" fillId="7" borderId="1" xfId="0" applyNumberFormat="1" applyFill="1" applyBorder="1"/>
    <xf numFmtId="49" fontId="0" fillId="7" borderId="1" xfId="0" applyNumberFormat="1" applyFill="1" applyBorder="1" applyAlignment="1">
      <alignment horizontal="center"/>
    </xf>
    <xf numFmtId="0" fontId="0" fillId="2" borderId="0" xfId="0" applyFill="1" applyBorder="1"/>
    <xf numFmtId="164" fontId="0" fillId="2" borderId="0" xfId="0" applyNumberFormat="1" applyFill="1" applyBorder="1"/>
    <xf numFmtId="2" fontId="0" fillId="2" borderId="0" xfId="0" applyNumberFormat="1" applyFill="1" applyBorder="1"/>
    <xf numFmtId="49" fontId="0" fillId="2" borderId="0" xfId="0" applyNumberFormat="1" applyFill="1" applyBorder="1" applyAlignment="1">
      <alignment horizontal="center"/>
    </xf>
    <xf numFmtId="0" fontId="0" fillId="0" borderId="0" xfId="0" applyBorder="1"/>
    <xf numFmtId="0" fontId="0" fillId="0" borderId="0" xfId="0" applyFill="1" applyBorder="1"/>
    <xf numFmtId="49" fontId="0" fillId="0" borderId="0" xfId="0" applyNumberFormat="1" applyFill="1" applyBorder="1" applyAlignment="1">
      <alignment horizontal="center"/>
    </xf>
    <xf numFmtId="164" fontId="0" fillId="0" borderId="0" xfId="0" applyNumberFormat="1"/>
    <xf numFmtId="165" fontId="0" fillId="0" borderId="0" xfId="0" applyNumberFormat="1"/>
    <xf numFmtId="9" fontId="0" fillId="0" borderId="0" xfId="2" applyFont="1"/>
    <xf numFmtId="166" fontId="0" fillId="0" borderId="0" xfId="2" applyNumberFormat="1" applyFont="1"/>
    <xf numFmtId="166" fontId="2" fillId="0" borderId="0" xfId="2" applyNumberFormat="1" applyFont="1"/>
    <xf numFmtId="9" fontId="0" fillId="0" borderId="0" xfId="2" applyNumberFormat="1" applyFont="1"/>
    <xf numFmtId="1" fontId="0" fillId="0" borderId="0" xfId="0" applyNumberFormat="1"/>
    <xf numFmtId="0" fontId="0" fillId="12" borderId="0" xfId="0" applyFill="1"/>
    <xf numFmtId="49" fontId="2" fillId="0" borderId="0" xfId="0" applyNumberFormat="1" applyFont="1" applyAlignment="1">
      <alignment horizontal="center" vertical="center"/>
    </xf>
    <xf numFmtId="49" fontId="0" fillId="0" borderId="0" xfId="0" applyNumberFormat="1"/>
    <xf numFmtId="49" fontId="0" fillId="0" borderId="0" xfId="0" applyNumberFormat="1" applyAlignment="1">
      <alignment horizontal="right"/>
    </xf>
    <xf numFmtId="49" fontId="0" fillId="3" borderId="0" xfId="0" applyNumberFormat="1" applyFill="1" applyAlignment="1">
      <alignment horizontal="center"/>
    </xf>
    <xf numFmtId="0" fontId="7" fillId="0" borderId="0" xfId="0" applyFont="1"/>
    <xf numFmtId="0" fontId="0" fillId="0" borderId="0" xfId="0" applyNumberFormat="1" applyFill="1" applyAlignment="1">
      <alignment horizontal="center"/>
    </xf>
    <xf numFmtId="0" fontId="0" fillId="0" borderId="0" xfId="0" applyFont="1" applyFill="1"/>
    <xf numFmtId="0" fontId="4" fillId="0" borderId="0" xfId="0" applyFont="1" applyFill="1"/>
    <xf numFmtId="2" fontId="4" fillId="0" borderId="0" xfId="0" applyNumberFormat="1" applyFont="1" applyFill="1"/>
    <xf numFmtId="49" fontId="4" fillId="0" borderId="0" xfId="0" applyNumberFormat="1" applyFont="1" applyFill="1" applyAlignment="1">
      <alignment horizontal="center"/>
    </xf>
    <xf numFmtId="164" fontId="0" fillId="0" borderId="0" xfId="0" applyNumberFormat="1" applyFont="1" applyFill="1"/>
    <xf numFmtId="2" fontId="0" fillId="0" borderId="0" xfId="0" applyNumberFormat="1" applyFont="1" applyFill="1"/>
    <xf numFmtId="49" fontId="0" fillId="0" borderId="0" xfId="0" applyNumberFormat="1" applyFont="1" applyFill="1" applyAlignment="1">
      <alignment horizontal="center"/>
    </xf>
    <xf numFmtId="0" fontId="0" fillId="0" borderId="0" xfId="0" applyFont="1"/>
    <xf numFmtId="164" fontId="2" fillId="0" borderId="0" xfId="0" applyNumberFormat="1" applyFont="1" applyFill="1"/>
    <xf numFmtId="2" fontId="2" fillId="0" borderId="0" xfId="0" applyNumberFormat="1" applyFont="1" applyFill="1"/>
    <xf numFmtId="49" fontId="2" fillId="0" borderId="0" xfId="0" applyNumberFormat="1" applyFont="1" applyFill="1" applyAlignment="1">
      <alignment horizontal="center"/>
    </xf>
    <xf numFmtId="2" fontId="0" fillId="0" borderId="0" xfId="0" applyNumberFormat="1" applyFill="1"/>
    <xf numFmtId="0" fontId="0" fillId="7" borderId="2" xfId="0" applyFill="1" applyBorder="1"/>
    <xf numFmtId="164" fontId="0" fillId="7" borderId="2" xfId="0" applyNumberFormat="1" applyFill="1" applyBorder="1"/>
    <xf numFmtId="2" fontId="0" fillId="7" borderId="2" xfId="0" applyNumberFormat="1" applyFill="1" applyBorder="1"/>
    <xf numFmtId="49" fontId="0" fillId="7" borderId="2" xfId="0" applyNumberFormat="1" applyFill="1" applyBorder="1" applyAlignment="1">
      <alignment horizontal="center"/>
    </xf>
    <xf numFmtId="0" fontId="0" fillId="2" borderId="2" xfId="0" applyFill="1" applyBorder="1"/>
    <xf numFmtId="164" fontId="0" fillId="2" borderId="2" xfId="0" applyNumberFormat="1" applyFill="1" applyBorder="1"/>
    <xf numFmtId="2" fontId="0" fillId="2" borderId="2" xfId="0" applyNumberFormat="1" applyFill="1" applyBorder="1"/>
    <xf numFmtId="49" fontId="0" fillId="2" borderId="2" xfId="0" applyNumberFormat="1" applyFill="1" applyBorder="1" applyAlignment="1">
      <alignment horizontal="center"/>
    </xf>
    <xf numFmtId="1" fontId="0" fillId="12" borderId="0" xfId="0" applyNumberFormat="1" applyFill="1"/>
    <xf numFmtId="0" fontId="8" fillId="0" borderId="0" xfId="0" applyFont="1" applyFill="1"/>
    <xf numFmtId="0" fontId="8" fillId="8" borderId="0" xfId="0" applyFont="1" applyFill="1" applyBorder="1"/>
    <xf numFmtId="0" fontId="0" fillId="0" borderId="0" xfId="0" applyAlignment="1">
      <alignment horizontal="center"/>
    </xf>
    <xf numFmtId="0" fontId="8" fillId="0" borderId="0" xfId="0" applyFont="1"/>
    <xf numFmtId="0" fontId="9" fillId="0" borderId="0" xfId="0" applyFont="1"/>
    <xf numFmtId="9" fontId="2" fillId="0" borderId="0" xfId="2" applyFont="1"/>
    <xf numFmtId="0" fontId="2" fillId="8" borderId="0" xfId="0" applyFont="1" applyFill="1"/>
    <xf numFmtId="0" fontId="0" fillId="7" borderId="0" xfId="0" applyFill="1" applyAlignment="1">
      <alignment horizontal="center"/>
    </xf>
    <xf numFmtId="0" fontId="0" fillId="0" borderId="0" xfId="0" applyFill="1" applyAlignment="1">
      <alignment horizontal="center"/>
    </xf>
    <xf numFmtId="9" fontId="2" fillId="0" borderId="0" xfId="2" applyFont="1" applyFill="1"/>
    <xf numFmtId="0" fontId="10" fillId="0" borderId="0" xfId="0" applyFont="1"/>
    <xf numFmtId="2" fontId="2" fillId="8" borderId="0" xfId="0" applyNumberFormat="1" applyFont="1" applyFill="1"/>
    <xf numFmtId="10" fontId="0" fillId="0" borderId="0" xfId="2" applyNumberFormat="1" applyFont="1"/>
    <xf numFmtId="1" fontId="0" fillId="0" borderId="0" xfId="0" applyNumberFormat="1" applyFill="1"/>
    <xf numFmtId="0" fontId="0" fillId="0" borderId="0" xfId="0" applyAlignment="1">
      <alignment horizontal="right"/>
    </xf>
    <xf numFmtId="164" fontId="0" fillId="0" borderId="0" xfId="0" applyNumberFormat="1" applyAlignment="1">
      <alignment horizontal="center"/>
    </xf>
    <xf numFmtId="0" fontId="9" fillId="0" borderId="0" xfId="0" applyFont="1" applyFill="1"/>
    <xf numFmtId="0" fontId="4" fillId="7" borderId="0" xfId="0" applyFont="1" applyFill="1"/>
    <xf numFmtId="1" fontId="0" fillId="0" borderId="4" xfId="0" applyNumberFormat="1" applyBorder="1"/>
    <xf numFmtId="2" fontId="0" fillId="0" borderId="4" xfId="0" applyNumberFormat="1" applyBorder="1"/>
    <xf numFmtId="2" fontId="0" fillId="0" borderId="5" xfId="0" applyNumberFormat="1" applyBorder="1"/>
    <xf numFmtId="1" fontId="0" fillId="0" borderId="4" xfId="0" applyNumberFormat="1" applyFill="1" applyBorder="1"/>
    <xf numFmtId="1" fontId="0" fillId="0" borderId="1" xfId="0" applyNumberFormat="1" applyFill="1" applyBorder="1"/>
    <xf numFmtId="1" fontId="0" fillId="0" borderId="2" xfId="0" applyNumberFormat="1" applyFill="1" applyBorder="1"/>
    <xf numFmtId="1" fontId="0" fillId="0" borderId="2" xfId="0" applyNumberFormat="1" applyBorder="1"/>
    <xf numFmtId="2" fontId="0" fillId="0" borderId="2" xfId="0" applyNumberFormat="1" applyBorder="1"/>
    <xf numFmtId="2" fontId="0" fillId="0" borderId="9" xfId="0" applyNumberFormat="1" applyBorder="1"/>
    <xf numFmtId="0" fontId="0" fillId="7" borderId="0" xfId="0" applyFill="1" applyBorder="1" applyAlignment="1">
      <alignment horizontal="center"/>
    </xf>
    <xf numFmtId="0" fontId="0" fillId="0" borderId="0" xfId="0" applyFill="1" applyBorder="1" applyAlignment="1">
      <alignment horizontal="center"/>
    </xf>
    <xf numFmtId="1" fontId="0" fillId="0" borderId="0" xfId="0" applyNumberFormat="1" applyFill="1" applyBorder="1"/>
    <xf numFmtId="2" fontId="0" fillId="0" borderId="4" xfId="0" applyNumberFormat="1" applyFill="1" applyBorder="1"/>
    <xf numFmtId="2" fontId="0" fillId="0" borderId="5" xfId="0" applyNumberFormat="1" applyFill="1" applyBorder="1"/>
    <xf numFmtId="2" fontId="0" fillId="0" borderId="1" xfId="0" applyNumberFormat="1" applyFill="1" applyBorder="1"/>
    <xf numFmtId="2" fontId="0" fillId="0" borderId="7" xfId="0" applyNumberFormat="1" applyFill="1" applyBorder="1"/>
    <xf numFmtId="0" fontId="9" fillId="0" borderId="0" xfId="0" applyFont="1" applyFill="1" applyBorder="1"/>
    <xf numFmtId="2" fontId="0" fillId="0" borderId="0" xfId="0" applyNumberFormat="1" applyFill="1" applyBorder="1"/>
    <xf numFmtId="2" fontId="0" fillId="0" borderId="11" xfId="0" applyNumberFormat="1" applyFill="1" applyBorder="1"/>
    <xf numFmtId="2" fontId="0" fillId="0" borderId="2" xfId="0" applyNumberFormat="1" applyFill="1" applyBorder="1"/>
    <xf numFmtId="2" fontId="0" fillId="0" borderId="9" xfId="0" applyNumberFormat="1" applyFill="1" applyBorder="1"/>
    <xf numFmtId="4" fontId="0" fillId="0" borderId="0" xfId="0" applyNumberFormat="1"/>
    <xf numFmtId="167" fontId="0" fillId="0" borderId="0" xfId="0" applyNumberFormat="1"/>
    <xf numFmtId="0" fontId="0" fillId="0" borderId="0" xfId="0"/>
    <xf numFmtId="0" fontId="8" fillId="0" borderId="0" xfId="0" applyFont="1" applyFill="1" applyBorder="1"/>
    <xf numFmtId="0" fontId="0" fillId="7" borderId="3" xfId="0" applyFill="1" applyBorder="1"/>
    <xf numFmtId="0" fontId="0" fillId="2" borderId="0" xfId="0" applyFill="1" applyBorder="1" applyAlignment="1">
      <alignment horizontal="center"/>
    </xf>
    <xf numFmtId="0" fontId="0" fillId="2" borderId="3" xfId="0" applyFill="1" applyBorder="1"/>
    <xf numFmtId="0" fontId="0" fillId="7" borderId="6" xfId="0" applyFill="1" applyBorder="1"/>
    <xf numFmtId="0" fontId="0" fillId="7" borderId="10" xfId="0" applyFill="1" applyBorder="1"/>
    <xf numFmtId="0" fontId="0" fillId="2" borderId="8" xfId="0" applyFill="1" applyBorder="1"/>
    <xf numFmtId="0" fontId="8" fillId="0" borderId="0" xfId="0" applyFont="1" applyBorder="1"/>
    <xf numFmtId="0" fontId="9" fillId="0" borderId="0" xfId="0" applyFont="1" applyBorder="1"/>
    <xf numFmtId="0" fontId="0" fillId="7" borderId="8" xfId="0" applyFill="1" applyBorder="1"/>
    <xf numFmtId="0" fontId="4" fillId="13" borderId="0" xfId="0" applyFont="1" applyFill="1"/>
    <xf numFmtId="0" fontId="0" fillId="0" borderId="0" xfId="0" applyFill="1" applyAlignment="1">
      <alignment horizontal="left"/>
    </xf>
    <xf numFmtId="0" fontId="0" fillId="14" borderId="0" xfId="0" applyFill="1"/>
    <xf numFmtId="1" fontId="0" fillId="0" borderId="1" xfId="0" applyNumberFormat="1" applyBorder="1"/>
    <xf numFmtId="2" fontId="0" fillId="0" borderId="1" xfId="0" applyNumberFormat="1" applyBorder="1"/>
    <xf numFmtId="2" fontId="0" fillId="0" borderId="7" xfId="0" applyNumberFormat="1" applyBorder="1"/>
    <xf numFmtId="0" fontId="8" fillId="0" borderId="12" xfId="0" applyFont="1" applyBorder="1"/>
    <xf numFmtId="0" fontId="0" fillId="0" borderId="12" xfId="0" applyBorder="1"/>
    <xf numFmtId="0" fontId="0" fillId="7" borderId="12" xfId="0" applyFill="1" applyBorder="1" applyAlignment="1">
      <alignment horizontal="center"/>
    </xf>
    <xf numFmtId="0" fontId="0" fillId="0" borderId="12" xfId="0" applyFill="1" applyBorder="1" applyAlignment="1">
      <alignment horizontal="center"/>
    </xf>
    <xf numFmtId="0" fontId="0" fillId="7" borderId="13" xfId="0" applyFill="1" applyBorder="1"/>
    <xf numFmtId="1" fontId="0" fillId="0" borderId="14" xfId="0" applyNumberFormat="1" applyBorder="1"/>
    <xf numFmtId="2" fontId="0" fillId="0" borderId="14" xfId="0" applyNumberFormat="1" applyBorder="1"/>
    <xf numFmtId="2" fontId="0" fillId="0" borderId="15" xfId="0" applyNumberFormat="1" applyBorder="1"/>
    <xf numFmtId="0" fontId="0" fillId="0" borderId="12" xfId="0" applyFill="1" applyBorder="1"/>
    <xf numFmtId="0" fontId="8" fillId="0" borderId="12" xfId="0" applyFont="1" applyFill="1" applyBorder="1"/>
    <xf numFmtId="1" fontId="0" fillId="0" borderId="14" xfId="0" applyNumberFormat="1" applyFill="1" applyBorder="1"/>
    <xf numFmtId="2" fontId="0" fillId="0" borderId="14" xfId="0" applyNumberFormat="1" applyFill="1" applyBorder="1"/>
    <xf numFmtId="2" fontId="0" fillId="0" borderId="15" xfId="0" applyNumberFormat="1" applyFill="1" applyBorder="1"/>
    <xf numFmtId="0" fontId="0" fillId="2" borderId="12" xfId="0" applyFill="1" applyBorder="1" applyAlignment="1">
      <alignment horizontal="center"/>
    </xf>
    <xf numFmtId="0" fontId="0" fillId="2" borderId="16" xfId="0" applyFill="1" applyBorder="1"/>
    <xf numFmtId="1" fontId="0" fillId="0" borderId="12" xfId="0" applyNumberFormat="1" applyFill="1" applyBorder="1"/>
    <xf numFmtId="2" fontId="0" fillId="0" borderId="12" xfId="0" applyNumberFormat="1" applyFill="1" applyBorder="1"/>
    <xf numFmtId="2" fontId="0" fillId="0" borderId="17" xfId="0" applyNumberFormat="1" applyFill="1" applyBorder="1"/>
    <xf numFmtId="0" fontId="9" fillId="0" borderId="12" xfId="0" applyFont="1" applyBorder="1"/>
    <xf numFmtId="0" fontId="0" fillId="7" borderId="16" xfId="0" applyFill="1" applyBorder="1"/>
    <xf numFmtId="1" fontId="0" fillId="0" borderId="0" xfId="0" applyNumberFormat="1" applyBorder="1"/>
    <xf numFmtId="2" fontId="0" fillId="0" borderId="0" xfId="0" applyNumberFormat="1" applyBorder="1"/>
    <xf numFmtId="1" fontId="0" fillId="14" borderId="0" xfId="0" applyNumberFormat="1" applyFill="1"/>
    <xf numFmtId="2" fontId="0" fillId="14" borderId="0" xfId="0" applyNumberFormat="1" applyFill="1"/>
    <xf numFmtId="1" fontId="0" fillId="14" borderId="4" xfId="0" applyNumberFormat="1" applyFill="1" applyBorder="1"/>
    <xf numFmtId="2" fontId="0" fillId="14" borderId="4" xfId="0" applyNumberFormat="1" applyFill="1" applyBorder="1"/>
    <xf numFmtId="2" fontId="0" fillId="14" borderId="5" xfId="0" applyNumberFormat="1" applyFill="1" applyBorder="1"/>
    <xf numFmtId="1" fontId="0" fillId="14" borderId="0" xfId="0" applyNumberFormat="1" applyFill="1" applyBorder="1"/>
    <xf numFmtId="2" fontId="0" fillId="14" borderId="0" xfId="0" applyNumberFormat="1" applyFill="1" applyBorder="1"/>
    <xf numFmtId="1" fontId="0" fillId="14" borderId="14" xfId="0" applyNumberFormat="1" applyFill="1" applyBorder="1"/>
    <xf numFmtId="2" fontId="0" fillId="14" borderId="14" xfId="0" applyNumberFormat="1" applyFill="1" applyBorder="1"/>
    <xf numFmtId="2" fontId="0" fillId="14" borderId="15" xfId="0" applyNumberFormat="1" applyFill="1" applyBorder="1"/>
    <xf numFmtId="1" fontId="0" fillId="14" borderId="2" xfId="0" applyNumberFormat="1" applyFill="1" applyBorder="1"/>
    <xf numFmtId="2" fontId="0" fillId="14" borderId="2" xfId="0" applyNumberFormat="1" applyFill="1" applyBorder="1"/>
    <xf numFmtId="2" fontId="0" fillId="14" borderId="9" xfId="0" applyNumberFormat="1" applyFill="1" applyBorder="1"/>
    <xf numFmtId="1" fontId="0" fillId="14" borderId="1" xfId="0" applyNumberFormat="1" applyFill="1" applyBorder="1"/>
    <xf numFmtId="2" fontId="0" fillId="14" borderId="1" xfId="0" applyNumberFormat="1" applyFill="1" applyBorder="1"/>
    <xf numFmtId="2" fontId="0" fillId="14" borderId="7" xfId="0" applyNumberFormat="1" applyFill="1" applyBorder="1"/>
    <xf numFmtId="2" fontId="0" fillId="14" borderId="11" xfId="0" applyNumberFormat="1" applyFill="1" applyBorder="1"/>
    <xf numFmtId="1" fontId="0" fillId="14" borderId="12" xfId="0" applyNumberFormat="1" applyFill="1" applyBorder="1"/>
    <xf numFmtId="2" fontId="0" fillId="14" borderId="12" xfId="0" applyNumberFormat="1" applyFill="1" applyBorder="1"/>
    <xf numFmtId="2" fontId="0" fillId="14" borderId="17" xfId="0" applyNumberFormat="1" applyFill="1" applyBorder="1"/>
    <xf numFmtId="1" fontId="0" fillId="0" borderId="0" xfId="0" applyNumberFormat="1" applyFont="1"/>
    <xf numFmtId="0" fontId="0" fillId="2" borderId="10" xfId="0" applyFill="1" applyBorder="1"/>
    <xf numFmtId="1" fontId="0" fillId="0" borderId="12" xfId="0" applyNumberFormat="1" applyBorder="1"/>
    <xf numFmtId="2" fontId="0" fillId="0" borderId="12" xfId="0" applyNumberFormat="1" applyBorder="1"/>
    <xf numFmtId="2" fontId="0" fillId="0" borderId="17" xfId="0" applyNumberFormat="1" applyBorder="1"/>
    <xf numFmtId="0" fontId="0" fillId="2" borderId="13" xfId="0" applyFill="1" applyBorder="1"/>
    <xf numFmtId="2" fontId="0" fillId="0" borderId="11" xfId="0" applyNumberFormat="1" applyBorder="1"/>
    <xf numFmtId="0" fontId="0" fillId="14" borderId="0" xfId="0" applyFill="1" applyBorder="1"/>
    <xf numFmtId="0" fontId="0" fillId="14" borderId="12" xfId="0" applyFill="1" applyBorder="1"/>
    <xf numFmtId="0" fontId="0" fillId="2" borderId="12" xfId="0" applyFill="1" applyBorder="1"/>
    <xf numFmtId="0" fontId="0" fillId="7" borderId="12" xfId="0" applyFill="1" applyBorder="1"/>
    <xf numFmtId="0" fontId="0" fillId="0" borderId="0" xfId="0" applyFont="1" applyFill="1" applyBorder="1"/>
    <xf numFmtId="1" fontId="0" fillId="0" borderId="18" xfId="0" applyNumberFormat="1" applyFill="1" applyBorder="1"/>
    <xf numFmtId="1" fontId="2" fillId="0" borderId="18" xfId="0" applyNumberFormat="1" applyFont="1" applyFill="1" applyBorder="1"/>
    <xf numFmtId="0" fontId="0" fillId="0" borderId="18" xfId="0" applyFill="1" applyBorder="1"/>
    <xf numFmtId="0" fontId="4" fillId="2" borderId="0" xfId="0" applyFont="1" applyFill="1"/>
    <xf numFmtId="0" fontId="0" fillId="2" borderId="18" xfId="0" applyFill="1" applyBorder="1" applyAlignment="1">
      <alignment horizontal="center"/>
    </xf>
    <xf numFmtId="0" fontId="0" fillId="2" borderId="20" xfId="0" applyFill="1" applyBorder="1" applyAlignment="1">
      <alignment horizontal="center"/>
    </xf>
    <xf numFmtId="0" fontId="0" fillId="7" borderId="4" xfId="0" applyFill="1" applyBorder="1" applyAlignment="1">
      <alignment horizontal="center"/>
    </xf>
    <xf numFmtId="0" fontId="0" fillId="7" borderId="20" xfId="0" applyFill="1" applyBorder="1" applyAlignment="1">
      <alignment horizontal="center"/>
    </xf>
    <xf numFmtId="0" fontId="2" fillId="7" borderId="0" xfId="0" applyFont="1" applyFill="1" applyBorder="1" applyAlignment="1">
      <alignment horizontal="center"/>
    </xf>
    <xf numFmtId="0" fontId="0" fillId="7" borderId="18" xfId="0" applyFill="1" applyBorder="1" applyAlignment="1">
      <alignment horizontal="center"/>
    </xf>
    <xf numFmtId="0" fontId="0" fillId="7" borderId="19" xfId="0" applyFill="1" applyBorder="1" applyAlignment="1">
      <alignment horizontal="center"/>
    </xf>
    <xf numFmtId="0" fontId="2" fillId="15" borderId="0" xfId="0" applyFont="1" applyFill="1"/>
    <xf numFmtId="0" fontId="0" fillId="2" borderId="21" xfId="0" applyFill="1" applyBorder="1" applyAlignment="1">
      <alignment horizontal="center"/>
    </xf>
    <xf numFmtId="0" fontId="4" fillId="0" borderId="0" xfId="0" applyFont="1" applyFill="1" applyBorder="1"/>
    <xf numFmtId="0" fontId="4" fillId="0" borderId="0" xfId="0" applyFont="1" applyFill="1" applyBorder="1" applyAlignment="1">
      <alignment horizontal="center"/>
    </xf>
    <xf numFmtId="0" fontId="4" fillId="0" borderId="18" xfId="0" applyFont="1" applyFill="1" applyBorder="1"/>
    <xf numFmtId="1" fontId="4" fillId="0" borderId="0" xfId="0" applyNumberFormat="1" applyFont="1" applyFill="1" applyBorder="1"/>
    <xf numFmtId="1" fontId="11" fillId="0" borderId="18" xfId="0" applyNumberFormat="1" applyFont="1" applyFill="1" applyBorder="1"/>
    <xf numFmtId="2" fontId="4" fillId="0" borderId="0" xfId="0" applyNumberFormat="1" applyFont="1" applyFill="1" applyBorder="1"/>
    <xf numFmtId="167" fontId="0" fillId="0" borderId="0" xfId="0" applyNumberFormat="1" applyFill="1" applyBorder="1"/>
    <xf numFmtId="0" fontId="0" fillId="0" borderId="0" xfId="0" applyFill="1" applyBorder="1" applyAlignment="1">
      <alignment horizontal="left"/>
    </xf>
    <xf numFmtId="164" fontId="0" fillId="0" borderId="0" xfId="0" applyNumberFormat="1" applyFill="1" applyBorder="1" applyAlignment="1">
      <alignment horizontal="center"/>
    </xf>
    <xf numFmtId="0" fontId="0" fillId="0" borderId="0" xfId="0"/>
    <xf numFmtId="0" fontId="0" fillId="0" borderId="0" xfId="0"/>
    <xf numFmtId="0" fontId="0" fillId="0" borderId="0" xfId="0" applyAlignment="1">
      <alignment horizontal="center"/>
    </xf>
    <xf numFmtId="0" fontId="0" fillId="0" borderId="0" xfId="0" applyAlignment="1">
      <alignment horizontal="left"/>
    </xf>
    <xf numFmtId="0" fontId="0" fillId="0" borderId="0" xfId="0" applyBorder="1"/>
    <xf numFmtId="0" fontId="0" fillId="0" borderId="0" xfId="0" applyFill="1"/>
    <xf numFmtId="0" fontId="0" fillId="0" borderId="0" xfId="0" applyAlignment="1">
      <alignment horizontal="right"/>
    </xf>
    <xf numFmtId="0" fontId="12" fillId="2" borderId="0" xfId="0" applyFont="1" applyFill="1" applyBorder="1" applyAlignment="1">
      <alignment horizontal="center"/>
    </xf>
    <xf numFmtId="0" fontId="12" fillId="7" borderId="0" xfId="0" applyFont="1" applyFill="1" applyBorder="1" applyAlignment="1">
      <alignment horizontal="center"/>
    </xf>
    <xf numFmtId="0" fontId="13" fillId="7" borderId="0" xfId="0" applyFont="1" applyFill="1" applyBorder="1" applyAlignment="1">
      <alignment horizontal="center"/>
    </xf>
    <xf numFmtId="0" fontId="0" fillId="7" borderId="0" xfId="0" applyFont="1" applyFill="1"/>
    <xf numFmtId="164" fontId="0" fillId="7" borderId="0" xfId="0" applyNumberFormat="1" applyFont="1" applyFill="1"/>
    <xf numFmtId="2" fontId="0" fillId="7" borderId="0" xfId="0" applyNumberFormat="1" applyFont="1" applyFill="1"/>
    <xf numFmtId="0" fontId="0" fillId="2" borderId="0" xfId="0" applyFont="1" applyFill="1"/>
    <xf numFmtId="164" fontId="0" fillId="2" borderId="0" xfId="0" applyNumberFormat="1" applyFont="1" applyFill="1"/>
    <xf numFmtId="0" fontId="12" fillId="7" borderId="0" xfId="0" applyFont="1" applyFill="1" applyAlignment="1">
      <alignment horizontal="center"/>
    </xf>
    <xf numFmtId="0" fontId="0" fillId="0" borderId="0" xfId="0" applyFont="1" applyFill="1" applyBorder="1" applyAlignment="1">
      <alignment horizontal="center"/>
    </xf>
    <xf numFmtId="1" fontId="0" fillId="0" borderId="0" xfId="0" applyNumberFormat="1" applyFont="1" applyFill="1" applyBorder="1"/>
    <xf numFmtId="2" fontId="0" fillId="0" borderId="0" xfId="0" applyNumberFormat="1" applyFont="1" applyFill="1" applyBorder="1"/>
    <xf numFmtId="1" fontId="0" fillId="0" borderId="18" xfId="0" applyNumberFormat="1" applyFont="1" applyFill="1" applyBorder="1"/>
    <xf numFmtId="0" fontId="0" fillId="0" borderId="18" xfId="0" applyFont="1" applyFill="1" applyBorder="1"/>
    <xf numFmtId="0" fontId="0" fillId="7" borderId="0" xfId="0" applyFont="1" applyFill="1" applyBorder="1"/>
    <xf numFmtId="0" fontId="2" fillId="7" borderId="18" xfId="0" applyFont="1" applyFill="1" applyBorder="1" applyAlignment="1">
      <alignment horizontal="center"/>
    </xf>
    <xf numFmtId="0" fontId="0" fillId="2" borderId="0" xfId="0" applyFont="1" applyFill="1" applyBorder="1" applyAlignment="1">
      <alignment horizontal="center"/>
    </xf>
    <xf numFmtId="0" fontId="0" fillId="7" borderId="0" xfId="0" applyFont="1" applyFill="1" applyBorder="1" applyAlignment="1">
      <alignment horizontal="center"/>
    </xf>
    <xf numFmtId="0" fontId="0" fillId="7" borderId="18" xfId="0" applyFont="1" applyFill="1" applyBorder="1" applyAlignment="1">
      <alignment horizontal="center"/>
    </xf>
    <xf numFmtId="0" fontId="0" fillId="2" borderId="0" xfId="0" applyFont="1" applyFill="1" applyBorder="1"/>
    <xf numFmtId="0" fontId="0" fillId="16" borderId="0" xfId="0" applyFill="1"/>
    <xf numFmtId="0" fontId="0" fillId="2" borderId="18" xfId="0" applyFill="1" applyBorder="1"/>
    <xf numFmtId="0" fontId="0" fillId="7" borderId="18" xfId="0" applyFill="1" applyBorder="1"/>
    <xf numFmtId="164" fontId="0" fillId="16" borderId="0" xfId="0" applyNumberFormat="1" applyFill="1"/>
    <xf numFmtId="2" fontId="0" fillId="16" borderId="0" xfId="0" applyNumberFormat="1" applyFill="1"/>
    <xf numFmtId="49" fontId="0" fillId="16" borderId="0" xfId="0" applyNumberFormat="1" applyFill="1" applyAlignment="1">
      <alignment horizontal="center"/>
    </xf>
    <xf numFmtId="0" fontId="0" fillId="2" borderId="18" xfId="0" applyFont="1" applyFill="1" applyBorder="1" applyAlignment="1">
      <alignment horizontal="center"/>
    </xf>
    <xf numFmtId="2" fontId="2" fillId="0" borderId="0" xfId="0" applyNumberFormat="1" applyFont="1"/>
    <xf numFmtId="0" fontId="0" fillId="0" borderId="0" xfId="0"/>
    <xf numFmtId="0" fontId="0" fillId="0" borderId="0" xfId="0"/>
    <xf numFmtId="0" fontId="2" fillId="2" borderId="0" xfId="0" applyFont="1" applyFill="1"/>
    <xf numFmtId="0" fontId="2" fillId="7" borderId="0" xfId="0" applyFont="1" applyFill="1"/>
    <xf numFmtId="0" fontId="2" fillId="2" borderId="0" xfId="0" applyFont="1" applyFill="1" applyBorder="1" applyAlignment="1">
      <alignment horizontal="center"/>
    </xf>
    <xf numFmtId="0" fontId="2" fillId="11" borderId="0" xfId="0" applyFont="1" applyFill="1"/>
    <xf numFmtId="0" fontId="2" fillId="0" borderId="0" xfId="0"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17" borderId="0" xfId="0" applyFill="1"/>
    <xf numFmtId="0" fontId="0" fillId="0" borderId="0" xfId="0"/>
    <xf numFmtId="0" fontId="0" fillId="0" borderId="0" xfId="0"/>
    <xf numFmtId="0" fontId="0" fillId="2" borderId="18" xfId="0" applyFont="1" applyFill="1" applyBorder="1"/>
    <xf numFmtId="0" fontId="0" fillId="0" borderId="0" xfId="0"/>
    <xf numFmtId="0" fontId="0" fillId="0" borderId="0" xfId="0"/>
    <xf numFmtId="0" fontId="0" fillId="0" borderId="21" xfId="0" applyFont="1" applyFill="1" applyBorder="1"/>
    <xf numFmtId="0" fontId="0" fillId="7" borderId="18" xfId="0" applyFont="1" applyFill="1" applyBorder="1"/>
    <xf numFmtId="2" fontId="2" fillId="0" borderId="0" xfId="0" applyNumberFormat="1" applyFont="1" applyAlignment="1">
      <alignment horizontal="center" vertical="center"/>
    </xf>
    <xf numFmtId="0" fontId="2" fillId="0" borderId="0" xfId="0" applyFont="1" applyAlignment="1">
      <alignment horizontal="center" vertical="center"/>
    </xf>
    <xf numFmtId="0" fontId="0" fillId="2" borderId="4" xfId="0" applyFill="1" applyBorder="1"/>
    <xf numFmtId="164" fontId="0" fillId="2" borderId="4" xfId="0" applyNumberFormat="1" applyFill="1" applyBorder="1"/>
    <xf numFmtId="2" fontId="0" fillId="2" borderId="4" xfId="0" applyNumberFormat="1" applyFill="1" applyBorder="1"/>
    <xf numFmtId="49" fontId="0" fillId="2" borderId="4" xfId="0" applyNumberFormat="1" applyFill="1" applyBorder="1" applyAlignment="1">
      <alignment horizontal="center"/>
    </xf>
    <xf numFmtId="164" fontId="0" fillId="7" borderId="12" xfId="0" applyNumberFormat="1" applyFill="1" applyBorder="1"/>
    <xf numFmtId="2" fontId="0" fillId="7" borderId="12" xfId="0" applyNumberFormat="1" applyFill="1" applyBorder="1"/>
    <xf numFmtId="49" fontId="0" fillId="7" borderId="12" xfId="0" applyNumberFormat="1" applyFill="1" applyBorder="1" applyAlignment="1">
      <alignment horizontal="center"/>
    </xf>
    <xf numFmtId="0" fontId="0" fillId="2" borderId="14" xfId="0" applyFill="1" applyBorder="1"/>
    <xf numFmtId="164" fontId="0" fillId="2" borderId="14" xfId="0" applyNumberFormat="1" applyFill="1" applyBorder="1"/>
    <xf numFmtId="2" fontId="0" fillId="2" borderId="14" xfId="0" applyNumberFormat="1" applyFill="1" applyBorder="1"/>
    <xf numFmtId="49" fontId="0" fillId="2" borderId="14" xfId="0" applyNumberFormat="1" applyFill="1" applyBorder="1" applyAlignment="1">
      <alignment horizontal="center"/>
    </xf>
    <xf numFmtId="165" fontId="0" fillId="0" borderId="12" xfId="0" applyNumberFormat="1" applyBorder="1"/>
    <xf numFmtId="164" fontId="0" fillId="2" borderId="22" xfId="0" applyNumberFormat="1" applyFill="1" applyBorder="1"/>
    <xf numFmtId="164" fontId="0" fillId="7" borderId="23" xfId="0" applyNumberFormat="1" applyFill="1" applyBorder="1"/>
    <xf numFmtId="164" fontId="0" fillId="2" borderId="23" xfId="0" applyNumberFormat="1" applyFill="1" applyBorder="1"/>
    <xf numFmtId="164" fontId="0" fillId="7" borderId="24" xfId="0" applyNumberFormat="1" applyFill="1" applyBorder="1"/>
    <xf numFmtId="164" fontId="0" fillId="2" borderId="24" xfId="0" applyNumberFormat="1" applyFill="1" applyBorder="1"/>
    <xf numFmtId="164" fontId="0" fillId="2" borderId="25" xfId="0" applyNumberFormat="1" applyFill="1" applyBorder="1"/>
    <xf numFmtId="164" fontId="0" fillId="7" borderId="25" xfId="0" applyNumberFormat="1" applyFill="1" applyBorder="1"/>
    <xf numFmtId="164" fontId="0" fillId="7" borderId="26" xfId="0" applyNumberFormat="1" applyFill="1" applyBorder="1"/>
    <xf numFmtId="164" fontId="0" fillId="2" borderId="27" xfId="0" applyNumberFormat="1" applyFill="1" applyBorder="1"/>
    <xf numFmtId="0" fontId="0" fillId="2" borderId="2" xfId="0" applyFill="1" applyBorder="1" applyAlignment="1">
      <alignment horizontal="center"/>
    </xf>
    <xf numFmtId="0" fontId="2" fillId="12" borderId="18" xfId="0" applyFont="1" applyFill="1" applyBorder="1" applyAlignment="1">
      <alignment horizontal="center"/>
    </xf>
    <xf numFmtId="164" fontId="0" fillId="2" borderId="12" xfId="0" applyNumberFormat="1" applyFill="1" applyBorder="1"/>
    <xf numFmtId="2" fontId="0" fillId="2" borderId="12" xfId="0" applyNumberFormat="1" applyFill="1" applyBorder="1"/>
    <xf numFmtId="49" fontId="0" fillId="2" borderId="12" xfId="0" applyNumberFormat="1" applyFill="1" applyBorder="1" applyAlignment="1">
      <alignment horizontal="center"/>
    </xf>
  </cellXfs>
  <cellStyles count="3">
    <cellStyle name="Hipervínculo" xfId="1" builtinId="8"/>
    <cellStyle name="Normal" xfId="0" builtinId="0"/>
    <cellStyle name="Porcentual"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a:t>
            </a:r>
          </a:p>
        </c:rich>
      </c:tx>
      <c:layout/>
    </c:title>
    <c:plotArea>
      <c:layout/>
      <c:lineChart>
        <c:grouping val="standard"/>
        <c:ser>
          <c:idx val="0"/>
          <c:order val="0"/>
          <c:tx>
            <c:strRef>
              <c:f>Bank!$B$1</c:f>
              <c:strCache>
                <c:ptCount val="1"/>
                <c:pt idx="0">
                  <c:v>Gan/Per</c:v>
                </c:pt>
              </c:strCache>
            </c:strRef>
          </c:tx>
          <c:spPr>
            <a:ln w="25400"/>
          </c:spPr>
          <c:marker>
            <c:symbol val="circle"/>
            <c:size val="4"/>
          </c:marker>
          <c:cat>
            <c:strRef>
              <c:f>Bank!$A$3:$A$16</c:f>
              <c:strCache>
                <c:ptCount val="14"/>
                <c:pt idx="0">
                  <c:v>Jornada1</c:v>
                </c:pt>
                <c:pt idx="1">
                  <c:v>Jornada2</c:v>
                </c:pt>
                <c:pt idx="2">
                  <c:v>Jornada3</c:v>
                </c:pt>
                <c:pt idx="3">
                  <c:v>Jornada4</c:v>
                </c:pt>
                <c:pt idx="4">
                  <c:v>Jornada5</c:v>
                </c:pt>
                <c:pt idx="5">
                  <c:v>Jornada6</c:v>
                </c:pt>
                <c:pt idx="6">
                  <c:v>Jornada7</c:v>
                </c:pt>
                <c:pt idx="7">
                  <c:v>Jornada8</c:v>
                </c:pt>
                <c:pt idx="8">
                  <c:v>Jornada9</c:v>
                </c:pt>
                <c:pt idx="9">
                  <c:v>Jornada10</c:v>
                </c:pt>
                <c:pt idx="10">
                  <c:v>Jornada11</c:v>
                </c:pt>
                <c:pt idx="11">
                  <c:v>Jornada12</c:v>
                </c:pt>
                <c:pt idx="12">
                  <c:v>Jornada14</c:v>
                </c:pt>
                <c:pt idx="13">
                  <c:v>Jornada15</c:v>
                </c:pt>
              </c:strCache>
            </c:strRef>
          </c:cat>
          <c:val>
            <c:numRef>
              <c:f>Bank!$B$3:$B$16</c:f>
              <c:numCache>
                <c:formatCode>0.00_ ;[Red]\-0.00\ </c:formatCode>
                <c:ptCount val="14"/>
                <c:pt idx="0">
                  <c:v>-4.75</c:v>
                </c:pt>
                <c:pt idx="1">
                  <c:v>5.14</c:v>
                </c:pt>
                <c:pt idx="2">
                  <c:v>5</c:v>
                </c:pt>
                <c:pt idx="3">
                  <c:v>1.86</c:v>
                </c:pt>
                <c:pt idx="4">
                  <c:v>-4.34</c:v>
                </c:pt>
                <c:pt idx="5">
                  <c:v>10.02</c:v>
                </c:pt>
                <c:pt idx="6">
                  <c:v>-3.21</c:v>
                </c:pt>
                <c:pt idx="7">
                  <c:v>-0.14000000000000001</c:v>
                </c:pt>
                <c:pt idx="8">
                  <c:v>1.1000000000000001</c:v>
                </c:pt>
                <c:pt idx="9">
                  <c:v>4.66</c:v>
                </c:pt>
                <c:pt idx="10">
                  <c:v>3.92</c:v>
                </c:pt>
                <c:pt idx="11">
                  <c:v>8.74</c:v>
                </c:pt>
                <c:pt idx="12">
                  <c:v>4.0999999999999996</c:v>
                </c:pt>
                <c:pt idx="13">
                  <c:v>1.06</c:v>
                </c:pt>
              </c:numCache>
            </c:numRef>
          </c:val>
        </c:ser>
        <c:marker val="1"/>
        <c:axId val="104427904"/>
        <c:axId val="104429440"/>
      </c:lineChart>
      <c:catAx>
        <c:axId val="104427904"/>
        <c:scaling>
          <c:orientation val="minMax"/>
        </c:scaling>
        <c:axPos val="b"/>
        <c:tickLblPos val="none"/>
        <c:crossAx val="104429440"/>
        <c:crosses val="autoZero"/>
        <c:auto val="1"/>
        <c:lblAlgn val="ctr"/>
        <c:lblOffset val="100"/>
      </c:catAx>
      <c:valAx>
        <c:axId val="104429440"/>
        <c:scaling>
          <c:orientation val="minMax"/>
        </c:scaling>
        <c:axPos val="l"/>
        <c:majorGridlines/>
        <c:numFmt formatCode="0.00_ ;[Red]\-0.00\ " sourceLinked="1"/>
        <c:tickLblPos val="nextTo"/>
        <c:crossAx val="104427904"/>
        <c:crosses val="autoZero"/>
        <c:crossBetween val="between"/>
      </c:valAx>
    </c:plotArea>
    <c:plotVisOnly val="1"/>
  </c:chart>
  <c:printSettings>
    <c:headerFooter/>
    <c:pageMargins b="0.75000000000001077" l="0.70000000000000062" r="0.70000000000000062" t="0.750000000000010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a:t>
            </a:r>
          </a:p>
        </c:rich>
      </c:tx>
      <c:layout/>
    </c:title>
    <c:plotArea>
      <c:layout/>
      <c:lineChart>
        <c:grouping val="standard"/>
        <c:ser>
          <c:idx val="0"/>
          <c:order val="0"/>
          <c:tx>
            <c:strRef>
              <c:f>Bank!$C$1</c:f>
              <c:strCache>
                <c:ptCount val="1"/>
                <c:pt idx="0">
                  <c:v>Yield</c:v>
                </c:pt>
              </c:strCache>
            </c:strRef>
          </c:tx>
          <c:spPr>
            <a:ln w="25400"/>
          </c:spPr>
          <c:marker>
            <c:symbol val="circle"/>
            <c:size val="4"/>
          </c:marker>
          <c:cat>
            <c:strRef>
              <c:f>Bank!$A$3:$A$16</c:f>
              <c:strCache>
                <c:ptCount val="14"/>
                <c:pt idx="0">
                  <c:v>Jornada1</c:v>
                </c:pt>
                <c:pt idx="1">
                  <c:v>Jornada2</c:v>
                </c:pt>
                <c:pt idx="2">
                  <c:v>Jornada3</c:v>
                </c:pt>
                <c:pt idx="3">
                  <c:v>Jornada4</c:v>
                </c:pt>
                <c:pt idx="4">
                  <c:v>Jornada5</c:v>
                </c:pt>
                <c:pt idx="5">
                  <c:v>Jornada6</c:v>
                </c:pt>
                <c:pt idx="6">
                  <c:v>Jornada7</c:v>
                </c:pt>
                <c:pt idx="7">
                  <c:v>Jornada8</c:v>
                </c:pt>
                <c:pt idx="8">
                  <c:v>Jornada9</c:v>
                </c:pt>
                <c:pt idx="9">
                  <c:v>Jornada10</c:v>
                </c:pt>
                <c:pt idx="10">
                  <c:v>Jornada11</c:v>
                </c:pt>
                <c:pt idx="11">
                  <c:v>Jornada12</c:v>
                </c:pt>
                <c:pt idx="12">
                  <c:v>Jornada14</c:v>
                </c:pt>
                <c:pt idx="13">
                  <c:v>Jornada15</c:v>
                </c:pt>
              </c:strCache>
            </c:strRef>
          </c:cat>
          <c:val>
            <c:numRef>
              <c:f>Bank!$C$3:$C$16</c:f>
              <c:numCache>
                <c:formatCode>0.00%</c:formatCode>
                <c:ptCount val="14"/>
                <c:pt idx="0">
                  <c:v>-0.67859999999999998</c:v>
                </c:pt>
                <c:pt idx="1">
                  <c:v>0.70899999999999996</c:v>
                </c:pt>
                <c:pt idx="2">
                  <c:v>0.68969999999999998</c:v>
                </c:pt>
                <c:pt idx="3">
                  <c:v>0.186</c:v>
                </c:pt>
                <c:pt idx="4">
                  <c:v>-0.72330000000000005</c:v>
                </c:pt>
                <c:pt idx="5">
                  <c:v>0.93210000000000004</c:v>
                </c:pt>
                <c:pt idx="6">
                  <c:v>-0.55869999999999997</c:v>
                </c:pt>
                <c:pt idx="7">
                  <c:v>-1.7500000000000002E-2</c:v>
                </c:pt>
                <c:pt idx="8">
                  <c:v>1.1100000000000001</c:v>
                </c:pt>
                <c:pt idx="9">
                  <c:v>1.55</c:v>
                </c:pt>
                <c:pt idx="10">
                  <c:v>0.52270000000000005</c:v>
                </c:pt>
                <c:pt idx="11">
                  <c:v>1.4567000000000001</c:v>
                </c:pt>
                <c:pt idx="12">
                  <c:v>1.0249999999999999</c:v>
                </c:pt>
                <c:pt idx="13">
                  <c:v>0.14000000000000001</c:v>
                </c:pt>
              </c:numCache>
            </c:numRef>
          </c:val>
        </c:ser>
        <c:marker val="1"/>
        <c:axId val="105059840"/>
        <c:axId val="105061376"/>
      </c:lineChart>
      <c:catAx>
        <c:axId val="105059840"/>
        <c:scaling>
          <c:orientation val="minMax"/>
        </c:scaling>
        <c:axPos val="b"/>
        <c:tickLblPos val="none"/>
        <c:crossAx val="105061376"/>
        <c:crosses val="autoZero"/>
        <c:auto val="1"/>
        <c:lblAlgn val="ctr"/>
        <c:lblOffset val="100"/>
      </c:catAx>
      <c:valAx>
        <c:axId val="105061376"/>
        <c:scaling>
          <c:orientation val="minMax"/>
        </c:scaling>
        <c:axPos val="l"/>
        <c:majorGridlines/>
        <c:numFmt formatCode="0.00%" sourceLinked="1"/>
        <c:tickLblPos val="nextTo"/>
        <c:crossAx val="105059840"/>
        <c:crosses val="autoZero"/>
        <c:crossBetween val="between"/>
      </c:valAx>
    </c:plotArea>
    <c:plotVisOnly val="1"/>
  </c:chart>
  <c:printSettings>
    <c:headerFooter/>
    <c:pageMargins b="0.75000000000001099" l="0.70000000000000062" r="0.70000000000000062" t="0.7500000000000109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 Acierto</a:t>
            </a:r>
          </a:p>
        </c:rich>
      </c:tx>
    </c:title>
    <c:plotArea>
      <c:layout/>
      <c:lineChart>
        <c:grouping val="standard"/>
        <c:ser>
          <c:idx val="0"/>
          <c:order val="0"/>
          <c:tx>
            <c:strRef>
              <c:f>Bank!$D$1</c:f>
              <c:strCache>
                <c:ptCount val="1"/>
                <c:pt idx="0">
                  <c:v>% Acierto</c:v>
                </c:pt>
              </c:strCache>
            </c:strRef>
          </c:tx>
          <c:spPr>
            <a:ln w="25400"/>
          </c:spPr>
          <c:marker>
            <c:symbol val="circle"/>
            <c:size val="4"/>
          </c:marker>
          <c:cat>
            <c:strRef>
              <c:f>Bank!$A$3:$A$16</c:f>
              <c:strCache>
                <c:ptCount val="14"/>
                <c:pt idx="0">
                  <c:v>Jornada1</c:v>
                </c:pt>
                <c:pt idx="1">
                  <c:v>Jornada2</c:v>
                </c:pt>
                <c:pt idx="2">
                  <c:v>Jornada3</c:v>
                </c:pt>
                <c:pt idx="3">
                  <c:v>Jornada4</c:v>
                </c:pt>
                <c:pt idx="4">
                  <c:v>Jornada5</c:v>
                </c:pt>
                <c:pt idx="5">
                  <c:v>Jornada6</c:v>
                </c:pt>
                <c:pt idx="6">
                  <c:v>Jornada7</c:v>
                </c:pt>
                <c:pt idx="7">
                  <c:v>Jornada8</c:v>
                </c:pt>
                <c:pt idx="8">
                  <c:v>Jornada9</c:v>
                </c:pt>
                <c:pt idx="9">
                  <c:v>Jornada10</c:v>
                </c:pt>
                <c:pt idx="10">
                  <c:v>Jornada11</c:v>
                </c:pt>
                <c:pt idx="11">
                  <c:v>Jornada12</c:v>
                </c:pt>
                <c:pt idx="12">
                  <c:v>Jornada14</c:v>
                </c:pt>
                <c:pt idx="13">
                  <c:v>Jornada15</c:v>
                </c:pt>
              </c:strCache>
            </c:strRef>
          </c:cat>
          <c:val>
            <c:numRef>
              <c:f>Bank!$D$3:$D$16</c:f>
              <c:numCache>
                <c:formatCode>0%</c:formatCode>
                <c:ptCount val="14"/>
                <c:pt idx="0">
                  <c:v>0.2</c:v>
                </c:pt>
                <c:pt idx="1">
                  <c:v>0.4</c:v>
                </c:pt>
                <c:pt idx="2">
                  <c:v>0.5</c:v>
                </c:pt>
                <c:pt idx="3">
                  <c:v>0.5</c:v>
                </c:pt>
                <c:pt idx="4">
                  <c:v>0.41</c:v>
                </c:pt>
                <c:pt idx="5">
                  <c:v>0.47</c:v>
                </c:pt>
                <c:pt idx="6">
                  <c:v>0.43</c:v>
                </c:pt>
                <c:pt idx="7">
                  <c:v>0.435</c:v>
                </c:pt>
                <c:pt idx="8">
                  <c:v>0.44700000000000001</c:v>
                </c:pt>
                <c:pt idx="9">
                  <c:v>0.44</c:v>
                </c:pt>
                <c:pt idx="10">
                  <c:v>0.45500000000000002</c:v>
                </c:pt>
                <c:pt idx="11">
                  <c:v>0.48299999999999998</c:v>
                </c:pt>
                <c:pt idx="12">
                  <c:v>0.5</c:v>
                </c:pt>
                <c:pt idx="13">
                  <c:v>0.5</c:v>
                </c:pt>
              </c:numCache>
            </c:numRef>
          </c:val>
        </c:ser>
        <c:marker val="1"/>
        <c:axId val="105076992"/>
        <c:axId val="105086976"/>
      </c:lineChart>
      <c:catAx>
        <c:axId val="105076992"/>
        <c:scaling>
          <c:orientation val="minMax"/>
        </c:scaling>
        <c:axPos val="b"/>
        <c:tickLblPos val="none"/>
        <c:crossAx val="105086976"/>
        <c:crosses val="autoZero"/>
        <c:auto val="1"/>
        <c:lblAlgn val="ctr"/>
        <c:lblOffset val="100"/>
      </c:catAx>
      <c:valAx>
        <c:axId val="105086976"/>
        <c:scaling>
          <c:orientation val="minMax"/>
        </c:scaling>
        <c:axPos val="l"/>
        <c:majorGridlines/>
        <c:numFmt formatCode="0%" sourceLinked="1"/>
        <c:tickLblPos val="nextTo"/>
        <c:crossAx val="105076992"/>
        <c:crosses val="autoZero"/>
        <c:crossBetween val="between"/>
      </c:valAx>
    </c:plotArea>
    <c:plotVisOnly val="1"/>
  </c:chart>
  <c:printSettings>
    <c:headerFooter/>
    <c:pageMargins b="0.75000000000001121" l="0.70000000000000062" r="0.70000000000000062" t="0.7500000000000112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 Tot.</a:t>
            </a:r>
          </a:p>
        </c:rich>
      </c:tx>
      <c:layout/>
    </c:title>
    <c:plotArea>
      <c:layout/>
      <c:lineChart>
        <c:grouping val="standard"/>
        <c:ser>
          <c:idx val="0"/>
          <c:order val="0"/>
          <c:tx>
            <c:strRef>
              <c:f>Bank!$E$1</c:f>
              <c:strCache>
                <c:ptCount val="1"/>
                <c:pt idx="0">
                  <c:v>Gan/Per Tot.</c:v>
                </c:pt>
              </c:strCache>
            </c:strRef>
          </c:tx>
          <c:spPr>
            <a:ln w="25400"/>
          </c:spPr>
          <c:marker>
            <c:symbol val="circle"/>
            <c:size val="4"/>
          </c:marker>
          <c:cat>
            <c:strRef>
              <c:f>Bank!$A$3:$A$16</c:f>
              <c:strCache>
                <c:ptCount val="14"/>
                <c:pt idx="0">
                  <c:v>Jornada1</c:v>
                </c:pt>
                <c:pt idx="1">
                  <c:v>Jornada2</c:v>
                </c:pt>
                <c:pt idx="2">
                  <c:v>Jornada3</c:v>
                </c:pt>
                <c:pt idx="3">
                  <c:v>Jornada4</c:v>
                </c:pt>
                <c:pt idx="4">
                  <c:v>Jornada5</c:v>
                </c:pt>
                <c:pt idx="5">
                  <c:v>Jornada6</c:v>
                </c:pt>
                <c:pt idx="6">
                  <c:v>Jornada7</c:v>
                </c:pt>
                <c:pt idx="7">
                  <c:v>Jornada8</c:v>
                </c:pt>
                <c:pt idx="8">
                  <c:v>Jornada9</c:v>
                </c:pt>
                <c:pt idx="9">
                  <c:v>Jornada10</c:v>
                </c:pt>
                <c:pt idx="10">
                  <c:v>Jornada11</c:v>
                </c:pt>
                <c:pt idx="11">
                  <c:v>Jornada12</c:v>
                </c:pt>
                <c:pt idx="12">
                  <c:v>Jornada14</c:v>
                </c:pt>
                <c:pt idx="13">
                  <c:v>Jornada15</c:v>
                </c:pt>
              </c:strCache>
            </c:strRef>
          </c:cat>
          <c:val>
            <c:numRef>
              <c:f>Bank!$E$3:$E$16</c:f>
              <c:numCache>
                <c:formatCode>0.00_ ;[Red]\-0.00\ </c:formatCode>
                <c:ptCount val="14"/>
                <c:pt idx="0">
                  <c:v>-4.75</c:v>
                </c:pt>
                <c:pt idx="1">
                  <c:v>0.39</c:v>
                </c:pt>
                <c:pt idx="2">
                  <c:v>5.39</c:v>
                </c:pt>
                <c:pt idx="3">
                  <c:v>7.25</c:v>
                </c:pt>
                <c:pt idx="4">
                  <c:v>2.91</c:v>
                </c:pt>
                <c:pt idx="5">
                  <c:v>12.93</c:v>
                </c:pt>
                <c:pt idx="6">
                  <c:v>9.7200000000000006</c:v>
                </c:pt>
                <c:pt idx="7">
                  <c:v>9.58</c:v>
                </c:pt>
                <c:pt idx="8">
                  <c:v>10.68</c:v>
                </c:pt>
                <c:pt idx="9">
                  <c:v>15.34</c:v>
                </c:pt>
                <c:pt idx="10">
                  <c:v>19.260000000000002</c:v>
                </c:pt>
                <c:pt idx="11">
                  <c:v>28</c:v>
                </c:pt>
                <c:pt idx="12">
                  <c:v>32.1</c:v>
                </c:pt>
                <c:pt idx="13">
                  <c:v>33.159999999999997</c:v>
                </c:pt>
              </c:numCache>
            </c:numRef>
          </c:val>
        </c:ser>
        <c:marker val="1"/>
        <c:axId val="105098240"/>
        <c:axId val="105116416"/>
      </c:lineChart>
      <c:catAx>
        <c:axId val="105098240"/>
        <c:scaling>
          <c:orientation val="minMax"/>
        </c:scaling>
        <c:axPos val="b"/>
        <c:tickLblPos val="none"/>
        <c:crossAx val="105116416"/>
        <c:crosses val="autoZero"/>
        <c:auto val="1"/>
        <c:lblAlgn val="ctr"/>
        <c:lblOffset val="100"/>
      </c:catAx>
      <c:valAx>
        <c:axId val="105116416"/>
        <c:scaling>
          <c:orientation val="minMax"/>
        </c:scaling>
        <c:axPos val="l"/>
        <c:majorGridlines/>
        <c:numFmt formatCode="0.00_ ;[Red]\-0.00\ " sourceLinked="1"/>
        <c:tickLblPos val="nextTo"/>
        <c:crossAx val="105098240"/>
        <c:crosses val="autoZero"/>
        <c:crossBetween val="between"/>
      </c:valAx>
    </c:plotArea>
    <c:plotVisOnly val="1"/>
  </c:chart>
  <c:printSettings>
    <c:headerFooter/>
    <c:pageMargins b="0.75000000000001099" l="0.70000000000000062" r="0.70000000000000062" t="0.7500000000000109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 Tot.</a:t>
            </a:r>
          </a:p>
        </c:rich>
      </c:tx>
    </c:title>
    <c:plotArea>
      <c:layout/>
      <c:lineChart>
        <c:grouping val="standard"/>
        <c:ser>
          <c:idx val="0"/>
          <c:order val="0"/>
          <c:tx>
            <c:strRef>
              <c:f>Bank!$G$1</c:f>
              <c:strCache>
                <c:ptCount val="1"/>
                <c:pt idx="0">
                  <c:v>Yield Tot.</c:v>
                </c:pt>
              </c:strCache>
            </c:strRef>
          </c:tx>
          <c:spPr>
            <a:ln w="25400"/>
          </c:spPr>
          <c:marker>
            <c:symbol val="circle"/>
            <c:size val="4"/>
          </c:marker>
          <c:cat>
            <c:strRef>
              <c:f>Bank!$A$3:$A$16</c:f>
              <c:strCache>
                <c:ptCount val="14"/>
                <c:pt idx="0">
                  <c:v>Jornada1</c:v>
                </c:pt>
                <c:pt idx="1">
                  <c:v>Jornada2</c:v>
                </c:pt>
                <c:pt idx="2">
                  <c:v>Jornada3</c:v>
                </c:pt>
                <c:pt idx="3">
                  <c:v>Jornada4</c:v>
                </c:pt>
                <c:pt idx="4">
                  <c:v>Jornada5</c:v>
                </c:pt>
                <c:pt idx="5">
                  <c:v>Jornada6</c:v>
                </c:pt>
                <c:pt idx="6">
                  <c:v>Jornada7</c:v>
                </c:pt>
                <c:pt idx="7">
                  <c:v>Jornada8</c:v>
                </c:pt>
                <c:pt idx="8">
                  <c:v>Jornada9</c:v>
                </c:pt>
                <c:pt idx="9">
                  <c:v>Jornada10</c:v>
                </c:pt>
                <c:pt idx="10">
                  <c:v>Jornada11</c:v>
                </c:pt>
                <c:pt idx="11">
                  <c:v>Jornada12</c:v>
                </c:pt>
                <c:pt idx="12">
                  <c:v>Jornada14</c:v>
                </c:pt>
                <c:pt idx="13">
                  <c:v>Jornada15</c:v>
                </c:pt>
              </c:strCache>
            </c:strRef>
          </c:cat>
          <c:val>
            <c:numRef>
              <c:f>Bank!$G$3:$G$16</c:f>
              <c:numCache>
                <c:formatCode>0.00%</c:formatCode>
                <c:ptCount val="14"/>
                <c:pt idx="0">
                  <c:v>-0.67859999999999998</c:v>
                </c:pt>
                <c:pt idx="1">
                  <c:v>2.7300000000000001E-2</c:v>
                </c:pt>
                <c:pt idx="2">
                  <c:v>0.25069999999999998</c:v>
                </c:pt>
                <c:pt idx="3">
                  <c:v>0.23019999999999999</c:v>
                </c:pt>
                <c:pt idx="4">
                  <c:v>7.7600000000000002E-2</c:v>
                </c:pt>
                <c:pt idx="5">
                  <c:v>0.26800000000000002</c:v>
                </c:pt>
                <c:pt idx="6">
                  <c:v>0.18</c:v>
                </c:pt>
                <c:pt idx="7">
                  <c:v>0.14449999999999999</c:v>
                </c:pt>
                <c:pt idx="8">
                  <c:v>0.16950000000000001</c:v>
                </c:pt>
                <c:pt idx="9">
                  <c:v>0.2324</c:v>
                </c:pt>
                <c:pt idx="10">
                  <c:v>0.26200000000000001</c:v>
                </c:pt>
                <c:pt idx="11">
                  <c:v>0.35220000000000001</c:v>
                </c:pt>
                <c:pt idx="12">
                  <c:v>0.38440000000000002</c:v>
                </c:pt>
                <c:pt idx="13">
                  <c:v>0.36420000000000002</c:v>
                </c:pt>
              </c:numCache>
            </c:numRef>
          </c:val>
        </c:ser>
        <c:marker val="1"/>
        <c:axId val="104824832"/>
        <c:axId val="104826368"/>
      </c:lineChart>
      <c:catAx>
        <c:axId val="104824832"/>
        <c:scaling>
          <c:orientation val="minMax"/>
        </c:scaling>
        <c:axPos val="b"/>
        <c:tickLblPos val="none"/>
        <c:crossAx val="104826368"/>
        <c:crosses val="autoZero"/>
        <c:auto val="1"/>
        <c:lblAlgn val="ctr"/>
        <c:lblOffset val="100"/>
      </c:catAx>
      <c:valAx>
        <c:axId val="104826368"/>
        <c:scaling>
          <c:orientation val="minMax"/>
        </c:scaling>
        <c:axPos val="l"/>
        <c:majorGridlines/>
        <c:numFmt formatCode="0.00%" sourceLinked="1"/>
        <c:tickLblPos val="nextTo"/>
        <c:crossAx val="104824832"/>
        <c:crosses val="autoZero"/>
        <c:crossBetween val="between"/>
      </c:valAx>
    </c:plotArea>
    <c:plotVisOnly val="1"/>
  </c:chart>
  <c:printSettings>
    <c:headerFooter/>
    <c:pageMargins b="0.75000000000001121" l="0.70000000000000062" r="0.70000000000000062" t="0.7500000000000112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Bank</a:t>
            </a:r>
          </a:p>
        </c:rich>
      </c:tx>
      <c:layout/>
    </c:title>
    <c:plotArea>
      <c:layout/>
      <c:lineChart>
        <c:grouping val="standard"/>
        <c:ser>
          <c:idx val="0"/>
          <c:order val="0"/>
          <c:tx>
            <c:strRef>
              <c:f>Bank!$F$1</c:f>
              <c:strCache>
                <c:ptCount val="1"/>
                <c:pt idx="0">
                  <c:v>Bank</c:v>
                </c:pt>
              </c:strCache>
            </c:strRef>
          </c:tx>
          <c:spPr>
            <a:ln w="25400"/>
          </c:spPr>
          <c:marker>
            <c:symbol val="circle"/>
            <c:size val="4"/>
          </c:marker>
          <c:cat>
            <c:strRef>
              <c:f>Bank!$A$3:$A$16</c:f>
              <c:strCache>
                <c:ptCount val="14"/>
                <c:pt idx="0">
                  <c:v>Jornada1</c:v>
                </c:pt>
                <c:pt idx="1">
                  <c:v>Jornada2</c:v>
                </c:pt>
                <c:pt idx="2">
                  <c:v>Jornada3</c:v>
                </c:pt>
                <c:pt idx="3">
                  <c:v>Jornada4</c:v>
                </c:pt>
                <c:pt idx="4">
                  <c:v>Jornada5</c:v>
                </c:pt>
                <c:pt idx="5">
                  <c:v>Jornada6</c:v>
                </c:pt>
                <c:pt idx="6">
                  <c:v>Jornada7</c:v>
                </c:pt>
                <c:pt idx="7">
                  <c:v>Jornada8</c:v>
                </c:pt>
                <c:pt idx="8">
                  <c:v>Jornada9</c:v>
                </c:pt>
                <c:pt idx="9">
                  <c:v>Jornada10</c:v>
                </c:pt>
                <c:pt idx="10">
                  <c:v>Jornada11</c:v>
                </c:pt>
                <c:pt idx="11">
                  <c:v>Jornada12</c:v>
                </c:pt>
                <c:pt idx="12">
                  <c:v>Jornada14</c:v>
                </c:pt>
                <c:pt idx="13">
                  <c:v>Jornada15</c:v>
                </c:pt>
              </c:strCache>
            </c:strRef>
          </c:cat>
          <c:val>
            <c:numRef>
              <c:f>Bank!$F$3:$F$16</c:f>
              <c:numCache>
                <c:formatCode>#,##0.00\ "€"</c:formatCode>
                <c:ptCount val="14"/>
                <c:pt idx="0">
                  <c:v>45.25</c:v>
                </c:pt>
                <c:pt idx="1">
                  <c:v>50.39</c:v>
                </c:pt>
                <c:pt idx="2">
                  <c:v>55.39</c:v>
                </c:pt>
                <c:pt idx="3">
                  <c:v>57.25</c:v>
                </c:pt>
                <c:pt idx="4">
                  <c:v>52.91</c:v>
                </c:pt>
                <c:pt idx="5">
                  <c:v>62.93</c:v>
                </c:pt>
                <c:pt idx="6">
                  <c:v>59.72</c:v>
                </c:pt>
                <c:pt idx="7">
                  <c:v>59.58</c:v>
                </c:pt>
                <c:pt idx="8">
                  <c:v>60.68</c:v>
                </c:pt>
                <c:pt idx="9">
                  <c:v>65.34</c:v>
                </c:pt>
                <c:pt idx="10">
                  <c:v>69.260000000000005</c:v>
                </c:pt>
                <c:pt idx="11">
                  <c:v>78</c:v>
                </c:pt>
                <c:pt idx="12">
                  <c:v>82.1</c:v>
                </c:pt>
                <c:pt idx="13">
                  <c:v>83.16</c:v>
                </c:pt>
              </c:numCache>
            </c:numRef>
          </c:val>
        </c:ser>
        <c:marker val="1"/>
        <c:axId val="104850176"/>
        <c:axId val="104851712"/>
      </c:lineChart>
      <c:catAx>
        <c:axId val="104850176"/>
        <c:scaling>
          <c:orientation val="minMax"/>
        </c:scaling>
        <c:axPos val="b"/>
        <c:tickLblPos val="none"/>
        <c:crossAx val="104851712"/>
        <c:crossesAt val="50"/>
        <c:auto val="1"/>
        <c:lblAlgn val="ctr"/>
        <c:lblOffset val="100"/>
      </c:catAx>
      <c:valAx>
        <c:axId val="104851712"/>
        <c:scaling>
          <c:orientation val="minMax"/>
          <c:min val="40"/>
        </c:scaling>
        <c:axPos val="l"/>
        <c:majorGridlines/>
        <c:numFmt formatCode="#,##0.00\ &quot;€&quot;" sourceLinked="1"/>
        <c:tickLblPos val="nextTo"/>
        <c:crossAx val="104850176"/>
        <c:crosses val="autoZero"/>
        <c:crossBetween val="between"/>
      </c:valAx>
    </c:plotArea>
    <c:plotVisOnly val="1"/>
  </c:chart>
  <c:printSettings>
    <c:headerFooter/>
    <c:pageMargins b="0.75000000000001121" l="0.70000000000000062" r="0.70000000000000062" t="0.7500000000000112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1</xdr:rowOff>
    </xdr:from>
    <xdr:to>
      <xdr:col>13</xdr:col>
      <xdr:colOff>0</xdr:colOff>
      <xdr:row>12</xdr:row>
      <xdr:rowOff>180975</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15</xdr:row>
      <xdr:rowOff>0</xdr:rowOff>
    </xdr:from>
    <xdr:to>
      <xdr:col>13</xdr:col>
      <xdr:colOff>0</xdr:colOff>
      <xdr:row>26</xdr:row>
      <xdr:rowOff>180974</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29</xdr:row>
      <xdr:rowOff>0</xdr:rowOff>
    </xdr:from>
    <xdr:to>
      <xdr:col>13</xdr:col>
      <xdr:colOff>0</xdr:colOff>
      <xdr:row>40</xdr:row>
      <xdr:rowOff>180974</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1</xdr:row>
      <xdr:rowOff>0</xdr:rowOff>
    </xdr:from>
    <xdr:to>
      <xdr:col>19</xdr:col>
      <xdr:colOff>0</xdr:colOff>
      <xdr:row>12</xdr:row>
      <xdr:rowOff>180974</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29</xdr:row>
      <xdr:rowOff>0</xdr:rowOff>
    </xdr:from>
    <xdr:to>
      <xdr:col>19</xdr:col>
      <xdr:colOff>0</xdr:colOff>
      <xdr:row>40</xdr:row>
      <xdr:rowOff>180974</xdr:rowOff>
    </xdr:to>
    <xdr:graphicFrame macro="">
      <xdr:nvGraphicFramePr>
        <xdr:cNvPr id="11" name="1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15</xdr:row>
      <xdr:rowOff>0</xdr:rowOff>
    </xdr:from>
    <xdr:to>
      <xdr:col>19</xdr:col>
      <xdr:colOff>0</xdr:colOff>
      <xdr:row>26</xdr:row>
      <xdr:rowOff>180974</xdr:rowOff>
    </xdr:to>
    <xdr:graphicFrame macro="">
      <xdr:nvGraphicFramePr>
        <xdr:cNvPr id="12" name="1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futbolsa.es/equipos.php?"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hyperlink" Target="http://www.apuestasdeportivas.com/pronosticos/estadisticas/32741"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oddsportal.com/predictions/" TargetMode="External"/><Relationship Id="rId7" Type="http://schemas.openxmlformats.org/officeDocument/2006/relationships/vmlDrawing" Target="../drawings/vmlDrawing1.vml"/><Relationship Id="rId2" Type="http://schemas.openxmlformats.org/officeDocument/2006/relationships/hyperlink" Target="http://www.mitele.es/series-online/la-fuga/temporada-1/capitulo-1/" TargetMode="External"/><Relationship Id="rId1" Type="http://schemas.openxmlformats.org/officeDocument/2006/relationships/hyperlink" Target="http://masters-hackers.com/foro/showthread.php?t=10525" TargetMode="External"/><Relationship Id="rId6" Type="http://schemas.openxmlformats.org/officeDocument/2006/relationships/printerSettings" Target="../printerSettings/printerSettings2.bin"/><Relationship Id="rId5" Type="http://schemas.openxmlformats.org/officeDocument/2006/relationships/hyperlink" Target="http://www.cvvtools.net/multimail/" TargetMode="External"/><Relationship Id="rId4" Type="http://schemas.openxmlformats.org/officeDocument/2006/relationships/hyperlink" Target="http://masters-hackers.com/foro/showthread.php?t=8676"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32.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33.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4.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35.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36.bin"/></Relationships>
</file>

<file path=xl/worksheets/_rels/sheet4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4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4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4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52.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drawing" Target="../drawings/drawing1.xm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8.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59.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61.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8.bin"/><Relationship Id="rId1" Type="http://schemas.openxmlformats.org/officeDocument/2006/relationships/hyperlink" Target="http://www.apuestasdeportivas.com/pronosticos/estadisticas/32741" TargetMode="Externa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sheetPr codeName="Hoja2"/>
  <dimension ref="A1:P25"/>
  <sheetViews>
    <sheetView workbookViewId="0">
      <selection activeCell="J19" sqref="J19"/>
    </sheetView>
  </sheetViews>
  <sheetFormatPr baseColWidth="10" defaultRowHeight="15"/>
  <cols>
    <col min="1" max="1" width="6.28515625" customWidth="1"/>
    <col min="5" max="5" width="10" customWidth="1"/>
    <col min="9" max="9" width="4.5703125" style="2" customWidth="1"/>
  </cols>
  <sheetData>
    <row r="1" spans="1:16">
      <c r="A1" s="2" t="s">
        <v>88</v>
      </c>
      <c r="B1" s="2"/>
      <c r="C1" s="2"/>
      <c r="D1" s="2"/>
      <c r="E1" s="2"/>
      <c r="F1" s="2"/>
      <c r="G1" s="2"/>
      <c r="J1" s="13">
        <v>0.6</v>
      </c>
      <c r="K1" s="8" t="s">
        <v>34</v>
      </c>
      <c r="L1" s="7" t="s">
        <v>29</v>
      </c>
      <c r="M1" s="7"/>
    </row>
    <row r="2" spans="1:16">
      <c r="A2" s="29" t="s">
        <v>89</v>
      </c>
      <c r="B2" s="29"/>
      <c r="C2" s="29"/>
      <c r="D2" s="29"/>
      <c r="E2" s="29"/>
      <c r="F2" s="29"/>
      <c r="G2" s="29"/>
      <c r="H2" s="29"/>
      <c r="J2" s="14">
        <v>3.3</v>
      </c>
      <c r="L2" t="s">
        <v>30</v>
      </c>
    </row>
    <row r="3" spans="1:16">
      <c r="A3" s="2"/>
      <c r="B3" s="2"/>
      <c r="C3" s="2"/>
      <c r="D3" s="2"/>
      <c r="E3" s="2"/>
      <c r="F3" s="2"/>
      <c r="G3" s="2"/>
      <c r="J3" s="15" t="s">
        <v>42</v>
      </c>
      <c r="L3" t="s">
        <v>54</v>
      </c>
    </row>
    <row r="4" spans="1:16">
      <c r="A4" s="2"/>
      <c r="B4" s="2"/>
      <c r="C4" s="2"/>
      <c r="D4" s="2"/>
      <c r="E4" s="2"/>
      <c r="F4" s="2"/>
      <c r="G4" s="2"/>
      <c r="L4" t="s">
        <v>31</v>
      </c>
    </row>
    <row r="5" spans="1:16">
      <c r="A5" s="2"/>
      <c r="B5" s="2"/>
      <c r="C5" s="2"/>
      <c r="D5" s="2"/>
      <c r="E5" s="27"/>
      <c r="F5" s="2"/>
      <c r="G5" s="2"/>
      <c r="J5" s="5">
        <v>2</v>
      </c>
    </row>
    <row r="6" spans="1:16">
      <c r="A6" s="2"/>
      <c r="B6" s="2"/>
      <c r="C6" s="2"/>
      <c r="D6" s="2"/>
      <c r="E6" s="27"/>
      <c r="F6" s="2"/>
      <c r="G6" s="2"/>
      <c r="J6" s="9">
        <f>((1.74-1)*0.95)+1</f>
        <v>1.7029999999999998</v>
      </c>
      <c r="K6" s="8" t="s">
        <v>33</v>
      </c>
      <c r="L6" s="7" t="s">
        <v>23</v>
      </c>
      <c r="M6" s="7"/>
    </row>
    <row r="7" spans="1:16">
      <c r="A7" s="2"/>
      <c r="B7" s="2"/>
      <c r="C7" s="2"/>
      <c r="D7" s="2"/>
      <c r="E7" s="2"/>
      <c r="F7" s="2"/>
      <c r="G7" s="2"/>
      <c r="J7" s="16" t="s">
        <v>41</v>
      </c>
      <c r="L7" t="s">
        <v>24</v>
      </c>
    </row>
    <row r="8" spans="1:16">
      <c r="L8" t="s">
        <v>25</v>
      </c>
    </row>
    <row r="9" spans="1:16">
      <c r="A9" s="19" t="s">
        <v>14</v>
      </c>
      <c r="B9" s="6"/>
      <c r="C9" s="6"/>
      <c r="D9" s="6"/>
      <c r="E9" s="6"/>
      <c r="F9" s="6"/>
    </row>
    <row r="10" spans="1:16">
      <c r="A10" s="17" t="s">
        <v>44</v>
      </c>
      <c r="B10" s="2"/>
      <c r="C10" s="2"/>
      <c r="D10" s="2"/>
      <c r="E10" s="2"/>
      <c r="F10" s="2"/>
      <c r="G10" s="2"/>
      <c r="H10" s="2"/>
      <c r="J10" s="2"/>
      <c r="K10" t="s">
        <v>35</v>
      </c>
      <c r="M10" s="11" t="s">
        <v>40</v>
      </c>
      <c r="N10" s="11"/>
      <c r="O10" s="11"/>
      <c r="P10" s="11"/>
    </row>
    <row r="11" spans="1:16">
      <c r="A11" s="17" t="s">
        <v>45</v>
      </c>
      <c r="B11" s="2"/>
      <c r="C11" s="2"/>
      <c r="D11" s="2"/>
      <c r="E11" s="2"/>
      <c r="F11" s="2"/>
      <c r="G11" s="2"/>
      <c r="H11" s="2"/>
      <c r="J11" s="15" t="s">
        <v>43</v>
      </c>
      <c r="K11" s="8" t="s">
        <v>32</v>
      </c>
      <c r="L11" s="7" t="s">
        <v>19</v>
      </c>
      <c r="M11" s="7"/>
    </row>
    <row r="12" spans="1:16">
      <c r="A12" s="18" t="s">
        <v>46</v>
      </c>
      <c r="L12" t="s">
        <v>20</v>
      </c>
      <c r="N12" s="2"/>
      <c r="O12" s="2"/>
    </row>
    <row r="13" spans="1:16">
      <c r="A13" s="18" t="s">
        <v>11</v>
      </c>
      <c r="L13" s="2" t="s">
        <v>21</v>
      </c>
      <c r="M13" s="2"/>
    </row>
    <row r="14" spans="1:16">
      <c r="L14" t="s">
        <v>22</v>
      </c>
    </row>
    <row r="15" spans="1:16">
      <c r="A15" s="4" t="s">
        <v>12</v>
      </c>
      <c r="B15" s="4" t="s">
        <v>0</v>
      </c>
      <c r="C15" s="4" t="s">
        <v>7</v>
      </c>
      <c r="D15" s="4" t="s">
        <v>3</v>
      </c>
      <c r="E15" s="4" t="s">
        <v>9</v>
      </c>
      <c r="F15" s="5">
        <v>3</v>
      </c>
      <c r="G15" s="4">
        <v>1.95</v>
      </c>
      <c r="H15" s="10" t="s">
        <v>36</v>
      </c>
      <c r="I15" s="30"/>
    </row>
    <row r="16" spans="1:16">
      <c r="A16" s="12" t="s">
        <v>6</v>
      </c>
      <c r="B16" s="12" t="s">
        <v>10</v>
      </c>
      <c r="C16" s="12" t="s">
        <v>7</v>
      </c>
      <c r="D16" s="12" t="s">
        <v>13</v>
      </c>
      <c r="E16" s="12" t="s">
        <v>9</v>
      </c>
      <c r="F16" s="13">
        <v>2</v>
      </c>
      <c r="G16" s="14">
        <f>((2.16-1)*0.95)+1</f>
        <v>2.1020000000000003</v>
      </c>
      <c r="H16" s="15" t="s">
        <v>38</v>
      </c>
      <c r="I16" s="30"/>
    </row>
    <row r="17" spans="1:10">
      <c r="A17" s="4" t="s">
        <v>12</v>
      </c>
      <c r="B17" s="4" t="s">
        <v>15</v>
      </c>
      <c r="C17" s="4" t="s">
        <v>9</v>
      </c>
      <c r="D17" s="4" t="s">
        <v>2</v>
      </c>
      <c r="E17" s="4" t="s">
        <v>7</v>
      </c>
      <c r="F17" s="5">
        <v>1.5</v>
      </c>
      <c r="G17" s="9">
        <f>((3.6-1)*0.95)+1</f>
        <v>3.4699999999999998</v>
      </c>
      <c r="H17" s="10" t="s">
        <v>39</v>
      </c>
      <c r="I17" s="30"/>
      <c r="J17" t="s">
        <v>17</v>
      </c>
    </row>
    <row r="18" spans="1:10">
      <c r="A18" s="12" t="s">
        <v>12</v>
      </c>
      <c r="B18" s="12" t="s">
        <v>5</v>
      </c>
      <c r="C18" s="12" t="s">
        <v>9</v>
      </c>
      <c r="D18" s="12" t="s">
        <v>16</v>
      </c>
      <c r="E18" s="12" t="s">
        <v>7</v>
      </c>
      <c r="F18" s="13">
        <v>1</v>
      </c>
      <c r="G18" s="14">
        <f>((5.3-1)*0.95)+1</f>
        <v>5.085</v>
      </c>
      <c r="H18" s="15" t="s">
        <v>37</v>
      </c>
      <c r="I18" s="30"/>
      <c r="J18" t="s">
        <v>18</v>
      </c>
    </row>
    <row r="19" spans="1:10">
      <c r="A19" s="12" t="s">
        <v>12</v>
      </c>
      <c r="B19" s="12" t="s">
        <v>26</v>
      </c>
      <c r="C19" s="12" t="s">
        <v>7</v>
      </c>
      <c r="D19" s="12" t="s">
        <v>10</v>
      </c>
      <c r="E19" s="13" t="s">
        <v>9</v>
      </c>
      <c r="F19" s="13">
        <v>3</v>
      </c>
      <c r="G19" s="12">
        <v>1.75</v>
      </c>
      <c r="H19" s="15" t="s">
        <v>82</v>
      </c>
      <c r="I19" s="30"/>
    </row>
    <row r="20" spans="1:10">
      <c r="A20" s="4" t="s">
        <v>12</v>
      </c>
      <c r="B20" s="4" t="s">
        <v>27</v>
      </c>
      <c r="C20" s="4" t="s">
        <v>7</v>
      </c>
      <c r="D20" s="4" t="s">
        <v>28</v>
      </c>
      <c r="E20" s="5" t="s">
        <v>9</v>
      </c>
      <c r="F20" s="5">
        <v>3</v>
      </c>
      <c r="G20" s="4">
        <v>1.6</v>
      </c>
      <c r="H20" s="10" t="s">
        <v>41</v>
      </c>
      <c r="I20" s="30"/>
    </row>
    <row r="21" spans="1:10">
      <c r="A21" s="2"/>
      <c r="B21" s="2"/>
      <c r="C21" s="2"/>
      <c r="D21" s="2"/>
      <c r="E21" s="3"/>
    </row>
    <row r="22" spans="1:10">
      <c r="A22" s="2"/>
      <c r="B22" s="2"/>
      <c r="C22" s="2"/>
      <c r="D22" s="2"/>
      <c r="E22" s="3"/>
    </row>
    <row r="23" spans="1:10">
      <c r="A23" s="2"/>
      <c r="B23" s="2"/>
      <c r="C23" s="2"/>
      <c r="D23" s="2"/>
      <c r="E23" s="3"/>
    </row>
    <row r="25" spans="1:10">
      <c r="A25" s="1" t="s">
        <v>8</v>
      </c>
    </row>
  </sheetData>
  <hyperlinks>
    <hyperlink ref="A25" r:id="rId1"/>
  </hyperlinks>
  <pageMargins left="0.7" right="0.7" top="0.75" bottom="0.75" header="0.3" footer="0.3"/>
  <pageSetup paperSize="9" orientation="portrait" horizontalDpi="0" verticalDpi="0" r:id="rId2"/>
</worksheet>
</file>

<file path=xl/worksheets/sheet10.xml><?xml version="1.0" encoding="utf-8"?>
<worksheet xmlns="http://schemas.openxmlformats.org/spreadsheetml/2006/main" xmlns:r="http://schemas.openxmlformats.org/officeDocument/2006/relationships">
  <sheetPr codeName="Hoja11"/>
  <dimension ref="A1:P53"/>
  <sheetViews>
    <sheetView workbookViewId="0">
      <selection activeCell="L12" sqref="A2:L12"/>
    </sheetView>
  </sheetViews>
  <sheetFormatPr baseColWidth="10" defaultRowHeight="15"/>
  <cols>
    <col min="7" max="7" width="3.5703125" customWidth="1"/>
    <col min="8" max="8" width="3.28515625" customWidth="1"/>
    <col min="9" max="9" width="4.5703125" customWidth="1"/>
    <col min="10" max="10" width="5.28515625" bestFit="1" customWidth="1"/>
    <col min="11" max="11" width="6.28515625" bestFit="1" customWidth="1"/>
  </cols>
  <sheetData>
    <row r="1" spans="1:12">
      <c r="A1" s="18" t="s">
        <v>247</v>
      </c>
      <c r="B1" s="18"/>
      <c r="C1" s="18"/>
      <c r="D1" s="18"/>
      <c r="E1" s="18"/>
      <c r="F1" s="18"/>
      <c r="G1" s="18" t="s">
        <v>302</v>
      </c>
      <c r="H1" s="18"/>
      <c r="I1" s="18"/>
      <c r="J1" s="18"/>
      <c r="K1" s="18"/>
      <c r="L1" t="s">
        <v>305</v>
      </c>
    </row>
    <row r="2" spans="1:12">
      <c r="C2" s="17" t="s">
        <v>250</v>
      </c>
      <c r="D2" s="17" t="s">
        <v>294</v>
      </c>
      <c r="E2" s="18" t="s">
        <v>251</v>
      </c>
      <c r="F2" s="18" t="s">
        <v>293</v>
      </c>
      <c r="G2" s="18" t="s">
        <v>303</v>
      </c>
      <c r="H2" s="18" t="s">
        <v>304</v>
      </c>
      <c r="I2" s="18" t="s">
        <v>314</v>
      </c>
      <c r="J2" s="18"/>
      <c r="K2" s="18"/>
      <c r="L2" t="s">
        <v>305</v>
      </c>
    </row>
    <row r="3" spans="1:12">
      <c r="A3" s="99" t="s">
        <v>181</v>
      </c>
      <c r="B3" t="s">
        <v>62</v>
      </c>
      <c r="C3" s="104" t="s">
        <v>256</v>
      </c>
      <c r="D3" s="104"/>
      <c r="G3" s="12">
        <v>2</v>
      </c>
      <c r="H3" s="67">
        <v>2</v>
      </c>
      <c r="I3" s="67">
        <v>9</v>
      </c>
      <c r="J3" s="41">
        <f t="shared" ref="J3:K5" si="0">-H3</f>
        <v>-2</v>
      </c>
      <c r="K3" s="41">
        <f t="shared" si="0"/>
        <v>-9</v>
      </c>
      <c r="L3" t="s">
        <v>306</v>
      </c>
    </row>
    <row r="4" spans="1:12">
      <c r="A4" s="145" t="s">
        <v>15</v>
      </c>
      <c r="B4" s="58" t="s">
        <v>3</v>
      </c>
      <c r="C4" s="123" t="s">
        <v>272</v>
      </c>
      <c r="D4" s="124"/>
      <c r="E4" s="58"/>
      <c r="F4" s="58"/>
      <c r="G4" s="12">
        <v>2</v>
      </c>
      <c r="H4" s="67">
        <v>1</v>
      </c>
      <c r="I4" s="67">
        <v>3</v>
      </c>
      <c r="J4" s="41">
        <f t="shared" si="0"/>
        <v>-1</v>
      </c>
      <c r="K4" s="41">
        <f t="shared" si="0"/>
        <v>-3</v>
      </c>
      <c r="L4" t="s">
        <v>307</v>
      </c>
    </row>
    <row r="5" spans="1:12">
      <c r="A5" s="146" t="s">
        <v>1</v>
      </c>
      <c r="B5" s="146" t="s">
        <v>26</v>
      </c>
      <c r="C5" s="123">
        <v>2</v>
      </c>
      <c r="D5" s="124">
        <v>2.88</v>
      </c>
      <c r="E5" s="58">
        <v>2</v>
      </c>
      <c r="F5" s="58">
        <f>-E5</f>
        <v>-2</v>
      </c>
      <c r="G5" s="139">
        <v>2</v>
      </c>
      <c r="H5" s="114">
        <v>2</v>
      </c>
      <c r="I5" s="114">
        <v>9</v>
      </c>
      <c r="J5" s="115">
        <f t="shared" si="0"/>
        <v>-2</v>
      </c>
      <c r="K5" s="116">
        <f t="shared" si="0"/>
        <v>-9</v>
      </c>
    </row>
    <row r="6" spans="1:12">
      <c r="A6" s="58" t="s">
        <v>5</v>
      </c>
      <c r="B6" s="145" t="s">
        <v>308</v>
      </c>
      <c r="C6" s="140">
        <v>2</v>
      </c>
      <c r="D6" s="124">
        <v>1.36</v>
      </c>
      <c r="E6" s="58">
        <v>2.25</v>
      </c>
      <c r="F6" s="58">
        <f>+(D6-1)*E6</f>
        <v>0.81000000000000028</v>
      </c>
      <c r="G6" s="141">
        <v>2</v>
      </c>
      <c r="H6" s="114">
        <v>2</v>
      </c>
      <c r="I6" s="114">
        <v>8</v>
      </c>
      <c r="J6" s="115">
        <f>(1.36-1)*H6</f>
        <v>0.7200000000000002</v>
      </c>
      <c r="K6" s="116">
        <f>(1.36-1)*I6</f>
        <v>2.8800000000000008</v>
      </c>
      <c r="L6" t="s">
        <v>309</v>
      </c>
    </row>
    <row r="7" spans="1:12">
      <c r="A7" s="145" t="s">
        <v>2</v>
      </c>
      <c r="B7" s="58" t="s">
        <v>0</v>
      </c>
      <c r="C7" s="123" t="s">
        <v>257</v>
      </c>
      <c r="D7" s="124"/>
      <c r="E7" s="58"/>
      <c r="F7" s="58"/>
      <c r="G7" s="4">
        <v>1</v>
      </c>
      <c r="H7" s="67">
        <v>1</v>
      </c>
      <c r="I7" s="67">
        <v>4</v>
      </c>
      <c r="J7" s="41">
        <f>(2.3-1)*H7</f>
        <v>1.2999999999999998</v>
      </c>
      <c r="K7" s="41">
        <f>(2.3-1)*I7</f>
        <v>5.1999999999999993</v>
      </c>
      <c r="L7" t="s">
        <v>310</v>
      </c>
    </row>
    <row r="8" spans="1:12">
      <c r="A8" s="145" t="s">
        <v>28</v>
      </c>
      <c r="B8" s="58" t="s">
        <v>73</v>
      </c>
      <c r="C8" s="140">
        <v>1</v>
      </c>
      <c r="D8" s="124">
        <v>2.4</v>
      </c>
      <c r="E8" s="58">
        <v>1.5</v>
      </c>
      <c r="F8" s="58">
        <f>+(D8-1)*E8</f>
        <v>2.0999999999999996</v>
      </c>
      <c r="G8" s="141">
        <v>1</v>
      </c>
      <c r="H8" s="114">
        <v>2</v>
      </c>
      <c r="I8" s="114">
        <v>5</v>
      </c>
      <c r="J8" s="115">
        <f>(2.4-1)*H8</f>
        <v>2.8</v>
      </c>
      <c r="K8" s="116">
        <f>(2.4-1)*I8</f>
        <v>7</v>
      </c>
    </row>
    <row r="9" spans="1:12">
      <c r="A9" s="145" t="s">
        <v>47</v>
      </c>
      <c r="B9" s="58" t="s">
        <v>134</v>
      </c>
      <c r="C9" s="123" t="s">
        <v>272</v>
      </c>
      <c r="D9" s="124"/>
      <c r="E9" s="58"/>
      <c r="F9" s="58"/>
      <c r="G9" s="12">
        <v>2</v>
      </c>
      <c r="H9" s="67">
        <v>1</v>
      </c>
      <c r="I9" s="67">
        <v>3</v>
      </c>
      <c r="J9" s="41">
        <f t="shared" ref="J9:K11" si="1">-H9</f>
        <v>-1</v>
      </c>
      <c r="K9" s="41">
        <f t="shared" si="1"/>
        <v>-3</v>
      </c>
      <c r="L9" t="s">
        <v>311</v>
      </c>
    </row>
    <row r="10" spans="1:12">
      <c r="A10" s="58" t="s">
        <v>27</v>
      </c>
      <c r="B10" s="145" t="s">
        <v>4</v>
      </c>
      <c r="C10" s="140">
        <v>2</v>
      </c>
      <c r="D10" s="124">
        <v>3.2</v>
      </c>
      <c r="E10" s="58">
        <v>1.5</v>
      </c>
      <c r="F10" s="58">
        <f>+(D10-1)*E10</f>
        <v>3.3000000000000003</v>
      </c>
      <c r="G10" s="12">
        <v>1</v>
      </c>
      <c r="H10" s="67">
        <v>1</v>
      </c>
      <c r="I10" s="67">
        <v>1</v>
      </c>
      <c r="J10" s="41">
        <f t="shared" si="1"/>
        <v>-1</v>
      </c>
      <c r="K10" s="41">
        <f t="shared" si="1"/>
        <v>-1</v>
      </c>
      <c r="L10" t="s">
        <v>315</v>
      </c>
    </row>
    <row r="11" spans="1:12">
      <c r="A11" s="146" t="s">
        <v>239</v>
      </c>
      <c r="B11" s="146" t="s">
        <v>67</v>
      </c>
      <c r="C11" s="123">
        <v>1</v>
      </c>
      <c r="D11" s="124">
        <v>1.18</v>
      </c>
      <c r="E11" s="58">
        <v>1.75</v>
      </c>
      <c r="F11" s="58">
        <f>-E11</f>
        <v>-1.75</v>
      </c>
      <c r="G11" s="139">
        <v>1</v>
      </c>
      <c r="H11" s="114">
        <v>1</v>
      </c>
      <c r="I11" s="114">
        <v>2</v>
      </c>
      <c r="J11" s="115">
        <f t="shared" si="1"/>
        <v>-1</v>
      </c>
      <c r="K11" s="116">
        <f t="shared" si="1"/>
        <v>-2</v>
      </c>
      <c r="L11" t="s">
        <v>312</v>
      </c>
    </row>
    <row r="12" spans="1:12">
      <c r="A12" s="145" t="s">
        <v>16</v>
      </c>
      <c r="B12" s="58" t="s">
        <v>10</v>
      </c>
      <c r="C12" s="124" t="s">
        <v>256</v>
      </c>
      <c r="D12" s="124"/>
      <c r="E12" s="58"/>
      <c r="F12" s="58"/>
      <c r="G12" s="4">
        <v>1</v>
      </c>
      <c r="H12" s="67">
        <v>1</v>
      </c>
      <c r="I12" s="67">
        <v>2</v>
      </c>
      <c r="J12" s="41">
        <f>(1.62-1)*H12</f>
        <v>0.62000000000000011</v>
      </c>
      <c r="K12" s="41">
        <f>(1.62-1)*I12</f>
        <v>1.2400000000000002</v>
      </c>
      <c r="L12" t="s">
        <v>313</v>
      </c>
    </row>
    <row r="14" spans="1:12">
      <c r="F14" s="102">
        <f>SUM(F3:F12)</f>
        <v>2.46</v>
      </c>
      <c r="J14" s="102">
        <f t="shared" ref="J14:K14" si="2">SUM(J3:J12)</f>
        <v>-2.5599999999999996</v>
      </c>
      <c r="K14" s="102">
        <f t="shared" si="2"/>
        <v>-10.679999999999998</v>
      </c>
    </row>
    <row r="15" spans="1:12">
      <c r="F15" s="101">
        <f>+F14/SUM(E3:E12)</f>
        <v>0.27333333333333332</v>
      </c>
      <c r="J15" s="101">
        <f>+J14/SUM(H3:H12)</f>
        <v>-0.18285714285714283</v>
      </c>
      <c r="K15" s="101">
        <f>+K14/SUM(I3:I12)</f>
        <v>-0.2321739130434782</v>
      </c>
    </row>
    <row r="18" spans="1:12">
      <c r="C18" s="17" t="s">
        <v>250</v>
      </c>
      <c r="D18" s="17" t="s">
        <v>294</v>
      </c>
      <c r="E18" s="18" t="s">
        <v>251</v>
      </c>
      <c r="F18" s="18" t="s">
        <v>293</v>
      </c>
      <c r="G18" s="18" t="s">
        <v>303</v>
      </c>
      <c r="H18" s="18" t="s">
        <v>304</v>
      </c>
      <c r="I18" s="18" t="s">
        <v>314</v>
      </c>
      <c r="J18" s="18"/>
      <c r="K18" s="18"/>
      <c r="L18" t="s">
        <v>305</v>
      </c>
    </row>
    <row r="19" spans="1:12">
      <c r="A19" s="146" t="s">
        <v>266</v>
      </c>
      <c r="B19" s="146" t="s">
        <v>260</v>
      </c>
      <c r="C19" s="140" t="s">
        <v>257</v>
      </c>
      <c r="D19" s="124"/>
      <c r="E19" s="58"/>
      <c r="F19" s="58"/>
      <c r="G19" s="12">
        <v>2</v>
      </c>
      <c r="H19" s="67">
        <v>1</v>
      </c>
      <c r="I19" s="67">
        <v>3</v>
      </c>
      <c r="J19" s="41">
        <f>-H19</f>
        <v>-1</v>
      </c>
      <c r="K19" s="41">
        <f>-I19</f>
        <v>-3</v>
      </c>
      <c r="L19" t="s">
        <v>295</v>
      </c>
    </row>
    <row r="20" spans="1:12">
      <c r="A20" s="145" t="s">
        <v>263</v>
      </c>
      <c r="B20" s="58" t="s">
        <v>276</v>
      </c>
      <c r="C20" s="140">
        <v>1</v>
      </c>
      <c r="D20" s="124">
        <v>1.33</v>
      </c>
      <c r="E20" s="58">
        <v>3</v>
      </c>
      <c r="F20" s="58">
        <f>+(D20-1)*E20</f>
        <v>0.99000000000000021</v>
      </c>
      <c r="G20" s="141">
        <v>1</v>
      </c>
      <c r="H20" s="114">
        <v>3</v>
      </c>
      <c r="I20" s="114">
        <v>15</v>
      </c>
      <c r="J20" s="115">
        <f>(1.33-1)*H20</f>
        <v>0.99000000000000021</v>
      </c>
      <c r="K20" s="116">
        <f>(1.33-1)*I20</f>
        <v>4.9500000000000011</v>
      </c>
    </row>
    <row r="21" spans="1:12">
      <c r="A21" s="58" t="s">
        <v>277</v>
      </c>
      <c r="B21" s="145" t="s">
        <v>264</v>
      </c>
      <c r="C21" s="140">
        <v>2</v>
      </c>
      <c r="D21" s="124">
        <v>4.33</v>
      </c>
      <c r="E21" s="58">
        <v>0.75</v>
      </c>
      <c r="F21" s="58">
        <f>+(D21-1)*E21</f>
        <v>2.4975000000000001</v>
      </c>
      <c r="G21" s="12">
        <v>1</v>
      </c>
      <c r="H21" s="67">
        <v>1</v>
      </c>
      <c r="I21" s="67">
        <v>3</v>
      </c>
      <c r="J21" s="41">
        <f>-H21</f>
        <v>-1</v>
      </c>
      <c r="K21" s="41">
        <f>-I21</f>
        <v>-3</v>
      </c>
      <c r="L21" t="s">
        <v>296</v>
      </c>
    </row>
    <row r="22" spans="1:12">
      <c r="A22" s="145" t="s">
        <v>255</v>
      </c>
      <c r="B22" s="58" t="s">
        <v>262</v>
      </c>
      <c r="C22" s="140">
        <v>1</v>
      </c>
      <c r="D22" s="124">
        <v>1.57</v>
      </c>
      <c r="E22" s="58">
        <v>1</v>
      </c>
      <c r="F22" s="58">
        <f>+(D22-1)*E22</f>
        <v>0.57000000000000006</v>
      </c>
      <c r="G22" s="141">
        <v>1</v>
      </c>
      <c r="H22" s="114">
        <v>1</v>
      </c>
      <c r="I22" s="114">
        <v>4</v>
      </c>
      <c r="J22" s="115">
        <f>(1.57-1)*H22</f>
        <v>0.57000000000000006</v>
      </c>
      <c r="K22" s="116">
        <f>(1.57-1)*I22</f>
        <v>2.2800000000000002</v>
      </c>
      <c r="L22" t="s">
        <v>297</v>
      </c>
    </row>
    <row r="23" spans="1:12">
      <c r="A23" s="145" t="s">
        <v>261</v>
      </c>
      <c r="B23" s="58" t="s">
        <v>252</v>
      </c>
      <c r="C23" s="123" t="s">
        <v>272</v>
      </c>
      <c r="D23" s="124"/>
      <c r="E23" s="58"/>
      <c r="F23" s="58"/>
      <c r="G23" s="4">
        <v>1</v>
      </c>
      <c r="H23" s="67">
        <v>1</v>
      </c>
      <c r="I23" s="67">
        <v>2</v>
      </c>
      <c r="J23" s="41">
        <f>(2.5-1)*H23</f>
        <v>1.5</v>
      </c>
      <c r="K23" s="41">
        <f>(2.5-1)*I23</f>
        <v>3</v>
      </c>
      <c r="L23" t="s">
        <v>278</v>
      </c>
    </row>
    <row r="24" spans="1:12">
      <c r="A24" s="145" t="s">
        <v>268</v>
      </c>
      <c r="B24" s="58" t="s">
        <v>248</v>
      </c>
      <c r="C24" s="123">
        <v>2</v>
      </c>
      <c r="D24" s="124">
        <v>2.36</v>
      </c>
      <c r="E24" s="58">
        <v>0.75</v>
      </c>
      <c r="F24" s="58">
        <f>-E24</f>
        <v>-0.75</v>
      </c>
      <c r="G24" s="139">
        <v>2</v>
      </c>
      <c r="H24" s="114">
        <v>2</v>
      </c>
      <c r="I24" s="114">
        <v>5</v>
      </c>
      <c r="J24" s="115">
        <f>-H24</f>
        <v>-2</v>
      </c>
      <c r="K24" s="116">
        <f>-I24</f>
        <v>-5</v>
      </c>
      <c r="L24" t="s">
        <v>298</v>
      </c>
    </row>
    <row r="25" spans="1:12">
      <c r="A25" s="145" t="s">
        <v>249</v>
      </c>
      <c r="B25" s="58" t="s">
        <v>273</v>
      </c>
      <c r="C25" s="123" t="s">
        <v>272</v>
      </c>
      <c r="D25" s="124"/>
      <c r="E25" s="58"/>
      <c r="F25" s="58"/>
      <c r="G25" s="4">
        <v>1</v>
      </c>
      <c r="H25" s="67">
        <v>1</v>
      </c>
      <c r="I25" s="67">
        <v>2</v>
      </c>
      <c r="J25" s="41">
        <f>(2.2-1)*H25</f>
        <v>1.2000000000000002</v>
      </c>
      <c r="K25" s="41">
        <f>(2.2-1)*I25</f>
        <v>2.4000000000000004</v>
      </c>
      <c r="L25" t="s">
        <v>278</v>
      </c>
    </row>
    <row r="26" spans="1:12">
      <c r="A26" s="146" t="s">
        <v>259</v>
      </c>
      <c r="B26" s="146" t="s">
        <v>270</v>
      </c>
      <c r="C26" s="140" t="s">
        <v>257</v>
      </c>
      <c r="D26" s="124"/>
      <c r="E26" s="58"/>
      <c r="F26" s="58"/>
      <c r="G26" s="12">
        <v>1</v>
      </c>
      <c r="H26" s="67">
        <v>1</v>
      </c>
      <c r="I26" s="67">
        <v>1</v>
      </c>
      <c r="J26" s="41">
        <f>-H26</f>
        <v>-1</v>
      </c>
      <c r="K26" s="41">
        <f>-I26</f>
        <v>-1</v>
      </c>
      <c r="L26" t="s">
        <v>299</v>
      </c>
    </row>
    <row r="27" spans="1:12">
      <c r="A27" s="145" t="s">
        <v>253</v>
      </c>
      <c r="B27" s="58" t="s">
        <v>267</v>
      </c>
      <c r="C27" s="124" t="s">
        <v>256</v>
      </c>
      <c r="D27" s="124"/>
      <c r="E27" s="58"/>
      <c r="F27" s="58"/>
      <c r="G27" s="4">
        <v>1</v>
      </c>
      <c r="H27" s="67">
        <v>3</v>
      </c>
      <c r="I27" s="67">
        <v>16</v>
      </c>
      <c r="J27" s="41">
        <f>(2-1)*H27</f>
        <v>3</v>
      </c>
      <c r="K27" s="41">
        <f>(2-1)*I27</f>
        <v>16</v>
      </c>
      <c r="L27" t="s">
        <v>300</v>
      </c>
    </row>
    <row r="28" spans="1:12">
      <c r="A28" s="146" t="s">
        <v>274</v>
      </c>
      <c r="B28" s="146" t="s">
        <v>258</v>
      </c>
      <c r="C28" s="140" t="s">
        <v>272</v>
      </c>
      <c r="D28" s="124"/>
      <c r="E28" s="58"/>
      <c r="F28" s="58"/>
      <c r="G28" s="12">
        <v>2</v>
      </c>
      <c r="H28" s="67">
        <v>2</v>
      </c>
      <c r="I28" s="67">
        <v>5</v>
      </c>
      <c r="J28" s="41">
        <f>-H28</f>
        <v>-2</v>
      </c>
      <c r="K28" s="41">
        <f>-I28</f>
        <v>-5</v>
      </c>
      <c r="L28" t="s">
        <v>278</v>
      </c>
    </row>
    <row r="29" spans="1:12">
      <c r="A29" s="145" t="s">
        <v>271</v>
      </c>
      <c r="B29" s="58" t="s">
        <v>254</v>
      </c>
      <c r="C29" s="123">
        <v>2</v>
      </c>
      <c r="D29" s="124">
        <v>3.75</v>
      </c>
      <c r="E29" s="58">
        <v>1</v>
      </c>
      <c r="F29" s="58">
        <f>-E29</f>
        <v>-1</v>
      </c>
      <c r="G29" s="139">
        <v>2</v>
      </c>
      <c r="H29" s="114">
        <v>3</v>
      </c>
      <c r="I29" s="114">
        <v>15</v>
      </c>
      <c r="J29" s="115">
        <f>-H29</f>
        <v>-3</v>
      </c>
      <c r="K29" s="116">
        <f>-I29</f>
        <v>-15</v>
      </c>
      <c r="L29" t="s">
        <v>301</v>
      </c>
    </row>
    <row r="30" spans="1:12">
      <c r="A30" s="82"/>
      <c r="B30" s="82"/>
      <c r="C30" s="2"/>
      <c r="D30" s="2"/>
      <c r="G30" s="2"/>
      <c r="H30" s="2"/>
      <c r="I30" s="2"/>
      <c r="J30" s="2"/>
      <c r="K30" s="2"/>
    </row>
    <row r="31" spans="1:12">
      <c r="F31" s="107">
        <f>SUM(F19:F29)</f>
        <v>2.3075000000000001</v>
      </c>
      <c r="G31" s="17"/>
      <c r="H31" s="17"/>
      <c r="I31" s="17"/>
      <c r="J31" s="107">
        <f t="shared" ref="J31:K31" si="3">SUM(J19:J29)</f>
        <v>-2.7399999999999993</v>
      </c>
      <c r="K31" s="107">
        <f t="shared" si="3"/>
        <v>-3.3699999999999974</v>
      </c>
    </row>
    <row r="32" spans="1:12">
      <c r="F32" s="101">
        <f>+F31/SUM(E19:E29)</f>
        <v>0.35500000000000004</v>
      </c>
      <c r="G32" s="105"/>
      <c r="H32" s="105"/>
      <c r="I32" s="105"/>
      <c r="J32" s="101">
        <f>+J31/SUM(H19:H29)</f>
        <v>-0.14421052631578943</v>
      </c>
      <c r="K32" s="101">
        <f>+K31/SUM(I19:I29)</f>
        <v>-4.7464788732394333E-2</v>
      </c>
    </row>
    <row r="34" spans="1:16">
      <c r="O34" t="s">
        <v>364</v>
      </c>
    </row>
    <row r="35" spans="1:16">
      <c r="O35" t="s">
        <v>365</v>
      </c>
    </row>
    <row r="36" spans="1:16">
      <c r="D36" t="s">
        <v>354</v>
      </c>
      <c r="E36" t="s">
        <v>355</v>
      </c>
      <c r="F36" t="s">
        <v>358</v>
      </c>
      <c r="L36" t="s">
        <v>360</v>
      </c>
      <c r="M36" t="s">
        <v>361</v>
      </c>
      <c r="O36" s="98" t="s">
        <v>437</v>
      </c>
      <c r="P36" s="98" t="s">
        <v>438</v>
      </c>
    </row>
    <row r="37" spans="1:16">
      <c r="A37" s="106">
        <v>1</v>
      </c>
      <c r="B37" t="s">
        <v>326</v>
      </c>
      <c r="C37" t="s">
        <v>340</v>
      </c>
      <c r="D37" s="16">
        <v>1</v>
      </c>
      <c r="E37" s="103" t="s">
        <v>342</v>
      </c>
      <c r="F37" s="16" t="s">
        <v>356</v>
      </c>
      <c r="L37" s="16">
        <v>1</v>
      </c>
      <c r="M37" s="16">
        <v>1</v>
      </c>
      <c r="O37" s="16">
        <v>1</v>
      </c>
      <c r="P37" s="103" t="s">
        <v>342</v>
      </c>
    </row>
    <row r="38" spans="1:16">
      <c r="A38" s="106">
        <v>2</v>
      </c>
      <c r="B38" t="s">
        <v>327</v>
      </c>
      <c r="C38" t="s">
        <v>341</v>
      </c>
      <c r="D38" s="103" t="s">
        <v>342</v>
      </c>
      <c r="E38" s="103">
        <v>2</v>
      </c>
      <c r="F38" s="103" t="s">
        <v>359</v>
      </c>
      <c r="L38" s="16" t="s">
        <v>357</v>
      </c>
      <c r="M38" s="103" t="s">
        <v>359</v>
      </c>
      <c r="O38" s="103" t="s">
        <v>342</v>
      </c>
      <c r="P38" s="103">
        <v>2</v>
      </c>
    </row>
    <row r="39" spans="1:16">
      <c r="A39" s="106">
        <v>3</v>
      </c>
      <c r="B39" t="s">
        <v>128</v>
      </c>
      <c r="C39" t="s">
        <v>137</v>
      </c>
      <c r="D39" s="103">
        <v>1</v>
      </c>
      <c r="E39" s="103">
        <v>1</v>
      </c>
      <c r="F39" s="103">
        <v>1</v>
      </c>
      <c r="L39" s="16" t="s">
        <v>357</v>
      </c>
      <c r="M39" s="16" t="s">
        <v>357</v>
      </c>
      <c r="O39" s="103">
        <v>1</v>
      </c>
      <c r="P39" s="103">
        <v>1</v>
      </c>
    </row>
    <row r="40" spans="1:16">
      <c r="A40" s="106">
        <v>4</v>
      </c>
      <c r="B40" t="s">
        <v>328</v>
      </c>
      <c r="C40" t="s">
        <v>343</v>
      </c>
      <c r="D40" s="103">
        <v>1</v>
      </c>
      <c r="E40" s="103">
        <v>2</v>
      </c>
      <c r="F40" s="16" t="s">
        <v>356</v>
      </c>
      <c r="L40" s="16" t="s">
        <v>357</v>
      </c>
      <c r="M40" s="103">
        <v>12</v>
      </c>
      <c r="O40" s="103">
        <v>1</v>
      </c>
      <c r="P40" s="103">
        <v>2</v>
      </c>
    </row>
    <row r="41" spans="1:16">
      <c r="A41" s="106">
        <v>5</v>
      </c>
      <c r="B41" t="s">
        <v>329</v>
      </c>
      <c r="C41" t="s">
        <v>344</v>
      </c>
      <c r="D41" s="103" t="s">
        <v>342</v>
      </c>
      <c r="E41" s="103" t="s">
        <v>342</v>
      </c>
      <c r="F41" s="103" t="s">
        <v>342</v>
      </c>
      <c r="L41" s="16" t="s">
        <v>356</v>
      </c>
      <c r="M41" s="16" t="s">
        <v>356</v>
      </c>
      <c r="O41" s="103" t="s">
        <v>342</v>
      </c>
      <c r="P41" s="103" t="s">
        <v>342</v>
      </c>
    </row>
    <row r="42" spans="1:16">
      <c r="A42" s="106">
        <v>6</v>
      </c>
      <c r="B42" t="s">
        <v>330</v>
      </c>
      <c r="C42" t="s">
        <v>345</v>
      </c>
      <c r="D42" s="103">
        <v>2</v>
      </c>
      <c r="E42" s="103">
        <v>2</v>
      </c>
      <c r="F42" s="16">
        <v>12</v>
      </c>
      <c r="L42" s="103">
        <v>2</v>
      </c>
      <c r="M42" s="103">
        <v>2</v>
      </c>
      <c r="O42" s="103">
        <v>2</v>
      </c>
      <c r="P42" s="103" t="s">
        <v>342</v>
      </c>
    </row>
    <row r="43" spans="1:16">
      <c r="A43" s="106">
        <v>7</v>
      </c>
      <c r="B43" t="s">
        <v>331</v>
      </c>
      <c r="C43" t="s">
        <v>346</v>
      </c>
      <c r="D43" s="103">
        <v>1</v>
      </c>
      <c r="E43" s="103">
        <v>1</v>
      </c>
      <c r="F43" s="103">
        <v>1</v>
      </c>
      <c r="L43" s="103">
        <v>1</v>
      </c>
      <c r="M43" s="103">
        <v>1</v>
      </c>
      <c r="O43" s="103">
        <v>1</v>
      </c>
      <c r="P43" s="103">
        <v>1</v>
      </c>
    </row>
    <row r="44" spans="1:16">
      <c r="A44" s="106">
        <v>8</v>
      </c>
      <c r="B44" t="s">
        <v>332</v>
      </c>
      <c r="C44" t="s">
        <v>347</v>
      </c>
      <c r="D44" s="103" t="s">
        <v>342</v>
      </c>
      <c r="E44" s="16">
        <v>1</v>
      </c>
      <c r="F44" s="103" t="s">
        <v>356</v>
      </c>
      <c r="L44" s="16" t="s">
        <v>356</v>
      </c>
      <c r="M44" s="103" t="s">
        <v>342</v>
      </c>
      <c r="O44" s="103" t="s">
        <v>342</v>
      </c>
      <c r="P44" s="16">
        <v>1</v>
      </c>
    </row>
    <row r="45" spans="1:16">
      <c r="A45" s="106">
        <v>9</v>
      </c>
      <c r="B45" t="s">
        <v>333</v>
      </c>
      <c r="C45" t="s">
        <v>348</v>
      </c>
      <c r="D45" s="16">
        <v>1</v>
      </c>
      <c r="E45" s="16">
        <v>1</v>
      </c>
      <c r="F45" s="16">
        <v>1</v>
      </c>
      <c r="L45" s="16">
        <v>12</v>
      </c>
      <c r="M45" s="16">
        <v>1</v>
      </c>
      <c r="O45" s="16">
        <v>1</v>
      </c>
      <c r="P45" s="16">
        <v>1</v>
      </c>
    </row>
    <row r="46" spans="1:16">
      <c r="A46" s="106">
        <v>10</v>
      </c>
      <c r="B46" t="s">
        <v>334</v>
      </c>
      <c r="C46" t="s">
        <v>349</v>
      </c>
      <c r="D46" s="16">
        <v>1</v>
      </c>
      <c r="E46" s="16">
        <v>1</v>
      </c>
      <c r="F46" s="16">
        <v>1</v>
      </c>
      <c r="L46" s="16">
        <v>1</v>
      </c>
      <c r="M46" s="16">
        <v>1</v>
      </c>
      <c r="O46" s="16">
        <v>1</v>
      </c>
      <c r="P46" s="16">
        <v>1</v>
      </c>
    </row>
    <row r="47" spans="1:16">
      <c r="A47" s="106">
        <v>11</v>
      </c>
      <c r="B47" t="s">
        <v>335</v>
      </c>
      <c r="C47" t="s">
        <v>350</v>
      </c>
      <c r="D47" s="16">
        <v>2</v>
      </c>
      <c r="E47" s="16">
        <v>12</v>
      </c>
      <c r="F47" s="16">
        <v>12</v>
      </c>
      <c r="L47" s="16" t="s">
        <v>359</v>
      </c>
      <c r="M47" s="16" t="s">
        <v>359</v>
      </c>
      <c r="O47" s="16">
        <v>2</v>
      </c>
      <c r="P47" s="16">
        <v>2</v>
      </c>
    </row>
    <row r="48" spans="1:16">
      <c r="A48" s="106">
        <v>12</v>
      </c>
      <c r="B48" t="s">
        <v>336</v>
      </c>
      <c r="C48" t="s">
        <v>351</v>
      </c>
      <c r="D48" s="103" t="s">
        <v>342</v>
      </c>
      <c r="E48" s="16" t="s">
        <v>356</v>
      </c>
      <c r="F48" s="16" t="s">
        <v>356</v>
      </c>
      <c r="L48" s="103" t="s">
        <v>342</v>
      </c>
      <c r="M48" s="103" t="s">
        <v>342</v>
      </c>
      <c r="O48" s="103" t="s">
        <v>342</v>
      </c>
      <c r="P48" s="103" t="s">
        <v>342</v>
      </c>
    </row>
    <row r="49" spans="1:16">
      <c r="A49" s="106">
        <v>13</v>
      </c>
      <c r="B49" t="s">
        <v>337</v>
      </c>
      <c r="C49" t="s">
        <v>352</v>
      </c>
      <c r="D49" s="103">
        <v>2</v>
      </c>
      <c r="E49" s="16" t="s">
        <v>357</v>
      </c>
      <c r="F49" s="16" t="s">
        <v>357</v>
      </c>
      <c r="L49" s="16" t="s">
        <v>357</v>
      </c>
      <c r="M49" s="16" t="s">
        <v>357</v>
      </c>
      <c r="O49" s="103">
        <v>2</v>
      </c>
      <c r="P49" s="16">
        <v>1</v>
      </c>
    </row>
    <row r="50" spans="1:16">
      <c r="A50" s="106">
        <v>14</v>
      </c>
      <c r="B50" t="s">
        <v>338</v>
      </c>
      <c r="C50" t="s">
        <v>353</v>
      </c>
      <c r="D50" s="16" t="s">
        <v>342</v>
      </c>
      <c r="E50" s="16" t="s">
        <v>357</v>
      </c>
      <c r="F50" s="16" t="s">
        <v>357</v>
      </c>
      <c r="L50" s="16" t="s">
        <v>356</v>
      </c>
      <c r="M50" s="16" t="s">
        <v>356</v>
      </c>
      <c r="O50" s="16" t="s">
        <v>342</v>
      </c>
      <c r="P50" s="16" t="s">
        <v>342</v>
      </c>
    </row>
    <row r="51" spans="1:16">
      <c r="A51" s="106">
        <v>15</v>
      </c>
      <c r="B51" t="s">
        <v>339</v>
      </c>
      <c r="C51" t="s">
        <v>138</v>
      </c>
      <c r="D51" s="16">
        <v>2</v>
      </c>
      <c r="E51" s="16">
        <v>2</v>
      </c>
      <c r="F51" s="16">
        <v>2</v>
      </c>
      <c r="L51" s="16">
        <v>2</v>
      </c>
      <c r="M51" s="16">
        <v>2</v>
      </c>
      <c r="O51" s="16">
        <v>2</v>
      </c>
      <c r="P51" s="16">
        <v>2</v>
      </c>
    </row>
    <row r="53" spans="1:16">
      <c r="D53" s="61">
        <v>0.5</v>
      </c>
      <c r="E53" s="61">
        <v>18</v>
      </c>
      <c r="F53" s="61">
        <v>576</v>
      </c>
      <c r="L53" s="61">
        <v>1296</v>
      </c>
      <c r="M53" s="61">
        <v>144</v>
      </c>
      <c r="N53" s="61"/>
      <c r="O53" s="61">
        <v>0.5</v>
      </c>
      <c r="P53" s="61">
        <v>0.5</v>
      </c>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sheetPr codeName="Hoja12"/>
  <dimension ref="A1:H20"/>
  <sheetViews>
    <sheetView workbookViewId="0">
      <selection activeCell="F4" sqref="F4"/>
    </sheetView>
  </sheetViews>
  <sheetFormatPr baseColWidth="10" defaultRowHeight="15"/>
  <cols>
    <col min="1" max="1" width="4.28515625" customWidth="1"/>
    <col min="2" max="3" width="13.5703125" customWidth="1"/>
    <col min="5" max="7" width="7.85546875" customWidth="1"/>
  </cols>
  <sheetData>
    <row r="1" spans="1:8">
      <c r="A1" s="12" t="s">
        <v>12</v>
      </c>
      <c r="B1" s="12" t="s">
        <v>182</v>
      </c>
      <c r="C1" s="12" t="s">
        <v>28</v>
      </c>
      <c r="D1" s="12" t="s">
        <v>49</v>
      </c>
      <c r="E1" s="13">
        <v>2.5</v>
      </c>
      <c r="F1" s="14">
        <f>((2.06-1)*0.95)+1</f>
        <v>2.0069999999999997</v>
      </c>
      <c r="G1" s="15" t="s">
        <v>243</v>
      </c>
      <c r="H1" s="2" t="s">
        <v>368</v>
      </c>
    </row>
    <row r="2" spans="1:8">
      <c r="A2" s="12" t="s">
        <v>12</v>
      </c>
      <c r="B2" s="12" t="s">
        <v>3</v>
      </c>
      <c r="C2" s="12" t="s">
        <v>47</v>
      </c>
      <c r="D2" s="12" t="s">
        <v>49</v>
      </c>
      <c r="E2" s="13">
        <v>1.5</v>
      </c>
      <c r="F2" s="14">
        <v>2.35</v>
      </c>
      <c r="G2" s="15" t="s">
        <v>121</v>
      </c>
      <c r="H2" t="s">
        <v>371</v>
      </c>
    </row>
    <row r="3" spans="1:8">
      <c r="A3" s="4" t="s">
        <v>12</v>
      </c>
      <c r="B3" s="4" t="s">
        <v>67</v>
      </c>
      <c r="C3" s="4" t="s">
        <v>2</v>
      </c>
      <c r="D3" s="4" t="s">
        <v>49</v>
      </c>
      <c r="E3" s="5">
        <v>1</v>
      </c>
      <c r="F3" s="9">
        <f>((1.72-1)*0.95)+1</f>
        <v>1.6839999999999999</v>
      </c>
      <c r="G3" s="10" t="s">
        <v>244</v>
      </c>
    </row>
    <row r="4" spans="1:8">
      <c r="A4" s="4" t="s">
        <v>12</v>
      </c>
      <c r="B4" s="4" t="s">
        <v>10</v>
      </c>
      <c r="C4" s="4" t="s">
        <v>5</v>
      </c>
      <c r="D4" s="4" t="s">
        <v>48</v>
      </c>
      <c r="E4" s="5">
        <v>2</v>
      </c>
      <c r="F4" s="9">
        <f>((2.36-1)*0.95)+1</f>
        <v>2.2919999999999998</v>
      </c>
      <c r="G4" s="10" t="s">
        <v>366</v>
      </c>
      <c r="H4" t="s">
        <v>373</v>
      </c>
    </row>
    <row r="5" spans="1:8">
      <c r="A5" s="2"/>
      <c r="B5" s="2"/>
      <c r="C5" s="2"/>
      <c r="D5" s="2"/>
      <c r="E5" s="3"/>
      <c r="F5" s="86"/>
      <c r="G5" s="30"/>
    </row>
    <row r="6" spans="1:8">
      <c r="A6" s="96" t="s">
        <v>242</v>
      </c>
      <c r="B6" s="2"/>
      <c r="C6" s="2"/>
      <c r="D6" s="2"/>
      <c r="E6" s="3"/>
      <c r="F6" s="86"/>
      <c r="G6" s="30"/>
    </row>
    <row r="7" spans="1:8">
      <c r="A7" s="12" t="s">
        <v>12</v>
      </c>
      <c r="B7" s="12" t="s">
        <v>134</v>
      </c>
      <c r="C7" s="12" t="s">
        <v>27</v>
      </c>
      <c r="D7" s="12" t="s">
        <v>34</v>
      </c>
      <c r="E7" s="13">
        <v>0.5</v>
      </c>
      <c r="F7" s="14">
        <f>((3.9-1)*0.95)+1</f>
        <v>3.7549999999999999</v>
      </c>
      <c r="G7" s="15" t="s">
        <v>42</v>
      </c>
    </row>
    <row r="8" spans="1:8">
      <c r="A8" s="4" t="s">
        <v>12</v>
      </c>
      <c r="B8" s="4" t="s">
        <v>26</v>
      </c>
      <c r="C8" s="4" t="s">
        <v>181</v>
      </c>
      <c r="D8" s="4" t="s">
        <v>34</v>
      </c>
      <c r="E8" s="5">
        <v>0.5</v>
      </c>
      <c r="F8" s="9">
        <v>3.2</v>
      </c>
      <c r="G8" s="16" t="s">
        <v>37</v>
      </c>
    </row>
    <row r="9" spans="1:8">
      <c r="D9" s="2"/>
      <c r="E9" s="3"/>
    </row>
    <row r="10" spans="1:8">
      <c r="D10" s="2"/>
      <c r="E10" s="3"/>
    </row>
    <row r="11" spans="1:8">
      <c r="A11" s="31" t="s">
        <v>12</v>
      </c>
      <c r="B11" s="31" t="s">
        <v>0</v>
      </c>
      <c r="C11" s="31" t="s">
        <v>16</v>
      </c>
      <c r="D11" s="76" t="s">
        <v>34</v>
      </c>
      <c r="E11" s="32">
        <v>0.5</v>
      </c>
      <c r="F11" s="31" t="s">
        <v>374</v>
      </c>
    </row>
    <row r="14" spans="1:8">
      <c r="A14" s="4" t="s">
        <v>367</v>
      </c>
    </row>
    <row r="15" spans="1:8">
      <c r="A15" s="4" t="s">
        <v>369</v>
      </c>
    </row>
    <row r="16" spans="1:8">
      <c r="A16" s="99" t="s">
        <v>370</v>
      </c>
    </row>
    <row r="17" spans="1:2">
      <c r="B17" s="1" t="s">
        <v>325</v>
      </c>
    </row>
    <row r="20" spans="1:2">
      <c r="A20" s="4" t="s">
        <v>372</v>
      </c>
    </row>
  </sheetData>
  <hyperlinks>
    <hyperlink ref="B17"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Hoja13"/>
  <dimension ref="A1:O39"/>
  <sheetViews>
    <sheetView workbookViewId="0">
      <selection activeCell="F16" sqref="F16"/>
    </sheetView>
  </sheetViews>
  <sheetFormatPr baseColWidth="10" defaultRowHeight="15"/>
  <cols>
    <col min="7" max="7" width="3.5703125" customWidth="1"/>
    <col min="8" max="8" width="3.28515625" customWidth="1"/>
    <col min="9" max="9" width="4.5703125" customWidth="1"/>
    <col min="10" max="10" width="5.28515625" bestFit="1" customWidth="1"/>
    <col min="11" max="11" width="6.28515625" bestFit="1" customWidth="1"/>
  </cols>
  <sheetData>
    <row r="1" spans="1:12">
      <c r="A1" s="18" t="s">
        <v>247</v>
      </c>
      <c r="B1" s="18"/>
      <c r="C1" s="18"/>
      <c r="D1" s="18"/>
      <c r="E1" s="18"/>
      <c r="F1" s="18"/>
      <c r="G1" s="18" t="s">
        <v>302</v>
      </c>
      <c r="H1" s="18"/>
      <c r="I1" s="18"/>
      <c r="J1" s="18"/>
      <c r="K1" s="18"/>
      <c r="L1" t="s">
        <v>305</v>
      </c>
    </row>
    <row r="2" spans="1:12">
      <c r="C2" s="17" t="s">
        <v>250</v>
      </c>
      <c r="D2" s="17" t="s">
        <v>294</v>
      </c>
      <c r="E2" s="18" t="s">
        <v>251</v>
      </c>
      <c r="F2" s="18" t="s">
        <v>293</v>
      </c>
      <c r="G2" s="18" t="s">
        <v>303</v>
      </c>
      <c r="H2" s="18" t="s">
        <v>304</v>
      </c>
      <c r="I2" s="18" t="s">
        <v>314</v>
      </c>
      <c r="J2" s="18"/>
      <c r="K2" s="18"/>
      <c r="L2" t="s">
        <v>305</v>
      </c>
    </row>
    <row r="3" spans="1:12">
      <c r="A3" s="100" t="s">
        <v>26</v>
      </c>
      <c r="B3" s="100" t="s">
        <v>181</v>
      </c>
      <c r="C3" s="16" t="s">
        <v>272</v>
      </c>
      <c r="D3" s="104"/>
      <c r="E3" s="2"/>
      <c r="F3" s="2"/>
      <c r="G3" s="12">
        <v>2</v>
      </c>
      <c r="H3" s="109">
        <v>1</v>
      </c>
      <c r="I3" s="67">
        <v>1</v>
      </c>
      <c r="J3" s="41">
        <f>-H3</f>
        <v>-1</v>
      </c>
      <c r="K3" s="41">
        <f>-I3</f>
        <v>-1</v>
      </c>
    </row>
    <row r="4" spans="1:12">
      <c r="A4" s="145" t="s">
        <v>308</v>
      </c>
      <c r="B4" s="58" t="s">
        <v>15</v>
      </c>
      <c r="C4" s="140">
        <v>1</v>
      </c>
      <c r="D4" s="124">
        <v>1.05</v>
      </c>
      <c r="E4" s="59">
        <v>3</v>
      </c>
      <c r="F4" s="58">
        <f>+(D4-1)*E4</f>
        <v>0.15000000000000013</v>
      </c>
      <c r="G4" s="141">
        <v>1</v>
      </c>
      <c r="H4" s="117">
        <v>3</v>
      </c>
      <c r="I4" s="114">
        <v>12</v>
      </c>
      <c r="J4" s="115">
        <f>+(1.05-1)*H4</f>
        <v>0.15000000000000013</v>
      </c>
      <c r="K4" s="116">
        <f>+(1.05-1)*I4</f>
        <v>0.60000000000000053</v>
      </c>
    </row>
    <row r="5" spans="1:12">
      <c r="A5" s="145" t="s">
        <v>134</v>
      </c>
      <c r="B5" s="58" t="s">
        <v>27</v>
      </c>
      <c r="C5" s="123" t="s">
        <v>272</v>
      </c>
      <c r="D5" s="124"/>
      <c r="E5" s="59"/>
      <c r="F5" s="59"/>
      <c r="G5" s="12">
        <v>2</v>
      </c>
      <c r="H5" s="109">
        <v>2</v>
      </c>
      <c r="I5" s="67">
        <v>6</v>
      </c>
      <c r="J5" s="41">
        <f>-H5</f>
        <v>-2</v>
      </c>
      <c r="K5" s="41">
        <f>-I5</f>
        <v>-6</v>
      </c>
      <c r="L5" t="s">
        <v>389</v>
      </c>
    </row>
    <row r="6" spans="1:12">
      <c r="A6" s="58" t="s">
        <v>62</v>
      </c>
      <c r="B6" s="145" t="s">
        <v>28</v>
      </c>
      <c r="C6" s="140">
        <v>2</v>
      </c>
      <c r="D6" s="124">
        <v>3.75</v>
      </c>
      <c r="E6" s="59">
        <v>1</v>
      </c>
      <c r="F6" s="58">
        <f>+(D6-1)*E6</f>
        <v>2.75</v>
      </c>
      <c r="G6" s="141">
        <v>2</v>
      </c>
      <c r="H6" s="117">
        <v>2</v>
      </c>
      <c r="I6" s="114">
        <v>9</v>
      </c>
      <c r="J6" s="115">
        <f>+(3.75-1)*H6</f>
        <v>5.5</v>
      </c>
      <c r="K6" s="116">
        <f>+(3.75-1)*I6</f>
        <v>24.75</v>
      </c>
      <c r="L6" t="s">
        <v>390</v>
      </c>
    </row>
    <row r="7" spans="1:12">
      <c r="A7" s="58" t="s">
        <v>3</v>
      </c>
      <c r="B7" s="145" t="s">
        <v>47</v>
      </c>
      <c r="C7" s="140">
        <v>2</v>
      </c>
      <c r="D7" s="124">
        <v>3</v>
      </c>
      <c r="E7" s="59">
        <v>1.5</v>
      </c>
      <c r="F7" s="58">
        <f>+(D7-1)*E7</f>
        <v>3</v>
      </c>
      <c r="G7" s="144">
        <v>2</v>
      </c>
      <c r="H7" s="119">
        <v>3</v>
      </c>
      <c r="I7" s="120">
        <v>10</v>
      </c>
      <c r="J7" s="121">
        <f>+(3-1)*H7</f>
        <v>6</v>
      </c>
      <c r="K7" s="122">
        <f>+(3-1)*I7</f>
        <v>20</v>
      </c>
    </row>
    <row r="8" spans="1:12">
      <c r="A8" s="58" t="s">
        <v>4</v>
      </c>
      <c r="B8" s="145" t="s">
        <v>1</v>
      </c>
      <c r="C8" s="123">
        <v>1</v>
      </c>
      <c r="D8" s="124">
        <v>1.29</v>
      </c>
      <c r="E8" s="59">
        <v>2.5</v>
      </c>
      <c r="F8" s="59">
        <f>-E8</f>
        <v>-2.5</v>
      </c>
      <c r="G8" s="139">
        <v>1</v>
      </c>
      <c r="H8" s="117">
        <v>2</v>
      </c>
      <c r="I8" s="114">
        <v>6</v>
      </c>
      <c r="J8" s="115">
        <f t="shared" ref="J8:J9" si="0">-H8</f>
        <v>-2</v>
      </c>
      <c r="K8" s="116">
        <f t="shared" ref="K8:K9" si="1">-I8</f>
        <v>-6</v>
      </c>
    </row>
    <row r="9" spans="1:12">
      <c r="A9" s="146" t="s">
        <v>73</v>
      </c>
      <c r="B9" s="146" t="s">
        <v>239</v>
      </c>
      <c r="C9" s="123">
        <v>2</v>
      </c>
      <c r="D9" s="124">
        <v>1.33</v>
      </c>
      <c r="E9" s="59">
        <v>3</v>
      </c>
      <c r="F9" s="59">
        <f>-E9</f>
        <v>-3</v>
      </c>
      <c r="G9" s="139">
        <v>2</v>
      </c>
      <c r="H9" s="117">
        <v>3</v>
      </c>
      <c r="I9" s="114">
        <v>17</v>
      </c>
      <c r="J9" s="115">
        <f t="shared" si="0"/>
        <v>-3</v>
      </c>
      <c r="K9" s="116">
        <f t="shared" si="1"/>
        <v>-17</v>
      </c>
    </row>
    <row r="10" spans="1:12">
      <c r="A10" s="58" t="s">
        <v>10</v>
      </c>
      <c r="B10" s="145" t="s">
        <v>5</v>
      </c>
      <c r="C10" s="140">
        <v>2</v>
      </c>
      <c r="D10" s="124">
        <v>2.25</v>
      </c>
      <c r="E10" s="59">
        <v>2</v>
      </c>
      <c r="F10" s="58">
        <f>+(D10-1)*E10</f>
        <v>2.5</v>
      </c>
      <c r="G10" s="141">
        <v>2</v>
      </c>
      <c r="H10" s="117">
        <v>2</v>
      </c>
      <c r="I10" s="114">
        <v>9</v>
      </c>
      <c r="J10" s="115">
        <f>+(2.25-1)*H10</f>
        <v>2.5</v>
      </c>
      <c r="K10" s="116">
        <f>+(2.25-1)*I10</f>
        <v>11.25</v>
      </c>
    </row>
    <row r="11" spans="1:12">
      <c r="A11" s="146" t="s">
        <v>0</v>
      </c>
      <c r="B11" s="146" t="s">
        <v>16</v>
      </c>
      <c r="C11" s="123">
        <v>2</v>
      </c>
      <c r="D11" s="124">
        <v>3.75</v>
      </c>
      <c r="E11" s="59">
        <v>1.25</v>
      </c>
      <c r="F11" s="59">
        <f>-E11</f>
        <v>-1.25</v>
      </c>
      <c r="G11" s="147">
        <v>2</v>
      </c>
      <c r="H11" s="119">
        <v>2</v>
      </c>
      <c r="I11" s="120">
        <v>7</v>
      </c>
      <c r="J11" s="121">
        <f>-H11</f>
        <v>-2</v>
      </c>
      <c r="K11" s="122">
        <f>-I11</f>
        <v>-7</v>
      </c>
      <c r="L11" t="s">
        <v>391</v>
      </c>
    </row>
    <row r="12" spans="1:12">
      <c r="A12" s="146" t="s">
        <v>67</v>
      </c>
      <c r="B12" s="146" t="s">
        <v>2</v>
      </c>
      <c r="C12" s="123" t="s">
        <v>272</v>
      </c>
      <c r="D12" s="124"/>
      <c r="E12" s="59"/>
      <c r="F12" s="59"/>
      <c r="G12" s="4">
        <v>1</v>
      </c>
      <c r="H12" s="109">
        <v>1</v>
      </c>
      <c r="I12" s="67">
        <v>1</v>
      </c>
      <c r="J12" s="41">
        <f>+(1.73-1)*H12</f>
        <v>0.73</v>
      </c>
      <c r="K12" s="41">
        <f>+(1.73-1)*I12</f>
        <v>0.73</v>
      </c>
    </row>
    <row r="14" spans="1:12">
      <c r="F14" s="102">
        <f>SUM(F3:F12)</f>
        <v>1.6500000000000004</v>
      </c>
      <c r="J14" s="102">
        <f t="shared" ref="J14:K14" si="2">SUM(J3:J12)</f>
        <v>4.8800000000000008</v>
      </c>
      <c r="K14" s="102">
        <f t="shared" si="2"/>
        <v>20.330000000000002</v>
      </c>
    </row>
    <row r="15" spans="1:12">
      <c r="F15" s="101">
        <f>+F14/SUM(E3:E12)</f>
        <v>0.11578947368421055</v>
      </c>
      <c r="J15" s="101">
        <f>+J14/SUM(H3:H12)</f>
        <v>0.23238095238095241</v>
      </c>
      <c r="K15" s="101">
        <f>+K14/SUM(I3:I12)</f>
        <v>0.26064102564102565</v>
      </c>
    </row>
    <row r="21" spans="1:15">
      <c r="A21" s="137" t="s">
        <v>572</v>
      </c>
      <c r="D21" t="s">
        <v>362</v>
      </c>
      <c r="E21" t="s">
        <v>363</v>
      </c>
      <c r="F21" t="s">
        <v>433</v>
      </c>
      <c r="L21" s="98" t="s">
        <v>429</v>
      </c>
      <c r="M21" s="98" t="s">
        <v>431</v>
      </c>
    </row>
    <row r="22" spans="1:15">
      <c r="A22" s="110" t="s">
        <v>392</v>
      </c>
      <c r="B22" t="s">
        <v>407</v>
      </c>
      <c r="C22" t="s">
        <v>5</v>
      </c>
      <c r="D22" s="16">
        <v>2</v>
      </c>
      <c r="E22" s="16">
        <v>2</v>
      </c>
      <c r="F22" s="16">
        <v>2</v>
      </c>
      <c r="G22" s="98"/>
      <c r="H22" s="98"/>
      <c r="I22" s="98"/>
      <c r="J22" s="98"/>
      <c r="K22" s="98"/>
      <c r="L22" s="16" t="s">
        <v>357</v>
      </c>
      <c r="M22" s="16" t="s">
        <v>357</v>
      </c>
    </row>
    <row r="23" spans="1:15">
      <c r="A23" s="110" t="s">
        <v>393</v>
      </c>
      <c r="B23" t="s">
        <v>408</v>
      </c>
      <c r="C23" t="s">
        <v>15</v>
      </c>
      <c r="D23" s="16">
        <v>1</v>
      </c>
      <c r="E23" s="16">
        <v>1</v>
      </c>
      <c r="F23" s="16">
        <v>1</v>
      </c>
      <c r="G23" s="98"/>
      <c r="H23" s="98"/>
      <c r="I23" s="98"/>
      <c r="J23" s="98"/>
      <c r="K23" s="98"/>
      <c r="L23" s="16">
        <v>1</v>
      </c>
      <c r="M23" s="16">
        <v>1</v>
      </c>
    </row>
    <row r="24" spans="1:15">
      <c r="A24" s="110" t="s">
        <v>394</v>
      </c>
      <c r="B24" t="s">
        <v>409</v>
      </c>
      <c r="C24" t="s">
        <v>428</v>
      </c>
      <c r="D24" s="103" t="s">
        <v>342</v>
      </c>
      <c r="E24" s="16">
        <v>1</v>
      </c>
      <c r="F24" s="16" t="s">
        <v>357</v>
      </c>
      <c r="G24" s="98"/>
      <c r="H24" s="98"/>
      <c r="I24" s="98"/>
      <c r="J24" s="98"/>
      <c r="K24" s="98"/>
      <c r="L24" s="16" t="s">
        <v>357</v>
      </c>
      <c r="M24" s="16" t="s">
        <v>357</v>
      </c>
    </row>
    <row r="25" spans="1:15">
      <c r="A25" s="110" t="s">
        <v>395</v>
      </c>
      <c r="B25" t="s">
        <v>410</v>
      </c>
      <c r="C25" t="s">
        <v>1</v>
      </c>
      <c r="D25" s="103">
        <v>1</v>
      </c>
      <c r="E25" s="103">
        <v>1</v>
      </c>
      <c r="F25" s="103">
        <v>1</v>
      </c>
      <c r="G25" s="98"/>
      <c r="H25" s="98"/>
      <c r="I25" s="98"/>
      <c r="J25" s="98"/>
      <c r="K25" s="98"/>
      <c r="L25" s="103">
        <v>1</v>
      </c>
      <c r="M25" s="103">
        <v>1</v>
      </c>
    </row>
    <row r="26" spans="1:15">
      <c r="A26" s="110" t="s">
        <v>396</v>
      </c>
      <c r="B26" t="s">
        <v>411</v>
      </c>
      <c r="C26" t="s">
        <v>181</v>
      </c>
      <c r="D26" s="16" t="s">
        <v>342</v>
      </c>
      <c r="E26" s="103">
        <v>1</v>
      </c>
      <c r="F26" s="16" t="s">
        <v>356</v>
      </c>
      <c r="G26" s="98"/>
      <c r="H26" s="98"/>
      <c r="I26" s="98"/>
      <c r="J26" s="98"/>
      <c r="K26" s="98"/>
      <c r="L26" s="16" t="s">
        <v>356</v>
      </c>
      <c r="M26" s="16" t="s">
        <v>356</v>
      </c>
      <c r="O26" t="s">
        <v>435</v>
      </c>
    </row>
    <row r="27" spans="1:15">
      <c r="A27" s="110" t="s">
        <v>397</v>
      </c>
      <c r="B27" t="s">
        <v>412</v>
      </c>
      <c r="C27" t="s">
        <v>28</v>
      </c>
      <c r="D27" s="103">
        <v>1</v>
      </c>
      <c r="E27" s="103" t="s">
        <v>342</v>
      </c>
      <c r="F27" s="103" t="s">
        <v>356</v>
      </c>
      <c r="G27" s="98"/>
      <c r="H27" s="98"/>
      <c r="I27" s="98"/>
      <c r="J27" s="98"/>
      <c r="K27" s="98"/>
      <c r="L27" s="103" t="s">
        <v>356</v>
      </c>
      <c r="M27" s="103" t="s">
        <v>356</v>
      </c>
    </row>
    <row r="28" spans="1:15">
      <c r="A28" s="110" t="s">
        <v>398</v>
      </c>
      <c r="B28" t="s">
        <v>413</v>
      </c>
      <c r="C28" t="s">
        <v>422</v>
      </c>
      <c r="D28" s="16" t="s">
        <v>342</v>
      </c>
      <c r="E28" s="103">
        <v>2</v>
      </c>
      <c r="F28" s="16" t="s">
        <v>359</v>
      </c>
      <c r="G28" s="98"/>
      <c r="H28" s="98"/>
      <c r="I28" s="98"/>
      <c r="J28" s="98"/>
      <c r="K28" s="98"/>
      <c r="L28" s="16" t="s">
        <v>359</v>
      </c>
      <c r="M28" s="16" t="s">
        <v>359</v>
      </c>
      <c r="O28" t="s">
        <v>436</v>
      </c>
    </row>
    <row r="29" spans="1:15">
      <c r="A29" s="110" t="s">
        <v>399</v>
      </c>
      <c r="B29" t="s">
        <v>414</v>
      </c>
      <c r="C29" t="s">
        <v>423</v>
      </c>
      <c r="D29" s="16">
        <v>1</v>
      </c>
      <c r="E29" s="16">
        <v>1</v>
      </c>
      <c r="F29" s="16">
        <v>1</v>
      </c>
      <c r="G29" s="98"/>
      <c r="H29" s="98"/>
      <c r="I29" s="98"/>
      <c r="J29" s="98"/>
      <c r="K29" s="98"/>
      <c r="L29" s="16" t="s">
        <v>356</v>
      </c>
      <c r="M29" s="16" t="s">
        <v>356</v>
      </c>
    </row>
    <row r="30" spans="1:15">
      <c r="A30" s="110" t="s">
        <v>400</v>
      </c>
      <c r="B30" t="s">
        <v>415</v>
      </c>
      <c r="C30" t="s">
        <v>16</v>
      </c>
      <c r="D30" s="16" t="s">
        <v>342</v>
      </c>
      <c r="E30" s="103">
        <v>2</v>
      </c>
      <c r="F30" s="16" t="s">
        <v>357</v>
      </c>
      <c r="G30" s="98"/>
      <c r="H30" s="98"/>
      <c r="I30" s="98"/>
      <c r="J30" s="98"/>
      <c r="K30" s="98"/>
      <c r="L30" s="16" t="s">
        <v>357</v>
      </c>
      <c r="M30" s="16" t="s">
        <v>357</v>
      </c>
    </row>
    <row r="31" spans="1:15">
      <c r="A31" s="110" t="s">
        <v>401</v>
      </c>
      <c r="B31" t="s">
        <v>416</v>
      </c>
      <c r="C31" t="s">
        <v>424</v>
      </c>
      <c r="D31" s="103">
        <v>2</v>
      </c>
      <c r="E31" s="103" t="s">
        <v>342</v>
      </c>
      <c r="F31" s="103" t="s">
        <v>359</v>
      </c>
      <c r="G31" s="98"/>
      <c r="H31" s="98"/>
      <c r="I31" s="98"/>
      <c r="J31" s="98"/>
      <c r="K31" s="98"/>
      <c r="L31" s="103" t="s">
        <v>359</v>
      </c>
      <c r="M31" s="103" t="s">
        <v>359</v>
      </c>
    </row>
    <row r="32" spans="1:15">
      <c r="A32" s="110" t="s">
        <v>402</v>
      </c>
      <c r="B32" t="s">
        <v>417</v>
      </c>
      <c r="C32" t="s">
        <v>425</v>
      </c>
      <c r="D32" s="103" t="s">
        <v>342</v>
      </c>
      <c r="E32" s="103" t="s">
        <v>342</v>
      </c>
      <c r="F32" s="103" t="s">
        <v>342</v>
      </c>
      <c r="G32" s="98"/>
      <c r="H32" s="98"/>
      <c r="I32" s="98"/>
      <c r="J32" s="98"/>
      <c r="K32" s="98"/>
      <c r="L32" s="103" t="s">
        <v>342</v>
      </c>
      <c r="M32" s="16" t="s">
        <v>356</v>
      </c>
    </row>
    <row r="33" spans="1:13">
      <c r="A33" s="110" t="s">
        <v>403</v>
      </c>
      <c r="B33" t="s">
        <v>418</v>
      </c>
      <c r="C33" t="s">
        <v>13</v>
      </c>
      <c r="D33" s="16">
        <v>2</v>
      </c>
      <c r="E33" s="16">
        <v>2</v>
      </c>
      <c r="F33" s="16">
        <v>2</v>
      </c>
      <c r="G33" s="98"/>
      <c r="H33" s="98"/>
      <c r="I33" s="98"/>
      <c r="J33" s="98"/>
      <c r="K33" s="98"/>
      <c r="L33" s="16">
        <v>2</v>
      </c>
      <c r="M33" s="16">
        <v>2</v>
      </c>
    </row>
    <row r="34" spans="1:13">
      <c r="A34" s="110" t="s">
        <v>404</v>
      </c>
      <c r="B34" t="s">
        <v>419</v>
      </c>
      <c r="C34" t="s">
        <v>427</v>
      </c>
      <c r="D34" s="16">
        <v>1</v>
      </c>
      <c r="E34" s="16">
        <v>1</v>
      </c>
      <c r="F34" s="16">
        <v>1</v>
      </c>
      <c r="G34" s="98"/>
      <c r="H34" s="98"/>
      <c r="I34" s="98"/>
      <c r="J34" s="98"/>
      <c r="K34" s="98"/>
      <c r="L34" s="16">
        <v>1</v>
      </c>
      <c r="M34" s="16">
        <v>1</v>
      </c>
    </row>
    <row r="35" spans="1:13">
      <c r="A35" s="110" t="s">
        <v>405</v>
      </c>
      <c r="B35" t="s">
        <v>420</v>
      </c>
      <c r="C35" t="s">
        <v>426</v>
      </c>
      <c r="D35" s="16">
        <v>1</v>
      </c>
      <c r="E35" s="103" t="s">
        <v>342</v>
      </c>
      <c r="F35" s="16" t="s">
        <v>356</v>
      </c>
      <c r="G35" s="98"/>
      <c r="H35" s="98"/>
      <c r="I35" s="98"/>
      <c r="J35" s="98"/>
      <c r="K35" s="98"/>
      <c r="L35" s="16" t="s">
        <v>356</v>
      </c>
      <c r="M35" s="16" t="s">
        <v>356</v>
      </c>
    </row>
    <row r="36" spans="1:13">
      <c r="A36" s="110" t="s">
        <v>406</v>
      </c>
      <c r="B36" t="s">
        <v>421</v>
      </c>
      <c r="C36" t="s">
        <v>47</v>
      </c>
      <c r="D36" s="103">
        <v>1</v>
      </c>
      <c r="E36" s="103">
        <v>1</v>
      </c>
      <c r="F36" s="103">
        <v>1</v>
      </c>
      <c r="G36" s="98"/>
      <c r="H36" s="98"/>
      <c r="I36" s="98"/>
      <c r="J36" s="98"/>
      <c r="K36" s="98"/>
      <c r="L36" s="103">
        <v>1</v>
      </c>
      <c r="M36" s="103">
        <v>1</v>
      </c>
    </row>
    <row r="37" spans="1:13">
      <c r="A37" s="110"/>
      <c r="F37" s="98"/>
      <c r="G37" s="98"/>
      <c r="H37" s="98"/>
      <c r="I37" s="98"/>
      <c r="J37" s="98"/>
      <c r="K37" s="98"/>
      <c r="L37" s="98"/>
      <c r="M37" s="98"/>
    </row>
    <row r="38" spans="1:13">
      <c r="F38" s="98" t="s">
        <v>434</v>
      </c>
      <c r="G38" s="98"/>
      <c r="H38" s="98"/>
      <c r="I38" s="98"/>
      <c r="J38" s="98"/>
      <c r="K38" s="98"/>
      <c r="L38" s="98" t="s">
        <v>430</v>
      </c>
      <c r="M38" s="98" t="s">
        <v>432</v>
      </c>
    </row>
    <row r="39" spans="1:13">
      <c r="D39" s="111">
        <v>0.5</v>
      </c>
      <c r="E39" s="111">
        <v>0.5</v>
      </c>
      <c r="F39" s="111">
        <v>144</v>
      </c>
      <c r="G39" s="98"/>
      <c r="H39" s="98"/>
      <c r="I39" s="98"/>
      <c r="J39" s="98"/>
      <c r="K39" s="98"/>
      <c r="L39" s="111">
        <v>864</v>
      </c>
      <c r="M39" s="111">
        <v>1728</v>
      </c>
    </row>
  </sheetData>
  <pageMargins left="0.7" right="0.7" top="0.75" bottom="0.75" header="0.3" footer="0.3"/>
  <pageSetup paperSize="9" orientation="portrait" horizontalDpi="0" verticalDpi="0" r:id="rId1"/>
  <legacyDrawing r:id="rId2"/>
</worksheet>
</file>

<file path=xl/worksheets/sheet13.xml><?xml version="1.0" encoding="utf-8"?>
<worksheet xmlns="http://schemas.openxmlformats.org/spreadsheetml/2006/main" xmlns:r="http://schemas.openxmlformats.org/officeDocument/2006/relationships">
  <sheetPr codeName="Hoja14"/>
  <dimension ref="A1:H22"/>
  <sheetViews>
    <sheetView workbookViewId="0">
      <selection activeCell="F1" sqref="F1"/>
    </sheetView>
  </sheetViews>
  <sheetFormatPr baseColWidth="10" defaultRowHeight="15"/>
  <cols>
    <col min="1" max="1" width="4.28515625" customWidth="1"/>
    <col min="2" max="3" width="13.5703125" customWidth="1"/>
    <col min="4" max="4" width="12.85546875" bestFit="1" customWidth="1"/>
    <col min="5" max="7" width="7.85546875" customWidth="1"/>
  </cols>
  <sheetData>
    <row r="1" spans="1:8">
      <c r="A1" s="4" t="s">
        <v>12</v>
      </c>
      <c r="B1" s="4" t="s">
        <v>1</v>
      </c>
      <c r="C1" s="4" t="s">
        <v>134</v>
      </c>
      <c r="D1" s="4" t="s">
        <v>460</v>
      </c>
      <c r="E1" s="5">
        <v>1</v>
      </c>
      <c r="F1" s="9">
        <f>((2.16-1)*0.95)+1</f>
        <v>2.1020000000000003</v>
      </c>
      <c r="G1" s="10" t="s">
        <v>122</v>
      </c>
      <c r="H1" s="2" t="s">
        <v>454</v>
      </c>
    </row>
    <row r="2" spans="1:8">
      <c r="A2" s="2"/>
      <c r="B2" s="2"/>
      <c r="C2" s="2"/>
      <c r="D2" s="2"/>
      <c r="E2" s="3"/>
      <c r="F2" s="86"/>
      <c r="G2" s="30"/>
    </row>
    <row r="3" spans="1:8">
      <c r="A3" s="96" t="s">
        <v>242</v>
      </c>
      <c r="B3" s="2"/>
      <c r="C3" s="2"/>
      <c r="D3" s="2"/>
      <c r="E3" s="3"/>
      <c r="F3" s="86"/>
      <c r="G3" s="30"/>
    </row>
    <row r="4" spans="1:8">
      <c r="A4" s="76" t="s">
        <v>12</v>
      </c>
      <c r="B4" s="76" t="s">
        <v>2</v>
      </c>
      <c r="C4" s="76" t="s">
        <v>73</v>
      </c>
      <c r="D4" s="113" t="s">
        <v>34</v>
      </c>
      <c r="E4" s="32">
        <v>0.5</v>
      </c>
      <c r="F4" s="77">
        <f>((3.5-1)*0.95)+1</f>
        <v>3.375</v>
      </c>
      <c r="G4" s="78" t="s">
        <v>82</v>
      </c>
      <c r="H4" s="31" t="s">
        <v>457</v>
      </c>
    </row>
    <row r="5" spans="1:8">
      <c r="A5" s="76" t="s">
        <v>12</v>
      </c>
      <c r="B5" s="76" t="s">
        <v>28</v>
      </c>
      <c r="C5" s="76" t="s">
        <v>26</v>
      </c>
      <c r="D5" s="113" t="s">
        <v>34</v>
      </c>
      <c r="E5" s="32">
        <v>0.5</v>
      </c>
      <c r="F5" s="77">
        <f>((3.45-1)*0.95)+1</f>
        <v>3.3275000000000001</v>
      </c>
      <c r="G5" s="78" t="s">
        <v>82</v>
      </c>
      <c r="H5" s="31" t="s">
        <v>473</v>
      </c>
    </row>
    <row r="6" spans="1:8">
      <c r="A6" s="2"/>
      <c r="B6" s="2"/>
      <c r="C6" s="2"/>
      <c r="D6" s="2"/>
      <c r="E6" s="3"/>
      <c r="F6" s="86"/>
      <c r="G6" s="30"/>
    </row>
    <row r="7" spans="1:8">
      <c r="A7" s="2"/>
      <c r="B7" s="2"/>
      <c r="C7" s="2"/>
      <c r="D7" s="2"/>
      <c r="E7" s="3"/>
      <c r="F7" s="86"/>
      <c r="G7" s="30"/>
    </row>
    <row r="8" spans="1:8">
      <c r="A8" s="2" t="s">
        <v>455</v>
      </c>
      <c r="B8" s="2"/>
      <c r="C8" s="2"/>
      <c r="D8" s="2"/>
      <c r="E8" s="3"/>
      <c r="F8" s="86"/>
      <c r="G8" s="30"/>
    </row>
    <row r="9" spans="1:8">
      <c r="A9" s="17" t="s">
        <v>478</v>
      </c>
      <c r="B9" s="2"/>
      <c r="C9" s="2"/>
      <c r="D9" s="2"/>
      <c r="E9" s="3"/>
      <c r="F9" s="86"/>
      <c r="G9" s="30"/>
    </row>
    <row r="10" spans="1:8">
      <c r="A10" t="s">
        <v>456</v>
      </c>
    </row>
    <row r="13" spans="1:8">
      <c r="A13" t="s">
        <v>477</v>
      </c>
    </row>
    <row r="14" spans="1:8">
      <c r="A14" s="4" t="s">
        <v>467</v>
      </c>
      <c r="C14" t="s">
        <v>469</v>
      </c>
    </row>
    <row r="15" spans="1:8">
      <c r="A15" s="4" t="s">
        <v>263</v>
      </c>
      <c r="C15" t="s">
        <v>468</v>
      </c>
    </row>
    <row r="16" spans="1:8">
      <c r="A16" s="4" t="s">
        <v>274</v>
      </c>
      <c r="C16" t="s">
        <v>470</v>
      </c>
    </row>
    <row r="17" spans="1:3">
      <c r="A17" s="12" t="s">
        <v>276</v>
      </c>
      <c r="C17" t="s">
        <v>472</v>
      </c>
    </row>
    <row r="21" spans="1:3">
      <c r="A21" s="18" t="s">
        <v>479</v>
      </c>
    </row>
    <row r="22" spans="1:3">
      <c r="A22" s="18" t="s">
        <v>480</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sheetPr codeName="Hoja1"/>
  <dimension ref="A1:R63"/>
  <sheetViews>
    <sheetView topLeftCell="A34" workbookViewId="0">
      <selection activeCell="D36" sqref="D36:M51"/>
    </sheetView>
  </sheetViews>
  <sheetFormatPr baseColWidth="10" defaultRowHeight="15"/>
  <cols>
    <col min="7" max="7" width="3.5703125" customWidth="1"/>
    <col min="8" max="8" width="3.28515625" customWidth="1"/>
    <col min="9" max="9" width="4.5703125" customWidth="1"/>
    <col min="10" max="11" width="6.28515625" bestFit="1" customWidth="1"/>
  </cols>
  <sheetData>
    <row r="1" spans="1:12">
      <c r="A1" s="18" t="s">
        <v>247</v>
      </c>
      <c r="B1" s="18"/>
      <c r="C1" s="18"/>
      <c r="D1" s="18"/>
      <c r="E1" s="18"/>
      <c r="F1" s="18"/>
      <c r="G1" s="18" t="s">
        <v>302</v>
      </c>
      <c r="H1" s="18"/>
      <c r="I1" s="18"/>
      <c r="J1" s="18"/>
      <c r="K1" s="18"/>
      <c r="L1" t="s">
        <v>305</v>
      </c>
    </row>
    <row r="2" spans="1:12">
      <c r="C2" s="17" t="s">
        <v>250</v>
      </c>
      <c r="D2" s="17" t="s">
        <v>294</v>
      </c>
      <c r="E2" s="18" t="s">
        <v>251</v>
      </c>
      <c r="F2" s="18" t="s">
        <v>293</v>
      </c>
      <c r="G2" s="18" t="s">
        <v>303</v>
      </c>
      <c r="H2" s="18" t="s">
        <v>304</v>
      </c>
      <c r="I2" s="18" t="s">
        <v>314</v>
      </c>
      <c r="J2" s="18"/>
      <c r="K2" s="18"/>
      <c r="L2" t="s">
        <v>305</v>
      </c>
    </row>
    <row r="3" spans="1:12">
      <c r="A3" s="59" t="s">
        <v>47</v>
      </c>
      <c r="B3" s="138" t="s">
        <v>308</v>
      </c>
      <c r="C3" s="140">
        <v>2</v>
      </c>
      <c r="D3" s="124">
        <v>1.22</v>
      </c>
      <c r="E3" s="59">
        <v>2.5</v>
      </c>
      <c r="F3" s="58">
        <f>+(D3-1)*E3</f>
        <v>0.54999999999999993</v>
      </c>
      <c r="G3" s="141">
        <v>2</v>
      </c>
      <c r="H3" s="117">
        <v>2</v>
      </c>
      <c r="I3" s="117">
        <v>5</v>
      </c>
      <c r="J3" s="126">
        <f>+(1.22-1)*H3</f>
        <v>0.43999999999999995</v>
      </c>
      <c r="K3" s="127">
        <f>+(1.22-1)*I3</f>
        <v>1.0999999999999999</v>
      </c>
      <c r="L3" s="2"/>
    </row>
    <row r="4" spans="1:12">
      <c r="A4" s="138" t="s">
        <v>239</v>
      </c>
      <c r="B4" s="59" t="s">
        <v>62</v>
      </c>
      <c r="C4" s="140">
        <v>1</v>
      </c>
      <c r="D4" s="124">
        <v>1.1299999999999999</v>
      </c>
      <c r="E4" s="59">
        <v>3</v>
      </c>
      <c r="F4" s="58">
        <f>+(D4-1)*E4</f>
        <v>0.38999999999999968</v>
      </c>
      <c r="G4" s="141">
        <v>1</v>
      </c>
      <c r="H4" s="117">
        <v>2</v>
      </c>
      <c r="I4" s="117">
        <v>9</v>
      </c>
      <c r="J4" s="126">
        <f>+(1.13-1)*H4</f>
        <v>0.25999999999999979</v>
      </c>
      <c r="K4" s="127">
        <f>+(1.13-1)*I4</f>
        <v>1.169999999999999</v>
      </c>
      <c r="L4" s="2"/>
    </row>
    <row r="5" spans="1:12">
      <c r="A5" s="138" t="s">
        <v>181</v>
      </c>
      <c r="B5" s="59" t="s">
        <v>4</v>
      </c>
      <c r="C5" s="123">
        <v>2</v>
      </c>
      <c r="D5" s="124">
        <v>2.5</v>
      </c>
      <c r="E5" s="59">
        <v>0.75</v>
      </c>
      <c r="F5" s="59">
        <f>-E5</f>
        <v>-0.75</v>
      </c>
      <c r="G5" s="4">
        <v>1</v>
      </c>
      <c r="H5" s="109">
        <v>1</v>
      </c>
      <c r="I5" s="109">
        <v>1</v>
      </c>
      <c r="J5" s="86">
        <f>+(2.88-1)*H5</f>
        <v>1.88</v>
      </c>
      <c r="K5" s="86">
        <f>+(2.88-1)*I5</f>
        <v>1.88</v>
      </c>
      <c r="L5" s="2" t="s">
        <v>458</v>
      </c>
    </row>
    <row r="6" spans="1:12">
      <c r="A6" s="138" t="s">
        <v>1</v>
      </c>
      <c r="B6" s="59" t="s">
        <v>134</v>
      </c>
      <c r="C6" s="123">
        <v>2</v>
      </c>
      <c r="D6" s="124">
        <v>1.8</v>
      </c>
      <c r="E6" s="59">
        <v>0.75</v>
      </c>
      <c r="F6" s="59">
        <f>-E6</f>
        <v>-0.75</v>
      </c>
      <c r="G6" s="139">
        <v>2</v>
      </c>
      <c r="H6" s="117">
        <v>1</v>
      </c>
      <c r="I6" s="117">
        <v>3</v>
      </c>
      <c r="J6" s="126">
        <f>-H6</f>
        <v>-1</v>
      </c>
      <c r="K6" s="127">
        <f>-I6</f>
        <v>-3</v>
      </c>
      <c r="L6" s="2" t="s">
        <v>459</v>
      </c>
    </row>
    <row r="7" spans="1:12">
      <c r="A7" s="59" t="s">
        <v>16</v>
      </c>
      <c r="B7" s="138" t="s">
        <v>67</v>
      </c>
      <c r="C7" s="124" t="s">
        <v>256</v>
      </c>
      <c r="D7" s="124"/>
      <c r="E7" s="59"/>
      <c r="F7" s="59"/>
      <c r="G7" s="4">
        <v>2</v>
      </c>
      <c r="H7" s="109">
        <v>2</v>
      </c>
      <c r="I7" s="109">
        <v>9</v>
      </c>
      <c r="J7" s="86">
        <f>+(2.88-1)*H7</f>
        <v>3.76</v>
      </c>
      <c r="K7" s="86">
        <f>+(2.88-1)*I7</f>
        <v>16.919999999999998</v>
      </c>
      <c r="L7" s="2"/>
    </row>
    <row r="8" spans="1:12">
      <c r="A8" s="59" t="s">
        <v>28</v>
      </c>
      <c r="B8" s="138" t="s">
        <v>26</v>
      </c>
      <c r="C8" s="123">
        <v>1</v>
      </c>
      <c r="D8" s="124">
        <v>2.1</v>
      </c>
      <c r="E8" s="59">
        <v>2</v>
      </c>
      <c r="F8" s="59">
        <f>-E8</f>
        <v>-2</v>
      </c>
      <c r="G8" s="139">
        <v>1</v>
      </c>
      <c r="H8" s="117">
        <v>1</v>
      </c>
      <c r="I8" s="117">
        <v>2</v>
      </c>
      <c r="J8" s="126">
        <f t="shared" ref="J8:J10" si="0">-H8</f>
        <v>-1</v>
      </c>
      <c r="K8" s="127">
        <f t="shared" ref="K8:K10" si="1">-I8</f>
        <v>-2</v>
      </c>
      <c r="L8" s="2"/>
    </row>
    <row r="9" spans="1:12">
      <c r="A9" s="112" t="s">
        <v>27</v>
      </c>
      <c r="B9" s="112" t="s">
        <v>3</v>
      </c>
      <c r="C9" s="16" t="s">
        <v>257</v>
      </c>
      <c r="D9" s="104"/>
      <c r="E9" s="2"/>
      <c r="F9" s="2"/>
      <c r="G9" s="12">
        <v>2</v>
      </c>
      <c r="H9" s="109">
        <v>1</v>
      </c>
      <c r="I9" s="109">
        <v>1</v>
      </c>
      <c r="J9" s="86">
        <f t="shared" si="0"/>
        <v>-1</v>
      </c>
      <c r="K9" s="86">
        <f t="shared" si="1"/>
        <v>-1</v>
      </c>
      <c r="L9" s="2"/>
    </row>
    <row r="10" spans="1:12">
      <c r="A10" s="2" t="s">
        <v>2</v>
      </c>
      <c r="B10" s="96" t="s">
        <v>73</v>
      </c>
      <c r="C10" s="104" t="s">
        <v>256</v>
      </c>
      <c r="D10" s="104"/>
      <c r="E10" s="2"/>
      <c r="F10" s="2"/>
      <c r="G10" s="12">
        <v>1</v>
      </c>
      <c r="H10" s="109">
        <v>1</v>
      </c>
      <c r="I10" s="109">
        <v>4</v>
      </c>
      <c r="J10" s="86">
        <f t="shared" si="0"/>
        <v>-1</v>
      </c>
      <c r="K10" s="86">
        <f t="shared" si="1"/>
        <v>-4</v>
      </c>
      <c r="L10" s="2"/>
    </row>
    <row r="11" spans="1:12">
      <c r="A11" s="112" t="s">
        <v>0</v>
      </c>
      <c r="B11" s="112" t="s">
        <v>10</v>
      </c>
      <c r="C11" s="16" t="s">
        <v>272</v>
      </c>
      <c r="D11" s="104"/>
      <c r="E11" s="2"/>
      <c r="F11" s="2"/>
      <c r="G11" s="12">
        <v>1</v>
      </c>
      <c r="H11" s="109">
        <v>1</v>
      </c>
      <c r="I11" s="109">
        <v>1</v>
      </c>
      <c r="J11" s="86">
        <f t="shared" ref="J11" si="2">-H11</f>
        <v>-1</v>
      </c>
      <c r="K11" s="86">
        <f t="shared" ref="K11" si="3">-I11</f>
        <v>-1</v>
      </c>
      <c r="L11" s="2"/>
    </row>
    <row r="12" spans="1:12">
      <c r="A12" s="2" t="s">
        <v>15</v>
      </c>
      <c r="B12" s="96" t="s">
        <v>5</v>
      </c>
      <c r="C12" s="104" t="s">
        <v>256</v>
      </c>
      <c r="D12" s="104"/>
      <c r="E12" s="2"/>
      <c r="F12" s="2"/>
      <c r="G12" s="4">
        <v>2</v>
      </c>
      <c r="H12" s="109">
        <v>2</v>
      </c>
      <c r="I12" s="109">
        <v>7</v>
      </c>
      <c r="J12" s="86">
        <f>+(2.5-1)*H12</f>
        <v>3</v>
      </c>
      <c r="K12" s="86">
        <f>+(2.5-1)*I12</f>
        <v>10.5</v>
      </c>
      <c r="L12" s="2"/>
    </row>
    <row r="14" spans="1:12">
      <c r="F14" s="102">
        <f>SUM(F3:F12)</f>
        <v>-2.5600000000000005</v>
      </c>
      <c r="J14" s="102">
        <f t="shared" ref="J14:K14" si="4">SUM(J3:J12)</f>
        <v>4.34</v>
      </c>
      <c r="K14" s="102">
        <f t="shared" si="4"/>
        <v>20.569999999999997</v>
      </c>
    </row>
    <row r="15" spans="1:12">
      <c r="F15" s="101">
        <f>+F14/SUM(E3:E12)</f>
        <v>-0.2844444444444445</v>
      </c>
      <c r="J15" s="101">
        <f>+J14/SUM(H3:H12)</f>
        <v>0.31</v>
      </c>
      <c r="K15" s="101">
        <f>+K14/SUM(I3:I12)</f>
        <v>0.48976190476190468</v>
      </c>
    </row>
    <row r="16" spans="1:12">
      <c r="F16" s="101"/>
      <c r="J16" s="101"/>
      <c r="K16" s="101"/>
    </row>
    <row r="17" spans="1:12">
      <c r="F17" s="101"/>
      <c r="J17" s="101"/>
      <c r="K17" s="101"/>
    </row>
    <row r="18" spans="1:12">
      <c r="C18" s="17" t="s">
        <v>250</v>
      </c>
      <c r="D18" s="17" t="s">
        <v>294</v>
      </c>
      <c r="E18" s="18" t="s">
        <v>251</v>
      </c>
      <c r="F18" s="18" t="s">
        <v>293</v>
      </c>
      <c r="G18" s="18" t="s">
        <v>303</v>
      </c>
      <c r="H18" s="18" t="s">
        <v>304</v>
      </c>
      <c r="I18" s="18" t="s">
        <v>314</v>
      </c>
      <c r="J18" s="18"/>
      <c r="K18" s="18"/>
      <c r="L18" t="s">
        <v>305</v>
      </c>
    </row>
    <row r="19" spans="1:12">
      <c r="A19" s="138" t="s">
        <v>439</v>
      </c>
      <c r="B19" s="59" t="s">
        <v>440</v>
      </c>
      <c r="C19" s="140">
        <v>1</v>
      </c>
      <c r="D19" s="124">
        <v>2</v>
      </c>
      <c r="E19" s="59">
        <v>1.25</v>
      </c>
      <c r="F19" s="58">
        <f>+(D19-1)*E19</f>
        <v>1.25</v>
      </c>
      <c r="G19" s="141">
        <v>1</v>
      </c>
      <c r="H19" s="117">
        <v>3</v>
      </c>
      <c r="I19" s="117">
        <v>14</v>
      </c>
      <c r="J19" s="126">
        <f>+(2-1)*H19</f>
        <v>3</v>
      </c>
      <c r="K19" s="127">
        <f>+(2-1)*I19</f>
        <v>14</v>
      </c>
      <c r="L19" s="2" t="s">
        <v>441</v>
      </c>
    </row>
    <row r="20" spans="1:12">
      <c r="A20" s="59" t="s">
        <v>255</v>
      </c>
      <c r="B20" s="138" t="s">
        <v>264</v>
      </c>
      <c r="C20" s="123">
        <v>1</v>
      </c>
      <c r="D20" s="124">
        <v>1.4</v>
      </c>
      <c r="E20" s="59">
        <v>1.5</v>
      </c>
      <c r="F20" s="59">
        <f t="shared" ref="F20:F22" si="5">-E20</f>
        <v>-1.5</v>
      </c>
      <c r="G20" s="139">
        <v>1</v>
      </c>
      <c r="H20" s="117">
        <v>3</v>
      </c>
      <c r="I20" s="117">
        <v>10</v>
      </c>
      <c r="J20" s="126">
        <f>-H20</f>
        <v>-3</v>
      </c>
      <c r="K20" s="127">
        <f>-I20</f>
        <v>-10</v>
      </c>
      <c r="L20" s="2" t="s">
        <v>442</v>
      </c>
    </row>
    <row r="21" spans="1:12">
      <c r="A21" s="130" t="s">
        <v>277</v>
      </c>
      <c r="B21" s="130" t="s">
        <v>252</v>
      </c>
      <c r="C21" s="123">
        <v>1</v>
      </c>
      <c r="D21" s="124">
        <v>2.2000000000000002</v>
      </c>
      <c r="E21" s="59">
        <v>1</v>
      </c>
      <c r="F21" s="59">
        <f t="shared" si="5"/>
        <v>-1</v>
      </c>
      <c r="G21" s="12">
        <v>2</v>
      </c>
      <c r="H21" s="109">
        <v>2</v>
      </c>
      <c r="I21" s="109">
        <v>5</v>
      </c>
      <c r="J21" s="86">
        <f t="shared" ref="J21:J26" si="6">-H21</f>
        <v>-2</v>
      </c>
      <c r="K21" s="86">
        <f t="shared" ref="K21:K26" si="7">-I21</f>
        <v>-5</v>
      </c>
      <c r="L21" s="2" t="s">
        <v>443</v>
      </c>
    </row>
    <row r="22" spans="1:12">
      <c r="A22" s="130" t="s">
        <v>261</v>
      </c>
      <c r="B22" s="130" t="s">
        <v>248</v>
      </c>
      <c r="C22" s="123">
        <v>2</v>
      </c>
      <c r="D22" s="124">
        <v>2</v>
      </c>
      <c r="E22" s="59">
        <v>1</v>
      </c>
      <c r="F22" s="59">
        <f t="shared" si="5"/>
        <v>-1</v>
      </c>
      <c r="G22" s="139">
        <v>2</v>
      </c>
      <c r="H22" s="117">
        <v>1</v>
      </c>
      <c r="I22" s="117">
        <v>3</v>
      </c>
      <c r="J22" s="126">
        <f t="shared" si="6"/>
        <v>-1</v>
      </c>
      <c r="K22" s="127">
        <f t="shared" si="7"/>
        <v>-3</v>
      </c>
      <c r="L22" s="2" t="s">
        <v>444</v>
      </c>
    </row>
    <row r="23" spans="1:12">
      <c r="A23" s="59" t="s">
        <v>259</v>
      </c>
      <c r="B23" s="138" t="s">
        <v>446</v>
      </c>
      <c r="C23" s="123" t="s">
        <v>272</v>
      </c>
      <c r="D23" s="124"/>
      <c r="E23" s="59"/>
      <c r="F23" s="59"/>
      <c r="G23" s="12">
        <v>1</v>
      </c>
      <c r="H23" s="109">
        <v>1</v>
      </c>
      <c r="I23" s="109">
        <v>1</v>
      </c>
      <c r="J23" s="86">
        <f t="shared" si="6"/>
        <v>-1</v>
      </c>
      <c r="K23" s="86">
        <f t="shared" si="7"/>
        <v>-1</v>
      </c>
      <c r="L23" s="2"/>
    </row>
    <row r="24" spans="1:12">
      <c r="A24" s="130" t="s">
        <v>270</v>
      </c>
      <c r="B24" s="130" t="s">
        <v>262</v>
      </c>
      <c r="C24" s="123">
        <v>1</v>
      </c>
      <c r="D24" s="124">
        <v>1.95</v>
      </c>
      <c r="E24" s="59">
        <v>1</v>
      </c>
      <c r="F24" s="59">
        <f t="shared" ref="F24:F25" si="8">-E24</f>
        <v>-1</v>
      </c>
      <c r="G24" s="142">
        <v>1</v>
      </c>
      <c r="H24" s="118">
        <v>1</v>
      </c>
      <c r="I24" s="118">
        <v>4</v>
      </c>
      <c r="J24" s="128">
        <f t="shared" si="6"/>
        <v>-1</v>
      </c>
      <c r="K24" s="129">
        <f t="shared" si="7"/>
        <v>-4</v>
      </c>
      <c r="L24" s="2"/>
    </row>
    <row r="25" spans="1:12">
      <c r="A25" s="130" t="s">
        <v>253</v>
      </c>
      <c r="B25" s="130" t="s">
        <v>273</v>
      </c>
      <c r="C25" s="123">
        <v>1</v>
      </c>
      <c r="D25" s="124">
        <v>2.6</v>
      </c>
      <c r="E25" s="59">
        <v>1</v>
      </c>
      <c r="F25" s="59">
        <f t="shared" si="8"/>
        <v>-1</v>
      </c>
      <c r="G25" s="139">
        <v>1</v>
      </c>
      <c r="H25" s="117">
        <v>3</v>
      </c>
      <c r="I25" s="117">
        <v>10</v>
      </c>
      <c r="J25" s="126">
        <f t="shared" si="6"/>
        <v>-3</v>
      </c>
      <c r="K25" s="127">
        <f t="shared" si="7"/>
        <v>-10</v>
      </c>
      <c r="L25" s="2" t="s">
        <v>451</v>
      </c>
    </row>
    <row r="26" spans="1:12">
      <c r="A26" s="130" t="s">
        <v>268</v>
      </c>
      <c r="B26" s="130" t="s">
        <v>445</v>
      </c>
      <c r="C26" s="123">
        <v>1</v>
      </c>
      <c r="D26" s="124">
        <v>2.38</v>
      </c>
      <c r="E26" s="59">
        <v>1.25</v>
      </c>
      <c r="F26" s="59">
        <f>-E26</f>
        <v>-1.25</v>
      </c>
      <c r="G26" s="143">
        <v>1</v>
      </c>
      <c r="H26" s="125">
        <v>3</v>
      </c>
      <c r="I26" s="125">
        <v>11</v>
      </c>
      <c r="J26" s="131">
        <f t="shared" si="6"/>
        <v>-3</v>
      </c>
      <c r="K26" s="132">
        <f t="shared" si="7"/>
        <v>-11</v>
      </c>
      <c r="L26" s="2" t="s">
        <v>452</v>
      </c>
    </row>
    <row r="27" spans="1:12">
      <c r="A27" s="138" t="s">
        <v>447</v>
      </c>
      <c r="B27" s="59" t="s">
        <v>276</v>
      </c>
      <c r="C27" s="140">
        <v>1</v>
      </c>
      <c r="D27" s="124">
        <v>1.5</v>
      </c>
      <c r="E27" s="59">
        <v>2</v>
      </c>
      <c r="F27" s="58">
        <f>+(D27-1)*E27</f>
        <v>1</v>
      </c>
      <c r="G27" s="141">
        <v>1</v>
      </c>
      <c r="H27" s="117">
        <v>2</v>
      </c>
      <c r="I27" s="117">
        <v>7</v>
      </c>
      <c r="J27" s="126">
        <f>+(1.5-1)*H27</f>
        <v>1</v>
      </c>
      <c r="K27" s="127">
        <f>+(1.5-1)*I27</f>
        <v>3.5</v>
      </c>
      <c r="L27" s="2" t="s">
        <v>453</v>
      </c>
    </row>
    <row r="28" spans="1:12">
      <c r="A28" s="59" t="s">
        <v>448</v>
      </c>
      <c r="B28" s="138" t="s">
        <v>338</v>
      </c>
      <c r="C28" s="123">
        <v>1</v>
      </c>
      <c r="D28" s="124">
        <v>2.38</v>
      </c>
      <c r="E28" s="59">
        <v>1.5</v>
      </c>
      <c r="F28" s="59">
        <f>-E28</f>
        <v>-1.5</v>
      </c>
      <c r="G28" s="139">
        <v>1</v>
      </c>
      <c r="H28" s="117">
        <v>1</v>
      </c>
      <c r="I28" s="117">
        <v>2</v>
      </c>
      <c r="J28" s="126">
        <f>-H28</f>
        <v>-1</v>
      </c>
      <c r="K28" s="127">
        <f>-I28</f>
        <v>-2</v>
      </c>
      <c r="L28" s="2"/>
    </row>
    <row r="29" spans="1:12">
      <c r="A29" s="138" t="s">
        <v>449</v>
      </c>
      <c r="B29" s="59" t="s">
        <v>450</v>
      </c>
      <c r="C29" s="140">
        <v>1</v>
      </c>
      <c r="D29" s="124">
        <v>1.62</v>
      </c>
      <c r="E29" s="59">
        <v>2.5</v>
      </c>
      <c r="F29" s="58">
        <f>+(D29-1)*E29</f>
        <v>1.5500000000000003</v>
      </c>
      <c r="G29" s="144">
        <v>1</v>
      </c>
      <c r="H29" s="119">
        <v>1</v>
      </c>
      <c r="I29" s="119">
        <v>4</v>
      </c>
      <c r="J29" s="133">
        <f>+(1.62-1)*H29</f>
        <v>0.62000000000000011</v>
      </c>
      <c r="K29" s="134">
        <f>+(1.62-1)*I29</f>
        <v>2.4800000000000004</v>
      </c>
      <c r="L29" s="2"/>
    </row>
    <row r="30" spans="1:12">
      <c r="A30" s="82"/>
      <c r="B30" s="82"/>
      <c r="C30" s="2"/>
      <c r="D30" s="2"/>
      <c r="G30" s="2"/>
      <c r="H30" s="2"/>
      <c r="I30" s="2"/>
      <c r="J30" s="2"/>
      <c r="K30" s="2"/>
    </row>
    <row r="31" spans="1:12">
      <c r="F31" s="107">
        <f>SUM(F19:F29)</f>
        <v>-4.4499999999999993</v>
      </c>
      <c r="G31" s="17"/>
      <c r="H31" s="17"/>
      <c r="I31" s="17"/>
      <c r="J31" s="107">
        <f t="shared" ref="J31:K31" si="9">SUM(J19:J29)</f>
        <v>-10.379999999999999</v>
      </c>
      <c r="K31" s="107">
        <f t="shared" si="9"/>
        <v>-26.02</v>
      </c>
    </row>
    <row r="32" spans="1:12">
      <c r="F32" s="101">
        <f>+F31/SUM(E19:E29)</f>
        <v>-0.31785714285714278</v>
      </c>
      <c r="G32" s="105"/>
      <c r="H32" s="105"/>
      <c r="I32" s="105"/>
      <c r="J32" s="101">
        <f>+J31/SUM(H19:H29)</f>
        <v>-0.49428571428571422</v>
      </c>
      <c r="K32" s="101">
        <f>+K31/SUM(I19:I29)</f>
        <v>-0.36647887323943662</v>
      </c>
    </row>
    <row r="36" spans="1:15">
      <c r="A36" s="137" t="s">
        <v>573</v>
      </c>
      <c r="D36" t="s">
        <v>362</v>
      </c>
      <c r="E36" t="s">
        <v>363</v>
      </c>
      <c r="F36" t="s">
        <v>433</v>
      </c>
      <c r="L36" s="98" t="s">
        <v>429</v>
      </c>
      <c r="M36" s="98" t="s">
        <v>431</v>
      </c>
    </row>
    <row r="37" spans="1:15">
      <c r="A37" s="110" t="s">
        <v>392</v>
      </c>
      <c r="B37" s="2" t="s">
        <v>326</v>
      </c>
      <c r="C37" s="104" t="s">
        <v>339</v>
      </c>
      <c r="D37" s="16">
        <v>2</v>
      </c>
      <c r="E37" s="16">
        <v>2</v>
      </c>
      <c r="F37" s="16">
        <v>2</v>
      </c>
      <c r="G37" s="104"/>
      <c r="H37" s="104"/>
      <c r="I37" s="104"/>
      <c r="J37" s="104"/>
      <c r="K37" s="104"/>
      <c r="L37" s="16">
        <v>2</v>
      </c>
      <c r="M37" s="16">
        <v>2</v>
      </c>
    </row>
    <row r="38" spans="1:15">
      <c r="A38" s="110" t="s">
        <v>393</v>
      </c>
      <c r="B38" s="2" t="s">
        <v>327</v>
      </c>
      <c r="C38" s="104" t="s">
        <v>138</v>
      </c>
      <c r="D38" s="16">
        <v>2</v>
      </c>
      <c r="E38" s="16">
        <v>2</v>
      </c>
      <c r="F38" s="16">
        <v>2</v>
      </c>
      <c r="G38" s="104"/>
      <c r="H38" s="104"/>
      <c r="I38" s="104"/>
      <c r="J38" s="104"/>
      <c r="K38" s="104"/>
      <c r="L38" s="16">
        <v>2</v>
      </c>
      <c r="M38" s="16">
        <v>2</v>
      </c>
    </row>
    <row r="39" spans="1:15">
      <c r="A39" s="110" t="s">
        <v>394</v>
      </c>
      <c r="B39" s="2" t="s">
        <v>128</v>
      </c>
      <c r="C39" s="104" t="s">
        <v>340</v>
      </c>
      <c r="D39" s="16" t="s">
        <v>342</v>
      </c>
      <c r="E39" s="103">
        <v>1</v>
      </c>
      <c r="F39" s="16" t="s">
        <v>357</v>
      </c>
      <c r="G39" s="104"/>
      <c r="H39" s="104"/>
      <c r="I39" s="104"/>
      <c r="J39" s="104"/>
      <c r="K39" s="104"/>
      <c r="L39" s="16" t="s">
        <v>359</v>
      </c>
      <c r="M39" s="16" t="s">
        <v>357</v>
      </c>
    </row>
    <row r="40" spans="1:15">
      <c r="A40" s="110" t="s">
        <v>395</v>
      </c>
      <c r="B40" s="2" t="s">
        <v>181</v>
      </c>
      <c r="C40" s="104" t="s">
        <v>4</v>
      </c>
      <c r="D40" s="103">
        <v>2</v>
      </c>
      <c r="E40" s="103">
        <v>2</v>
      </c>
      <c r="F40" s="103" t="s">
        <v>359</v>
      </c>
      <c r="G40" s="104"/>
      <c r="H40" s="104"/>
      <c r="I40" s="104"/>
      <c r="J40" s="104"/>
      <c r="K40" s="104"/>
      <c r="L40" s="16" t="s">
        <v>357</v>
      </c>
      <c r="M40" s="16" t="s">
        <v>357</v>
      </c>
    </row>
    <row r="41" spans="1:15">
      <c r="A41" s="110" t="s">
        <v>396</v>
      </c>
      <c r="B41" s="2" t="s">
        <v>330</v>
      </c>
      <c r="C41" s="104" t="s">
        <v>343</v>
      </c>
      <c r="D41" s="103">
        <v>1</v>
      </c>
      <c r="E41" s="103">
        <v>1</v>
      </c>
      <c r="F41" s="103">
        <v>1</v>
      </c>
      <c r="G41" s="104"/>
      <c r="H41" s="104"/>
      <c r="I41" s="104"/>
      <c r="J41" s="104"/>
      <c r="K41" s="104"/>
      <c r="L41" s="103" t="s">
        <v>356</v>
      </c>
      <c r="M41" s="16" t="s">
        <v>357</v>
      </c>
      <c r="O41" t="s">
        <v>435</v>
      </c>
    </row>
    <row r="42" spans="1:15">
      <c r="A42" s="110" t="s">
        <v>397</v>
      </c>
      <c r="B42" s="2" t="s">
        <v>331</v>
      </c>
      <c r="C42" s="104" t="s">
        <v>464</v>
      </c>
      <c r="D42" s="16">
        <v>1</v>
      </c>
      <c r="E42" s="16">
        <v>1</v>
      </c>
      <c r="F42" s="16">
        <v>1</v>
      </c>
      <c r="G42" s="104"/>
      <c r="H42" s="104"/>
      <c r="I42" s="104"/>
      <c r="J42" s="104"/>
      <c r="K42" s="104"/>
      <c r="L42" s="16">
        <v>1</v>
      </c>
      <c r="M42" s="16">
        <v>1</v>
      </c>
    </row>
    <row r="43" spans="1:15">
      <c r="A43" s="110" t="s">
        <v>398</v>
      </c>
      <c r="B43" s="2" t="s">
        <v>332</v>
      </c>
      <c r="C43" s="104" t="s">
        <v>345</v>
      </c>
      <c r="D43" s="103" t="s">
        <v>342</v>
      </c>
      <c r="E43" s="16">
        <v>2</v>
      </c>
      <c r="F43" s="16" t="s">
        <v>357</v>
      </c>
      <c r="G43" s="104"/>
      <c r="H43" s="104"/>
      <c r="I43" s="104"/>
      <c r="J43" s="104"/>
      <c r="K43" s="104"/>
      <c r="L43" s="16" t="s">
        <v>357</v>
      </c>
      <c r="M43" s="16" t="s">
        <v>357</v>
      </c>
      <c r="O43" t="s">
        <v>436</v>
      </c>
    </row>
    <row r="44" spans="1:15">
      <c r="A44" s="110" t="s">
        <v>399</v>
      </c>
      <c r="B44" s="2" t="s">
        <v>333</v>
      </c>
      <c r="C44" s="104" t="s">
        <v>346</v>
      </c>
      <c r="D44" s="103" t="s">
        <v>342</v>
      </c>
      <c r="E44" s="103" t="s">
        <v>342</v>
      </c>
      <c r="F44" s="103" t="s">
        <v>356</v>
      </c>
      <c r="G44" s="104"/>
      <c r="H44" s="104"/>
      <c r="I44" s="104"/>
      <c r="J44" s="104"/>
      <c r="K44" s="104"/>
      <c r="L44" s="103" t="s">
        <v>356</v>
      </c>
      <c r="M44" s="16" t="s">
        <v>357</v>
      </c>
    </row>
    <row r="45" spans="1:15">
      <c r="A45" s="110" t="s">
        <v>400</v>
      </c>
      <c r="B45" s="2" t="s">
        <v>347</v>
      </c>
      <c r="C45" s="104" t="s">
        <v>348</v>
      </c>
      <c r="D45" s="103">
        <v>1</v>
      </c>
      <c r="E45" s="103">
        <v>1</v>
      </c>
      <c r="F45" s="16" t="s">
        <v>342</v>
      </c>
      <c r="G45" s="104"/>
      <c r="H45" s="104"/>
      <c r="I45" s="104"/>
      <c r="J45" s="104"/>
      <c r="K45" s="104"/>
      <c r="L45" s="16" t="s">
        <v>356</v>
      </c>
      <c r="M45" s="16" t="s">
        <v>356</v>
      </c>
    </row>
    <row r="46" spans="1:15">
      <c r="A46" s="110" t="s">
        <v>401</v>
      </c>
      <c r="B46" s="2" t="s">
        <v>334</v>
      </c>
      <c r="C46" s="104" t="s">
        <v>461</v>
      </c>
      <c r="D46" s="16">
        <v>2</v>
      </c>
      <c r="E46" s="103">
        <v>1</v>
      </c>
      <c r="F46" s="16" t="s">
        <v>359</v>
      </c>
      <c r="G46" s="104"/>
      <c r="H46" s="104"/>
      <c r="I46" s="104"/>
      <c r="J46" s="104"/>
      <c r="K46" s="104"/>
      <c r="L46" s="16" t="s">
        <v>359</v>
      </c>
      <c r="M46" s="16" t="s">
        <v>359</v>
      </c>
    </row>
    <row r="47" spans="1:15">
      <c r="A47" s="110" t="s">
        <v>402</v>
      </c>
      <c r="B47" s="2" t="s">
        <v>449</v>
      </c>
      <c r="C47" s="104" t="s">
        <v>462</v>
      </c>
      <c r="D47" s="16">
        <v>1</v>
      </c>
      <c r="E47" s="16">
        <v>1</v>
      </c>
      <c r="F47" s="16">
        <v>1</v>
      </c>
      <c r="G47" s="104"/>
      <c r="H47" s="104"/>
      <c r="I47" s="104"/>
      <c r="J47" s="104"/>
      <c r="K47" s="104"/>
      <c r="L47" s="16">
        <v>1</v>
      </c>
      <c r="M47" s="16">
        <v>1</v>
      </c>
    </row>
    <row r="48" spans="1:15">
      <c r="A48" s="110" t="s">
        <v>403</v>
      </c>
      <c r="B48" s="2" t="s">
        <v>335</v>
      </c>
      <c r="C48" s="104" t="s">
        <v>351</v>
      </c>
      <c r="D48" s="103">
        <v>1</v>
      </c>
      <c r="E48" s="16" t="s">
        <v>342</v>
      </c>
      <c r="F48" s="16" t="s">
        <v>356</v>
      </c>
      <c r="G48" s="104"/>
      <c r="H48" s="104"/>
      <c r="I48" s="104"/>
      <c r="J48" s="104"/>
      <c r="K48" s="104"/>
      <c r="L48" s="16" t="s">
        <v>356</v>
      </c>
      <c r="M48" s="16" t="s">
        <v>356</v>
      </c>
    </row>
    <row r="49" spans="1:18">
      <c r="A49" s="110" t="s">
        <v>404</v>
      </c>
      <c r="B49" s="2" t="s">
        <v>465</v>
      </c>
      <c r="C49" s="104" t="s">
        <v>463</v>
      </c>
      <c r="D49" s="103">
        <v>1</v>
      </c>
      <c r="E49" s="103">
        <v>1</v>
      </c>
      <c r="F49" s="16" t="s">
        <v>356</v>
      </c>
      <c r="G49" s="104"/>
      <c r="H49" s="104"/>
      <c r="I49" s="104"/>
      <c r="J49" s="104"/>
      <c r="K49" s="104"/>
      <c r="L49" s="16" t="s">
        <v>356</v>
      </c>
      <c r="M49" s="16" t="s">
        <v>356</v>
      </c>
    </row>
    <row r="50" spans="1:18">
      <c r="A50" s="110" t="s">
        <v>405</v>
      </c>
      <c r="B50" s="2" t="s">
        <v>448</v>
      </c>
      <c r="C50" s="104" t="s">
        <v>338</v>
      </c>
      <c r="D50" s="16">
        <v>2</v>
      </c>
      <c r="E50" s="16">
        <v>2</v>
      </c>
      <c r="F50" s="16">
        <v>2</v>
      </c>
      <c r="G50" s="104"/>
      <c r="H50" s="104"/>
      <c r="I50" s="104"/>
      <c r="J50" s="104"/>
      <c r="K50" s="104"/>
      <c r="L50" s="16" t="s">
        <v>359</v>
      </c>
      <c r="M50" s="16" t="s">
        <v>359</v>
      </c>
    </row>
    <row r="51" spans="1:18">
      <c r="A51" s="110" t="s">
        <v>406</v>
      </c>
      <c r="B51" s="2" t="s">
        <v>328</v>
      </c>
      <c r="C51" s="104" t="s">
        <v>466</v>
      </c>
      <c r="D51" s="103" t="s">
        <v>342</v>
      </c>
      <c r="E51" s="103" t="s">
        <v>342</v>
      </c>
      <c r="F51" s="103" t="s">
        <v>342</v>
      </c>
      <c r="G51" s="104"/>
      <c r="H51" s="104"/>
      <c r="I51" s="104"/>
      <c r="J51" s="104"/>
      <c r="K51" s="104"/>
      <c r="L51" s="103" t="s">
        <v>342</v>
      </c>
      <c r="M51" s="103" t="s">
        <v>342</v>
      </c>
      <c r="N51" t="s">
        <v>474</v>
      </c>
    </row>
    <row r="52" spans="1:18">
      <c r="A52" s="110"/>
      <c r="F52" s="98"/>
      <c r="G52" s="98"/>
      <c r="H52" s="98"/>
      <c r="I52" s="98"/>
      <c r="J52" s="98"/>
      <c r="K52" s="98"/>
      <c r="L52" s="98"/>
      <c r="M52" s="98"/>
    </row>
    <row r="53" spans="1:18">
      <c r="F53" s="98" t="s">
        <v>434</v>
      </c>
      <c r="G53" s="98"/>
      <c r="H53" s="98"/>
      <c r="I53" s="98"/>
      <c r="J53" s="98"/>
      <c r="K53" s="98"/>
      <c r="L53" s="98" t="s">
        <v>471</v>
      </c>
      <c r="M53" s="98" t="s">
        <v>475</v>
      </c>
    </row>
    <row r="54" spans="1:18">
      <c r="D54" s="111">
        <v>0.5</v>
      </c>
      <c r="E54" s="111">
        <v>0.5</v>
      </c>
      <c r="F54" s="111">
        <v>144</v>
      </c>
      <c r="G54" s="98"/>
      <c r="H54" s="98"/>
      <c r="I54" s="98"/>
      <c r="J54" s="98"/>
      <c r="K54" s="98"/>
      <c r="L54" s="111">
        <v>1152</v>
      </c>
      <c r="M54" s="111">
        <v>3888</v>
      </c>
    </row>
    <row r="57" spans="1:18">
      <c r="N57" s="63"/>
      <c r="P57" s="135"/>
      <c r="Q57" s="135"/>
      <c r="R57" s="135"/>
    </row>
    <row r="58" spans="1:18">
      <c r="N58" s="136"/>
    </row>
    <row r="61" spans="1:18">
      <c r="P61" s="135"/>
      <c r="Q61" s="135"/>
      <c r="R61" s="135"/>
    </row>
    <row r="62" spans="1:18">
      <c r="P62" s="135"/>
      <c r="Q62" s="135"/>
      <c r="R62" s="135"/>
    </row>
    <row r="63" spans="1:18">
      <c r="P63" s="135"/>
      <c r="Q63" s="135"/>
    </row>
  </sheetData>
  <pageMargins left="0.7" right="0.7" top="0.75" bottom="0.75" header="0.3" footer="0.3"/>
  <pageSetup paperSize="9" orientation="portrait" horizontalDpi="0" verticalDpi="0" r:id="rId1"/>
  <legacyDrawing r:id="rId2"/>
</worksheet>
</file>

<file path=xl/worksheets/sheet15.xml><?xml version="1.0" encoding="utf-8"?>
<worksheet xmlns="http://schemas.openxmlformats.org/spreadsheetml/2006/main" xmlns:r="http://schemas.openxmlformats.org/officeDocument/2006/relationships">
  <sheetPr codeName="Hoja15"/>
  <dimension ref="A1:I23"/>
  <sheetViews>
    <sheetView workbookViewId="0">
      <selection activeCell="F2" sqref="F2"/>
    </sheetView>
  </sheetViews>
  <sheetFormatPr baseColWidth="10" defaultRowHeight="15"/>
  <cols>
    <col min="1" max="1" width="4.28515625" customWidth="1"/>
    <col min="2" max="3" width="13.5703125" customWidth="1"/>
    <col min="4" max="4" width="14.7109375" bestFit="1" customWidth="1"/>
    <col min="5" max="7" width="7.85546875" customWidth="1"/>
  </cols>
  <sheetData>
    <row r="1" spans="1:9">
      <c r="A1" s="4" t="s">
        <v>12</v>
      </c>
      <c r="B1" s="4" t="s">
        <v>504</v>
      </c>
      <c r="C1" s="4" t="s">
        <v>0</v>
      </c>
      <c r="D1" s="4" t="s">
        <v>48</v>
      </c>
      <c r="E1" s="5">
        <v>1.25</v>
      </c>
      <c r="F1" s="9">
        <f>((6.4-1)*0.95)+1</f>
        <v>6.13</v>
      </c>
      <c r="G1" s="10" t="s">
        <v>82</v>
      </c>
      <c r="H1" s="2" t="s">
        <v>510</v>
      </c>
    </row>
    <row r="2" spans="1:9">
      <c r="A2" s="12" t="s">
        <v>12</v>
      </c>
      <c r="B2" s="12" t="s">
        <v>5</v>
      </c>
      <c r="C2" s="12" t="s">
        <v>47</v>
      </c>
      <c r="D2" s="12" t="s">
        <v>530</v>
      </c>
      <c r="E2" s="13">
        <v>1.25</v>
      </c>
      <c r="F2" s="14">
        <f>((3.85-1)*0.95)+1</f>
        <v>3.7075</v>
      </c>
      <c r="G2" s="15" t="s">
        <v>187</v>
      </c>
      <c r="H2" s="137" t="s">
        <v>511</v>
      </c>
    </row>
    <row r="4" spans="1:9">
      <c r="A4" s="96" t="s">
        <v>242</v>
      </c>
    </row>
    <row r="5" spans="1:9">
      <c r="A5" s="12" t="s">
        <v>12</v>
      </c>
      <c r="B5" s="12" t="s">
        <v>520</v>
      </c>
      <c r="C5" s="12" t="s">
        <v>181</v>
      </c>
      <c r="D5" s="12" t="s">
        <v>34</v>
      </c>
      <c r="E5" s="13">
        <v>0.5</v>
      </c>
      <c r="F5" s="14">
        <f>((3.95-1)*0.95)+1</f>
        <v>3.8025000000000002</v>
      </c>
      <c r="G5" s="103" t="s">
        <v>41</v>
      </c>
      <c r="H5" s="137" t="s">
        <v>521</v>
      </c>
    </row>
    <row r="6" spans="1:9" s="137" customFormat="1"/>
    <row r="7" spans="1:9" s="137" customFormat="1"/>
    <row r="8" spans="1:9">
      <c r="A8" s="31" t="s">
        <v>12</v>
      </c>
      <c r="B8" s="31" t="s">
        <v>4</v>
      </c>
      <c r="C8" s="31" t="s">
        <v>28</v>
      </c>
      <c r="D8" s="113" t="s">
        <v>49</v>
      </c>
      <c r="E8" s="148" t="s">
        <v>529</v>
      </c>
      <c r="F8" s="148"/>
      <c r="G8" s="148"/>
      <c r="H8" s="31" t="s">
        <v>519</v>
      </c>
      <c r="I8" s="31"/>
    </row>
    <row r="9" spans="1:9">
      <c r="A9" s="31" t="s">
        <v>12</v>
      </c>
      <c r="B9" s="31" t="s">
        <v>62</v>
      </c>
      <c r="C9" s="31" t="s">
        <v>2</v>
      </c>
      <c r="D9" s="211" t="s">
        <v>49</v>
      </c>
      <c r="E9" s="148" t="s">
        <v>513</v>
      </c>
      <c r="F9" s="148"/>
      <c r="G9" s="148"/>
      <c r="H9" s="31" t="s">
        <v>512</v>
      </c>
    </row>
    <row r="12" spans="1:9">
      <c r="A12" s="12" t="s">
        <v>255</v>
      </c>
      <c r="C12" s="137" t="s">
        <v>489</v>
      </c>
    </row>
    <row r="13" spans="1:9">
      <c r="A13" s="4" t="s">
        <v>249</v>
      </c>
      <c r="C13" s="137" t="s">
        <v>514</v>
      </c>
    </row>
    <row r="14" spans="1:9">
      <c r="A14" s="12" t="s">
        <v>276</v>
      </c>
      <c r="C14" s="137" t="s">
        <v>515</v>
      </c>
    </row>
    <row r="15" spans="1:9">
      <c r="A15" s="4" t="s">
        <v>258</v>
      </c>
      <c r="C15" s="137" t="s">
        <v>537</v>
      </c>
    </row>
    <row r="16" spans="1:9">
      <c r="A16" s="12" t="s">
        <v>262</v>
      </c>
      <c r="C16" s="137" t="s">
        <v>516</v>
      </c>
    </row>
    <row r="17" spans="1:4">
      <c r="A17" s="150" t="s">
        <v>517</v>
      </c>
      <c r="C17" s="137" t="s">
        <v>518</v>
      </c>
    </row>
    <row r="20" spans="1:4">
      <c r="A20" s="12" t="s">
        <v>531</v>
      </c>
      <c r="C20" s="137" t="s">
        <v>532</v>
      </c>
    </row>
    <row r="21" spans="1:4">
      <c r="A21" s="4" t="s">
        <v>533</v>
      </c>
      <c r="C21" s="137" t="s">
        <v>534</v>
      </c>
      <c r="D21" s="41"/>
    </row>
    <row r="22" spans="1:4">
      <c r="A22" s="137"/>
    </row>
    <row r="23" spans="1:4">
      <c r="A23" s="137"/>
    </row>
  </sheetData>
  <pageMargins left="0.7" right="0.7" top="0.75" bottom="0.75" header="0.3" footer="0.3"/>
  <pageSetup paperSize="9" orientation="portrait" horizontalDpi="0" verticalDpi="0" r:id="rId1"/>
  <legacyDrawing r:id="rId2"/>
</worksheet>
</file>

<file path=xl/worksheets/sheet16.xml><?xml version="1.0" encoding="utf-8"?>
<worksheet xmlns="http://schemas.openxmlformats.org/spreadsheetml/2006/main" xmlns:r="http://schemas.openxmlformats.org/officeDocument/2006/relationships">
  <sheetPr codeName="Hoja16"/>
  <dimension ref="A1:R72"/>
  <sheetViews>
    <sheetView topLeftCell="A16" zoomScaleNormal="100" workbookViewId="0">
      <selection activeCell="F19" sqref="F19"/>
    </sheetView>
  </sheetViews>
  <sheetFormatPr baseColWidth="10" defaultRowHeight="15"/>
  <cols>
    <col min="4" max="6" width="11.5703125" bestFit="1" customWidth="1"/>
    <col min="7" max="7" width="3.5703125" customWidth="1"/>
    <col min="8" max="8" width="3.28515625" customWidth="1"/>
    <col min="9" max="9" width="4.5703125" customWidth="1"/>
    <col min="10" max="11" width="7" bestFit="1" customWidth="1"/>
  </cols>
  <sheetData>
    <row r="1" spans="1:12">
      <c r="A1" s="18" t="s">
        <v>247</v>
      </c>
      <c r="B1" s="18"/>
      <c r="C1" s="18"/>
      <c r="D1" s="18"/>
      <c r="E1" s="18"/>
      <c r="F1" s="18"/>
      <c r="G1" s="18" t="s">
        <v>302</v>
      </c>
      <c r="H1" s="18"/>
      <c r="I1" s="18"/>
      <c r="J1" s="18"/>
      <c r="K1" s="18"/>
      <c r="L1" t="s">
        <v>305</v>
      </c>
    </row>
    <row r="2" spans="1:12">
      <c r="C2" s="17" t="s">
        <v>250</v>
      </c>
      <c r="D2" s="17" t="s">
        <v>294</v>
      </c>
      <c r="E2" s="18" t="s">
        <v>251</v>
      </c>
      <c r="F2" s="18" t="s">
        <v>293</v>
      </c>
      <c r="G2" s="18" t="s">
        <v>303</v>
      </c>
      <c r="H2" s="18" t="s">
        <v>304</v>
      </c>
      <c r="I2" s="18" t="s">
        <v>314</v>
      </c>
      <c r="J2" s="18"/>
      <c r="K2" s="18"/>
      <c r="L2" t="s">
        <v>305</v>
      </c>
    </row>
    <row r="3" spans="1:12">
      <c r="A3" s="59" t="s">
        <v>10</v>
      </c>
      <c r="B3" s="138" t="s">
        <v>15</v>
      </c>
      <c r="C3" s="123" t="s">
        <v>272</v>
      </c>
      <c r="D3" s="124"/>
      <c r="E3" s="59"/>
      <c r="F3" s="59"/>
      <c r="G3" s="54">
        <v>2</v>
      </c>
      <c r="H3" s="125">
        <v>1</v>
      </c>
      <c r="I3" s="125">
        <v>2</v>
      </c>
      <c r="J3" s="131">
        <f>+(3.3-1)*H3</f>
        <v>2.2999999999999998</v>
      </c>
      <c r="K3" s="131">
        <f>+(3.3-1)*I3</f>
        <v>4.5999999999999996</v>
      </c>
      <c r="L3" s="2"/>
    </row>
    <row r="4" spans="1:12">
      <c r="A4" s="59" t="s">
        <v>3</v>
      </c>
      <c r="B4" s="138" t="s">
        <v>1</v>
      </c>
      <c r="C4" s="123" t="s">
        <v>272</v>
      </c>
      <c r="D4" s="124"/>
      <c r="E4" s="59"/>
      <c r="F4" s="59"/>
      <c r="G4" s="54">
        <v>2</v>
      </c>
      <c r="H4" s="125">
        <v>2</v>
      </c>
      <c r="I4" s="125">
        <v>9</v>
      </c>
      <c r="J4" s="131">
        <f>+(3.75-1)*H4</f>
        <v>5.5</v>
      </c>
      <c r="K4" s="131">
        <f>+(3.75-1)*I4</f>
        <v>24.75</v>
      </c>
      <c r="L4" s="2"/>
    </row>
    <row r="5" spans="1:12">
      <c r="A5" s="59" t="s">
        <v>26</v>
      </c>
      <c r="B5" s="138" t="s">
        <v>239</v>
      </c>
      <c r="C5" s="140">
        <v>2</v>
      </c>
      <c r="D5" s="124">
        <v>1.4</v>
      </c>
      <c r="E5" s="59">
        <v>1</v>
      </c>
      <c r="F5" s="58">
        <f t="shared" ref="F5:F6" si="0">+(D5-1)*E5</f>
        <v>0.39999999999999991</v>
      </c>
      <c r="G5" s="141">
        <v>2</v>
      </c>
      <c r="H5" s="117">
        <v>1</v>
      </c>
      <c r="I5" s="117">
        <v>3</v>
      </c>
      <c r="J5" s="126">
        <f>+(1.4-1)*H5</f>
        <v>0.39999999999999991</v>
      </c>
      <c r="K5" s="127">
        <f>+(1.4-1)*I5</f>
        <v>1.1999999999999997</v>
      </c>
      <c r="L5" s="2" t="s">
        <v>505</v>
      </c>
    </row>
    <row r="6" spans="1:12">
      <c r="A6" s="138" t="s">
        <v>308</v>
      </c>
      <c r="B6" s="59" t="s">
        <v>27</v>
      </c>
      <c r="C6" s="140">
        <v>1</v>
      </c>
      <c r="D6" s="124">
        <v>1.1100000000000001</v>
      </c>
      <c r="E6" s="59">
        <v>2.5</v>
      </c>
      <c r="F6" s="58">
        <f t="shared" si="0"/>
        <v>0.27500000000000024</v>
      </c>
      <c r="G6" s="141">
        <v>1</v>
      </c>
      <c r="H6" s="117">
        <v>3</v>
      </c>
      <c r="I6" s="117">
        <v>15</v>
      </c>
      <c r="J6" s="126">
        <f>+(1.11-1)*H6</f>
        <v>0.33000000000000029</v>
      </c>
      <c r="K6" s="127">
        <f>+(1.11-1)*I6</f>
        <v>1.6500000000000015</v>
      </c>
      <c r="L6" s="2"/>
    </row>
    <row r="7" spans="1:12">
      <c r="A7" s="59" t="s">
        <v>504</v>
      </c>
      <c r="B7" s="138" t="s">
        <v>0</v>
      </c>
      <c r="C7" s="123">
        <v>1</v>
      </c>
      <c r="D7" s="124">
        <v>1.67</v>
      </c>
      <c r="E7" s="59">
        <v>2</v>
      </c>
      <c r="F7" s="59">
        <f>-E7</f>
        <v>-2</v>
      </c>
      <c r="G7" s="139">
        <v>1</v>
      </c>
      <c r="H7" s="117">
        <v>3</v>
      </c>
      <c r="I7" s="117">
        <v>17</v>
      </c>
      <c r="J7" s="126">
        <f>-H7</f>
        <v>-3</v>
      </c>
      <c r="K7" s="127">
        <f>-I7</f>
        <v>-17</v>
      </c>
      <c r="L7" s="2" t="s">
        <v>506</v>
      </c>
    </row>
    <row r="8" spans="1:12">
      <c r="A8" s="138" t="s">
        <v>175</v>
      </c>
      <c r="B8" s="59" t="s">
        <v>181</v>
      </c>
      <c r="C8" s="140">
        <v>1</v>
      </c>
      <c r="D8" s="124">
        <v>1.62</v>
      </c>
      <c r="E8" s="59">
        <v>1.25</v>
      </c>
      <c r="F8" s="58">
        <f>+(D8-1)*E8</f>
        <v>0.77500000000000013</v>
      </c>
      <c r="G8" s="46">
        <v>2</v>
      </c>
      <c r="H8" s="125">
        <v>2</v>
      </c>
      <c r="I8" s="125">
        <v>5</v>
      </c>
      <c r="J8" s="131">
        <f>-H8</f>
        <v>-2</v>
      </c>
      <c r="K8" s="131">
        <f>-I8</f>
        <v>-5</v>
      </c>
      <c r="L8" s="2"/>
    </row>
    <row r="9" spans="1:12">
      <c r="A9" s="130" t="s">
        <v>4</v>
      </c>
      <c r="B9" s="130" t="s">
        <v>28</v>
      </c>
      <c r="C9" s="123">
        <v>1</v>
      </c>
      <c r="D9" s="124">
        <v>1.57</v>
      </c>
      <c r="E9" s="59">
        <v>1.5</v>
      </c>
      <c r="F9" s="59">
        <f>-E9</f>
        <v>-1.5</v>
      </c>
      <c r="G9" s="46">
        <v>2</v>
      </c>
      <c r="H9" s="125">
        <v>1</v>
      </c>
      <c r="I9" s="125">
        <v>4</v>
      </c>
      <c r="J9" s="131">
        <f t="shared" ref="J9:J12" si="1">-H9</f>
        <v>-1</v>
      </c>
      <c r="K9" s="131">
        <f t="shared" ref="K9:K12" si="2">-I9</f>
        <v>-4</v>
      </c>
      <c r="L9" s="2"/>
    </row>
    <row r="10" spans="1:12">
      <c r="A10" s="138" t="s">
        <v>62</v>
      </c>
      <c r="B10" s="59" t="s">
        <v>2</v>
      </c>
      <c r="C10" s="123" t="s">
        <v>272</v>
      </c>
      <c r="D10" s="124"/>
      <c r="E10" s="59"/>
      <c r="F10" s="59"/>
      <c r="G10" s="46">
        <v>2</v>
      </c>
      <c r="H10" s="125">
        <v>1</v>
      </c>
      <c r="I10" s="125">
        <v>4</v>
      </c>
      <c r="J10" s="131">
        <f t="shared" si="1"/>
        <v>-1</v>
      </c>
      <c r="K10" s="131">
        <f t="shared" si="2"/>
        <v>-4</v>
      </c>
      <c r="L10" s="2" t="s">
        <v>507</v>
      </c>
    </row>
    <row r="11" spans="1:12">
      <c r="A11" s="130" t="s">
        <v>73</v>
      </c>
      <c r="B11" s="130" t="s">
        <v>16</v>
      </c>
      <c r="C11" s="140" t="s">
        <v>257</v>
      </c>
      <c r="D11" s="124"/>
      <c r="E11" s="59"/>
      <c r="F11" s="59"/>
      <c r="G11" s="46">
        <v>2</v>
      </c>
      <c r="H11" s="125">
        <v>1</v>
      </c>
      <c r="I11" s="125">
        <v>3</v>
      </c>
      <c r="J11" s="131">
        <f t="shared" si="1"/>
        <v>-1</v>
      </c>
      <c r="K11" s="131">
        <f t="shared" si="2"/>
        <v>-3</v>
      </c>
      <c r="L11" s="2"/>
    </row>
    <row r="12" spans="1:12">
      <c r="A12" s="138" t="s">
        <v>5</v>
      </c>
      <c r="B12" s="59" t="s">
        <v>47</v>
      </c>
      <c r="C12" s="123" t="s">
        <v>257</v>
      </c>
      <c r="D12" s="124"/>
      <c r="E12" s="59"/>
      <c r="F12" s="59"/>
      <c r="G12" s="46">
        <v>2</v>
      </c>
      <c r="H12" s="125">
        <v>1</v>
      </c>
      <c r="I12" s="125">
        <v>2</v>
      </c>
      <c r="J12" s="131">
        <f t="shared" si="1"/>
        <v>-1</v>
      </c>
      <c r="K12" s="131">
        <f t="shared" si="2"/>
        <v>-2</v>
      </c>
      <c r="L12" s="2"/>
    </row>
    <row r="13" spans="1:12">
      <c r="A13" s="59"/>
      <c r="B13" s="59"/>
      <c r="C13" s="59"/>
      <c r="D13" s="59"/>
      <c r="E13" s="59"/>
      <c r="F13" s="59"/>
      <c r="G13" s="59"/>
      <c r="H13" s="59"/>
      <c r="I13" s="59"/>
      <c r="J13" s="59"/>
      <c r="K13" s="59"/>
    </row>
    <row r="14" spans="1:12">
      <c r="A14" s="59"/>
      <c r="B14" s="59"/>
      <c r="F14" s="102">
        <f>SUM(F3:F12)</f>
        <v>-2.0499999999999998</v>
      </c>
      <c r="J14" s="102">
        <f t="shared" ref="J14:K14" si="3">SUM(J3:J12)</f>
        <v>-0.47000000000000064</v>
      </c>
      <c r="K14" s="102">
        <f t="shared" si="3"/>
        <v>-2.7999999999999972</v>
      </c>
    </row>
    <row r="15" spans="1:12">
      <c r="A15" s="59"/>
      <c r="B15" s="59"/>
      <c r="F15" s="101">
        <f>+F14/SUM(E3:E12)</f>
        <v>-0.24848484848484848</v>
      </c>
      <c r="J15" s="101">
        <f>+J14/SUM(H3:H12)</f>
        <v>-2.937500000000004E-2</v>
      </c>
      <c r="K15" s="101">
        <f>+K14/SUM(I3:I12)</f>
        <v>-4.3749999999999956E-2</v>
      </c>
    </row>
    <row r="16" spans="1:12">
      <c r="A16" s="59"/>
      <c r="B16" s="59"/>
      <c r="F16" s="101"/>
      <c r="J16" s="101"/>
      <c r="K16" s="101"/>
    </row>
    <row r="17" spans="1:12">
      <c r="A17" s="59"/>
      <c r="B17" s="59"/>
      <c r="F17" s="101"/>
      <c r="J17" s="101"/>
      <c r="K17" s="101"/>
    </row>
    <row r="18" spans="1:12">
      <c r="A18" s="59"/>
      <c r="B18" s="59"/>
      <c r="C18" s="17" t="s">
        <v>250</v>
      </c>
      <c r="D18" s="17" t="s">
        <v>294</v>
      </c>
      <c r="E18" s="18" t="s">
        <v>251</v>
      </c>
      <c r="F18" s="18" t="s">
        <v>293</v>
      </c>
      <c r="G18" s="18" t="s">
        <v>303</v>
      </c>
      <c r="H18" s="18" t="s">
        <v>304</v>
      </c>
      <c r="I18" s="18" t="s">
        <v>314</v>
      </c>
      <c r="J18" s="18"/>
      <c r="K18" s="18"/>
      <c r="L18" t="s">
        <v>305</v>
      </c>
    </row>
    <row r="19" spans="1:12">
      <c r="A19" s="138" t="s">
        <v>249</v>
      </c>
      <c r="B19" s="59" t="s">
        <v>259</v>
      </c>
      <c r="C19" s="140">
        <v>1</v>
      </c>
      <c r="D19" s="124">
        <v>2.1</v>
      </c>
      <c r="E19" s="59">
        <v>0.75</v>
      </c>
      <c r="F19" s="58">
        <f>+(D19-1)*E19</f>
        <v>0.82500000000000007</v>
      </c>
      <c r="G19" s="46">
        <v>2</v>
      </c>
      <c r="H19" s="125">
        <v>1</v>
      </c>
      <c r="I19" s="125">
        <v>2</v>
      </c>
      <c r="J19" s="131">
        <f t="shared" ref="J19:J22" si="4">-H19</f>
        <v>-1</v>
      </c>
      <c r="K19" s="131">
        <f t="shared" ref="K19:K22" si="5">-I19</f>
        <v>-2</v>
      </c>
      <c r="L19" s="2" t="s">
        <v>500</v>
      </c>
    </row>
    <row r="20" spans="1:12">
      <c r="A20" s="138" t="s">
        <v>252</v>
      </c>
      <c r="B20" s="59" t="s">
        <v>263</v>
      </c>
      <c r="C20" s="123">
        <v>2</v>
      </c>
      <c r="D20" s="124">
        <v>1.91</v>
      </c>
      <c r="E20" s="59">
        <v>2.25</v>
      </c>
      <c r="F20" s="59">
        <f>-E20</f>
        <v>-2.25</v>
      </c>
      <c r="G20" s="139">
        <v>2</v>
      </c>
      <c r="H20" s="117">
        <v>2</v>
      </c>
      <c r="I20" s="117">
        <v>8</v>
      </c>
      <c r="J20" s="126">
        <f t="shared" si="4"/>
        <v>-2</v>
      </c>
      <c r="K20" s="127">
        <f t="shared" si="5"/>
        <v>-8</v>
      </c>
      <c r="L20" s="2"/>
    </row>
    <row r="21" spans="1:12">
      <c r="A21" s="138" t="s">
        <v>276</v>
      </c>
      <c r="B21" s="59" t="s">
        <v>270</v>
      </c>
      <c r="C21" s="123" t="s">
        <v>272</v>
      </c>
      <c r="D21" s="124"/>
      <c r="E21" s="59"/>
      <c r="F21" s="59"/>
      <c r="G21" s="46">
        <v>2</v>
      </c>
      <c r="H21" s="125">
        <v>2</v>
      </c>
      <c r="I21" s="125">
        <v>7</v>
      </c>
      <c r="J21" s="131">
        <f t="shared" si="4"/>
        <v>-2</v>
      </c>
      <c r="K21" s="131">
        <f t="shared" si="5"/>
        <v>-7</v>
      </c>
      <c r="L21" s="2" t="s">
        <v>501</v>
      </c>
    </row>
    <row r="22" spans="1:12">
      <c r="A22" s="130" t="s">
        <v>258</v>
      </c>
      <c r="B22" s="130" t="s">
        <v>253</v>
      </c>
      <c r="C22" s="124" t="s">
        <v>256</v>
      </c>
      <c r="D22" s="124"/>
      <c r="E22" s="59"/>
      <c r="F22" s="59"/>
      <c r="G22" s="46">
        <v>2</v>
      </c>
      <c r="H22" s="125">
        <v>2</v>
      </c>
      <c r="I22" s="125">
        <v>6</v>
      </c>
      <c r="J22" s="131">
        <f t="shared" si="4"/>
        <v>-2</v>
      </c>
      <c r="K22" s="131">
        <f t="shared" si="5"/>
        <v>-6</v>
      </c>
      <c r="L22" s="2" t="s">
        <v>502</v>
      </c>
    </row>
    <row r="23" spans="1:12">
      <c r="A23" s="59" t="s">
        <v>273</v>
      </c>
      <c r="B23" s="138" t="s">
        <v>261</v>
      </c>
      <c r="C23" s="123" t="s">
        <v>257</v>
      </c>
      <c r="D23" s="124"/>
      <c r="E23" s="59"/>
      <c r="F23" s="59"/>
      <c r="G23" s="54">
        <v>2</v>
      </c>
      <c r="H23" s="125">
        <v>2</v>
      </c>
      <c r="I23" s="125">
        <v>9</v>
      </c>
      <c r="J23" s="131">
        <f>+(6-1)*H23</f>
        <v>10</v>
      </c>
      <c r="K23" s="131">
        <f>+(6-1)*I23</f>
        <v>45</v>
      </c>
      <c r="L23" s="2"/>
    </row>
    <row r="24" spans="1:12">
      <c r="A24" s="59" t="s">
        <v>262</v>
      </c>
      <c r="B24" s="138" t="s">
        <v>446</v>
      </c>
      <c r="C24" s="140">
        <v>2</v>
      </c>
      <c r="D24" s="124">
        <v>2.4</v>
      </c>
      <c r="E24" s="59">
        <v>1.25</v>
      </c>
      <c r="F24" s="58">
        <f>+(D24-1)*E24</f>
        <v>1.75</v>
      </c>
      <c r="G24" s="141">
        <v>2</v>
      </c>
      <c r="H24" s="117">
        <v>3</v>
      </c>
      <c r="I24" s="117">
        <v>11</v>
      </c>
      <c r="J24" s="126">
        <f>+(2.2-1)*H24</f>
        <v>3.6000000000000005</v>
      </c>
      <c r="K24" s="127">
        <f>+(2.2-1)*I24</f>
        <v>13.200000000000003</v>
      </c>
      <c r="L24" s="2"/>
    </row>
    <row r="25" spans="1:12">
      <c r="A25" s="130" t="s">
        <v>493</v>
      </c>
      <c r="B25" s="130" t="s">
        <v>271</v>
      </c>
      <c r="C25" s="140" t="s">
        <v>272</v>
      </c>
      <c r="D25" s="124"/>
      <c r="E25" s="59"/>
      <c r="F25" s="59"/>
      <c r="G25" s="46">
        <v>2</v>
      </c>
      <c r="H25" s="125">
        <v>1</v>
      </c>
      <c r="I25" s="125">
        <v>2</v>
      </c>
      <c r="J25" s="131">
        <f>-H25</f>
        <v>-1</v>
      </c>
      <c r="K25" s="131">
        <f>-I25</f>
        <v>-2</v>
      </c>
      <c r="L25" s="2" t="s">
        <v>503</v>
      </c>
    </row>
    <row r="26" spans="1:12">
      <c r="A26" s="138" t="s">
        <v>267</v>
      </c>
      <c r="B26" s="59" t="s">
        <v>277</v>
      </c>
      <c r="C26" s="123" t="s">
        <v>272</v>
      </c>
      <c r="D26" s="124"/>
      <c r="E26" s="59"/>
      <c r="F26" s="59"/>
      <c r="G26" s="54">
        <v>1</v>
      </c>
      <c r="H26" s="125">
        <v>1</v>
      </c>
      <c r="I26" s="125">
        <v>1</v>
      </c>
      <c r="J26" s="131">
        <f>+(2.1-1)*H26</f>
        <v>1.1000000000000001</v>
      </c>
      <c r="K26" s="131">
        <f>+(2.1-1)*I26</f>
        <v>1.1000000000000001</v>
      </c>
      <c r="L26" s="2" t="s">
        <v>496</v>
      </c>
    </row>
    <row r="27" spans="1:12">
      <c r="A27" s="138" t="s">
        <v>274</v>
      </c>
      <c r="B27" s="59" t="s">
        <v>268</v>
      </c>
      <c r="C27" s="140">
        <v>1</v>
      </c>
      <c r="D27" s="124">
        <v>1.55</v>
      </c>
      <c r="E27" s="59">
        <v>2.25</v>
      </c>
      <c r="F27" s="58">
        <f>+(D27-1)*E27</f>
        <v>1.2375</v>
      </c>
      <c r="G27" s="46">
        <v>2</v>
      </c>
      <c r="H27" s="125">
        <v>2</v>
      </c>
      <c r="I27" s="125">
        <v>8</v>
      </c>
      <c r="J27" s="131">
        <f t="shared" ref="J27:J28" si="6">-H27</f>
        <v>-2</v>
      </c>
      <c r="K27" s="131">
        <f t="shared" ref="K27:K28" si="7">-I27</f>
        <v>-8</v>
      </c>
      <c r="L27" s="2" t="s">
        <v>497</v>
      </c>
    </row>
    <row r="28" spans="1:12">
      <c r="A28" s="138" t="s">
        <v>248</v>
      </c>
      <c r="B28" s="59" t="s">
        <v>266</v>
      </c>
      <c r="C28" s="140">
        <v>1</v>
      </c>
      <c r="D28" s="124">
        <v>1.44</v>
      </c>
      <c r="E28" s="59">
        <v>1.75</v>
      </c>
      <c r="F28" s="58">
        <f>+(D28-1)*E28</f>
        <v>0.76999999999999991</v>
      </c>
      <c r="G28" s="46">
        <v>2</v>
      </c>
      <c r="H28" s="125">
        <v>1</v>
      </c>
      <c r="I28" s="125">
        <v>2</v>
      </c>
      <c r="J28" s="131">
        <f t="shared" si="6"/>
        <v>-1</v>
      </c>
      <c r="K28" s="131">
        <f t="shared" si="7"/>
        <v>-2</v>
      </c>
      <c r="L28" s="2" t="s">
        <v>499</v>
      </c>
    </row>
    <row r="29" spans="1:12">
      <c r="A29" s="138" t="s">
        <v>494</v>
      </c>
      <c r="B29" s="59" t="s">
        <v>495</v>
      </c>
      <c r="C29" s="123" t="s">
        <v>272</v>
      </c>
      <c r="D29" s="124"/>
      <c r="E29" s="59"/>
      <c r="F29" s="59"/>
      <c r="G29" s="54">
        <v>1</v>
      </c>
      <c r="H29" s="125">
        <v>1</v>
      </c>
      <c r="I29" s="125">
        <v>1</v>
      </c>
      <c r="J29" s="131">
        <f>+(1.91-1)*H29</f>
        <v>0.90999999999999992</v>
      </c>
      <c r="K29" s="131">
        <f>+(1.91-1)*I29</f>
        <v>0.90999999999999992</v>
      </c>
      <c r="L29" s="2"/>
    </row>
    <row r="30" spans="1:12">
      <c r="A30" s="82"/>
      <c r="B30" s="82"/>
      <c r="C30" s="2"/>
      <c r="D30" s="2"/>
      <c r="G30" s="2"/>
      <c r="H30" s="2"/>
      <c r="I30" s="2"/>
      <c r="J30" s="2"/>
      <c r="K30" s="2"/>
    </row>
    <row r="31" spans="1:12">
      <c r="A31" s="2"/>
      <c r="B31" s="86"/>
      <c r="C31" s="2"/>
      <c r="F31" s="107">
        <f>SUM(F19:F29)</f>
        <v>2.3325</v>
      </c>
      <c r="G31" s="17"/>
      <c r="H31" s="17"/>
      <c r="I31" s="17"/>
      <c r="J31" s="107">
        <f t="shared" ref="J31:K31" si="8">SUM(J19:J29)</f>
        <v>4.6100000000000012</v>
      </c>
      <c r="K31" s="107">
        <f t="shared" si="8"/>
        <v>25.210000000000004</v>
      </c>
    </row>
    <row r="32" spans="1:12">
      <c r="A32" s="2"/>
      <c r="B32" s="86"/>
      <c r="C32" s="2"/>
      <c r="F32" s="101">
        <f>+F31/SUM(E19:E29)</f>
        <v>0.28272727272727272</v>
      </c>
      <c r="G32" s="105"/>
      <c r="H32" s="105"/>
      <c r="I32" s="105"/>
      <c r="J32" s="101">
        <f>+J31/SUM(H19:H29)</f>
        <v>0.25611111111111118</v>
      </c>
      <c r="K32" s="101">
        <f>+K31/SUM(I19:I29)</f>
        <v>0.44228070175438605</v>
      </c>
    </row>
    <row r="33" spans="1:15">
      <c r="A33" s="2"/>
      <c r="B33" s="86"/>
      <c r="C33" s="2"/>
    </row>
    <row r="34" spans="1:15">
      <c r="A34" s="2"/>
      <c r="B34" s="86"/>
      <c r="C34" s="2"/>
    </row>
    <row r="35" spans="1:15">
      <c r="A35" s="2"/>
      <c r="B35" s="86"/>
      <c r="C35" s="2"/>
    </row>
    <row r="36" spans="1:15">
      <c r="A36" s="137" t="s">
        <v>574</v>
      </c>
      <c r="D36" t="s">
        <v>362</v>
      </c>
      <c r="E36" t="s">
        <v>363</v>
      </c>
      <c r="F36" t="s">
        <v>433</v>
      </c>
      <c r="L36" s="98" t="s">
        <v>429</v>
      </c>
      <c r="M36" s="98" t="s">
        <v>431</v>
      </c>
    </row>
    <row r="37" spans="1:15">
      <c r="A37" s="110" t="s">
        <v>392</v>
      </c>
      <c r="B37" s="137" t="s">
        <v>339</v>
      </c>
      <c r="C37" s="2" t="s">
        <v>327</v>
      </c>
      <c r="D37" s="103">
        <v>2</v>
      </c>
      <c r="E37" s="16">
        <v>1</v>
      </c>
      <c r="F37" s="103" t="s">
        <v>359</v>
      </c>
      <c r="G37" s="104"/>
      <c r="H37" s="104"/>
      <c r="I37" s="104"/>
      <c r="J37" s="104"/>
      <c r="K37" s="104"/>
      <c r="L37" s="103" t="s">
        <v>359</v>
      </c>
      <c r="M37" s="103" t="s">
        <v>359</v>
      </c>
      <c r="N37" s="137" t="s">
        <v>509</v>
      </c>
    </row>
    <row r="38" spans="1:15">
      <c r="A38" s="110" t="s">
        <v>393</v>
      </c>
      <c r="B38" s="137" t="s">
        <v>138</v>
      </c>
      <c r="C38" s="2" t="s">
        <v>487</v>
      </c>
      <c r="D38" s="16">
        <v>1</v>
      </c>
      <c r="E38" s="16">
        <v>1</v>
      </c>
      <c r="F38" s="16">
        <v>1</v>
      </c>
      <c r="G38" s="104"/>
      <c r="H38" s="104"/>
      <c r="I38" s="104"/>
      <c r="J38" s="104"/>
      <c r="K38" s="104"/>
      <c r="L38" s="16">
        <v>1</v>
      </c>
      <c r="M38" s="16">
        <v>1</v>
      </c>
    </row>
    <row r="39" spans="1:15">
      <c r="A39" s="110" t="s">
        <v>394</v>
      </c>
      <c r="B39" s="137" t="s">
        <v>340</v>
      </c>
      <c r="C39" s="2" t="s">
        <v>328</v>
      </c>
      <c r="D39" s="103" t="s">
        <v>342</v>
      </c>
      <c r="E39" s="103">
        <v>1</v>
      </c>
      <c r="F39" s="103" t="s">
        <v>356</v>
      </c>
      <c r="G39" s="104"/>
      <c r="H39" s="104"/>
      <c r="I39" s="104"/>
      <c r="J39" s="104"/>
      <c r="K39" s="104"/>
      <c r="L39" s="16" t="s">
        <v>357</v>
      </c>
      <c r="M39" s="16" t="s">
        <v>357</v>
      </c>
    </row>
    <row r="40" spans="1:15">
      <c r="A40" s="110" t="s">
        <v>395</v>
      </c>
      <c r="B40" s="137" t="s">
        <v>486</v>
      </c>
      <c r="C40" s="2" t="s">
        <v>329</v>
      </c>
      <c r="D40" s="103" t="s">
        <v>342</v>
      </c>
      <c r="E40" s="16">
        <v>1</v>
      </c>
      <c r="F40" s="16" t="s">
        <v>356</v>
      </c>
      <c r="G40" s="104"/>
      <c r="H40" s="104"/>
      <c r="I40" s="104"/>
      <c r="J40" s="104"/>
      <c r="K40" s="104"/>
      <c r="L40" s="16" t="s">
        <v>356</v>
      </c>
      <c r="M40" s="16" t="s">
        <v>356</v>
      </c>
    </row>
    <row r="41" spans="1:15">
      <c r="A41" s="110" t="s">
        <v>396</v>
      </c>
      <c r="B41" s="137" t="s">
        <v>137</v>
      </c>
      <c r="C41" s="2" t="s">
        <v>330</v>
      </c>
      <c r="D41" s="103">
        <v>1</v>
      </c>
      <c r="E41" s="103">
        <v>1</v>
      </c>
      <c r="F41" s="103">
        <v>1</v>
      </c>
      <c r="G41" s="104"/>
      <c r="H41" s="104"/>
      <c r="I41" s="104"/>
      <c r="J41" s="104"/>
      <c r="K41" s="104"/>
      <c r="L41" s="16" t="s">
        <v>356</v>
      </c>
      <c r="M41" s="16" t="s">
        <v>356</v>
      </c>
      <c r="O41" t="s">
        <v>435</v>
      </c>
    </row>
    <row r="42" spans="1:15">
      <c r="A42" s="110" t="s">
        <v>397</v>
      </c>
      <c r="B42" s="137" t="s">
        <v>343</v>
      </c>
      <c r="C42" s="2" t="s">
        <v>484</v>
      </c>
      <c r="D42" s="16">
        <v>2</v>
      </c>
      <c r="E42" s="16">
        <v>2</v>
      </c>
      <c r="F42" s="16">
        <v>2</v>
      </c>
      <c r="G42" s="104"/>
      <c r="H42" s="104"/>
      <c r="I42" s="104"/>
      <c r="J42" s="104"/>
      <c r="K42" s="104"/>
      <c r="L42" s="16">
        <v>2</v>
      </c>
      <c r="M42" s="16">
        <v>2</v>
      </c>
      <c r="O42" t="s">
        <v>436</v>
      </c>
    </row>
    <row r="43" spans="1:15">
      <c r="A43" s="110" t="s">
        <v>398</v>
      </c>
      <c r="B43" s="137" t="s">
        <v>464</v>
      </c>
      <c r="C43" s="2" t="s">
        <v>332</v>
      </c>
      <c r="D43" s="16">
        <v>1</v>
      </c>
      <c r="E43" s="16">
        <v>1</v>
      </c>
      <c r="F43" s="16">
        <v>1</v>
      </c>
      <c r="G43" s="104"/>
      <c r="H43" s="104"/>
      <c r="I43" s="104"/>
      <c r="J43" s="104"/>
      <c r="K43" s="104"/>
      <c r="L43" s="16">
        <v>1</v>
      </c>
      <c r="M43" s="16" t="s">
        <v>356</v>
      </c>
    </row>
    <row r="44" spans="1:15">
      <c r="A44" s="110" t="s">
        <v>399</v>
      </c>
      <c r="B44" s="137" t="s">
        <v>345</v>
      </c>
      <c r="C44" s="2" t="s">
        <v>333</v>
      </c>
      <c r="D44" s="16" t="s">
        <v>342</v>
      </c>
      <c r="E44" s="103">
        <v>1</v>
      </c>
      <c r="F44" s="16" t="s">
        <v>356</v>
      </c>
      <c r="G44" s="149"/>
      <c r="H44" s="104"/>
      <c r="I44" s="104"/>
      <c r="J44" s="104"/>
      <c r="K44" s="104"/>
      <c r="L44" s="16" t="s">
        <v>356</v>
      </c>
      <c r="M44" s="16" t="s">
        <v>357</v>
      </c>
    </row>
    <row r="45" spans="1:15">
      <c r="A45" s="110" t="s">
        <v>400</v>
      </c>
      <c r="B45" s="137" t="s">
        <v>346</v>
      </c>
      <c r="C45" s="2" t="s">
        <v>347</v>
      </c>
      <c r="D45" s="16">
        <v>2</v>
      </c>
      <c r="E45" s="103">
        <v>1</v>
      </c>
      <c r="F45" s="16" t="s">
        <v>359</v>
      </c>
      <c r="G45" s="104"/>
      <c r="H45" s="104"/>
      <c r="I45" s="104"/>
      <c r="J45" s="104"/>
      <c r="K45" s="104"/>
      <c r="L45" s="16" t="s">
        <v>359</v>
      </c>
      <c r="M45" s="16" t="s">
        <v>359</v>
      </c>
      <c r="N45" s="137" t="s">
        <v>509</v>
      </c>
    </row>
    <row r="46" spans="1:15">
      <c r="A46" s="110" t="s">
        <v>401</v>
      </c>
      <c r="B46" s="137" t="s">
        <v>462</v>
      </c>
      <c r="C46" s="2" t="s">
        <v>334</v>
      </c>
      <c r="D46" s="103">
        <v>2</v>
      </c>
      <c r="E46" s="103">
        <v>2</v>
      </c>
      <c r="F46" s="103">
        <v>2</v>
      </c>
      <c r="G46" s="104"/>
      <c r="H46" s="104"/>
      <c r="I46" s="104"/>
      <c r="J46" s="104"/>
      <c r="K46" s="104"/>
      <c r="L46" s="103">
        <v>2</v>
      </c>
      <c r="M46" s="103">
        <v>2</v>
      </c>
      <c r="N46" s="137" t="s">
        <v>488</v>
      </c>
    </row>
    <row r="47" spans="1:15">
      <c r="A47" s="110" t="s">
        <v>402</v>
      </c>
      <c r="B47" s="137" t="s">
        <v>351</v>
      </c>
      <c r="C47" s="2" t="s">
        <v>449</v>
      </c>
      <c r="D47" s="103" t="s">
        <v>342</v>
      </c>
      <c r="E47" s="103">
        <v>2</v>
      </c>
      <c r="F47" s="16" t="s">
        <v>357</v>
      </c>
      <c r="G47" s="104"/>
      <c r="H47" s="104"/>
      <c r="I47" s="104"/>
      <c r="J47" s="104"/>
      <c r="K47" s="104"/>
      <c r="L47" s="16" t="s">
        <v>357</v>
      </c>
      <c r="M47" s="16" t="s">
        <v>357</v>
      </c>
      <c r="N47" s="137" t="s">
        <v>498</v>
      </c>
    </row>
    <row r="48" spans="1:15">
      <c r="A48" s="110" t="s">
        <v>403</v>
      </c>
      <c r="B48" s="137" t="s">
        <v>440</v>
      </c>
      <c r="C48" s="2" t="s">
        <v>335</v>
      </c>
      <c r="D48" s="16">
        <v>1</v>
      </c>
      <c r="E48" s="103" t="s">
        <v>342</v>
      </c>
      <c r="F48" s="16">
        <v>1</v>
      </c>
      <c r="G48" s="104"/>
      <c r="H48" s="104"/>
      <c r="I48" s="104"/>
      <c r="J48" s="104"/>
      <c r="K48" s="104"/>
      <c r="L48" s="16">
        <v>1</v>
      </c>
      <c r="M48" s="16" t="s">
        <v>356</v>
      </c>
      <c r="N48" s="137" t="s">
        <v>490</v>
      </c>
    </row>
    <row r="49" spans="1:18">
      <c r="A49" s="110" t="s">
        <v>404</v>
      </c>
      <c r="B49" s="137" t="s">
        <v>485</v>
      </c>
      <c r="C49" s="2" t="s">
        <v>336</v>
      </c>
      <c r="D49" s="103" t="s">
        <v>342</v>
      </c>
      <c r="E49" s="103">
        <v>1</v>
      </c>
      <c r="F49" s="103" t="s">
        <v>356</v>
      </c>
      <c r="G49" s="104"/>
      <c r="H49" s="104"/>
      <c r="I49" s="104"/>
      <c r="J49" s="104"/>
      <c r="K49" s="104"/>
      <c r="L49" s="16" t="s">
        <v>357</v>
      </c>
      <c r="M49" s="16" t="s">
        <v>357</v>
      </c>
      <c r="N49" s="137" t="s">
        <v>491</v>
      </c>
    </row>
    <row r="50" spans="1:18">
      <c r="A50" s="110" t="s">
        <v>405</v>
      </c>
      <c r="B50" s="137" t="s">
        <v>338</v>
      </c>
      <c r="C50" s="2" t="s">
        <v>337</v>
      </c>
      <c r="D50" s="16">
        <v>1</v>
      </c>
      <c r="E50" s="16">
        <v>1</v>
      </c>
      <c r="F50" s="16" t="s">
        <v>357</v>
      </c>
      <c r="G50" s="104"/>
      <c r="H50" s="104"/>
      <c r="I50" s="104"/>
      <c r="J50" s="104"/>
      <c r="K50" s="104"/>
      <c r="L50" s="16" t="s">
        <v>357</v>
      </c>
      <c r="M50" s="16" t="s">
        <v>357</v>
      </c>
      <c r="N50" s="137" t="s">
        <v>492</v>
      </c>
    </row>
    <row r="51" spans="1:18">
      <c r="A51" s="110" t="s">
        <v>406</v>
      </c>
      <c r="B51" s="137" t="s">
        <v>348</v>
      </c>
      <c r="C51" s="2" t="s">
        <v>326</v>
      </c>
      <c r="D51" s="103">
        <v>1</v>
      </c>
      <c r="E51" s="103">
        <v>1</v>
      </c>
      <c r="F51" s="103">
        <v>1</v>
      </c>
      <c r="G51" s="104"/>
      <c r="H51" s="104"/>
      <c r="I51" s="104"/>
      <c r="J51" s="104"/>
      <c r="K51" s="104"/>
      <c r="L51" s="103">
        <v>1</v>
      </c>
      <c r="M51" s="103">
        <v>1</v>
      </c>
      <c r="N51" s="137" t="s">
        <v>508</v>
      </c>
    </row>
    <row r="52" spans="1:18">
      <c r="A52" s="110"/>
      <c r="F52" s="98"/>
      <c r="G52" s="98"/>
      <c r="H52" s="98"/>
      <c r="I52" s="98"/>
      <c r="J52" s="98"/>
      <c r="K52" s="98"/>
      <c r="L52" s="98"/>
      <c r="M52" s="98"/>
    </row>
    <row r="53" spans="1:18">
      <c r="F53" s="98" t="s">
        <v>522</v>
      </c>
      <c r="G53" s="98"/>
      <c r="H53" s="98"/>
      <c r="I53" s="98"/>
      <c r="J53" s="98"/>
      <c r="K53" s="98"/>
      <c r="L53" s="98" t="s">
        <v>523</v>
      </c>
      <c r="M53" s="98" t="s">
        <v>524</v>
      </c>
    </row>
    <row r="54" spans="1:18">
      <c r="D54" s="111">
        <v>0.5</v>
      </c>
      <c r="E54" s="111">
        <v>0.5</v>
      </c>
      <c r="F54" s="111">
        <v>288</v>
      </c>
      <c r="G54" s="98"/>
      <c r="H54" s="98"/>
      <c r="I54" s="98"/>
      <c r="J54" s="98"/>
      <c r="K54" s="98"/>
      <c r="L54" s="111">
        <v>1296</v>
      </c>
      <c r="M54" s="111">
        <v>7776</v>
      </c>
      <c r="N54" s="137" t="s">
        <v>525</v>
      </c>
    </row>
    <row r="55" spans="1:18">
      <c r="N55" s="137" t="s">
        <v>526</v>
      </c>
    </row>
    <row r="57" spans="1:18">
      <c r="D57" s="137" t="s">
        <v>527</v>
      </c>
      <c r="E57" s="137" t="s">
        <v>528</v>
      </c>
      <c r="N57" s="63"/>
      <c r="P57" s="135"/>
      <c r="Q57" s="135"/>
      <c r="R57" s="135"/>
    </row>
    <row r="58" spans="1:18">
      <c r="A58" s="110" t="s">
        <v>392</v>
      </c>
      <c r="B58" s="137" t="s">
        <v>339</v>
      </c>
      <c r="C58" s="2" t="s">
        <v>327</v>
      </c>
      <c r="D58" s="103" t="s">
        <v>342</v>
      </c>
      <c r="E58" s="16">
        <v>1</v>
      </c>
      <c r="F58" s="104"/>
      <c r="G58" s="104"/>
      <c r="H58" s="104"/>
      <c r="I58" s="104"/>
      <c r="J58" s="104"/>
      <c r="K58" s="104"/>
      <c r="L58" s="104"/>
      <c r="N58" s="136"/>
    </row>
    <row r="59" spans="1:18">
      <c r="A59" s="110" t="s">
        <v>393</v>
      </c>
      <c r="B59" s="137" t="s">
        <v>138</v>
      </c>
      <c r="C59" s="2" t="s">
        <v>487</v>
      </c>
      <c r="D59" s="16">
        <v>1</v>
      </c>
      <c r="E59" s="16">
        <v>1</v>
      </c>
      <c r="F59" s="104"/>
      <c r="G59" s="104"/>
      <c r="H59" s="104"/>
      <c r="I59" s="104"/>
      <c r="J59" s="104"/>
      <c r="K59" s="104"/>
      <c r="L59" s="104"/>
    </row>
    <row r="60" spans="1:18">
      <c r="A60" s="110" t="s">
        <v>394</v>
      </c>
      <c r="B60" s="137" t="s">
        <v>340</v>
      </c>
      <c r="C60" s="2" t="s">
        <v>328</v>
      </c>
      <c r="D60" s="103">
        <v>1</v>
      </c>
      <c r="E60" s="103">
        <v>1</v>
      </c>
      <c r="F60" s="104"/>
      <c r="G60" s="104"/>
      <c r="H60" s="104"/>
      <c r="I60" s="104"/>
      <c r="J60" s="104"/>
      <c r="K60" s="104"/>
      <c r="L60" s="104"/>
    </row>
    <row r="61" spans="1:18">
      <c r="A61" s="110" t="s">
        <v>395</v>
      </c>
      <c r="B61" s="137" t="s">
        <v>486</v>
      </c>
      <c r="C61" s="2" t="s">
        <v>329</v>
      </c>
      <c r="D61" s="103" t="s">
        <v>342</v>
      </c>
      <c r="E61" s="16">
        <v>1</v>
      </c>
      <c r="F61" s="104"/>
      <c r="G61" s="104"/>
      <c r="H61" s="104"/>
      <c r="I61" s="104"/>
      <c r="J61" s="104"/>
      <c r="K61" s="104"/>
      <c r="L61" s="104"/>
      <c r="P61" s="135"/>
      <c r="Q61" s="135"/>
      <c r="R61" s="135"/>
    </row>
    <row r="62" spans="1:18">
      <c r="A62" s="110" t="s">
        <v>396</v>
      </c>
      <c r="B62" s="137" t="s">
        <v>137</v>
      </c>
      <c r="C62" s="2" t="s">
        <v>330</v>
      </c>
      <c r="D62" s="103">
        <v>1</v>
      </c>
      <c r="E62" s="16" t="s">
        <v>342</v>
      </c>
      <c r="F62" s="104"/>
      <c r="G62" s="104"/>
      <c r="H62" s="104"/>
      <c r="I62" s="104"/>
      <c r="J62" s="104"/>
      <c r="K62" s="104"/>
      <c r="L62" s="104"/>
      <c r="P62" s="135"/>
      <c r="Q62" s="135"/>
      <c r="R62" s="135"/>
    </row>
    <row r="63" spans="1:18">
      <c r="A63" s="110" t="s">
        <v>397</v>
      </c>
      <c r="B63" s="137" t="s">
        <v>343</v>
      </c>
      <c r="C63" s="2" t="s">
        <v>484</v>
      </c>
      <c r="D63" s="16">
        <v>2</v>
      </c>
      <c r="E63" s="16">
        <v>2</v>
      </c>
      <c r="F63" s="104"/>
      <c r="G63" s="104"/>
      <c r="H63" s="104"/>
      <c r="I63" s="104"/>
      <c r="J63" s="104"/>
      <c r="K63" s="104"/>
      <c r="L63" s="104"/>
      <c r="P63" s="135"/>
      <c r="Q63" s="135"/>
    </row>
    <row r="64" spans="1:18">
      <c r="A64" s="110" t="s">
        <v>398</v>
      </c>
      <c r="B64" s="137" t="s">
        <v>464</v>
      </c>
      <c r="C64" s="2" t="s">
        <v>332</v>
      </c>
      <c r="D64" s="16">
        <v>1</v>
      </c>
      <c r="E64" s="103" t="s">
        <v>342</v>
      </c>
      <c r="F64" s="104"/>
      <c r="G64" s="104"/>
      <c r="H64" s="104"/>
      <c r="I64" s="104"/>
      <c r="J64" s="104"/>
      <c r="K64" s="104"/>
      <c r="L64" s="104"/>
    </row>
    <row r="65" spans="1:12">
      <c r="A65" s="110" t="s">
        <v>399</v>
      </c>
      <c r="B65" s="137" t="s">
        <v>345</v>
      </c>
      <c r="C65" s="2" t="s">
        <v>333</v>
      </c>
      <c r="D65" s="16" t="s">
        <v>342</v>
      </c>
      <c r="E65" s="103">
        <v>1</v>
      </c>
      <c r="F65" s="104"/>
      <c r="G65" s="149"/>
      <c r="H65" s="104"/>
      <c r="I65" s="104"/>
      <c r="J65" s="104"/>
      <c r="K65" s="104"/>
      <c r="L65" s="104"/>
    </row>
    <row r="66" spans="1:12">
      <c r="A66" s="110" t="s">
        <v>400</v>
      </c>
      <c r="B66" s="137" t="s">
        <v>346</v>
      </c>
      <c r="C66" s="2" t="s">
        <v>347</v>
      </c>
      <c r="D66" s="16">
        <v>2</v>
      </c>
      <c r="E66" s="103" t="s">
        <v>342</v>
      </c>
      <c r="F66" s="104"/>
      <c r="G66" s="104"/>
      <c r="H66" s="104"/>
      <c r="I66" s="104"/>
      <c r="J66" s="104"/>
      <c r="K66" s="104"/>
      <c r="L66" s="104"/>
    </row>
    <row r="67" spans="1:12">
      <c r="A67" s="110" t="s">
        <v>401</v>
      </c>
      <c r="B67" s="137" t="s">
        <v>462</v>
      </c>
      <c r="C67" s="2" t="s">
        <v>334</v>
      </c>
      <c r="D67" s="103">
        <v>2</v>
      </c>
      <c r="E67" s="103">
        <v>2</v>
      </c>
      <c r="F67" s="104"/>
      <c r="G67" s="104"/>
      <c r="H67" s="104"/>
      <c r="I67" s="104"/>
      <c r="J67" s="104"/>
      <c r="K67" s="104"/>
      <c r="L67" s="104"/>
    </row>
    <row r="68" spans="1:12">
      <c r="A68" s="110" t="s">
        <v>402</v>
      </c>
      <c r="B68" s="137" t="s">
        <v>351</v>
      </c>
      <c r="C68" s="2" t="s">
        <v>449</v>
      </c>
      <c r="D68" s="16">
        <v>1</v>
      </c>
      <c r="E68" s="103">
        <v>2</v>
      </c>
      <c r="F68" s="104"/>
      <c r="G68" s="104"/>
      <c r="H68" s="104"/>
      <c r="I68" s="104"/>
      <c r="J68" s="104"/>
      <c r="K68" s="104"/>
      <c r="L68" s="104"/>
    </row>
    <row r="69" spans="1:12">
      <c r="A69" s="110" t="s">
        <v>403</v>
      </c>
      <c r="B69" s="137" t="s">
        <v>440</v>
      </c>
      <c r="C69" s="2" t="s">
        <v>335</v>
      </c>
      <c r="D69" s="16">
        <v>1</v>
      </c>
      <c r="E69" s="16">
        <v>1</v>
      </c>
      <c r="F69" s="104"/>
      <c r="G69" s="104"/>
      <c r="H69" s="104"/>
      <c r="I69" s="104"/>
      <c r="J69" s="104"/>
      <c r="K69" s="104"/>
      <c r="L69" s="104"/>
    </row>
    <row r="70" spans="1:12">
      <c r="A70" s="110" t="s">
        <v>404</v>
      </c>
      <c r="B70" s="137" t="s">
        <v>485</v>
      </c>
      <c r="C70" s="2" t="s">
        <v>336</v>
      </c>
      <c r="D70" s="103" t="s">
        <v>342</v>
      </c>
      <c r="E70" s="103">
        <v>1</v>
      </c>
      <c r="F70" s="104"/>
      <c r="G70" s="104"/>
      <c r="H70" s="104"/>
      <c r="I70" s="104"/>
      <c r="J70" s="104"/>
      <c r="K70" s="104"/>
      <c r="L70" s="104"/>
    </row>
    <row r="71" spans="1:12">
      <c r="A71" s="110" t="s">
        <v>405</v>
      </c>
      <c r="B71" s="137" t="s">
        <v>338</v>
      </c>
      <c r="C71" s="2" t="s">
        <v>337</v>
      </c>
      <c r="D71" s="16">
        <v>1</v>
      </c>
      <c r="E71" s="103">
        <v>2</v>
      </c>
      <c r="F71" s="104"/>
      <c r="G71" s="104"/>
      <c r="H71" s="104"/>
      <c r="I71" s="104"/>
      <c r="J71" s="104"/>
      <c r="K71" s="104"/>
      <c r="L71" s="104"/>
    </row>
    <row r="72" spans="1:12">
      <c r="A72" s="110" t="s">
        <v>406</v>
      </c>
      <c r="B72" s="137" t="s">
        <v>348</v>
      </c>
      <c r="C72" s="2" t="s">
        <v>326</v>
      </c>
      <c r="D72" s="103">
        <v>1</v>
      </c>
      <c r="E72" s="103">
        <v>1</v>
      </c>
      <c r="F72" s="104"/>
      <c r="G72" s="104"/>
      <c r="H72" s="104"/>
      <c r="I72" s="104"/>
      <c r="J72" s="104"/>
      <c r="K72" s="104"/>
      <c r="L72" s="104"/>
    </row>
  </sheetData>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sheetPr codeName="Hoja17"/>
  <dimension ref="A1:N23"/>
  <sheetViews>
    <sheetView workbookViewId="0">
      <selection activeCell="F4" sqref="F4"/>
    </sheetView>
  </sheetViews>
  <sheetFormatPr baseColWidth="10" defaultRowHeight="15"/>
  <cols>
    <col min="1" max="1" width="4.28515625" customWidth="1"/>
    <col min="2" max="3" width="13.5703125" customWidth="1"/>
    <col min="4" max="4" width="14.7109375" bestFit="1" customWidth="1"/>
    <col min="5" max="7" width="7.85546875" customWidth="1"/>
  </cols>
  <sheetData>
    <row r="1" spans="1:8">
      <c r="A1" s="4" t="s">
        <v>12</v>
      </c>
      <c r="B1" s="4" t="s">
        <v>2</v>
      </c>
      <c r="C1" s="4" t="s">
        <v>26</v>
      </c>
      <c r="D1" s="4" t="s">
        <v>49</v>
      </c>
      <c r="E1" s="5">
        <v>1.5</v>
      </c>
      <c r="F1" s="9">
        <v>2.0499999999999998</v>
      </c>
      <c r="G1" s="10" t="s">
        <v>571</v>
      </c>
      <c r="H1" s="2" t="s">
        <v>558</v>
      </c>
    </row>
    <row r="2" spans="1:8">
      <c r="A2" s="12" t="s">
        <v>12</v>
      </c>
      <c r="B2" s="12" t="s">
        <v>47</v>
      </c>
      <c r="C2" s="12" t="s">
        <v>15</v>
      </c>
      <c r="D2" s="12" t="s">
        <v>49</v>
      </c>
      <c r="E2" s="13">
        <v>2.5</v>
      </c>
      <c r="F2" s="14">
        <f>((1.95-1)*0.95)+1</f>
        <v>1.9024999999999999</v>
      </c>
      <c r="G2" s="15" t="s">
        <v>37</v>
      </c>
      <c r="H2" s="2" t="s">
        <v>566</v>
      </c>
    </row>
    <row r="3" spans="1:8">
      <c r="A3" s="4" t="s">
        <v>12</v>
      </c>
      <c r="B3" s="4" t="s">
        <v>27</v>
      </c>
      <c r="C3" s="4" t="s">
        <v>5</v>
      </c>
      <c r="D3" s="4" t="s">
        <v>49</v>
      </c>
      <c r="E3" s="5">
        <v>1.25</v>
      </c>
      <c r="F3" s="9">
        <f>((2.42-1)*0.95)+1</f>
        <v>2.3490000000000002</v>
      </c>
      <c r="G3" s="10" t="s">
        <v>122</v>
      </c>
      <c r="H3" s="2" t="s">
        <v>564</v>
      </c>
    </row>
    <row r="4" spans="1:8" s="137" customFormat="1">
      <c r="A4" s="4" t="s">
        <v>12</v>
      </c>
      <c r="B4" s="4" t="s">
        <v>28</v>
      </c>
      <c r="C4" s="4" t="s">
        <v>134</v>
      </c>
      <c r="D4" s="4" t="s">
        <v>49</v>
      </c>
      <c r="E4" s="5">
        <v>1.75</v>
      </c>
      <c r="F4" s="9">
        <f>((3.2-1)*0.95)+1</f>
        <v>3.09</v>
      </c>
      <c r="G4" s="10" t="s">
        <v>36</v>
      </c>
      <c r="H4" s="2" t="s">
        <v>565</v>
      </c>
    </row>
    <row r="5" spans="1:8">
      <c r="A5" s="2"/>
      <c r="B5" s="2"/>
      <c r="C5" s="2"/>
      <c r="D5" s="2"/>
      <c r="E5" s="3"/>
      <c r="F5" s="86"/>
      <c r="G5" s="30"/>
      <c r="H5" s="2"/>
    </row>
    <row r="6" spans="1:8">
      <c r="A6" s="96" t="s">
        <v>242</v>
      </c>
      <c r="B6" s="2"/>
      <c r="C6" s="2"/>
      <c r="D6" s="2"/>
      <c r="E6" s="3"/>
      <c r="F6" s="86"/>
      <c r="G6" s="30"/>
      <c r="H6" s="2"/>
    </row>
    <row r="7" spans="1:8">
      <c r="A7" s="12" t="s">
        <v>12</v>
      </c>
      <c r="B7" s="12" t="s">
        <v>181</v>
      </c>
      <c r="C7" s="12" t="s">
        <v>3</v>
      </c>
      <c r="D7" s="12" t="s">
        <v>34</v>
      </c>
      <c r="E7" s="13">
        <v>0.5</v>
      </c>
      <c r="F7" s="14">
        <f>((4-1)*0.95)+1</f>
        <v>3.8499999999999996</v>
      </c>
      <c r="G7" s="15" t="s">
        <v>36</v>
      </c>
      <c r="H7" s="2" t="s">
        <v>560</v>
      </c>
    </row>
    <row r="11" spans="1:8">
      <c r="A11" s="76" t="s">
        <v>12</v>
      </c>
      <c r="B11" s="76" t="s">
        <v>16</v>
      </c>
      <c r="C11" s="76" t="s">
        <v>62</v>
      </c>
      <c r="D11" s="76" t="s">
        <v>49</v>
      </c>
      <c r="E11" s="32">
        <v>1</v>
      </c>
      <c r="F11" s="77" t="s">
        <v>559</v>
      </c>
      <c r="G11" s="78"/>
    </row>
    <row r="14" spans="1:8">
      <c r="A14" s="137" t="s">
        <v>561</v>
      </c>
    </row>
    <row r="15" spans="1:8" s="137" customFormat="1">
      <c r="A15" s="137" t="s">
        <v>563</v>
      </c>
    </row>
    <row r="16" spans="1:8" s="137" customFormat="1">
      <c r="A16" s="137" t="s">
        <v>562</v>
      </c>
    </row>
    <row r="18" spans="1:14">
      <c r="A18" s="4" t="s">
        <v>255</v>
      </c>
      <c r="C18" s="137" t="s">
        <v>552</v>
      </c>
    </row>
    <row r="19" spans="1:14">
      <c r="A19" s="4" t="s">
        <v>277</v>
      </c>
      <c r="C19" s="137" t="s">
        <v>553</v>
      </c>
    </row>
    <row r="20" spans="1:14">
      <c r="A20" s="4" t="s">
        <v>259</v>
      </c>
      <c r="C20" s="137" t="s">
        <v>554</v>
      </c>
    </row>
    <row r="21" spans="1:14">
      <c r="A21" s="12" t="s">
        <v>271</v>
      </c>
      <c r="C21" s="137" t="s">
        <v>555</v>
      </c>
    </row>
    <row r="23" spans="1:14">
      <c r="A23" s="219" t="s">
        <v>576</v>
      </c>
      <c r="B23" s="219"/>
      <c r="C23" s="219"/>
      <c r="D23" s="219"/>
      <c r="E23" s="219"/>
      <c r="F23" s="219"/>
      <c r="G23" s="219"/>
      <c r="H23" s="219"/>
      <c r="I23" s="219"/>
      <c r="J23" s="219"/>
      <c r="K23" s="219"/>
      <c r="L23" s="219"/>
      <c r="M23" s="219"/>
      <c r="N23" s="219"/>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sheetPr codeName="Hoja18"/>
  <dimension ref="A1:R75"/>
  <sheetViews>
    <sheetView topLeftCell="A7" zoomScaleNormal="100" workbookViewId="0">
      <selection activeCell="J12" sqref="J12:K12"/>
    </sheetView>
  </sheetViews>
  <sheetFormatPr baseColWidth="10" defaultRowHeight="15"/>
  <cols>
    <col min="1" max="3" width="11.42578125" style="137"/>
    <col min="4" max="6" width="11.5703125" style="137" customWidth="1"/>
    <col min="7" max="7" width="3.5703125" style="137" customWidth="1"/>
    <col min="8" max="8" width="3.28515625" style="137" customWidth="1"/>
    <col min="9" max="9" width="4.5703125" style="137" customWidth="1"/>
    <col min="10" max="11" width="7" style="137" customWidth="1"/>
    <col min="12" max="12" width="11.42578125" style="137" customWidth="1"/>
    <col min="13" max="16384" width="11.42578125" style="137"/>
  </cols>
  <sheetData>
    <row r="1" spans="1:12">
      <c r="A1" s="18" t="s">
        <v>247</v>
      </c>
      <c r="B1" s="18"/>
      <c r="C1" s="18"/>
      <c r="D1" s="18"/>
      <c r="E1" s="18"/>
      <c r="F1" s="18"/>
      <c r="G1" s="18" t="s">
        <v>302</v>
      </c>
      <c r="H1" s="18"/>
      <c r="I1" s="18"/>
      <c r="J1" s="18"/>
      <c r="K1" s="18"/>
      <c r="L1" s="137" t="s">
        <v>305</v>
      </c>
    </row>
    <row r="2" spans="1:12">
      <c r="C2" s="17" t="s">
        <v>250</v>
      </c>
      <c r="D2" s="17" t="s">
        <v>294</v>
      </c>
      <c r="E2" s="18" t="s">
        <v>251</v>
      </c>
      <c r="F2" s="18" t="s">
        <v>293</v>
      </c>
      <c r="G2" s="18" t="s">
        <v>303</v>
      </c>
      <c r="H2" s="18" t="s">
        <v>304</v>
      </c>
      <c r="I2" s="18" t="s">
        <v>314</v>
      </c>
      <c r="J2" s="18"/>
      <c r="K2" s="18"/>
      <c r="L2" s="137" t="s">
        <v>305</v>
      </c>
    </row>
    <row r="3" spans="1:12">
      <c r="A3" s="130" t="s">
        <v>16</v>
      </c>
      <c r="B3" s="130" t="s">
        <v>62</v>
      </c>
      <c r="C3" s="123">
        <v>1</v>
      </c>
      <c r="D3" s="124">
        <v>1.83</v>
      </c>
      <c r="E3" s="59">
        <v>1.75</v>
      </c>
      <c r="F3" s="59">
        <f>-E3</f>
        <v>-1.75</v>
      </c>
      <c r="G3" s="46">
        <v>1</v>
      </c>
      <c r="H3" s="125">
        <v>1</v>
      </c>
      <c r="I3" s="125">
        <v>4</v>
      </c>
      <c r="J3" s="131">
        <f t="shared" ref="J3" si="0">-H3</f>
        <v>-1</v>
      </c>
      <c r="K3" s="131">
        <f t="shared" ref="K3" si="1">-I3</f>
        <v>-4</v>
      </c>
      <c r="L3" s="59"/>
    </row>
    <row r="4" spans="1:12">
      <c r="A4" s="138" t="s">
        <v>181</v>
      </c>
      <c r="B4" s="59" t="s">
        <v>3</v>
      </c>
      <c r="C4" s="140">
        <v>1</v>
      </c>
      <c r="D4" s="124">
        <v>1.73</v>
      </c>
      <c r="E4" s="210">
        <v>1.5</v>
      </c>
      <c r="F4" s="58">
        <f>+(D4-1)*E4</f>
        <v>1.095</v>
      </c>
      <c r="G4" s="54">
        <v>1</v>
      </c>
      <c r="H4" s="125">
        <v>3</v>
      </c>
      <c r="I4" s="208">
        <v>13</v>
      </c>
      <c r="J4" s="131">
        <f>+(1.73-1)*H4</f>
        <v>2.19</v>
      </c>
      <c r="K4" s="131">
        <f>+(1.73-1)*I4</f>
        <v>9.49</v>
      </c>
      <c r="L4" s="59"/>
    </row>
    <row r="5" spans="1:12">
      <c r="A5" s="138" t="s">
        <v>2</v>
      </c>
      <c r="B5" s="59" t="s">
        <v>26</v>
      </c>
      <c r="C5" s="123" t="s">
        <v>272</v>
      </c>
      <c r="D5" s="124"/>
      <c r="E5" s="59"/>
      <c r="F5" s="59"/>
      <c r="G5" s="46">
        <v>2</v>
      </c>
      <c r="H5" s="125">
        <v>2</v>
      </c>
      <c r="I5" s="208">
        <v>9</v>
      </c>
      <c r="J5" s="131">
        <f t="shared" ref="J5" si="2">-H5</f>
        <v>-2</v>
      </c>
      <c r="K5" s="131">
        <f t="shared" ref="K5" si="3">-I5</f>
        <v>-9</v>
      </c>
      <c r="L5" s="59"/>
    </row>
    <row r="6" spans="1:12">
      <c r="A6" s="59" t="s">
        <v>1</v>
      </c>
      <c r="B6" s="138" t="s">
        <v>308</v>
      </c>
      <c r="C6" s="140">
        <v>2</v>
      </c>
      <c r="D6" s="124">
        <v>1.1399999999999999</v>
      </c>
      <c r="E6" s="59">
        <v>3</v>
      </c>
      <c r="F6" s="58">
        <f>+(D6-1)*E6</f>
        <v>0.41999999999999971</v>
      </c>
      <c r="G6" s="54">
        <v>2</v>
      </c>
      <c r="H6" s="125">
        <v>1</v>
      </c>
      <c r="I6" s="125">
        <v>4</v>
      </c>
      <c r="J6" s="131">
        <f>+(1.14-1)*H6</f>
        <v>0.1399999999999999</v>
      </c>
      <c r="K6" s="131">
        <f>+(1.14-1)*I6</f>
        <v>0.55999999999999961</v>
      </c>
      <c r="L6" s="59"/>
    </row>
    <row r="7" spans="1:12">
      <c r="A7" s="138" t="s">
        <v>0</v>
      </c>
      <c r="B7" s="59" t="s">
        <v>73</v>
      </c>
      <c r="C7" s="123" t="s">
        <v>272</v>
      </c>
      <c r="D7" s="124"/>
      <c r="E7" s="59"/>
      <c r="F7" s="59"/>
      <c r="G7" s="46">
        <v>2</v>
      </c>
      <c r="H7" s="125">
        <v>1</v>
      </c>
      <c r="I7" s="125">
        <v>2</v>
      </c>
      <c r="J7" s="131">
        <f t="shared" ref="J7:J11" si="4">-H7</f>
        <v>-1</v>
      </c>
      <c r="K7" s="131">
        <f t="shared" ref="K7:K11" si="5">-I7</f>
        <v>-2</v>
      </c>
      <c r="L7" s="59" t="s">
        <v>556</v>
      </c>
    </row>
    <row r="8" spans="1:12">
      <c r="A8" s="138" t="s">
        <v>28</v>
      </c>
      <c r="B8" s="59" t="s">
        <v>520</v>
      </c>
      <c r="C8" s="123">
        <v>2</v>
      </c>
      <c r="D8" s="124">
        <v>2.2999999999999998</v>
      </c>
      <c r="E8" s="59">
        <v>0.75</v>
      </c>
      <c r="F8" s="59">
        <f>-E8</f>
        <v>-0.75</v>
      </c>
      <c r="G8" s="46">
        <v>2</v>
      </c>
      <c r="H8" s="125">
        <v>2</v>
      </c>
      <c r="I8" s="125">
        <v>5</v>
      </c>
      <c r="J8" s="131">
        <f t="shared" si="4"/>
        <v>-2</v>
      </c>
      <c r="K8" s="131">
        <f t="shared" si="5"/>
        <v>-5</v>
      </c>
      <c r="L8" s="59" t="s">
        <v>557</v>
      </c>
    </row>
    <row r="9" spans="1:12">
      <c r="A9" s="130" t="s">
        <v>47</v>
      </c>
      <c r="B9" s="130" t="s">
        <v>15</v>
      </c>
      <c r="C9" s="140" t="s">
        <v>272</v>
      </c>
      <c r="D9" s="124"/>
      <c r="E9" s="59"/>
      <c r="F9" s="59"/>
      <c r="G9" s="46">
        <v>1</v>
      </c>
      <c r="H9" s="125">
        <v>1</v>
      </c>
      <c r="I9" s="125">
        <v>3</v>
      </c>
      <c r="J9" s="131">
        <f t="shared" si="4"/>
        <v>-1</v>
      </c>
      <c r="K9" s="131">
        <f t="shared" si="5"/>
        <v>-3</v>
      </c>
      <c r="L9" s="59"/>
    </row>
    <row r="10" spans="1:12">
      <c r="A10" s="138" t="s">
        <v>27</v>
      </c>
      <c r="B10" s="59" t="s">
        <v>5</v>
      </c>
      <c r="C10" s="123">
        <v>2</v>
      </c>
      <c r="D10" s="124">
        <v>3.25</v>
      </c>
      <c r="E10" s="210">
        <v>1.25</v>
      </c>
      <c r="F10" s="59">
        <f>-E10</f>
        <v>-1.25</v>
      </c>
      <c r="G10" s="46">
        <v>2</v>
      </c>
      <c r="H10" s="125">
        <v>3</v>
      </c>
      <c r="I10" s="208">
        <v>13</v>
      </c>
      <c r="J10" s="131">
        <f t="shared" si="4"/>
        <v>-3</v>
      </c>
      <c r="K10" s="131">
        <f t="shared" si="5"/>
        <v>-13</v>
      </c>
      <c r="L10" s="59"/>
    </row>
    <row r="11" spans="1:12">
      <c r="A11" s="130" t="s">
        <v>546</v>
      </c>
      <c r="B11" s="130" t="s">
        <v>4</v>
      </c>
      <c r="C11" s="123">
        <v>1</v>
      </c>
      <c r="D11" s="124">
        <v>1.2</v>
      </c>
      <c r="E11" s="59">
        <v>3</v>
      </c>
      <c r="F11" s="59">
        <f>-E11</f>
        <v>-3</v>
      </c>
      <c r="G11" s="46">
        <v>1</v>
      </c>
      <c r="H11" s="125">
        <v>3</v>
      </c>
      <c r="I11" s="208">
        <v>13</v>
      </c>
      <c r="J11" s="131">
        <f t="shared" si="4"/>
        <v>-3</v>
      </c>
      <c r="K11" s="131">
        <f t="shared" si="5"/>
        <v>-13</v>
      </c>
      <c r="L11" s="59"/>
    </row>
    <row r="12" spans="1:12">
      <c r="A12" s="138" t="s">
        <v>504</v>
      </c>
      <c r="B12" s="59" t="s">
        <v>10</v>
      </c>
      <c r="C12" s="140">
        <v>1</v>
      </c>
      <c r="D12" s="124">
        <v>1.4</v>
      </c>
      <c r="E12" s="59">
        <v>2.5</v>
      </c>
      <c r="F12" s="58">
        <f>+(D12-1)*E12</f>
        <v>0.99999999999999978</v>
      </c>
      <c r="G12" s="54">
        <v>1</v>
      </c>
      <c r="H12" s="125">
        <v>3</v>
      </c>
      <c r="I12" s="208">
        <v>16</v>
      </c>
      <c r="J12" s="131">
        <f>+(1.4-1)*H12</f>
        <v>1.1999999999999997</v>
      </c>
      <c r="K12" s="131">
        <f>+(1.4-1)*I12</f>
        <v>6.3999999999999986</v>
      </c>
      <c r="L12" s="59"/>
    </row>
    <row r="13" spans="1:12">
      <c r="A13" s="207"/>
      <c r="B13" s="207"/>
      <c r="C13" s="59"/>
      <c r="D13" s="59"/>
      <c r="E13" s="59"/>
      <c r="F13" s="59"/>
      <c r="G13" s="59"/>
      <c r="H13" s="59"/>
      <c r="I13" s="59"/>
      <c r="J13" s="59"/>
      <c r="K13" s="59"/>
    </row>
    <row r="14" spans="1:12">
      <c r="A14" s="207"/>
      <c r="B14" s="207"/>
      <c r="F14" s="102">
        <f>SUM(F3:F12)</f>
        <v>-4.2350000000000003</v>
      </c>
      <c r="J14" s="102">
        <f t="shared" ref="J14:K14" si="6">SUM(J3:J12)</f>
        <v>-9.4700000000000006</v>
      </c>
      <c r="K14" s="102">
        <f t="shared" si="6"/>
        <v>-32.550000000000004</v>
      </c>
    </row>
    <row r="15" spans="1:12">
      <c r="A15" s="207"/>
      <c r="B15" s="207"/>
      <c r="F15" s="101">
        <f>+F14/SUM(E3:E12)</f>
        <v>-0.308</v>
      </c>
      <c r="J15" s="101">
        <f>+J14/SUM(H3:H12)</f>
        <v>-0.47350000000000003</v>
      </c>
      <c r="K15" s="101">
        <f>+K14/SUM(I3:I12)</f>
        <v>-0.3969512195121952</v>
      </c>
    </row>
    <row r="16" spans="1:12">
      <c r="A16" s="59"/>
      <c r="B16" s="59"/>
      <c r="F16" s="101"/>
      <c r="J16" s="101"/>
      <c r="K16" s="101"/>
    </row>
    <row r="17" spans="1:12">
      <c r="A17" s="59"/>
      <c r="B17" s="59"/>
      <c r="F17" s="101"/>
      <c r="J17" s="101"/>
      <c r="K17" s="101"/>
    </row>
    <row r="18" spans="1:12">
      <c r="A18" s="59"/>
      <c r="B18" s="59"/>
      <c r="C18" s="17" t="s">
        <v>250</v>
      </c>
      <c r="D18" s="17" t="s">
        <v>294</v>
      </c>
      <c r="E18" s="18" t="s">
        <v>251</v>
      </c>
      <c r="F18" s="18" t="s">
        <v>293</v>
      </c>
      <c r="G18" s="18" t="s">
        <v>303</v>
      </c>
      <c r="H18" s="18" t="s">
        <v>304</v>
      </c>
      <c r="I18" s="18" t="s">
        <v>314</v>
      </c>
      <c r="J18" s="18"/>
      <c r="K18" s="18"/>
      <c r="L18" s="137" t="s">
        <v>305</v>
      </c>
    </row>
    <row r="19" spans="1:12">
      <c r="A19" s="138" t="s">
        <v>495</v>
      </c>
      <c r="B19" s="59" t="s">
        <v>252</v>
      </c>
      <c r="C19" s="212">
        <v>1</v>
      </c>
      <c r="D19" s="124">
        <v>1.6</v>
      </c>
      <c r="E19" s="59">
        <v>1.5</v>
      </c>
      <c r="F19" s="58">
        <f>+(D19-1)*E19</f>
        <v>0.90000000000000013</v>
      </c>
      <c r="G19" s="46">
        <v>2</v>
      </c>
      <c r="H19" s="125">
        <v>1</v>
      </c>
      <c r="I19" s="125">
        <v>1</v>
      </c>
      <c r="J19" s="131">
        <f t="shared" ref="J19:K19" si="7">-H19</f>
        <v>-1</v>
      </c>
      <c r="K19" s="131">
        <f t="shared" si="7"/>
        <v>-1</v>
      </c>
      <c r="L19" s="59"/>
    </row>
    <row r="20" spans="1:12">
      <c r="A20" s="59" t="s">
        <v>253</v>
      </c>
      <c r="B20" s="138" t="s">
        <v>274</v>
      </c>
      <c r="C20" s="216" t="s">
        <v>272</v>
      </c>
      <c r="D20" s="124"/>
      <c r="E20" s="59"/>
      <c r="F20" s="59"/>
      <c r="G20" s="54">
        <v>2</v>
      </c>
      <c r="H20" s="125">
        <v>2</v>
      </c>
      <c r="I20" s="208">
        <v>9</v>
      </c>
      <c r="J20" s="131">
        <f>+(2.3-1)*H20</f>
        <v>2.5999999999999996</v>
      </c>
      <c r="K20" s="131">
        <f>+(2.3-1)*I20</f>
        <v>11.7</v>
      </c>
      <c r="L20" s="59" t="s">
        <v>539</v>
      </c>
    </row>
    <row r="21" spans="1:12">
      <c r="A21" s="138" t="s">
        <v>446</v>
      </c>
      <c r="B21" s="59" t="s">
        <v>276</v>
      </c>
      <c r="C21" s="140">
        <v>1</v>
      </c>
      <c r="D21" s="124">
        <v>1.5</v>
      </c>
      <c r="E21" s="210">
        <v>1.75</v>
      </c>
      <c r="F21" s="58">
        <f>+(D21-1)*E21</f>
        <v>0.875</v>
      </c>
      <c r="G21" s="54">
        <v>1</v>
      </c>
      <c r="H21" s="125">
        <v>2</v>
      </c>
      <c r="I21" s="125">
        <v>7</v>
      </c>
      <c r="J21" s="131">
        <f>+(1.5-1)*H21</f>
        <v>1</v>
      </c>
      <c r="K21" s="131">
        <f>+(1.5-1)*I21</f>
        <v>3.5</v>
      </c>
      <c r="L21" s="59"/>
    </row>
    <row r="22" spans="1:12">
      <c r="A22" s="221" t="s">
        <v>277</v>
      </c>
      <c r="B22" s="221" t="s">
        <v>248</v>
      </c>
      <c r="C22" s="222">
        <v>2</v>
      </c>
      <c r="D22" s="222">
        <v>2</v>
      </c>
      <c r="E22" s="223">
        <v>3</v>
      </c>
      <c r="F22" s="221"/>
      <c r="G22" s="221">
        <v>2</v>
      </c>
      <c r="H22" s="224">
        <v>3</v>
      </c>
      <c r="I22" s="225">
        <v>18</v>
      </c>
      <c r="J22" s="226"/>
      <c r="K22" s="226"/>
      <c r="L22" s="59"/>
    </row>
    <row r="23" spans="1:12">
      <c r="A23" s="138" t="s">
        <v>261</v>
      </c>
      <c r="B23" s="59" t="s">
        <v>445</v>
      </c>
      <c r="C23" s="217">
        <v>2</v>
      </c>
      <c r="D23" s="124">
        <v>2</v>
      </c>
      <c r="E23" s="59">
        <v>1</v>
      </c>
      <c r="F23" s="59">
        <f>-E23</f>
        <v>-1</v>
      </c>
      <c r="G23" s="54">
        <v>1</v>
      </c>
      <c r="H23" s="125">
        <v>2</v>
      </c>
      <c r="I23" s="125">
        <v>6</v>
      </c>
      <c r="J23" s="131">
        <f>+(3-1)*H23</f>
        <v>4</v>
      </c>
      <c r="K23" s="131">
        <f>+(3-1)*I23</f>
        <v>12</v>
      </c>
      <c r="L23" s="59" t="s">
        <v>540</v>
      </c>
    </row>
    <row r="24" spans="1:12">
      <c r="A24" s="138" t="s">
        <v>259</v>
      </c>
      <c r="B24" s="59" t="s">
        <v>262</v>
      </c>
      <c r="C24" s="216" t="s">
        <v>272</v>
      </c>
      <c r="D24" s="124"/>
      <c r="E24" s="59"/>
      <c r="F24" s="59"/>
      <c r="G24" s="46">
        <v>2</v>
      </c>
      <c r="H24" s="125">
        <v>1</v>
      </c>
      <c r="I24" s="125">
        <v>1</v>
      </c>
      <c r="J24" s="131">
        <f t="shared" ref="J24:K25" si="8">-H24</f>
        <v>-1</v>
      </c>
      <c r="K24" s="131">
        <f t="shared" si="8"/>
        <v>-1</v>
      </c>
      <c r="L24" s="59" t="s">
        <v>541</v>
      </c>
    </row>
    <row r="25" spans="1:12">
      <c r="A25" s="138" t="s">
        <v>270</v>
      </c>
      <c r="B25" s="59" t="s">
        <v>493</v>
      </c>
      <c r="C25" s="123">
        <v>2</v>
      </c>
      <c r="D25" s="124">
        <v>3.75</v>
      </c>
      <c r="E25" s="59">
        <v>1.5</v>
      </c>
      <c r="F25" s="59">
        <f>-E25</f>
        <v>-1.5</v>
      </c>
      <c r="G25" s="46">
        <v>2</v>
      </c>
      <c r="H25" s="125">
        <v>3</v>
      </c>
      <c r="I25" s="208">
        <v>11</v>
      </c>
      <c r="J25" s="131">
        <f t="shared" si="8"/>
        <v>-3</v>
      </c>
      <c r="K25" s="131">
        <f t="shared" si="8"/>
        <v>-11</v>
      </c>
      <c r="L25" s="59"/>
    </row>
    <row r="26" spans="1:12">
      <c r="A26" s="138" t="s">
        <v>266</v>
      </c>
      <c r="B26" s="59" t="s">
        <v>273</v>
      </c>
      <c r="C26" s="216" t="s">
        <v>257</v>
      </c>
      <c r="D26" s="124"/>
      <c r="E26" s="59"/>
      <c r="F26" s="59"/>
      <c r="G26" s="54">
        <v>1</v>
      </c>
      <c r="H26" s="125">
        <v>2</v>
      </c>
      <c r="I26" s="125">
        <v>6</v>
      </c>
      <c r="J26" s="131">
        <f>+(3.2-1)*H26</f>
        <v>4.4000000000000004</v>
      </c>
      <c r="K26" s="131">
        <f>+(3.2-1)*I26</f>
        <v>13.200000000000001</v>
      </c>
      <c r="L26" s="59"/>
    </row>
    <row r="27" spans="1:12">
      <c r="A27" s="130" t="s">
        <v>268</v>
      </c>
      <c r="B27" s="130" t="s">
        <v>249</v>
      </c>
      <c r="C27" s="123">
        <v>1</v>
      </c>
      <c r="D27" s="124">
        <v>2.2000000000000002</v>
      </c>
      <c r="E27" s="59">
        <v>1.5</v>
      </c>
      <c r="F27" s="59">
        <f>-E27</f>
        <v>-1.5</v>
      </c>
      <c r="G27" s="46">
        <v>1</v>
      </c>
      <c r="H27" s="125">
        <v>1</v>
      </c>
      <c r="I27" s="125">
        <v>4</v>
      </c>
      <c r="J27" s="131">
        <f t="shared" ref="J27:K27" si="9">-H27</f>
        <v>-1</v>
      </c>
      <c r="K27" s="131">
        <f t="shared" si="9"/>
        <v>-4</v>
      </c>
      <c r="L27" s="59" t="s">
        <v>542</v>
      </c>
    </row>
    <row r="28" spans="1:12">
      <c r="A28" s="138" t="s">
        <v>263</v>
      </c>
      <c r="B28" s="59" t="s">
        <v>267</v>
      </c>
      <c r="C28" s="140">
        <v>1</v>
      </c>
      <c r="D28" s="124">
        <v>1.36</v>
      </c>
      <c r="E28" s="210">
        <v>2.5</v>
      </c>
      <c r="F28" s="58">
        <f>+(D28-1)*E28</f>
        <v>0.90000000000000024</v>
      </c>
      <c r="G28" s="54">
        <v>1</v>
      </c>
      <c r="H28" s="125">
        <v>3</v>
      </c>
      <c r="I28" s="209">
        <v>19</v>
      </c>
      <c r="J28" s="131">
        <f>+(1.36-1)*H28</f>
        <v>1.0800000000000003</v>
      </c>
      <c r="K28" s="131">
        <f>+(1.36-1)*I28</f>
        <v>6.8400000000000016</v>
      </c>
      <c r="L28" s="59" t="s">
        <v>544</v>
      </c>
    </row>
    <row r="29" spans="1:12">
      <c r="A29" s="138" t="s">
        <v>271</v>
      </c>
      <c r="B29" s="207" t="s">
        <v>494</v>
      </c>
      <c r="C29" s="216" t="s">
        <v>272</v>
      </c>
      <c r="D29" s="124"/>
      <c r="E29" s="59"/>
      <c r="F29" s="59"/>
      <c r="G29" s="46">
        <v>2</v>
      </c>
      <c r="H29" s="125">
        <v>2</v>
      </c>
      <c r="I29" s="125">
        <v>6</v>
      </c>
      <c r="J29" s="131">
        <f t="shared" ref="J29:K29" si="10">-H29</f>
        <v>-2</v>
      </c>
      <c r="K29" s="131">
        <f t="shared" si="10"/>
        <v>-6</v>
      </c>
      <c r="L29" s="59" t="s">
        <v>543</v>
      </c>
    </row>
    <row r="30" spans="1:12">
      <c r="A30" s="82"/>
      <c r="B30" s="82"/>
      <c r="C30" s="2"/>
      <c r="D30" s="2"/>
      <c r="G30" s="2"/>
      <c r="H30" s="2"/>
      <c r="I30" s="2"/>
      <c r="J30" s="2"/>
      <c r="K30" s="2"/>
    </row>
    <row r="31" spans="1:12">
      <c r="A31" s="75"/>
      <c r="B31" s="80"/>
      <c r="C31" s="2"/>
      <c r="F31" s="107">
        <f>SUM(F19:F29)</f>
        <v>-1.3249999999999993</v>
      </c>
      <c r="G31" s="17"/>
      <c r="H31" s="17"/>
      <c r="I31" s="17"/>
      <c r="J31" s="107">
        <f t="shared" ref="J31:K31" si="11">SUM(J19:J29)</f>
        <v>5.08</v>
      </c>
      <c r="K31" s="107">
        <f t="shared" si="11"/>
        <v>24.240000000000002</v>
      </c>
    </row>
    <row r="32" spans="1:12">
      <c r="A32" s="2"/>
      <c r="B32" s="86"/>
      <c r="C32" s="2"/>
      <c r="F32" s="101">
        <f>+F31/SUM(E19:E29)</f>
        <v>-0.10392156862745093</v>
      </c>
      <c r="G32" s="105"/>
      <c r="H32" s="105"/>
      <c r="I32" s="105"/>
      <c r="J32" s="101">
        <f>+J31/(SUM(H19:H29)-3)</f>
        <v>0.26736842105263159</v>
      </c>
      <c r="K32" s="101">
        <f>+K31/(SUM(I19:I29)-18)</f>
        <v>0.34628571428571431</v>
      </c>
    </row>
    <row r="33" spans="1:14">
      <c r="A33" s="2"/>
      <c r="B33" s="86"/>
      <c r="C33" s="2"/>
    </row>
    <row r="34" spans="1:14">
      <c r="A34" s="2"/>
      <c r="B34" s="86"/>
      <c r="C34" s="2"/>
    </row>
    <row r="35" spans="1:14">
      <c r="A35" s="2"/>
      <c r="B35" s="86"/>
      <c r="C35" s="2"/>
    </row>
    <row r="36" spans="1:14">
      <c r="A36" s="137" t="s">
        <v>575</v>
      </c>
      <c r="D36" s="137" t="s">
        <v>362</v>
      </c>
      <c r="E36" s="137" t="s">
        <v>363</v>
      </c>
      <c r="F36" s="137" t="s">
        <v>433</v>
      </c>
      <c r="L36" s="98" t="s">
        <v>429</v>
      </c>
      <c r="M36" s="98" t="s">
        <v>431</v>
      </c>
    </row>
    <row r="37" spans="1:14">
      <c r="A37" s="110" t="s">
        <v>392</v>
      </c>
      <c r="B37" s="2" t="s">
        <v>47</v>
      </c>
      <c r="C37" s="2" t="s">
        <v>15</v>
      </c>
      <c r="D37" s="103">
        <v>1</v>
      </c>
      <c r="E37" s="103">
        <v>1</v>
      </c>
      <c r="F37" s="103">
        <v>1</v>
      </c>
      <c r="G37" s="104"/>
      <c r="H37" s="104"/>
      <c r="I37" s="104"/>
      <c r="J37" s="104"/>
      <c r="K37" s="104"/>
      <c r="L37" s="103">
        <v>1</v>
      </c>
      <c r="M37" s="103">
        <v>1</v>
      </c>
      <c r="N37" s="2"/>
    </row>
    <row r="38" spans="1:14">
      <c r="A38" s="110" t="s">
        <v>393</v>
      </c>
      <c r="B38" s="2" t="s">
        <v>1</v>
      </c>
      <c r="C38" s="2" t="s">
        <v>308</v>
      </c>
      <c r="D38" s="16">
        <v>2</v>
      </c>
      <c r="E38" s="16">
        <v>2</v>
      </c>
      <c r="F38" s="16">
        <v>2</v>
      </c>
      <c r="G38" s="104"/>
      <c r="H38" s="104"/>
      <c r="I38" s="104"/>
      <c r="J38" s="104"/>
      <c r="K38" s="104"/>
      <c r="L38" s="16">
        <v>2</v>
      </c>
      <c r="M38" s="16">
        <v>2</v>
      </c>
      <c r="N38" s="2"/>
    </row>
    <row r="39" spans="1:14">
      <c r="A39" s="110" t="s">
        <v>394</v>
      </c>
      <c r="B39" s="2" t="s">
        <v>181</v>
      </c>
      <c r="C39" s="2" t="s">
        <v>3</v>
      </c>
      <c r="D39" s="103" t="s">
        <v>342</v>
      </c>
      <c r="E39" s="16">
        <v>1</v>
      </c>
      <c r="F39" s="16" t="s">
        <v>356</v>
      </c>
      <c r="H39" s="104"/>
      <c r="I39" s="104"/>
      <c r="J39" s="104"/>
      <c r="K39" s="104"/>
      <c r="L39" s="16" t="s">
        <v>356</v>
      </c>
      <c r="M39" s="16" t="s">
        <v>356</v>
      </c>
      <c r="N39" s="2"/>
    </row>
    <row r="40" spans="1:14">
      <c r="A40" s="110" t="s">
        <v>395</v>
      </c>
      <c r="B40" s="2" t="s">
        <v>28</v>
      </c>
      <c r="C40" s="2" t="s">
        <v>520</v>
      </c>
      <c r="D40" s="16">
        <v>1</v>
      </c>
      <c r="E40" s="103" t="s">
        <v>342</v>
      </c>
      <c r="F40" s="16" t="s">
        <v>356</v>
      </c>
      <c r="H40" s="104"/>
      <c r="I40" s="104"/>
      <c r="J40" s="104"/>
      <c r="K40" s="104"/>
      <c r="L40" s="16" t="s">
        <v>357</v>
      </c>
      <c r="M40" s="16" t="s">
        <v>357</v>
      </c>
      <c r="N40" s="2"/>
    </row>
    <row r="41" spans="1:14">
      <c r="A41" s="110" t="s">
        <v>396</v>
      </c>
      <c r="B41" s="2" t="s">
        <v>546</v>
      </c>
      <c r="C41" s="2" t="s">
        <v>4</v>
      </c>
      <c r="D41" s="16" t="s">
        <v>342</v>
      </c>
      <c r="E41" s="103">
        <v>1</v>
      </c>
      <c r="F41" s="16" t="s">
        <v>356</v>
      </c>
      <c r="H41" s="104"/>
      <c r="I41" s="104"/>
      <c r="J41" s="104"/>
      <c r="K41" s="104"/>
      <c r="L41" s="103">
        <v>1</v>
      </c>
      <c r="M41" s="16" t="s">
        <v>357</v>
      </c>
      <c r="N41" s="2"/>
    </row>
    <row r="42" spans="1:14">
      <c r="A42" s="110" t="s">
        <v>397</v>
      </c>
      <c r="B42" s="2" t="s">
        <v>2</v>
      </c>
      <c r="C42" s="2" t="s">
        <v>26</v>
      </c>
      <c r="D42" s="16">
        <v>1</v>
      </c>
      <c r="E42" s="16">
        <v>1</v>
      </c>
      <c r="F42" s="16">
        <v>1</v>
      </c>
      <c r="H42" s="104"/>
      <c r="I42" s="104"/>
      <c r="J42" s="104"/>
      <c r="K42" s="104"/>
      <c r="L42" s="16" t="s">
        <v>357</v>
      </c>
      <c r="M42" s="16" t="s">
        <v>357</v>
      </c>
      <c r="N42" s="2"/>
    </row>
    <row r="43" spans="1:14">
      <c r="A43" s="110" t="s">
        <v>398</v>
      </c>
      <c r="B43" s="2" t="s">
        <v>16</v>
      </c>
      <c r="C43" s="2" t="s">
        <v>62</v>
      </c>
      <c r="D43" s="103">
        <v>1</v>
      </c>
      <c r="E43" s="103">
        <v>1</v>
      </c>
      <c r="F43" s="16" t="s">
        <v>356</v>
      </c>
      <c r="H43" s="104"/>
      <c r="I43" s="104"/>
      <c r="J43" s="104"/>
      <c r="K43" s="104"/>
      <c r="L43" s="16" t="s">
        <v>356</v>
      </c>
      <c r="M43" s="16" t="s">
        <v>356</v>
      </c>
      <c r="N43" s="2"/>
    </row>
    <row r="44" spans="1:14">
      <c r="A44" s="110" t="s">
        <v>399</v>
      </c>
      <c r="B44" s="2" t="s">
        <v>0</v>
      </c>
      <c r="C44" s="2" t="s">
        <v>73</v>
      </c>
      <c r="D44" s="103" t="s">
        <v>342</v>
      </c>
      <c r="E44" s="103" t="s">
        <v>342</v>
      </c>
      <c r="F44" s="16" t="s">
        <v>357</v>
      </c>
      <c r="H44" s="104"/>
      <c r="I44" s="104"/>
      <c r="J44" s="104"/>
      <c r="K44" s="104"/>
      <c r="L44" s="16" t="s">
        <v>357</v>
      </c>
      <c r="M44" s="16" t="s">
        <v>357</v>
      </c>
      <c r="N44" s="2"/>
    </row>
    <row r="45" spans="1:14">
      <c r="A45" s="110" t="s">
        <v>400</v>
      </c>
      <c r="B45" s="2" t="s">
        <v>504</v>
      </c>
      <c r="C45" s="2" t="s">
        <v>10</v>
      </c>
      <c r="D45" s="16">
        <v>1</v>
      </c>
      <c r="E45" s="16">
        <v>1</v>
      </c>
      <c r="F45" s="16">
        <v>1</v>
      </c>
      <c r="H45" s="104"/>
      <c r="I45" s="104"/>
      <c r="J45" s="104"/>
      <c r="K45" s="104"/>
      <c r="L45" s="16">
        <v>1</v>
      </c>
      <c r="M45" s="16">
        <v>1</v>
      </c>
      <c r="N45" s="2"/>
    </row>
    <row r="46" spans="1:14">
      <c r="A46" s="110" t="s">
        <v>401</v>
      </c>
      <c r="B46" s="2" t="s">
        <v>270</v>
      </c>
      <c r="C46" s="2" t="s">
        <v>545</v>
      </c>
      <c r="D46" s="103">
        <v>2</v>
      </c>
      <c r="E46" s="16">
        <v>1</v>
      </c>
      <c r="F46" s="16" t="s">
        <v>357</v>
      </c>
      <c r="H46" s="104"/>
      <c r="I46" s="104"/>
      <c r="J46" s="104"/>
      <c r="K46" s="104"/>
      <c r="L46" s="16" t="s">
        <v>357</v>
      </c>
      <c r="M46" s="16" t="s">
        <v>357</v>
      </c>
      <c r="N46" s="149" t="s">
        <v>547</v>
      </c>
    </row>
    <row r="47" spans="1:14">
      <c r="A47" s="110" t="s">
        <v>402</v>
      </c>
      <c r="B47" s="2" t="s">
        <v>263</v>
      </c>
      <c r="C47" s="2" t="s">
        <v>267</v>
      </c>
      <c r="D47" s="16">
        <v>1</v>
      </c>
      <c r="E47" s="16">
        <v>1</v>
      </c>
      <c r="F47" s="16">
        <v>1</v>
      </c>
      <c r="H47" s="104"/>
      <c r="I47" s="104"/>
      <c r="J47" s="104"/>
      <c r="K47" s="104"/>
      <c r="L47" s="16">
        <v>1</v>
      </c>
      <c r="M47" s="16">
        <v>1</v>
      </c>
      <c r="N47" s="149" t="s">
        <v>548</v>
      </c>
    </row>
    <row r="48" spans="1:14">
      <c r="A48" s="110" t="s">
        <v>403</v>
      </c>
      <c r="B48" s="2" t="s">
        <v>261</v>
      </c>
      <c r="C48" s="2" t="s">
        <v>445</v>
      </c>
      <c r="D48" s="103">
        <v>2</v>
      </c>
      <c r="E48" s="103" t="s">
        <v>342</v>
      </c>
      <c r="F48" s="103">
        <v>2</v>
      </c>
      <c r="H48" s="104"/>
      <c r="I48" s="104"/>
      <c r="J48" s="104"/>
      <c r="K48" s="104"/>
      <c r="L48" s="103">
        <v>2</v>
      </c>
      <c r="M48" s="103" t="s">
        <v>359</v>
      </c>
      <c r="N48" s="149" t="s">
        <v>549</v>
      </c>
    </row>
    <row r="49" spans="1:18">
      <c r="A49" s="110" t="s">
        <v>404</v>
      </c>
      <c r="B49" s="2" t="s">
        <v>253</v>
      </c>
      <c r="C49" s="2" t="s">
        <v>274</v>
      </c>
      <c r="D49" s="16">
        <v>2</v>
      </c>
      <c r="E49" s="16">
        <v>2</v>
      </c>
      <c r="F49" s="16" t="s">
        <v>359</v>
      </c>
      <c r="H49" s="104"/>
      <c r="I49" s="104"/>
      <c r="J49" s="104"/>
      <c r="K49" s="104"/>
      <c r="L49" s="16" t="s">
        <v>359</v>
      </c>
      <c r="M49" s="16" t="s">
        <v>359</v>
      </c>
      <c r="N49" s="149" t="s">
        <v>550</v>
      </c>
    </row>
    <row r="50" spans="1:18">
      <c r="A50" s="110" t="s">
        <v>405</v>
      </c>
      <c r="B50" s="2" t="s">
        <v>268</v>
      </c>
      <c r="C50" s="2" t="s">
        <v>249</v>
      </c>
      <c r="D50" s="103">
        <v>1</v>
      </c>
      <c r="E50" s="103">
        <v>1</v>
      </c>
      <c r="F50" s="16" t="s">
        <v>356</v>
      </c>
      <c r="H50" s="104"/>
      <c r="I50" s="104"/>
      <c r="J50" s="104"/>
      <c r="K50" s="104"/>
      <c r="L50" s="16" t="s">
        <v>356</v>
      </c>
      <c r="M50" s="16" t="s">
        <v>356</v>
      </c>
      <c r="N50" s="149" t="s">
        <v>551</v>
      </c>
    </row>
    <row r="51" spans="1:18">
      <c r="A51" s="110" t="s">
        <v>406</v>
      </c>
      <c r="B51" s="2" t="s">
        <v>27</v>
      </c>
      <c r="C51" s="2" t="s">
        <v>5</v>
      </c>
      <c r="D51" s="16">
        <v>1</v>
      </c>
      <c r="E51" s="103" t="s">
        <v>342</v>
      </c>
      <c r="F51" s="16">
        <v>1</v>
      </c>
      <c r="G51" s="149"/>
      <c r="H51" s="104"/>
      <c r="I51" s="104"/>
      <c r="J51" s="104"/>
      <c r="K51" s="104"/>
      <c r="L51" s="16">
        <v>1</v>
      </c>
      <c r="M51" s="16">
        <v>1</v>
      </c>
      <c r="N51" s="2"/>
    </row>
    <row r="52" spans="1:18">
      <c r="A52" s="110"/>
      <c r="F52" s="98"/>
      <c r="G52" s="21"/>
      <c r="H52" s="98"/>
      <c r="I52" s="98"/>
      <c r="J52" s="98"/>
      <c r="K52" s="98"/>
      <c r="L52" s="98"/>
      <c r="M52" s="98"/>
    </row>
    <row r="53" spans="1:18">
      <c r="F53" s="98" t="s">
        <v>522</v>
      </c>
      <c r="G53" s="98"/>
      <c r="H53" s="98"/>
      <c r="I53" s="98"/>
      <c r="J53" s="98"/>
      <c r="K53" s="98"/>
      <c r="L53" s="98" t="s">
        <v>569</v>
      </c>
      <c r="M53" s="98" t="s">
        <v>475</v>
      </c>
    </row>
    <row r="54" spans="1:18">
      <c r="D54" s="111">
        <v>0.5</v>
      </c>
      <c r="E54" s="111">
        <v>0.5</v>
      </c>
      <c r="F54" s="111">
        <v>288</v>
      </c>
      <c r="G54" s="98"/>
      <c r="H54" s="98"/>
      <c r="I54" s="98"/>
      <c r="J54" s="98"/>
      <c r="K54" s="98"/>
      <c r="L54" s="111">
        <v>648</v>
      </c>
      <c r="M54" s="111">
        <v>3888</v>
      </c>
    </row>
    <row r="55" spans="1:18">
      <c r="L55" s="137" t="s">
        <v>570</v>
      </c>
    </row>
    <row r="57" spans="1:18">
      <c r="D57" s="137" t="s">
        <v>527</v>
      </c>
      <c r="E57" s="137" t="s">
        <v>528</v>
      </c>
      <c r="M57" s="137" t="s">
        <v>567</v>
      </c>
      <c r="N57" s="63"/>
      <c r="P57" s="135"/>
      <c r="Q57" s="135"/>
      <c r="R57" s="135"/>
    </row>
    <row r="58" spans="1:18">
      <c r="A58" s="110" t="s">
        <v>392</v>
      </c>
      <c r="B58" s="2" t="s">
        <v>47</v>
      </c>
      <c r="C58" s="2" t="s">
        <v>15</v>
      </c>
      <c r="D58" s="218">
        <v>1</v>
      </c>
      <c r="E58" s="103">
        <v>1</v>
      </c>
      <c r="F58" s="218">
        <v>1</v>
      </c>
      <c r="G58" s="104"/>
      <c r="H58" s="104"/>
      <c r="I58" s="104"/>
      <c r="J58" s="104"/>
      <c r="K58" s="104"/>
      <c r="L58" s="104"/>
      <c r="M58" s="16" t="s">
        <v>356</v>
      </c>
      <c r="N58" s="136"/>
    </row>
    <row r="59" spans="1:18">
      <c r="A59" s="110" t="s">
        <v>393</v>
      </c>
      <c r="B59" s="2" t="s">
        <v>1</v>
      </c>
      <c r="C59" s="2" t="s">
        <v>308</v>
      </c>
      <c r="D59" s="213">
        <v>2</v>
      </c>
      <c r="E59" s="16">
        <v>2</v>
      </c>
      <c r="F59" s="213">
        <v>2</v>
      </c>
      <c r="G59" s="104"/>
      <c r="H59" s="104"/>
      <c r="I59" s="104"/>
      <c r="J59" s="104"/>
      <c r="K59" s="104"/>
      <c r="L59" s="104"/>
      <c r="M59" s="16">
        <v>2</v>
      </c>
    </row>
    <row r="60" spans="1:18">
      <c r="A60" s="110" t="s">
        <v>394</v>
      </c>
      <c r="B60" s="2" t="s">
        <v>181</v>
      </c>
      <c r="C60" s="2" t="s">
        <v>3</v>
      </c>
      <c r="D60" s="215" t="s">
        <v>342</v>
      </c>
      <c r="E60" s="103" t="s">
        <v>342</v>
      </c>
      <c r="F60" s="215" t="s">
        <v>342</v>
      </c>
      <c r="G60" s="104"/>
      <c r="H60" s="104"/>
      <c r="I60" s="104"/>
      <c r="J60" s="104"/>
      <c r="K60" s="104"/>
      <c r="L60" s="104"/>
      <c r="M60" s="16" t="s">
        <v>356</v>
      </c>
    </row>
    <row r="61" spans="1:18">
      <c r="A61" s="110" t="s">
        <v>395</v>
      </c>
      <c r="B61" s="2" t="s">
        <v>28</v>
      </c>
      <c r="C61" s="2" t="s">
        <v>520</v>
      </c>
      <c r="D61" s="213">
        <v>1</v>
      </c>
      <c r="E61" s="16">
        <v>1</v>
      </c>
      <c r="F61" s="215">
        <v>2</v>
      </c>
      <c r="G61" s="104"/>
      <c r="H61" s="104"/>
      <c r="I61" s="104"/>
      <c r="J61" s="104"/>
      <c r="K61" s="104"/>
      <c r="L61" s="104"/>
      <c r="M61" s="16" t="s">
        <v>357</v>
      </c>
      <c r="P61" s="135"/>
      <c r="Q61" s="135"/>
      <c r="R61" s="135"/>
    </row>
    <row r="62" spans="1:18">
      <c r="A62" s="110" t="s">
        <v>396</v>
      </c>
      <c r="B62" s="2" t="s">
        <v>546</v>
      </c>
      <c r="C62" s="2" t="s">
        <v>4</v>
      </c>
      <c r="D62" s="215">
        <v>2</v>
      </c>
      <c r="E62" s="103">
        <v>2</v>
      </c>
      <c r="F62" s="213" t="s">
        <v>342</v>
      </c>
      <c r="G62" s="104"/>
      <c r="H62" s="104"/>
      <c r="I62" s="104"/>
      <c r="J62" s="104"/>
      <c r="K62" s="104"/>
      <c r="L62" s="104"/>
      <c r="M62" s="103">
        <v>1</v>
      </c>
      <c r="P62" s="135"/>
      <c r="Q62" s="135"/>
      <c r="R62" s="135"/>
    </row>
    <row r="63" spans="1:18">
      <c r="A63" s="110" t="s">
        <v>397</v>
      </c>
      <c r="B63" s="2" t="s">
        <v>2</v>
      </c>
      <c r="C63" s="2" t="s">
        <v>26</v>
      </c>
      <c r="D63" s="213">
        <v>1</v>
      </c>
      <c r="E63" s="16">
        <v>1</v>
      </c>
      <c r="F63" s="213">
        <v>1</v>
      </c>
      <c r="G63" s="104"/>
      <c r="H63" s="104"/>
      <c r="I63" s="104"/>
      <c r="J63" s="104"/>
      <c r="K63" s="104"/>
      <c r="L63" s="104"/>
      <c r="M63" s="16" t="s">
        <v>357</v>
      </c>
      <c r="P63" s="135"/>
      <c r="Q63" s="135"/>
    </row>
    <row r="64" spans="1:18">
      <c r="A64" s="110" t="s">
        <v>398</v>
      </c>
      <c r="B64" s="2" t="s">
        <v>16</v>
      </c>
      <c r="C64" s="2" t="s">
        <v>62</v>
      </c>
      <c r="D64" s="212" t="s">
        <v>342</v>
      </c>
      <c r="E64" s="214">
        <v>1</v>
      </c>
      <c r="F64" s="215">
        <v>2</v>
      </c>
      <c r="G64" s="104"/>
      <c r="H64" s="104"/>
      <c r="I64" s="104"/>
      <c r="J64" s="104"/>
      <c r="K64" s="104"/>
      <c r="L64" s="104"/>
      <c r="M64" s="16" t="s">
        <v>356</v>
      </c>
    </row>
    <row r="65" spans="1:13">
      <c r="A65" s="110" t="s">
        <v>399</v>
      </c>
      <c r="B65" s="2" t="s">
        <v>0</v>
      </c>
      <c r="C65" s="2" t="s">
        <v>73</v>
      </c>
      <c r="D65" s="215" t="s">
        <v>342</v>
      </c>
      <c r="E65" s="103" t="s">
        <v>342</v>
      </c>
      <c r="F65" s="213">
        <v>1</v>
      </c>
      <c r="G65" s="149"/>
      <c r="H65" s="104"/>
      <c r="I65" s="104"/>
      <c r="J65" s="104"/>
      <c r="K65" s="104"/>
      <c r="L65" s="104"/>
      <c r="M65" s="16" t="s">
        <v>357</v>
      </c>
    </row>
    <row r="66" spans="1:13">
      <c r="A66" s="110" t="s">
        <v>400</v>
      </c>
      <c r="B66" s="2" t="s">
        <v>504</v>
      </c>
      <c r="C66" s="2" t="s">
        <v>10</v>
      </c>
      <c r="D66" s="215">
        <v>2</v>
      </c>
      <c r="E66" s="103">
        <v>2</v>
      </c>
      <c r="F66" s="215">
        <v>2</v>
      </c>
      <c r="G66" s="104"/>
      <c r="H66" s="104"/>
      <c r="I66" s="104"/>
      <c r="J66" s="104"/>
      <c r="K66" s="104"/>
      <c r="L66" s="104"/>
      <c r="M66" s="16">
        <v>1</v>
      </c>
    </row>
    <row r="67" spans="1:13">
      <c r="A67" s="110" t="s">
        <v>401</v>
      </c>
      <c r="B67" s="2" t="s">
        <v>270</v>
      </c>
      <c r="C67" s="2" t="s">
        <v>545</v>
      </c>
      <c r="D67" s="212">
        <v>1</v>
      </c>
      <c r="E67" s="214">
        <v>2</v>
      </c>
      <c r="F67" s="215" t="s">
        <v>342</v>
      </c>
      <c r="G67" s="104"/>
      <c r="H67" s="104"/>
      <c r="I67" s="104"/>
      <c r="J67" s="104"/>
      <c r="K67" s="104"/>
      <c r="L67" s="104"/>
      <c r="M67" s="16">
        <v>1</v>
      </c>
    </row>
    <row r="68" spans="1:13">
      <c r="A68" s="110" t="s">
        <v>402</v>
      </c>
      <c r="B68" s="2" t="s">
        <v>263</v>
      </c>
      <c r="C68" s="2" t="s">
        <v>267</v>
      </c>
      <c r="D68" s="213">
        <v>1</v>
      </c>
      <c r="E68" s="16">
        <v>1</v>
      </c>
      <c r="F68" s="213">
        <v>1</v>
      </c>
      <c r="G68" s="104"/>
      <c r="H68" s="104"/>
      <c r="I68" s="104"/>
      <c r="J68" s="104"/>
      <c r="K68" s="104"/>
      <c r="L68" s="104"/>
      <c r="M68" s="16">
        <v>1</v>
      </c>
    </row>
    <row r="69" spans="1:13">
      <c r="A69" s="110" t="s">
        <v>403</v>
      </c>
      <c r="B69" s="2" t="s">
        <v>261</v>
      </c>
      <c r="C69" s="2" t="s">
        <v>445</v>
      </c>
      <c r="D69" s="215">
        <v>2</v>
      </c>
      <c r="E69" s="103">
        <v>2</v>
      </c>
      <c r="F69" s="215">
        <v>2</v>
      </c>
      <c r="G69" s="104"/>
      <c r="H69" s="104"/>
      <c r="I69" s="104"/>
      <c r="J69" s="104"/>
      <c r="K69" s="104"/>
      <c r="L69" s="104"/>
      <c r="M69" s="16" t="s">
        <v>357</v>
      </c>
    </row>
    <row r="70" spans="1:13">
      <c r="A70" s="110" t="s">
        <v>404</v>
      </c>
      <c r="B70" s="2" t="s">
        <v>253</v>
      </c>
      <c r="C70" s="2" t="s">
        <v>274</v>
      </c>
      <c r="D70" s="213">
        <v>2</v>
      </c>
      <c r="E70" s="103" t="s">
        <v>342</v>
      </c>
      <c r="F70" s="215" t="s">
        <v>342</v>
      </c>
      <c r="G70" s="104"/>
      <c r="H70" s="104"/>
      <c r="I70" s="104"/>
      <c r="J70" s="104"/>
      <c r="K70" s="104"/>
      <c r="L70" s="104"/>
      <c r="M70" s="16" t="s">
        <v>357</v>
      </c>
    </row>
    <row r="71" spans="1:13">
      <c r="A71" s="110" t="s">
        <v>405</v>
      </c>
      <c r="B71" s="2" t="s">
        <v>268</v>
      </c>
      <c r="C71" s="2" t="s">
        <v>249</v>
      </c>
      <c r="D71" s="215">
        <v>1</v>
      </c>
      <c r="E71" s="103">
        <v>1</v>
      </c>
      <c r="F71" s="215">
        <v>1</v>
      </c>
      <c r="G71" s="104"/>
      <c r="H71" s="104"/>
      <c r="I71" s="104"/>
      <c r="J71" s="104"/>
      <c r="K71" s="104"/>
      <c r="L71" s="104"/>
      <c r="M71" s="16" t="s">
        <v>357</v>
      </c>
    </row>
    <row r="72" spans="1:13">
      <c r="A72" s="110" t="s">
        <v>406</v>
      </c>
      <c r="B72" s="2" t="s">
        <v>27</v>
      </c>
      <c r="C72" s="2" t="s">
        <v>5</v>
      </c>
      <c r="D72" s="220">
        <v>1</v>
      </c>
      <c r="E72" s="16">
        <v>1</v>
      </c>
      <c r="F72" s="220">
        <v>1</v>
      </c>
      <c r="G72" s="104"/>
      <c r="H72" s="104"/>
      <c r="I72" s="104"/>
      <c r="J72" s="104"/>
      <c r="K72" s="104"/>
      <c r="L72" s="104"/>
      <c r="M72" s="103" t="s">
        <v>342</v>
      </c>
    </row>
    <row r="74" spans="1:13">
      <c r="M74" s="98" t="s">
        <v>568</v>
      </c>
    </row>
    <row r="75" spans="1:13">
      <c r="D75" s="111">
        <v>0.5</v>
      </c>
      <c r="E75" s="111">
        <v>0.5</v>
      </c>
      <c r="M75" s="111">
        <v>2916</v>
      </c>
    </row>
  </sheetData>
  <pageMargins left="0.7" right="0.7" top="0.75" bottom="0.75" header="0.3" footer="0.3"/>
  <pageSetup paperSize="9" orientation="portrait" horizontalDpi="0" verticalDpi="0" r:id="rId1"/>
  <legacyDrawing r:id="rId2"/>
</worksheet>
</file>

<file path=xl/worksheets/sheet19.xml><?xml version="1.0" encoding="utf-8"?>
<worksheet xmlns="http://schemas.openxmlformats.org/spreadsheetml/2006/main" xmlns:r="http://schemas.openxmlformats.org/officeDocument/2006/relationships">
  <sheetPr codeName="Hoja19"/>
  <dimension ref="A1:I24"/>
  <sheetViews>
    <sheetView workbookViewId="0">
      <selection activeCell="F3" sqref="F3"/>
    </sheetView>
  </sheetViews>
  <sheetFormatPr baseColWidth="10" defaultRowHeight="15"/>
  <cols>
    <col min="1" max="1" width="4.28515625" customWidth="1"/>
    <col min="2" max="3" width="13.5703125" customWidth="1"/>
    <col min="4" max="4" width="14.7109375" bestFit="1" customWidth="1"/>
    <col min="5" max="7" width="7.85546875" customWidth="1"/>
  </cols>
  <sheetData>
    <row r="1" spans="1:9">
      <c r="A1" s="4" t="s">
        <v>12</v>
      </c>
      <c r="B1" s="4" t="s">
        <v>3</v>
      </c>
      <c r="C1" s="4" t="s">
        <v>28</v>
      </c>
      <c r="D1" s="4" t="s">
        <v>49</v>
      </c>
      <c r="E1" s="5">
        <v>1.5</v>
      </c>
      <c r="F1" s="9">
        <f>((2.74-1)*0.95)+1</f>
        <v>2.653</v>
      </c>
      <c r="G1" s="10" t="s">
        <v>630</v>
      </c>
      <c r="H1" s="2" t="s">
        <v>580</v>
      </c>
    </row>
    <row r="2" spans="1:9">
      <c r="A2" s="4" t="s">
        <v>12</v>
      </c>
      <c r="B2" s="4" t="s">
        <v>73</v>
      </c>
      <c r="C2" s="4" t="s">
        <v>67</v>
      </c>
      <c r="D2" s="4" t="s">
        <v>49</v>
      </c>
      <c r="E2" s="5">
        <v>1.75</v>
      </c>
      <c r="F2" s="9">
        <v>2.4500000000000002</v>
      </c>
      <c r="G2" s="10" t="s">
        <v>42</v>
      </c>
      <c r="H2" s="2" t="s">
        <v>610</v>
      </c>
    </row>
    <row r="3" spans="1:9">
      <c r="A3" s="4" t="s">
        <v>12</v>
      </c>
      <c r="B3" s="4" t="s">
        <v>10</v>
      </c>
      <c r="C3" s="4" t="s">
        <v>47</v>
      </c>
      <c r="D3" s="4" t="s">
        <v>48</v>
      </c>
      <c r="E3" s="5">
        <v>1.75</v>
      </c>
      <c r="F3" s="9">
        <f>((2.8-1)*0.95)+1</f>
        <v>2.71</v>
      </c>
      <c r="G3" s="10" t="s">
        <v>366</v>
      </c>
      <c r="H3" s="2" t="s">
        <v>611</v>
      </c>
    </row>
    <row r="4" spans="1:9">
      <c r="A4" s="2"/>
      <c r="B4" s="2"/>
      <c r="C4" s="2"/>
      <c r="D4" s="2"/>
      <c r="E4" s="3"/>
      <c r="F4" s="86"/>
      <c r="G4" s="30"/>
      <c r="H4" s="2"/>
    </row>
    <row r="5" spans="1:9">
      <c r="A5" s="96" t="s">
        <v>242</v>
      </c>
      <c r="B5" s="2"/>
      <c r="C5" s="2"/>
      <c r="D5" s="2"/>
      <c r="E5" s="3"/>
      <c r="F5" s="86"/>
      <c r="G5" s="30"/>
      <c r="H5" s="2"/>
    </row>
    <row r="6" spans="1:9" s="137" customFormat="1">
      <c r="A6" s="240" t="s">
        <v>12</v>
      </c>
      <c r="B6" s="240" t="s">
        <v>26</v>
      </c>
      <c r="C6" s="240" t="s">
        <v>16</v>
      </c>
      <c r="D6" s="240" t="s">
        <v>34</v>
      </c>
      <c r="E6" s="241">
        <v>0.5</v>
      </c>
      <c r="F6" s="242">
        <v>3.3</v>
      </c>
      <c r="G6" s="15" t="s">
        <v>36</v>
      </c>
      <c r="H6" s="75" t="s">
        <v>579</v>
      </c>
      <c r="I6" s="82"/>
    </row>
    <row r="7" spans="1:9" s="137" customFormat="1">
      <c r="A7" s="243" t="s">
        <v>12</v>
      </c>
      <c r="B7" s="243" t="s">
        <v>15</v>
      </c>
      <c r="C7" s="243" t="s">
        <v>27</v>
      </c>
      <c r="D7" s="243" t="s">
        <v>34</v>
      </c>
      <c r="E7" s="244">
        <v>0.5</v>
      </c>
      <c r="F7" s="9">
        <f>((3.6-1)*0.95)+1</f>
        <v>3.4699999999999998</v>
      </c>
      <c r="G7" s="10" t="s">
        <v>145</v>
      </c>
      <c r="H7" s="2" t="s">
        <v>583</v>
      </c>
      <c r="I7" s="82"/>
    </row>
    <row r="8" spans="1:9" s="137" customFormat="1">
      <c r="A8" s="75"/>
      <c r="B8" s="75"/>
      <c r="C8" s="75"/>
      <c r="D8" s="75"/>
      <c r="E8" s="79"/>
      <c r="F8" s="80"/>
      <c r="G8" s="81"/>
      <c r="H8" s="75"/>
      <c r="I8" s="82"/>
    </row>
    <row r="9" spans="1:9" s="230" customFormat="1">
      <c r="A9" s="2" t="s">
        <v>612</v>
      </c>
      <c r="B9" s="75"/>
      <c r="C9" s="75"/>
      <c r="D9" s="75"/>
      <c r="E9" s="79"/>
      <c r="F9" s="80"/>
      <c r="G9" s="81"/>
      <c r="H9" s="75"/>
      <c r="I9" s="82"/>
    </row>
    <row r="10" spans="1:9">
      <c r="A10" s="75"/>
      <c r="B10" s="75"/>
      <c r="C10" s="75"/>
      <c r="D10" s="75"/>
      <c r="E10" s="79"/>
      <c r="F10" s="80"/>
      <c r="G10" s="81"/>
      <c r="H10" s="75"/>
      <c r="I10" s="82"/>
    </row>
    <row r="11" spans="1:9">
      <c r="A11" s="17" t="s">
        <v>582</v>
      </c>
      <c r="B11" s="2"/>
      <c r="C11" s="2"/>
      <c r="D11" s="2"/>
      <c r="E11" s="3"/>
      <c r="F11" s="86"/>
      <c r="G11" s="30"/>
      <c r="H11" s="2"/>
    </row>
    <row r="12" spans="1:9">
      <c r="A12" s="2"/>
      <c r="B12" s="2"/>
      <c r="C12" s="2"/>
      <c r="D12" s="2"/>
      <c r="E12" s="3"/>
      <c r="F12" s="86"/>
      <c r="G12" s="30"/>
      <c r="H12" s="2"/>
    </row>
    <row r="13" spans="1:9">
      <c r="A13" s="230" t="s">
        <v>614</v>
      </c>
    </row>
    <row r="15" spans="1:9">
      <c r="A15" s="137" t="s">
        <v>581</v>
      </c>
    </row>
    <row r="16" spans="1:9" s="230" customFormat="1"/>
    <row r="17" spans="1:3" s="230" customFormat="1">
      <c r="A17" s="230" t="s">
        <v>608</v>
      </c>
    </row>
    <row r="18" spans="1:3" s="230" customFormat="1">
      <c r="A18" s="230" t="s">
        <v>609</v>
      </c>
    </row>
    <row r="21" spans="1:3">
      <c r="A21" s="4" t="s">
        <v>590</v>
      </c>
      <c r="C21" s="230" t="s">
        <v>601</v>
      </c>
    </row>
    <row r="22" spans="1:3">
      <c r="A22" s="4" t="s">
        <v>591</v>
      </c>
      <c r="C22" s="230" t="s">
        <v>604</v>
      </c>
    </row>
    <row r="23" spans="1:3">
      <c r="A23" s="4" t="s">
        <v>593</v>
      </c>
      <c r="C23" s="230" t="s">
        <v>603</v>
      </c>
    </row>
    <row r="24" spans="1:3">
      <c r="A24" s="4" t="s">
        <v>597</v>
      </c>
      <c r="C24" s="230" t="s">
        <v>607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Hoja3"/>
  <dimension ref="A1:P45"/>
  <sheetViews>
    <sheetView workbookViewId="0">
      <selection activeCell="H19" sqref="H19"/>
    </sheetView>
  </sheetViews>
  <sheetFormatPr baseColWidth="10" defaultRowHeight="15"/>
  <cols>
    <col min="1" max="1" width="4.28515625" customWidth="1"/>
    <col min="2" max="3" width="13.5703125" customWidth="1"/>
    <col min="5" max="6" width="7.85546875" customWidth="1"/>
    <col min="7" max="7" width="7.85546875" style="28" customWidth="1"/>
  </cols>
  <sheetData>
    <row r="1" spans="1:14">
      <c r="A1" s="4" t="s">
        <v>12</v>
      </c>
      <c r="B1" s="4" t="s">
        <v>2</v>
      </c>
      <c r="C1" s="4" t="s">
        <v>47</v>
      </c>
      <c r="D1" s="4" t="s">
        <v>48</v>
      </c>
      <c r="E1" s="5">
        <v>1.5</v>
      </c>
      <c r="F1" s="9">
        <f>((3.95-1)*0.95)+1</f>
        <v>3.8025000000000002</v>
      </c>
      <c r="G1" s="10" t="s">
        <v>43</v>
      </c>
      <c r="H1" t="s">
        <v>81</v>
      </c>
    </row>
    <row r="2" spans="1:14">
      <c r="A2" s="12" t="s">
        <v>12</v>
      </c>
      <c r="B2" s="12" t="s">
        <v>28</v>
      </c>
      <c r="C2" s="12" t="s">
        <v>1</v>
      </c>
      <c r="D2" s="12" t="s">
        <v>49</v>
      </c>
      <c r="E2" s="13">
        <v>2</v>
      </c>
      <c r="F2" s="14">
        <f>((1.96-1)*0.95)+1</f>
        <v>1.9119999999999999</v>
      </c>
      <c r="G2" s="15" t="s">
        <v>37</v>
      </c>
      <c r="H2" t="s">
        <v>50</v>
      </c>
    </row>
    <row r="3" spans="1:14">
      <c r="A3" s="12" t="s">
        <v>12</v>
      </c>
      <c r="B3" s="12" t="s">
        <v>26</v>
      </c>
      <c r="C3" s="12" t="s">
        <v>4</v>
      </c>
      <c r="D3" s="12" t="s">
        <v>48</v>
      </c>
      <c r="E3" s="13">
        <v>1.5</v>
      </c>
      <c r="F3" s="14">
        <v>2.2000000000000002</v>
      </c>
      <c r="G3" s="15" t="s">
        <v>38</v>
      </c>
      <c r="H3" t="s">
        <v>80</v>
      </c>
    </row>
    <row r="5" spans="1:14">
      <c r="A5" s="1" t="s">
        <v>131</v>
      </c>
    </row>
    <row r="6" spans="1:14">
      <c r="A6" t="s">
        <v>87</v>
      </c>
      <c r="B6" s="2"/>
      <c r="C6" s="2"/>
      <c r="D6" s="2"/>
      <c r="E6" s="2"/>
      <c r="F6" s="2"/>
      <c r="H6" t="s">
        <v>126</v>
      </c>
    </row>
    <row r="7" spans="1:14">
      <c r="A7" s="1" t="s">
        <v>86</v>
      </c>
      <c r="B7" s="2"/>
      <c r="C7" s="2"/>
      <c r="D7" s="2"/>
      <c r="E7" s="2"/>
      <c r="F7" s="2"/>
      <c r="H7" s="1" t="s">
        <v>118</v>
      </c>
    </row>
    <row r="8" spans="1:14">
      <c r="A8" s="20" t="s">
        <v>84</v>
      </c>
      <c r="B8" s="20"/>
      <c r="C8" s="20"/>
      <c r="D8" s="20"/>
      <c r="E8" s="20"/>
      <c r="F8" s="20"/>
      <c r="H8" t="s">
        <v>148</v>
      </c>
    </row>
    <row r="9" spans="1:14">
      <c r="A9" s="2" t="s">
        <v>85</v>
      </c>
      <c r="B9" s="2"/>
      <c r="C9" s="2"/>
      <c r="D9" s="2"/>
      <c r="E9" s="2"/>
      <c r="F9" s="2"/>
      <c r="H9" s="18" t="s">
        <v>123</v>
      </c>
      <c r="N9" s="73" t="s">
        <v>172</v>
      </c>
    </row>
    <row r="10" spans="1:14">
      <c r="A10" s="20" t="s">
        <v>51</v>
      </c>
      <c r="B10" s="20"/>
      <c r="C10" s="20"/>
      <c r="D10" s="20"/>
      <c r="E10" s="20"/>
      <c r="F10" s="20"/>
      <c r="H10" t="s">
        <v>149</v>
      </c>
    </row>
    <row r="11" spans="1:14">
      <c r="A11" s="20" t="s">
        <v>83</v>
      </c>
      <c r="B11" s="20"/>
      <c r="C11" s="20"/>
      <c r="D11" s="20"/>
      <c r="E11" s="20"/>
      <c r="F11" s="20"/>
      <c r="H11" t="s">
        <v>124</v>
      </c>
    </row>
    <row r="12" spans="1:14">
      <c r="A12" s="20" t="s">
        <v>52</v>
      </c>
      <c r="B12" s="20"/>
      <c r="C12" s="20"/>
      <c r="D12" s="20"/>
      <c r="E12" s="20"/>
      <c r="F12" s="20"/>
      <c r="H12" s="1" t="s">
        <v>150</v>
      </c>
      <c r="M12" s="1" t="s">
        <v>151</v>
      </c>
    </row>
    <row r="13" spans="1:14">
      <c r="A13" s="20" t="s">
        <v>53</v>
      </c>
      <c r="B13" s="20"/>
      <c r="C13" s="20"/>
      <c r="D13" s="20"/>
      <c r="E13" s="20"/>
      <c r="F13" s="20"/>
      <c r="H13" s="18" t="s">
        <v>125</v>
      </c>
    </row>
    <row r="15" spans="1:14">
      <c r="H15" s="2"/>
    </row>
    <row r="16" spans="1:14">
      <c r="A16" s="12" t="s">
        <v>12</v>
      </c>
      <c r="B16" s="12" t="s">
        <v>2</v>
      </c>
      <c r="C16" s="12" t="s">
        <v>27</v>
      </c>
      <c r="D16" s="12" t="s">
        <v>49</v>
      </c>
      <c r="E16" s="13">
        <v>1.5</v>
      </c>
      <c r="F16" s="14">
        <v>2.9</v>
      </c>
      <c r="G16" s="15" t="s">
        <v>121</v>
      </c>
      <c r="H16" t="s">
        <v>90</v>
      </c>
    </row>
    <row r="17" spans="1:15">
      <c r="A17" s="4" t="s">
        <v>12</v>
      </c>
      <c r="B17" s="4" t="s">
        <v>16</v>
      </c>
      <c r="C17" s="4" t="s">
        <v>47</v>
      </c>
      <c r="D17" s="4" t="s">
        <v>49</v>
      </c>
      <c r="E17" s="5">
        <v>2</v>
      </c>
      <c r="F17" s="9">
        <f>((2.1-1)*0.95)+1</f>
        <v>2.0449999999999999</v>
      </c>
      <c r="G17" s="10" t="s">
        <v>122</v>
      </c>
      <c r="H17" t="s">
        <v>101</v>
      </c>
    </row>
    <row r="18" spans="1:15">
      <c r="A18" s="4" t="s">
        <v>12</v>
      </c>
      <c r="B18" s="4" t="s">
        <v>0</v>
      </c>
      <c r="C18" s="4" t="s">
        <v>15</v>
      </c>
      <c r="D18" s="4" t="s">
        <v>48</v>
      </c>
      <c r="E18" s="5">
        <v>0.75</v>
      </c>
      <c r="F18" s="9">
        <f>((4.6-1)*0.95)+1</f>
        <v>4.42</v>
      </c>
      <c r="G18" s="10" t="s">
        <v>39</v>
      </c>
      <c r="H18" t="s">
        <v>109</v>
      </c>
    </row>
    <row r="19" spans="1:15">
      <c r="A19" s="12" t="s">
        <v>12</v>
      </c>
      <c r="B19" s="12" t="s">
        <v>67</v>
      </c>
      <c r="C19" s="12" t="s">
        <v>5</v>
      </c>
      <c r="D19" s="12" t="s">
        <v>48</v>
      </c>
      <c r="E19" s="13">
        <v>1.5</v>
      </c>
      <c r="F19" s="14">
        <f>((3.65-1)*0.95)+1</f>
        <v>3.5174999999999996</v>
      </c>
      <c r="G19" s="15" t="s">
        <v>42</v>
      </c>
      <c r="H19" t="s">
        <v>117</v>
      </c>
    </row>
    <row r="20" spans="1:15" s="31" customFormat="1">
      <c r="A20" s="31" t="s">
        <v>12</v>
      </c>
      <c r="B20" s="31" t="s">
        <v>26</v>
      </c>
      <c r="C20" s="31" t="s">
        <v>119</v>
      </c>
      <c r="D20" s="31" t="s">
        <v>49</v>
      </c>
      <c r="E20" s="32">
        <v>1</v>
      </c>
      <c r="F20" s="33"/>
      <c r="G20" s="34"/>
      <c r="H20" s="31" t="s">
        <v>120</v>
      </c>
    </row>
    <row r="21" spans="1:15">
      <c r="A21" s="4" t="s">
        <v>12</v>
      </c>
      <c r="B21" s="4" t="s">
        <v>26</v>
      </c>
      <c r="C21" s="4" t="s">
        <v>119</v>
      </c>
      <c r="D21" s="4" t="s">
        <v>48</v>
      </c>
      <c r="E21" s="5">
        <v>1</v>
      </c>
      <c r="F21" s="9">
        <v>2.2999999999999998</v>
      </c>
      <c r="G21" s="10" t="s">
        <v>43</v>
      </c>
      <c r="H21" t="s">
        <v>120</v>
      </c>
    </row>
    <row r="22" spans="1:15">
      <c r="F22" s="2"/>
      <c r="G22" s="30"/>
      <c r="H22" s="70"/>
    </row>
    <row r="23" spans="1:15">
      <c r="H23" s="71" t="s">
        <v>145</v>
      </c>
      <c r="I23" s="7" t="s">
        <v>91</v>
      </c>
      <c r="J23" s="7"/>
      <c r="K23" s="7" t="s">
        <v>99</v>
      </c>
      <c r="L23" s="7"/>
      <c r="M23" s="7"/>
      <c r="N23" s="7"/>
    </row>
    <row r="24" spans="1:15">
      <c r="A24" s="19" t="s">
        <v>152</v>
      </c>
      <c r="B24" s="6"/>
      <c r="C24" s="6"/>
      <c r="D24" s="6"/>
      <c r="E24" s="6"/>
      <c r="F24" s="6"/>
      <c r="G24" s="72"/>
      <c r="H24" s="71"/>
      <c r="I24" t="s">
        <v>92</v>
      </c>
    </row>
    <row r="25" spans="1:15">
      <c r="A25" s="19" t="s">
        <v>153</v>
      </c>
      <c r="B25" s="6"/>
      <c r="C25" s="6"/>
      <c r="D25" s="6"/>
      <c r="E25" s="6"/>
      <c r="F25" s="6"/>
      <c r="G25" s="72"/>
      <c r="H25" s="71"/>
      <c r="I25" t="s">
        <v>93</v>
      </c>
    </row>
    <row r="26" spans="1:15">
      <c r="A26" s="6" t="s">
        <v>154</v>
      </c>
      <c r="B26" s="6"/>
      <c r="C26" s="6"/>
      <c r="D26" s="6"/>
      <c r="E26" s="6"/>
      <c r="F26" s="6"/>
      <c r="G26" s="72"/>
      <c r="H26" s="71"/>
      <c r="I26" t="s">
        <v>94</v>
      </c>
    </row>
    <row r="27" spans="1:15">
      <c r="H27" s="71"/>
      <c r="I27" t="s">
        <v>95</v>
      </c>
    </row>
    <row r="28" spans="1:15">
      <c r="H28" s="71"/>
      <c r="I28" t="s">
        <v>96</v>
      </c>
    </row>
    <row r="29" spans="1:15">
      <c r="H29" s="71"/>
      <c r="I29" t="s">
        <v>97</v>
      </c>
    </row>
    <row r="30" spans="1:15">
      <c r="B30" s="2"/>
      <c r="C30" s="2"/>
      <c r="D30" s="2"/>
      <c r="E30" s="2"/>
      <c r="F30" s="2"/>
      <c r="G30" s="30"/>
      <c r="H30" s="71"/>
      <c r="I30" t="s">
        <v>98</v>
      </c>
    </row>
    <row r="31" spans="1:15">
      <c r="B31" s="2"/>
      <c r="C31" s="2"/>
      <c r="D31" s="2"/>
      <c r="E31" s="2"/>
      <c r="F31" s="2"/>
      <c r="G31" s="30"/>
      <c r="H31" s="71"/>
    </row>
    <row r="32" spans="1:15">
      <c r="B32" s="2"/>
      <c r="C32" s="2"/>
      <c r="D32" s="2"/>
      <c r="E32" s="2"/>
      <c r="F32" s="2"/>
      <c r="G32" s="30"/>
      <c r="H32" s="71" t="s">
        <v>146</v>
      </c>
      <c r="I32" s="7" t="s">
        <v>102</v>
      </c>
      <c r="J32" s="7"/>
      <c r="K32" s="7" t="s">
        <v>108</v>
      </c>
      <c r="L32" s="7"/>
      <c r="M32" s="7"/>
      <c r="N32" s="7"/>
      <c r="O32" s="2"/>
    </row>
    <row r="33" spans="8:16">
      <c r="H33" s="71"/>
      <c r="I33" t="s">
        <v>103</v>
      </c>
    </row>
    <row r="34" spans="8:16">
      <c r="H34" s="71"/>
      <c r="I34" t="s">
        <v>104</v>
      </c>
    </row>
    <row r="35" spans="8:16">
      <c r="H35" s="71"/>
      <c r="I35" t="s">
        <v>105</v>
      </c>
    </row>
    <row r="36" spans="8:16">
      <c r="H36" s="71"/>
      <c r="I36" t="s">
        <v>106</v>
      </c>
    </row>
    <row r="37" spans="8:16">
      <c r="H37" s="71"/>
      <c r="I37" t="s">
        <v>107</v>
      </c>
    </row>
    <row r="38" spans="8:16">
      <c r="H38" s="71"/>
    </row>
    <row r="39" spans="8:16">
      <c r="H39" s="71" t="s">
        <v>39</v>
      </c>
      <c r="I39" s="7" t="s">
        <v>110</v>
      </c>
      <c r="J39" s="7"/>
      <c r="K39" s="7" t="s">
        <v>111</v>
      </c>
      <c r="L39" s="7"/>
      <c r="M39" s="7"/>
      <c r="N39" s="7"/>
      <c r="O39" s="7"/>
      <c r="P39" s="7"/>
    </row>
    <row r="40" spans="8:16">
      <c r="H40" s="70"/>
      <c r="I40" t="s">
        <v>112</v>
      </c>
    </row>
    <row r="41" spans="8:16">
      <c r="H41" s="70"/>
      <c r="I41" t="s">
        <v>113</v>
      </c>
    </row>
    <row r="42" spans="8:16">
      <c r="H42" s="70"/>
      <c r="I42" t="s">
        <v>116</v>
      </c>
    </row>
    <row r="43" spans="8:16">
      <c r="H43" s="70"/>
      <c r="I43" t="s">
        <v>114</v>
      </c>
    </row>
    <row r="44" spans="8:16">
      <c r="I44" t="s">
        <v>115</v>
      </c>
    </row>
    <row r="45" spans="8:16">
      <c r="I45" t="s">
        <v>147</v>
      </c>
    </row>
  </sheetData>
  <hyperlinks>
    <hyperlink ref="A7" r:id="rId1"/>
    <hyperlink ref="H7" r:id="rId2"/>
    <hyperlink ref="A5" r:id="rId3"/>
    <hyperlink ref="H12" r:id="rId4"/>
    <hyperlink ref="M12" r:id="rId5"/>
  </hyperlinks>
  <pageMargins left="0.7" right="0.7" top="0.75" bottom="0.75" header="0.3" footer="0.3"/>
  <pageSetup paperSize="9" orientation="portrait" horizontalDpi="0" verticalDpi="0" r:id="rId6"/>
  <legacyDrawing r:id="rId7"/>
</worksheet>
</file>

<file path=xl/worksheets/sheet20.xml><?xml version="1.0" encoding="utf-8"?>
<worksheet xmlns="http://schemas.openxmlformats.org/spreadsheetml/2006/main" xmlns:r="http://schemas.openxmlformats.org/officeDocument/2006/relationships">
  <sheetPr codeName="Hoja20"/>
  <dimension ref="A1:R77"/>
  <sheetViews>
    <sheetView zoomScaleNormal="100" workbookViewId="0">
      <selection activeCell="J11" sqref="J11"/>
    </sheetView>
  </sheetViews>
  <sheetFormatPr baseColWidth="10" defaultRowHeight="15"/>
  <cols>
    <col min="1" max="3" width="11.42578125" style="137"/>
    <col min="4" max="6" width="11.5703125" style="137" customWidth="1"/>
    <col min="7" max="7" width="3.5703125" style="137" customWidth="1"/>
    <col min="8" max="8" width="3.28515625" style="137" customWidth="1"/>
    <col min="9" max="9" width="4.5703125" style="137" customWidth="1"/>
    <col min="10" max="11" width="7" style="137" customWidth="1"/>
    <col min="12" max="12" width="11.42578125" style="137" customWidth="1"/>
    <col min="13" max="16384" width="11.42578125" style="137"/>
  </cols>
  <sheetData>
    <row r="1" spans="1:12">
      <c r="A1" s="18" t="s">
        <v>247</v>
      </c>
      <c r="B1" s="18"/>
      <c r="C1" s="18"/>
      <c r="D1" s="18"/>
      <c r="E1" s="18"/>
      <c r="F1" s="18"/>
      <c r="G1" s="18" t="s">
        <v>302</v>
      </c>
      <c r="H1" s="18"/>
      <c r="I1" s="18"/>
      <c r="J1" s="18"/>
      <c r="K1" s="18"/>
      <c r="L1" s="137" t="s">
        <v>305</v>
      </c>
    </row>
    <row r="2" spans="1:12">
      <c r="C2" s="17" t="s">
        <v>250</v>
      </c>
      <c r="D2" s="17" t="s">
        <v>294</v>
      </c>
      <c r="E2" s="18" t="s">
        <v>251</v>
      </c>
      <c r="F2" s="18" t="s">
        <v>293</v>
      </c>
      <c r="G2" s="18" t="s">
        <v>303</v>
      </c>
      <c r="H2" s="18" t="s">
        <v>304</v>
      </c>
      <c r="I2" s="18" t="s">
        <v>314</v>
      </c>
      <c r="J2" s="18"/>
      <c r="K2" s="18"/>
      <c r="L2" s="137" t="s">
        <v>305</v>
      </c>
    </row>
    <row r="3" spans="1:12">
      <c r="A3" s="138" t="s">
        <v>26</v>
      </c>
      <c r="B3" s="59" t="s">
        <v>16</v>
      </c>
      <c r="C3" s="124" t="s">
        <v>256</v>
      </c>
      <c r="D3" s="124"/>
      <c r="E3" s="59"/>
      <c r="F3" s="59"/>
      <c r="G3" s="54">
        <v>1</v>
      </c>
      <c r="H3" s="125">
        <v>1</v>
      </c>
      <c r="I3" s="125">
        <v>3</v>
      </c>
      <c r="J3" s="131">
        <f>+(2.9-1)*H3</f>
        <v>1.9</v>
      </c>
      <c r="K3" s="131">
        <f>+(2.9-1)*I3</f>
        <v>5.6999999999999993</v>
      </c>
      <c r="L3" s="59" t="s">
        <v>613</v>
      </c>
    </row>
    <row r="4" spans="1:12">
      <c r="A4" s="130" t="s">
        <v>62</v>
      </c>
      <c r="B4" s="130" t="s">
        <v>0</v>
      </c>
      <c r="C4" s="212" t="s">
        <v>257</v>
      </c>
      <c r="D4" s="124"/>
      <c r="E4" s="59"/>
      <c r="F4" s="59"/>
      <c r="G4" s="46">
        <v>2</v>
      </c>
      <c r="H4" s="125">
        <v>2</v>
      </c>
      <c r="I4" s="208">
        <v>9</v>
      </c>
      <c r="J4" s="131">
        <f>-H4</f>
        <v>-2</v>
      </c>
      <c r="K4" s="131">
        <f>-I4</f>
        <v>-9</v>
      </c>
      <c r="L4" s="59"/>
    </row>
    <row r="5" spans="1:12">
      <c r="A5" s="138" t="s">
        <v>308</v>
      </c>
      <c r="B5" s="59" t="s">
        <v>181</v>
      </c>
      <c r="C5" s="140">
        <v>1</v>
      </c>
      <c r="D5" s="124">
        <v>1.06</v>
      </c>
      <c r="E5" s="59">
        <v>2.5</v>
      </c>
      <c r="F5" s="234">
        <f>+(D5-1)*E5</f>
        <v>0.15000000000000013</v>
      </c>
      <c r="G5" s="54">
        <v>1</v>
      </c>
      <c r="H5" s="125">
        <v>1</v>
      </c>
      <c r="I5" s="125">
        <v>2</v>
      </c>
      <c r="J5" s="131">
        <f>+(1.06-1)*H5</f>
        <v>6.0000000000000053E-2</v>
      </c>
      <c r="K5" s="131">
        <f>+(1.06-1)*I5</f>
        <v>0.12000000000000011</v>
      </c>
      <c r="L5" s="59"/>
    </row>
    <row r="6" spans="1:12">
      <c r="A6" s="130" t="s">
        <v>15</v>
      </c>
      <c r="B6" s="130" t="s">
        <v>27</v>
      </c>
      <c r="C6" s="123">
        <v>1</v>
      </c>
      <c r="D6" s="124">
        <v>2.63</v>
      </c>
      <c r="E6" s="210">
        <v>1</v>
      </c>
      <c r="F6" s="59">
        <f>-E6</f>
        <v>-1</v>
      </c>
      <c r="G6" s="46">
        <v>1</v>
      </c>
      <c r="H6" s="125">
        <v>2</v>
      </c>
      <c r="I6" s="208">
        <v>8</v>
      </c>
      <c r="J6" s="131">
        <f t="shared" ref="J6:J8" si="0">-H6</f>
        <v>-2</v>
      </c>
      <c r="K6" s="131">
        <f t="shared" ref="K6:K8" si="1">-I6</f>
        <v>-8</v>
      </c>
      <c r="L6" s="59"/>
    </row>
    <row r="7" spans="1:12">
      <c r="A7" s="138" t="s">
        <v>3</v>
      </c>
      <c r="B7" s="59" t="s">
        <v>28</v>
      </c>
      <c r="C7" s="123">
        <v>2</v>
      </c>
      <c r="D7" s="124">
        <v>2.75</v>
      </c>
      <c r="E7" s="210">
        <v>1.5</v>
      </c>
      <c r="F7" s="59">
        <f>-E7</f>
        <v>-1.5</v>
      </c>
      <c r="G7" s="46">
        <v>2</v>
      </c>
      <c r="H7" s="125">
        <v>3</v>
      </c>
      <c r="I7" s="208">
        <v>14</v>
      </c>
      <c r="J7" s="131">
        <f t="shared" si="0"/>
        <v>-3</v>
      </c>
      <c r="K7" s="131">
        <f t="shared" si="1"/>
        <v>-14</v>
      </c>
      <c r="L7" s="59" t="s">
        <v>458</v>
      </c>
    </row>
    <row r="8" spans="1:12">
      <c r="A8" s="138" t="s">
        <v>4</v>
      </c>
      <c r="B8" s="59" t="s">
        <v>2</v>
      </c>
      <c r="C8" s="212">
        <v>1</v>
      </c>
      <c r="D8" s="124">
        <v>1.5</v>
      </c>
      <c r="E8" s="59">
        <v>1.75</v>
      </c>
      <c r="F8" s="234">
        <f>+(D8-1)*E8</f>
        <v>0.875</v>
      </c>
      <c r="G8" s="46">
        <v>2</v>
      </c>
      <c r="H8" s="125">
        <v>1</v>
      </c>
      <c r="I8" s="125">
        <v>4</v>
      </c>
      <c r="J8" s="131">
        <f t="shared" si="0"/>
        <v>-1</v>
      </c>
      <c r="K8" s="131">
        <f t="shared" si="1"/>
        <v>-4</v>
      </c>
      <c r="L8" s="59"/>
    </row>
    <row r="9" spans="1:12">
      <c r="A9" s="59" t="s">
        <v>134</v>
      </c>
      <c r="B9" s="138" t="s">
        <v>546</v>
      </c>
      <c r="C9" s="140">
        <v>2</v>
      </c>
      <c r="D9" s="124">
        <v>1.57</v>
      </c>
      <c r="E9" s="59">
        <v>2.5</v>
      </c>
      <c r="F9" s="234">
        <f>+(D9-1)*E9</f>
        <v>1.4250000000000003</v>
      </c>
      <c r="G9" s="54">
        <v>2</v>
      </c>
      <c r="H9" s="125">
        <v>2</v>
      </c>
      <c r="I9" s="125">
        <v>6</v>
      </c>
      <c r="J9" s="131">
        <f>+(1.57-1)*H9</f>
        <v>1.1400000000000001</v>
      </c>
      <c r="K9" s="131">
        <f>+(1.57-1)*I9</f>
        <v>3.4200000000000004</v>
      </c>
      <c r="L9" s="59"/>
    </row>
    <row r="10" spans="1:12">
      <c r="A10" s="138" t="s">
        <v>73</v>
      </c>
      <c r="B10" s="59" t="s">
        <v>504</v>
      </c>
      <c r="C10" s="124" t="s">
        <v>256</v>
      </c>
      <c r="D10" s="124"/>
      <c r="E10" s="59"/>
      <c r="F10" s="59"/>
      <c r="G10" s="46">
        <v>2</v>
      </c>
      <c r="H10" s="125">
        <v>3</v>
      </c>
      <c r="I10" s="208">
        <v>12</v>
      </c>
      <c r="J10" s="131">
        <f>-H10</f>
        <v>-3</v>
      </c>
      <c r="K10" s="131">
        <f>-I10</f>
        <v>-12</v>
      </c>
      <c r="L10" s="59"/>
    </row>
    <row r="11" spans="1:12">
      <c r="A11" s="59" t="s">
        <v>10</v>
      </c>
      <c r="B11" s="138" t="s">
        <v>47</v>
      </c>
      <c r="C11" s="124" t="s">
        <v>256</v>
      </c>
      <c r="D11" s="124"/>
      <c r="E11" s="59"/>
      <c r="F11" s="59"/>
      <c r="G11" s="54">
        <v>2</v>
      </c>
      <c r="H11" s="125">
        <v>3</v>
      </c>
      <c r="I11" s="208">
        <v>11</v>
      </c>
      <c r="J11" s="131">
        <f>+(2.25-1)*H11</f>
        <v>3.75</v>
      </c>
      <c r="K11" s="131">
        <f>+(2.25-1)*I11</f>
        <v>13.75</v>
      </c>
      <c r="L11" s="59"/>
    </row>
    <row r="12" spans="1:12">
      <c r="A12" s="138" t="s">
        <v>5</v>
      </c>
      <c r="B12" s="59" t="s">
        <v>1</v>
      </c>
      <c r="C12" s="212">
        <v>1</v>
      </c>
      <c r="D12" s="124">
        <v>1.44</v>
      </c>
      <c r="E12" s="59">
        <v>2.25</v>
      </c>
      <c r="F12" s="234">
        <f>+(D12-1)*E12</f>
        <v>0.98999999999999988</v>
      </c>
      <c r="G12" s="46">
        <v>2</v>
      </c>
      <c r="H12" s="125">
        <v>1</v>
      </c>
      <c r="I12" s="125">
        <v>3</v>
      </c>
      <c r="J12" s="131">
        <f>-H12</f>
        <v>-1</v>
      </c>
      <c r="K12" s="131">
        <f>-I12</f>
        <v>-3</v>
      </c>
      <c r="L12" s="59"/>
    </row>
    <row r="13" spans="1:12">
      <c r="A13" s="59"/>
      <c r="B13" s="59"/>
      <c r="C13" s="59"/>
      <c r="D13" s="59"/>
      <c r="E13" s="59"/>
      <c r="F13" s="59"/>
      <c r="G13" s="59"/>
      <c r="H13" s="59"/>
      <c r="I13" s="59"/>
      <c r="J13" s="59"/>
      <c r="K13" s="59"/>
      <c r="L13" s="59"/>
    </row>
    <row r="14" spans="1:12">
      <c r="A14" s="207"/>
      <c r="B14" s="207"/>
      <c r="F14" s="102">
        <f>SUM(F3:F12)</f>
        <v>0.9400000000000005</v>
      </c>
      <c r="J14" s="102">
        <f t="shared" ref="J14:K14" si="2">SUM(J3:J12)</f>
        <v>-5.15</v>
      </c>
      <c r="K14" s="102">
        <f t="shared" si="2"/>
        <v>-27.009999999999998</v>
      </c>
    </row>
    <row r="15" spans="1:12">
      <c r="A15" s="207"/>
      <c r="B15" s="207"/>
      <c r="F15" s="101">
        <f>+F14/SUM(E3:E12)</f>
        <v>8.1739130434782648E-2</v>
      </c>
      <c r="J15" s="101">
        <f>+J14/SUM(H3:H12)</f>
        <v>-0.27105263157894738</v>
      </c>
      <c r="K15" s="101">
        <f>+K14/SUM(I3:I12)</f>
        <v>-0.37513888888888886</v>
      </c>
    </row>
    <row r="16" spans="1:12">
      <c r="A16" s="2"/>
      <c r="B16" s="86"/>
      <c r="C16" s="2"/>
    </row>
    <row r="17" spans="1:14">
      <c r="A17" s="2"/>
      <c r="B17" s="86"/>
      <c r="C17" s="2"/>
    </row>
    <row r="18" spans="1:14">
      <c r="A18" s="2"/>
      <c r="B18" s="86"/>
      <c r="C18" s="2"/>
    </row>
    <row r="19" spans="1:14">
      <c r="A19" s="137" t="s">
        <v>584</v>
      </c>
      <c r="D19" s="137" t="s">
        <v>362</v>
      </c>
      <c r="E19" s="137" t="s">
        <v>363</v>
      </c>
      <c r="F19" s="137" t="s">
        <v>433</v>
      </c>
      <c r="L19" s="98" t="s">
        <v>429</v>
      </c>
      <c r="M19" s="98" t="s">
        <v>431</v>
      </c>
    </row>
    <row r="20" spans="1:14">
      <c r="A20" s="110" t="s">
        <v>392</v>
      </c>
      <c r="B20" s="21" t="s">
        <v>585</v>
      </c>
      <c r="C20" s="21" t="s">
        <v>47</v>
      </c>
      <c r="D20" s="16">
        <v>2</v>
      </c>
      <c r="E20" s="103">
        <v>1</v>
      </c>
      <c r="F20" s="16" t="s">
        <v>359</v>
      </c>
      <c r="G20" s="104"/>
      <c r="H20" s="104"/>
      <c r="I20" s="104"/>
      <c r="J20" s="104"/>
      <c r="K20" s="104"/>
      <c r="L20" s="16" t="s">
        <v>359</v>
      </c>
      <c r="M20" s="16" t="s">
        <v>359</v>
      </c>
      <c r="N20" s="2"/>
    </row>
    <row r="21" spans="1:14">
      <c r="A21" s="110" t="s">
        <v>393</v>
      </c>
      <c r="B21" s="21" t="s">
        <v>15</v>
      </c>
      <c r="C21" s="21" t="s">
        <v>586</v>
      </c>
      <c r="D21" s="16" t="s">
        <v>342</v>
      </c>
      <c r="E21" s="103">
        <v>1</v>
      </c>
      <c r="F21" s="16" t="s">
        <v>357</v>
      </c>
      <c r="G21" s="104"/>
      <c r="H21" s="104"/>
      <c r="I21" s="104"/>
      <c r="J21" s="104"/>
      <c r="K21" s="104"/>
      <c r="L21" s="16" t="s">
        <v>357</v>
      </c>
      <c r="M21" s="16" t="s">
        <v>357</v>
      </c>
      <c r="N21" s="2"/>
    </row>
    <row r="22" spans="1:14">
      <c r="A22" s="110" t="s">
        <v>394</v>
      </c>
      <c r="B22" s="21" t="s">
        <v>5</v>
      </c>
      <c r="C22" s="21" t="s">
        <v>1</v>
      </c>
      <c r="D22" s="16">
        <v>1</v>
      </c>
      <c r="E22" s="16">
        <v>1</v>
      </c>
      <c r="F22" s="16">
        <v>1</v>
      </c>
      <c r="G22" s="2"/>
      <c r="H22" s="104"/>
      <c r="I22" s="104"/>
      <c r="J22" s="104"/>
      <c r="K22" s="104"/>
      <c r="L22" s="16">
        <v>1</v>
      </c>
      <c r="M22" s="16">
        <v>1</v>
      </c>
      <c r="N22" s="2"/>
    </row>
    <row r="23" spans="1:14">
      <c r="A23" s="110" t="s">
        <v>395</v>
      </c>
      <c r="B23" s="21" t="s">
        <v>308</v>
      </c>
      <c r="C23" s="21" t="s">
        <v>181</v>
      </c>
      <c r="D23" s="16">
        <v>1</v>
      </c>
      <c r="E23" s="16">
        <v>1</v>
      </c>
      <c r="F23" s="16">
        <v>1</v>
      </c>
      <c r="G23" s="2"/>
      <c r="H23" s="104"/>
      <c r="I23" s="104"/>
      <c r="J23" s="104"/>
      <c r="K23" s="104"/>
      <c r="L23" s="16">
        <v>1</v>
      </c>
      <c r="M23" s="16">
        <v>1</v>
      </c>
      <c r="N23" s="2"/>
    </row>
    <row r="24" spans="1:14">
      <c r="A24" s="110" t="s">
        <v>396</v>
      </c>
      <c r="B24" s="21" t="s">
        <v>587</v>
      </c>
      <c r="C24" s="21" t="s">
        <v>422</v>
      </c>
      <c r="D24" s="16">
        <v>2</v>
      </c>
      <c r="E24" s="16">
        <v>2</v>
      </c>
      <c r="F24" s="16" t="s">
        <v>359</v>
      </c>
      <c r="G24" s="2"/>
      <c r="H24" s="104"/>
      <c r="I24" s="104"/>
      <c r="J24" s="104"/>
      <c r="K24" s="104"/>
      <c r="L24" s="16" t="s">
        <v>357</v>
      </c>
      <c r="M24" s="16" t="s">
        <v>357</v>
      </c>
      <c r="N24" s="2"/>
    </row>
    <row r="25" spans="1:14">
      <c r="A25" s="110" t="s">
        <v>397</v>
      </c>
      <c r="B25" s="21" t="s">
        <v>4</v>
      </c>
      <c r="C25" s="21" t="s">
        <v>2</v>
      </c>
      <c r="D25" s="16">
        <v>1</v>
      </c>
      <c r="E25" s="16">
        <v>1</v>
      </c>
      <c r="F25" s="16">
        <v>1</v>
      </c>
      <c r="G25" s="2"/>
      <c r="H25" s="104"/>
      <c r="I25" s="104"/>
      <c r="J25" s="104"/>
      <c r="K25" s="104"/>
      <c r="L25" s="16">
        <v>1</v>
      </c>
      <c r="M25" s="16">
        <v>1</v>
      </c>
      <c r="N25" s="2"/>
    </row>
    <row r="26" spans="1:14">
      <c r="A26" s="110" t="s">
        <v>398</v>
      </c>
      <c r="B26" s="21" t="s">
        <v>26</v>
      </c>
      <c r="C26" s="21" t="s">
        <v>16</v>
      </c>
      <c r="D26" s="103" t="s">
        <v>342</v>
      </c>
      <c r="E26" s="16">
        <v>1</v>
      </c>
      <c r="F26" s="16" t="s">
        <v>356</v>
      </c>
      <c r="G26" s="2"/>
      <c r="H26" s="104"/>
      <c r="I26" s="104"/>
      <c r="J26" s="104"/>
      <c r="K26" s="104"/>
      <c r="L26" s="16" t="s">
        <v>357</v>
      </c>
      <c r="M26" s="16" t="s">
        <v>357</v>
      </c>
      <c r="N26" s="2"/>
    </row>
    <row r="27" spans="1:14">
      <c r="A27" s="110" t="s">
        <v>399</v>
      </c>
      <c r="B27" s="21" t="s">
        <v>588</v>
      </c>
      <c r="C27" s="21" t="s">
        <v>0</v>
      </c>
      <c r="D27" s="103">
        <v>2</v>
      </c>
      <c r="E27" s="103">
        <v>1</v>
      </c>
      <c r="F27" s="16" t="s">
        <v>359</v>
      </c>
      <c r="G27" s="2"/>
      <c r="H27" s="104"/>
      <c r="I27" s="104"/>
      <c r="J27" s="104"/>
      <c r="K27" s="104"/>
      <c r="L27" s="16" t="s">
        <v>357</v>
      </c>
      <c r="M27" s="16" t="s">
        <v>357</v>
      </c>
      <c r="N27" s="2"/>
    </row>
    <row r="28" spans="1:14">
      <c r="A28" s="110" t="s">
        <v>400</v>
      </c>
      <c r="B28" s="21" t="s">
        <v>73</v>
      </c>
      <c r="C28" s="21" t="s">
        <v>504</v>
      </c>
      <c r="D28" s="16">
        <v>1</v>
      </c>
      <c r="E28" s="103">
        <v>2</v>
      </c>
      <c r="F28" s="16" t="s">
        <v>356</v>
      </c>
      <c r="G28" s="2"/>
      <c r="H28" s="104"/>
      <c r="I28" s="104"/>
      <c r="J28" s="104"/>
      <c r="K28" s="104"/>
      <c r="L28" s="16" t="s">
        <v>356</v>
      </c>
      <c r="M28" s="16" t="s">
        <v>356</v>
      </c>
      <c r="N28" s="2"/>
    </row>
    <row r="29" spans="1:14">
      <c r="A29" s="110" t="s">
        <v>401</v>
      </c>
      <c r="B29" s="21" t="s">
        <v>589</v>
      </c>
      <c r="C29" s="21" t="s">
        <v>590</v>
      </c>
      <c r="D29" s="16">
        <v>2</v>
      </c>
      <c r="E29" s="16">
        <v>2</v>
      </c>
      <c r="F29" s="16" t="s">
        <v>359</v>
      </c>
      <c r="G29" s="2"/>
      <c r="H29" s="104"/>
      <c r="I29" s="104"/>
      <c r="J29" s="104"/>
      <c r="K29" s="104"/>
      <c r="L29" s="16" t="s">
        <v>359</v>
      </c>
      <c r="M29" s="16" t="s">
        <v>359</v>
      </c>
      <c r="N29" s="149" t="s">
        <v>600</v>
      </c>
    </row>
    <row r="30" spans="1:14">
      <c r="A30" s="110" t="s">
        <v>402</v>
      </c>
      <c r="B30" s="21" t="s">
        <v>591</v>
      </c>
      <c r="C30" s="21" t="s">
        <v>592</v>
      </c>
      <c r="D30" s="16">
        <v>1</v>
      </c>
      <c r="E30" s="103" t="s">
        <v>342</v>
      </c>
      <c r="F30" s="16">
        <v>1</v>
      </c>
      <c r="G30" s="2"/>
      <c r="H30" s="104"/>
      <c r="I30" s="104"/>
      <c r="J30" s="104"/>
      <c r="K30" s="104"/>
      <c r="L30" s="16">
        <v>1</v>
      </c>
      <c r="M30" s="16" t="s">
        <v>356</v>
      </c>
      <c r="N30" s="149" t="s">
        <v>602</v>
      </c>
    </row>
    <row r="31" spans="1:14">
      <c r="A31" s="110" t="s">
        <v>403</v>
      </c>
      <c r="B31" s="21" t="s">
        <v>593</v>
      </c>
      <c r="C31" s="21" t="s">
        <v>594</v>
      </c>
      <c r="D31" s="16">
        <v>1</v>
      </c>
      <c r="E31" s="16">
        <v>1</v>
      </c>
      <c r="F31" s="16">
        <v>1</v>
      </c>
      <c r="G31" s="2"/>
      <c r="H31" s="104"/>
      <c r="I31" s="104"/>
      <c r="J31" s="104"/>
      <c r="K31" s="104"/>
      <c r="L31" s="16">
        <v>1</v>
      </c>
      <c r="M31" s="16">
        <v>1</v>
      </c>
      <c r="N31" s="149" t="s">
        <v>605</v>
      </c>
    </row>
    <row r="32" spans="1:14">
      <c r="A32" s="110" t="s">
        <v>404</v>
      </c>
      <c r="B32" s="21" t="s">
        <v>595</v>
      </c>
      <c r="C32" s="21" t="s">
        <v>596</v>
      </c>
      <c r="D32" s="16">
        <v>1</v>
      </c>
      <c r="E32" s="16">
        <v>1</v>
      </c>
      <c r="F32" s="16">
        <v>1</v>
      </c>
      <c r="G32" s="2"/>
      <c r="H32" s="104"/>
      <c r="I32" s="104"/>
      <c r="J32" s="104"/>
      <c r="K32" s="104"/>
      <c r="L32" s="16">
        <v>1</v>
      </c>
      <c r="M32" s="16" t="s">
        <v>356</v>
      </c>
      <c r="N32" s="149" t="s">
        <v>606</v>
      </c>
    </row>
    <row r="33" spans="1:18">
      <c r="A33" s="110" t="s">
        <v>405</v>
      </c>
      <c r="B33" s="21" t="s">
        <v>597</v>
      </c>
      <c r="C33" s="21" t="s">
        <v>598</v>
      </c>
      <c r="D33" s="16" t="s">
        <v>342</v>
      </c>
      <c r="E33" s="103">
        <v>1</v>
      </c>
      <c r="F33" s="16" t="s">
        <v>357</v>
      </c>
      <c r="G33" s="2"/>
      <c r="H33" s="104"/>
      <c r="I33" s="104"/>
      <c r="J33" s="104"/>
      <c r="K33" s="104"/>
      <c r="L33" s="16" t="s">
        <v>357</v>
      </c>
      <c r="M33" s="16" t="s">
        <v>357</v>
      </c>
      <c r="N33" s="149"/>
    </row>
    <row r="34" spans="1:18">
      <c r="A34" s="110" t="s">
        <v>406</v>
      </c>
      <c r="B34" s="21" t="s">
        <v>599</v>
      </c>
      <c r="C34" s="21" t="s">
        <v>28</v>
      </c>
      <c r="D34" s="16">
        <v>1</v>
      </c>
      <c r="E34" s="103">
        <v>2</v>
      </c>
      <c r="F34" s="16">
        <v>1</v>
      </c>
      <c r="G34" s="149"/>
      <c r="H34" s="104"/>
      <c r="I34" s="104"/>
      <c r="J34" s="104"/>
      <c r="K34" s="104"/>
      <c r="L34" s="16">
        <v>1</v>
      </c>
      <c r="M34" s="16">
        <v>1</v>
      </c>
      <c r="N34" s="2"/>
    </row>
    <row r="35" spans="1:18">
      <c r="A35" s="110"/>
      <c r="B35" s="2"/>
      <c r="C35" s="2"/>
      <c r="D35" s="2"/>
      <c r="E35" s="2"/>
      <c r="F35" s="104"/>
      <c r="G35" s="149"/>
      <c r="H35" s="104"/>
      <c r="I35" s="104"/>
      <c r="J35" s="104"/>
      <c r="K35" s="104"/>
      <c r="L35" s="104"/>
      <c r="M35" s="104"/>
      <c r="N35" s="2"/>
    </row>
    <row r="36" spans="1:18">
      <c r="F36" s="98" t="s">
        <v>522</v>
      </c>
      <c r="G36" s="98"/>
      <c r="H36" s="98"/>
      <c r="I36" s="98"/>
      <c r="J36" s="98"/>
      <c r="K36" s="98"/>
      <c r="L36" s="98" t="s">
        <v>625</v>
      </c>
      <c r="M36" s="98" t="s">
        <v>475</v>
      </c>
    </row>
    <row r="37" spans="1:18">
      <c r="D37" s="111">
        <v>0.5</v>
      </c>
      <c r="E37" s="111">
        <v>0.5</v>
      </c>
      <c r="F37" s="111">
        <v>288</v>
      </c>
      <c r="G37" s="98"/>
      <c r="H37" s="98"/>
      <c r="I37" s="98"/>
      <c r="J37" s="98"/>
      <c r="K37" s="98"/>
      <c r="L37" s="111">
        <v>972</v>
      </c>
      <c r="M37" s="111">
        <v>3888</v>
      </c>
    </row>
    <row r="40" spans="1:18">
      <c r="D40" s="137" t="s">
        <v>527</v>
      </c>
      <c r="E40" s="137" t="s">
        <v>528</v>
      </c>
      <c r="M40" s="137" t="s">
        <v>567</v>
      </c>
      <c r="N40" s="63"/>
      <c r="P40" s="135"/>
      <c r="Q40" s="135"/>
      <c r="R40" s="135"/>
    </row>
    <row r="41" spans="1:18">
      <c r="A41" s="110" t="s">
        <v>392</v>
      </c>
      <c r="B41" s="21" t="s">
        <v>585</v>
      </c>
      <c r="C41" s="21" t="s">
        <v>47</v>
      </c>
      <c r="D41" s="124"/>
      <c r="E41" s="124"/>
      <c r="F41" s="124"/>
      <c r="G41" s="124"/>
      <c r="H41" s="124"/>
      <c r="I41" s="124"/>
      <c r="J41" s="124"/>
      <c r="K41" s="124"/>
      <c r="L41" s="104"/>
      <c r="M41" s="140" t="s">
        <v>357</v>
      </c>
      <c r="N41" s="227"/>
    </row>
    <row r="42" spans="1:18">
      <c r="A42" s="110" t="s">
        <v>393</v>
      </c>
      <c r="B42" s="21" t="s">
        <v>15</v>
      </c>
      <c r="C42" s="21" t="s">
        <v>586</v>
      </c>
      <c r="D42" s="124"/>
      <c r="E42" s="124"/>
      <c r="F42" s="124"/>
      <c r="G42" s="124"/>
      <c r="H42" s="124"/>
      <c r="I42" s="124"/>
      <c r="J42" s="124"/>
      <c r="K42" s="124"/>
      <c r="L42" s="104"/>
      <c r="M42" s="140" t="s">
        <v>357</v>
      </c>
      <c r="N42" s="59"/>
    </row>
    <row r="43" spans="1:18">
      <c r="A43" s="110" t="s">
        <v>394</v>
      </c>
      <c r="B43" s="21" t="s">
        <v>5</v>
      </c>
      <c r="C43" s="21" t="s">
        <v>1</v>
      </c>
      <c r="D43" s="124"/>
      <c r="E43" s="124"/>
      <c r="F43" s="124"/>
      <c r="G43" s="124"/>
      <c r="H43" s="124"/>
      <c r="I43" s="124"/>
      <c r="J43" s="124"/>
      <c r="K43" s="124"/>
      <c r="L43" s="104"/>
      <c r="M43" s="140">
        <v>1</v>
      </c>
      <c r="N43" s="59"/>
    </row>
    <row r="44" spans="1:18">
      <c r="A44" s="110" t="s">
        <v>395</v>
      </c>
      <c r="B44" s="21" t="s">
        <v>308</v>
      </c>
      <c r="C44" s="21" t="s">
        <v>181</v>
      </c>
      <c r="D44" s="124"/>
      <c r="E44" s="124"/>
      <c r="F44" s="124"/>
      <c r="G44" s="124"/>
      <c r="H44" s="124"/>
      <c r="I44" s="124"/>
      <c r="J44" s="124"/>
      <c r="K44" s="124"/>
      <c r="L44" s="104"/>
      <c r="M44" s="140">
        <v>1</v>
      </c>
      <c r="N44" s="59"/>
      <c r="P44" s="135"/>
      <c r="Q44" s="135"/>
      <c r="R44" s="135"/>
    </row>
    <row r="45" spans="1:18">
      <c r="A45" s="110" t="s">
        <v>396</v>
      </c>
      <c r="B45" s="21" t="s">
        <v>587</v>
      </c>
      <c r="C45" s="21" t="s">
        <v>422</v>
      </c>
      <c r="D45" s="124"/>
      <c r="E45" s="124"/>
      <c r="F45" s="124"/>
      <c r="G45" s="124"/>
      <c r="H45" s="124"/>
      <c r="I45" s="124"/>
      <c r="J45" s="124"/>
      <c r="K45" s="124"/>
      <c r="L45" s="104"/>
      <c r="M45" s="140" t="s">
        <v>359</v>
      </c>
      <c r="N45" s="59"/>
      <c r="P45" s="135"/>
      <c r="Q45" s="135"/>
      <c r="R45" s="135"/>
    </row>
    <row r="46" spans="1:18">
      <c r="A46" s="110" t="s">
        <v>397</v>
      </c>
      <c r="B46" s="21" t="s">
        <v>4</v>
      </c>
      <c r="C46" s="21" t="s">
        <v>2</v>
      </c>
      <c r="D46" s="124"/>
      <c r="E46" s="124"/>
      <c r="F46" s="124"/>
      <c r="G46" s="124"/>
      <c r="H46" s="124"/>
      <c r="I46" s="124"/>
      <c r="J46" s="124"/>
      <c r="K46" s="124"/>
      <c r="L46" s="104"/>
      <c r="M46" s="140">
        <v>1</v>
      </c>
      <c r="N46" s="59"/>
      <c r="P46" s="135"/>
      <c r="Q46" s="135"/>
    </row>
    <row r="47" spans="1:18">
      <c r="A47" s="110" t="s">
        <v>398</v>
      </c>
      <c r="B47" s="21" t="s">
        <v>26</v>
      </c>
      <c r="C47" s="21" t="s">
        <v>16</v>
      </c>
      <c r="D47" s="124"/>
      <c r="E47" s="124"/>
      <c r="F47" s="124"/>
      <c r="G47" s="124"/>
      <c r="H47" s="124"/>
      <c r="I47" s="124"/>
      <c r="J47" s="124"/>
      <c r="K47" s="124"/>
      <c r="L47" s="104"/>
      <c r="M47" s="140" t="s">
        <v>357</v>
      </c>
      <c r="N47" s="59"/>
    </row>
    <row r="48" spans="1:18">
      <c r="A48" s="110" t="s">
        <v>399</v>
      </c>
      <c r="B48" s="21" t="s">
        <v>588</v>
      </c>
      <c r="C48" s="21" t="s">
        <v>0</v>
      </c>
      <c r="D48" s="124"/>
      <c r="E48" s="124"/>
      <c r="F48" s="124"/>
      <c r="G48" s="228"/>
      <c r="H48" s="124"/>
      <c r="I48" s="124"/>
      <c r="J48" s="124"/>
      <c r="K48" s="124"/>
      <c r="L48" s="104"/>
      <c r="M48" s="123" t="s">
        <v>356</v>
      </c>
      <c r="N48" s="59"/>
    </row>
    <row r="49" spans="1:17">
      <c r="A49" s="110" t="s">
        <v>400</v>
      </c>
      <c r="B49" s="21" t="s">
        <v>73</v>
      </c>
      <c r="C49" s="21" t="s">
        <v>504</v>
      </c>
      <c r="D49" s="124"/>
      <c r="E49" s="124"/>
      <c r="F49" s="124"/>
      <c r="G49" s="124"/>
      <c r="H49" s="124"/>
      <c r="I49" s="124"/>
      <c r="J49" s="124"/>
      <c r="K49" s="124"/>
      <c r="L49" s="104"/>
      <c r="M49" s="140" t="s">
        <v>357</v>
      </c>
      <c r="N49" s="59"/>
    </row>
    <row r="50" spans="1:17">
      <c r="A50" s="110" t="s">
        <v>401</v>
      </c>
      <c r="B50" s="21" t="s">
        <v>589</v>
      </c>
      <c r="C50" s="21" t="s">
        <v>590</v>
      </c>
      <c r="D50" s="124"/>
      <c r="E50" s="124"/>
      <c r="F50" s="124"/>
      <c r="G50" s="124"/>
      <c r="H50" s="124"/>
      <c r="I50" s="124"/>
      <c r="J50" s="124"/>
      <c r="K50" s="124"/>
      <c r="L50" s="104"/>
      <c r="M50" s="140" t="s">
        <v>359</v>
      </c>
      <c r="N50" s="59"/>
    </row>
    <row r="51" spans="1:17">
      <c r="A51" s="110" t="s">
        <v>402</v>
      </c>
      <c r="B51" s="21" t="s">
        <v>591</v>
      </c>
      <c r="C51" s="21" t="s">
        <v>592</v>
      </c>
      <c r="D51" s="124"/>
      <c r="E51" s="124"/>
      <c r="F51" s="124"/>
      <c r="G51" s="124"/>
      <c r="H51" s="124"/>
      <c r="I51" s="124"/>
      <c r="J51" s="124"/>
      <c r="K51" s="124"/>
      <c r="L51" s="104"/>
      <c r="M51" s="140" t="s">
        <v>356</v>
      </c>
      <c r="N51" s="59"/>
    </row>
    <row r="52" spans="1:17">
      <c r="A52" s="110" t="s">
        <v>403</v>
      </c>
      <c r="B52" s="21" t="s">
        <v>593</v>
      </c>
      <c r="C52" s="21" t="s">
        <v>594</v>
      </c>
      <c r="D52" s="124"/>
      <c r="E52" s="124"/>
      <c r="F52" s="124"/>
      <c r="G52" s="124"/>
      <c r="H52" s="124"/>
      <c r="I52" s="124"/>
      <c r="J52" s="124"/>
      <c r="K52" s="124"/>
      <c r="L52" s="104"/>
      <c r="M52" s="140" t="s">
        <v>356</v>
      </c>
      <c r="N52" s="59"/>
    </row>
    <row r="53" spans="1:17">
      <c r="A53" s="110" t="s">
        <v>404</v>
      </c>
      <c r="B53" s="21" t="s">
        <v>595</v>
      </c>
      <c r="C53" s="21" t="s">
        <v>596</v>
      </c>
      <c r="D53" s="124"/>
      <c r="E53" s="124"/>
      <c r="F53" s="124"/>
      <c r="G53" s="124"/>
      <c r="H53" s="124"/>
      <c r="I53" s="124"/>
      <c r="J53" s="124"/>
      <c r="K53" s="124"/>
      <c r="L53" s="104"/>
      <c r="M53" s="140">
        <v>1</v>
      </c>
      <c r="N53" s="59"/>
    </row>
    <row r="54" spans="1:17">
      <c r="A54" s="110" t="s">
        <v>405</v>
      </c>
      <c r="B54" s="21" t="s">
        <v>597</v>
      </c>
      <c r="C54" s="21" t="s">
        <v>598</v>
      </c>
      <c r="D54" s="124"/>
      <c r="E54" s="124"/>
      <c r="F54" s="124"/>
      <c r="G54" s="124"/>
      <c r="H54" s="124"/>
      <c r="I54" s="124"/>
      <c r="J54" s="124"/>
      <c r="K54" s="124"/>
      <c r="L54" s="104"/>
      <c r="M54" s="140" t="s">
        <v>357</v>
      </c>
      <c r="N54" s="59"/>
    </row>
    <row r="55" spans="1:17">
      <c r="A55" s="110" t="s">
        <v>406</v>
      </c>
      <c r="B55" s="21" t="s">
        <v>599</v>
      </c>
      <c r="C55" s="21" t="s">
        <v>28</v>
      </c>
      <c r="D55" s="124"/>
      <c r="E55" s="124"/>
      <c r="F55" s="124"/>
      <c r="G55" s="124"/>
      <c r="H55" s="124"/>
      <c r="I55" s="124"/>
      <c r="J55" s="124"/>
      <c r="K55" s="124"/>
      <c r="L55" s="104"/>
      <c r="M55" s="123">
        <v>2</v>
      </c>
      <c r="N55" s="59"/>
    </row>
    <row r="56" spans="1:17">
      <c r="B56" s="59"/>
      <c r="C56" s="59"/>
      <c r="D56" s="59"/>
      <c r="E56" s="59"/>
      <c r="F56" s="59"/>
      <c r="G56" s="59"/>
      <c r="H56" s="59"/>
      <c r="I56" s="59"/>
      <c r="J56" s="59"/>
      <c r="K56" s="59"/>
      <c r="L56" s="59"/>
      <c r="M56" s="59"/>
      <c r="N56" s="59"/>
    </row>
    <row r="57" spans="1:17">
      <c r="B57" s="59"/>
      <c r="C57" s="59"/>
      <c r="D57" s="59"/>
      <c r="E57" s="59"/>
      <c r="F57" s="59"/>
      <c r="G57" s="59"/>
      <c r="H57" s="59"/>
      <c r="I57" s="59"/>
      <c r="J57" s="59"/>
      <c r="K57" s="59"/>
      <c r="L57" s="59"/>
      <c r="M57" s="98" t="s">
        <v>475</v>
      </c>
      <c r="N57" s="59"/>
    </row>
    <row r="58" spans="1:17">
      <c r="B58" s="59"/>
      <c r="C58" s="59"/>
      <c r="D58" s="229"/>
      <c r="E58" s="229"/>
      <c r="F58" s="59"/>
      <c r="G58" s="59"/>
      <c r="H58" s="59"/>
      <c r="I58" s="59"/>
      <c r="J58" s="59"/>
      <c r="K58" s="59"/>
      <c r="L58" s="59"/>
      <c r="M58" s="111">
        <v>3888</v>
      </c>
      <c r="N58" s="59"/>
    </row>
    <row r="61" spans="1:17">
      <c r="A61" s="231" t="s">
        <v>628</v>
      </c>
      <c r="M61" s="231" t="s">
        <v>629</v>
      </c>
    </row>
    <row r="62" spans="1:17">
      <c r="A62" s="236" t="s">
        <v>392</v>
      </c>
      <c r="B62" s="233" t="s">
        <v>585</v>
      </c>
      <c r="C62" s="233" t="s">
        <v>47</v>
      </c>
      <c r="D62" s="103" t="s">
        <v>342</v>
      </c>
      <c r="E62" s="123" t="s">
        <v>342</v>
      </c>
      <c r="F62" s="140">
        <v>2</v>
      </c>
      <c r="G62" s="140">
        <v>2</v>
      </c>
      <c r="H62" s="140">
        <v>2</v>
      </c>
      <c r="I62" s="140">
        <v>2</v>
      </c>
      <c r="J62" s="140">
        <v>2</v>
      </c>
      <c r="K62" s="231"/>
      <c r="L62" s="231"/>
      <c r="M62" s="140">
        <v>2</v>
      </c>
      <c r="N62" s="140">
        <v>2</v>
      </c>
      <c r="O62" s="123" t="s">
        <v>342</v>
      </c>
      <c r="P62" s="140">
        <v>2</v>
      </c>
      <c r="Q62" s="231"/>
    </row>
    <row r="63" spans="1:17">
      <c r="A63" s="236" t="s">
        <v>393</v>
      </c>
      <c r="B63" s="233" t="s">
        <v>15</v>
      </c>
      <c r="C63" s="233" t="s">
        <v>586</v>
      </c>
      <c r="D63" s="103">
        <v>1</v>
      </c>
      <c r="E63" s="123">
        <v>1</v>
      </c>
      <c r="F63" s="123">
        <v>1</v>
      </c>
      <c r="G63" s="123">
        <v>1</v>
      </c>
      <c r="H63" s="123">
        <v>1</v>
      </c>
      <c r="I63" s="123">
        <v>1</v>
      </c>
      <c r="J63" s="123">
        <v>1</v>
      </c>
      <c r="K63" s="231"/>
      <c r="L63" s="231"/>
      <c r="M63" s="123">
        <v>1</v>
      </c>
      <c r="N63" s="123">
        <v>1</v>
      </c>
      <c r="O63" s="123">
        <v>1</v>
      </c>
      <c r="P63" s="123">
        <v>1</v>
      </c>
      <c r="Q63" s="231"/>
    </row>
    <row r="64" spans="1:17">
      <c r="A64" s="236" t="s">
        <v>394</v>
      </c>
      <c r="B64" s="233" t="s">
        <v>5</v>
      </c>
      <c r="C64" s="233" t="s">
        <v>1</v>
      </c>
      <c r="D64" s="16">
        <v>1</v>
      </c>
      <c r="E64" s="140">
        <v>1</v>
      </c>
      <c r="F64" s="140">
        <v>1</v>
      </c>
      <c r="G64" s="140">
        <v>1</v>
      </c>
      <c r="H64" s="140">
        <v>1</v>
      </c>
      <c r="I64" s="140">
        <v>1</v>
      </c>
      <c r="J64" s="140">
        <v>1</v>
      </c>
      <c r="K64" s="231"/>
      <c r="L64" s="231"/>
      <c r="M64" s="140">
        <v>1</v>
      </c>
      <c r="N64" s="140">
        <v>1</v>
      </c>
      <c r="O64" s="140">
        <v>1</v>
      </c>
      <c r="P64" s="140">
        <v>1</v>
      </c>
      <c r="Q64" s="231"/>
    </row>
    <row r="65" spans="1:17">
      <c r="A65" s="236" t="s">
        <v>395</v>
      </c>
      <c r="B65" s="233" t="s">
        <v>308</v>
      </c>
      <c r="C65" s="233" t="s">
        <v>181</v>
      </c>
      <c r="D65" s="16">
        <v>1</v>
      </c>
      <c r="E65" s="140">
        <v>1</v>
      </c>
      <c r="F65" s="140">
        <v>1</v>
      </c>
      <c r="G65" s="140">
        <v>1</v>
      </c>
      <c r="H65" s="140">
        <v>1</v>
      </c>
      <c r="I65" s="140">
        <v>1</v>
      </c>
      <c r="J65" s="140">
        <v>1</v>
      </c>
      <c r="K65" s="231"/>
      <c r="L65" s="231"/>
      <c r="M65" s="140">
        <v>1</v>
      </c>
      <c r="N65" s="140">
        <v>1</v>
      </c>
      <c r="O65" s="140">
        <v>1</v>
      </c>
      <c r="P65" s="140">
        <v>1</v>
      </c>
      <c r="Q65" s="231"/>
    </row>
    <row r="66" spans="1:17">
      <c r="A66" s="236" t="s">
        <v>396</v>
      </c>
      <c r="B66" s="233" t="s">
        <v>587</v>
      </c>
      <c r="C66" s="233" t="s">
        <v>422</v>
      </c>
      <c r="D66" s="103" t="s">
        <v>342</v>
      </c>
      <c r="E66" s="123" t="s">
        <v>342</v>
      </c>
      <c r="F66" s="123" t="s">
        <v>342</v>
      </c>
      <c r="G66" s="123" t="s">
        <v>342</v>
      </c>
      <c r="H66" s="238">
        <v>1</v>
      </c>
      <c r="I66" s="123" t="s">
        <v>342</v>
      </c>
      <c r="J66" s="123" t="s">
        <v>342</v>
      </c>
      <c r="K66" s="231"/>
      <c r="L66" s="231"/>
      <c r="M66" s="123" t="s">
        <v>342</v>
      </c>
      <c r="N66" s="123" t="s">
        <v>342</v>
      </c>
      <c r="O66" s="123" t="s">
        <v>342</v>
      </c>
      <c r="P66" s="238">
        <v>1</v>
      </c>
      <c r="Q66" s="231"/>
    </row>
    <row r="67" spans="1:17">
      <c r="A67" s="236" t="s">
        <v>397</v>
      </c>
      <c r="B67" s="233" t="s">
        <v>4</v>
      </c>
      <c r="C67" s="233" t="s">
        <v>2</v>
      </c>
      <c r="D67" s="16">
        <v>1</v>
      </c>
      <c r="E67" s="140">
        <v>1</v>
      </c>
      <c r="F67" s="140">
        <v>1</v>
      </c>
      <c r="G67" s="140">
        <v>1</v>
      </c>
      <c r="H67" s="140">
        <v>1</v>
      </c>
      <c r="I67" s="140">
        <v>1</v>
      </c>
      <c r="J67" s="140">
        <v>1</v>
      </c>
      <c r="K67" s="231"/>
      <c r="L67" s="231"/>
      <c r="M67" s="140">
        <v>1</v>
      </c>
      <c r="N67" s="140">
        <v>1</v>
      </c>
      <c r="O67" s="140">
        <v>1</v>
      </c>
      <c r="P67" s="140">
        <v>1</v>
      </c>
      <c r="Q67" s="231"/>
    </row>
    <row r="68" spans="1:17">
      <c r="A68" s="236" t="s">
        <v>398</v>
      </c>
      <c r="B68" s="233" t="s">
        <v>26</v>
      </c>
      <c r="C68" s="233" t="s">
        <v>16</v>
      </c>
      <c r="D68" s="103">
        <v>2</v>
      </c>
      <c r="E68" s="123">
        <v>2</v>
      </c>
      <c r="F68" s="123">
        <v>2</v>
      </c>
      <c r="G68" s="238" t="s">
        <v>342</v>
      </c>
      <c r="H68" s="123">
        <v>2</v>
      </c>
      <c r="I68" s="123">
        <v>2</v>
      </c>
      <c r="J68" s="123">
        <v>2</v>
      </c>
      <c r="K68" s="235"/>
      <c r="L68" s="231"/>
      <c r="M68" s="238" t="s">
        <v>342</v>
      </c>
      <c r="N68" s="123">
        <v>2</v>
      </c>
      <c r="O68" s="239" t="s">
        <v>342</v>
      </c>
      <c r="P68" s="123">
        <v>2</v>
      </c>
      <c r="Q68" s="231"/>
    </row>
    <row r="69" spans="1:17">
      <c r="A69" s="236" t="s">
        <v>399</v>
      </c>
      <c r="B69" s="233" t="s">
        <v>588</v>
      </c>
      <c r="C69" s="233" t="s">
        <v>0</v>
      </c>
      <c r="D69" s="103">
        <v>2</v>
      </c>
      <c r="E69" s="123">
        <v>2</v>
      </c>
      <c r="F69" s="123">
        <v>2</v>
      </c>
      <c r="G69" s="123">
        <v>2</v>
      </c>
      <c r="H69" s="237" t="s">
        <v>342</v>
      </c>
      <c r="I69" s="123">
        <v>2</v>
      </c>
      <c r="J69" s="123">
        <v>2</v>
      </c>
      <c r="K69" s="231"/>
      <c r="L69" s="231"/>
      <c r="M69" s="123">
        <v>2</v>
      </c>
      <c r="N69" s="123">
        <v>2</v>
      </c>
      <c r="O69" s="123">
        <v>2</v>
      </c>
      <c r="P69" s="237" t="s">
        <v>342</v>
      </c>
      <c r="Q69" s="231" t="s">
        <v>626</v>
      </c>
    </row>
    <row r="70" spans="1:17">
      <c r="A70" s="236" t="s">
        <v>400</v>
      </c>
      <c r="B70" s="233" t="s">
        <v>73</v>
      </c>
      <c r="C70" s="233" t="s">
        <v>504</v>
      </c>
      <c r="D70" s="16">
        <v>1</v>
      </c>
      <c r="E70" s="140">
        <v>1</v>
      </c>
      <c r="F70" s="238" t="s">
        <v>342</v>
      </c>
      <c r="G70" s="140">
        <v>1</v>
      </c>
      <c r="H70" s="140">
        <v>1</v>
      </c>
      <c r="I70" s="140">
        <v>1</v>
      </c>
      <c r="J70" s="140">
        <v>1</v>
      </c>
      <c r="K70" s="231"/>
      <c r="L70" s="231"/>
      <c r="M70" s="140">
        <v>1</v>
      </c>
      <c r="N70" s="140">
        <v>1</v>
      </c>
      <c r="O70" s="140">
        <v>1</v>
      </c>
      <c r="P70" s="140">
        <v>1</v>
      </c>
      <c r="Q70" s="231"/>
    </row>
    <row r="71" spans="1:17">
      <c r="A71" s="236" t="s">
        <v>401</v>
      </c>
      <c r="B71" s="233" t="s">
        <v>589</v>
      </c>
      <c r="C71" s="233" t="s">
        <v>590</v>
      </c>
      <c r="D71" s="103" t="s">
        <v>342</v>
      </c>
      <c r="E71" s="123" t="s">
        <v>342</v>
      </c>
      <c r="F71" s="123" t="s">
        <v>342</v>
      </c>
      <c r="G71" s="123" t="s">
        <v>342</v>
      </c>
      <c r="H71" s="123" t="s">
        <v>342</v>
      </c>
      <c r="I71" s="123" t="s">
        <v>342</v>
      </c>
      <c r="J71" s="123" t="s">
        <v>342</v>
      </c>
      <c r="K71" s="231"/>
      <c r="L71" s="231"/>
      <c r="M71" s="123" t="s">
        <v>342</v>
      </c>
      <c r="N71" s="123" t="s">
        <v>342</v>
      </c>
      <c r="O71" s="123" t="s">
        <v>342</v>
      </c>
      <c r="P71" s="123" t="s">
        <v>342</v>
      </c>
      <c r="Q71" s="231"/>
    </row>
    <row r="72" spans="1:17">
      <c r="A72" s="236" t="s">
        <v>402</v>
      </c>
      <c r="B72" s="233" t="s">
        <v>591</v>
      </c>
      <c r="C72" s="233" t="s">
        <v>592</v>
      </c>
      <c r="D72" s="103" t="s">
        <v>342</v>
      </c>
      <c r="E72" s="123" t="s">
        <v>342</v>
      </c>
      <c r="F72" s="123" t="s">
        <v>342</v>
      </c>
      <c r="G72" s="123" t="s">
        <v>342</v>
      </c>
      <c r="H72" s="123" t="s">
        <v>342</v>
      </c>
      <c r="I72" s="237">
        <v>1</v>
      </c>
      <c r="J72" s="123" t="s">
        <v>342</v>
      </c>
      <c r="K72" s="231"/>
      <c r="L72" s="231"/>
      <c r="M72" s="123" t="s">
        <v>342</v>
      </c>
      <c r="N72" s="237">
        <v>1</v>
      </c>
      <c r="O72" s="239">
        <v>1</v>
      </c>
      <c r="P72" s="123" t="s">
        <v>342</v>
      </c>
      <c r="Q72" s="231" t="s">
        <v>627</v>
      </c>
    </row>
    <row r="73" spans="1:17">
      <c r="A73" s="236" t="s">
        <v>403</v>
      </c>
      <c r="B73" s="233" t="s">
        <v>593</v>
      </c>
      <c r="C73" s="233" t="s">
        <v>594</v>
      </c>
      <c r="D73" s="16">
        <v>1</v>
      </c>
      <c r="E73" s="140">
        <v>1</v>
      </c>
      <c r="F73" s="140">
        <v>1</v>
      </c>
      <c r="G73" s="140">
        <v>1</v>
      </c>
      <c r="H73" s="140">
        <v>1</v>
      </c>
      <c r="I73" s="140">
        <v>1</v>
      </c>
      <c r="J73" s="140">
        <v>1</v>
      </c>
      <c r="K73" s="231"/>
      <c r="L73" s="231"/>
      <c r="M73" s="140">
        <v>1</v>
      </c>
      <c r="N73" s="140">
        <v>1</v>
      </c>
      <c r="O73" s="140">
        <v>1</v>
      </c>
      <c r="P73" s="140">
        <v>1</v>
      </c>
      <c r="Q73" s="231"/>
    </row>
    <row r="74" spans="1:17">
      <c r="A74" s="236" t="s">
        <v>404</v>
      </c>
      <c r="B74" s="233" t="s">
        <v>595</v>
      </c>
      <c r="C74" s="233" t="s">
        <v>596</v>
      </c>
      <c r="D74" s="103" t="s">
        <v>342</v>
      </c>
      <c r="E74" s="123" t="s">
        <v>342</v>
      </c>
      <c r="F74" s="123" t="s">
        <v>342</v>
      </c>
      <c r="G74" s="123" t="s">
        <v>342</v>
      </c>
      <c r="H74" s="123" t="s">
        <v>342</v>
      </c>
      <c r="I74" s="123" t="s">
        <v>342</v>
      </c>
      <c r="J74" s="123" t="s">
        <v>342</v>
      </c>
      <c r="K74" s="231"/>
      <c r="L74" s="231"/>
      <c r="M74" s="123" t="s">
        <v>342</v>
      </c>
      <c r="N74" s="123" t="s">
        <v>342</v>
      </c>
      <c r="O74" s="123" t="s">
        <v>342</v>
      </c>
      <c r="P74" s="123" t="s">
        <v>342</v>
      </c>
      <c r="Q74" s="231"/>
    </row>
    <row r="75" spans="1:17">
      <c r="A75" s="236" t="s">
        <v>405</v>
      </c>
      <c r="B75" s="233" t="s">
        <v>597</v>
      </c>
      <c r="C75" s="233" t="s">
        <v>598</v>
      </c>
      <c r="D75" s="245">
        <v>1</v>
      </c>
      <c r="E75" s="238">
        <v>2</v>
      </c>
      <c r="F75" s="237" t="s">
        <v>342</v>
      </c>
      <c r="G75" s="238">
        <v>1</v>
      </c>
      <c r="H75" s="238">
        <v>1</v>
      </c>
      <c r="I75" s="237" t="s">
        <v>342</v>
      </c>
      <c r="J75" s="238">
        <v>2</v>
      </c>
      <c r="K75" s="231"/>
      <c r="L75" s="231"/>
      <c r="M75" s="238">
        <v>1</v>
      </c>
      <c r="N75" s="237" t="s">
        <v>342</v>
      </c>
      <c r="O75" s="238">
        <v>2</v>
      </c>
      <c r="P75" s="238">
        <v>1</v>
      </c>
      <c r="Q75" s="231"/>
    </row>
    <row r="76" spans="1:17">
      <c r="A76" s="236" t="s">
        <v>406</v>
      </c>
      <c r="B76" s="233" t="s">
        <v>599</v>
      </c>
      <c r="C76" s="233" t="s">
        <v>28</v>
      </c>
      <c r="D76" s="16">
        <v>1</v>
      </c>
      <c r="E76" s="140">
        <v>1</v>
      </c>
      <c r="F76" s="140">
        <v>1</v>
      </c>
      <c r="G76" s="140">
        <v>1</v>
      </c>
      <c r="H76" s="140">
        <v>1</v>
      </c>
      <c r="I76" s="140">
        <v>1</v>
      </c>
      <c r="J76" s="140">
        <v>1</v>
      </c>
      <c r="K76" s="232"/>
      <c r="L76" s="232"/>
      <c r="M76" s="140">
        <v>1</v>
      </c>
      <c r="N76" s="140">
        <v>1</v>
      </c>
      <c r="O76" s="140">
        <v>1</v>
      </c>
      <c r="P76" s="140">
        <v>1</v>
      </c>
      <c r="Q76" s="231"/>
    </row>
    <row r="77" spans="1:17">
      <c r="B77" s="231"/>
      <c r="C77" s="231"/>
      <c r="D77" s="231"/>
      <c r="E77" s="234"/>
      <c r="F77" s="234"/>
      <c r="G77" s="234"/>
      <c r="H77" s="234"/>
      <c r="I77" s="234"/>
      <c r="J77" s="234"/>
      <c r="K77" s="231"/>
      <c r="L77" s="231"/>
      <c r="M77" s="234"/>
      <c r="N77" s="234"/>
      <c r="O77" s="234"/>
      <c r="P77" s="234"/>
      <c r="Q77" s="231"/>
    </row>
  </sheetData>
  <pageMargins left="0.7" right="0.7" top="0.75" bottom="0.75" header="0.3" footer="0.3"/>
  <pageSetup paperSize="9" orientation="portrait" horizontalDpi="0" verticalDpi="0" r:id="rId1"/>
</worksheet>
</file>

<file path=xl/worksheets/sheet21.xml><?xml version="1.0" encoding="utf-8"?>
<worksheet xmlns="http://schemas.openxmlformats.org/spreadsheetml/2006/main" xmlns:r="http://schemas.openxmlformats.org/officeDocument/2006/relationships">
  <sheetPr codeName="Hoja21"/>
  <dimension ref="A1:I24"/>
  <sheetViews>
    <sheetView workbookViewId="0">
      <selection activeCell="F2" sqref="F2"/>
    </sheetView>
  </sheetViews>
  <sheetFormatPr baseColWidth="10" defaultRowHeight="15"/>
  <cols>
    <col min="1" max="1" width="4.28515625" customWidth="1"/>
    <col min="2" max="3" width="13.5703125" customWidth="1"/>
    <col min="4" max="4" width="14.7109375" bestFit="1" customWidth="1"/>
    <col min="5" max="7" width="7.85546875" customWidth="1"/>
  </cols>
  <sheetData>
    <row r="1" spans="1:9">
      <c r="A1" s="96" t="s">
        <v>242</v>
      </c>
      <c r="B1" s="235"/>
      <c r="C1" s="235"/>
      <c r="D1" s="235"/>
      <c r="E1" s="3"/>
      <c r="F1" s="86"/>
      <c r="G1" s="30"/>
      <c r="H1" s="235"/>
    </row>
    <row r="2" spans="1:9">
      <c r="A2" s="257" t="s">
        <v>12</v>
      </c>
      <c r="B2" s="257" t="s">
        <v>2</v>
      </c>
      <c r="C2" s="257" t="s">
        <v>134</v>
      </c>
      <c r="D2" s="257" t="s">
        <v>656</v>
      </c>
      <c r="E2" s="260">
        <v>0.75</v>
      </c>
      <c r="F2" s="261">
        <v>1.95</v>
      </c>
      <c r="G2" s="262" t="s">
        <v>43</v>
      </c>
      <c r="H2" s="235" t="s">
        <v>655</v>
      </c>
    </row>
    <row r="4" spans="1:9">
      <c r="A4" s="4" t="s">
        <v>12</v>
      </c>
      <c r="B4" s="4" t="s">
        <v>181</v>
      </c>
      <c r="C4" s="4" t="s">
        <v>5</v>
      </c>
      <c r="D4" s="4" t="s">
        <v>657</v>
      </c>
      <c r="E4" s="4"/>
      <c r="F4" s="4"/>
      <c r="G4" s="4"/>
      <c r="H4" s="4"/>
      <c r="I4" s="10" t="s">
        <v>146</v>
      </c>
    </row>
    <row r="5" spans="1:9">
      <c r="A5" s="235"/>
      <c r="E5" s="3"/>
      <c r="F5" s="86"/>
      <c r="G5" s="30"/>
      <c r="H5" s="235"/>
    </row>
    <row r="6" spans="1:9" s="231" customFormat="1">
      <c r="A6" s="235" t="s">
        <v>651</v>
      </c>
      <c r="B6" s="235"/>
      <c r="C6" s="235"/>
      <c r="D6" s="235"/>
      <c r="E6" s="3"/>
      <c r="F6" s="86"/>
      <c r="G6" s="30"/>
      <c r="H6" s="235"/>
    </row>
    <row r="7" spans="1:9" s="231" customFormat="1">
      <c r="A7" s="235" t="s">
        <v>654</v>
      </c>
      <c r="B7" s="235"/>
      <c r="C7" s="235"/>
      <c r="D7" s="235"/>
      <c r="E7" s="3"/>
      <c r="F7" s="86"/>
      <c r="G7" s="30"/>
      <c r="H7" s="235"/>
    </row>
    <row r="8" spans="1:9" s="231" customFormat="1">
      <c r="A8" s="235"/>
      <c r="B8" s="235"/>
      <c r="C8" s="235"/>
      <c r="D8" s="235"/>
      <c r="E8" s="3"/>
      <c r="F8" s="86"/>
      <c r="G8" s="30"/>
      <c r="H8" s="235"/>
    </row>
    <row r="9" spans="1:9">
      <c r="A9" s="4" t="s">
        <v>645</v>
      </c>
      <c r="B9" s="235"/>
      <c r="C9" s="235"/>
      <c r="D9" s="235"/>
      <c r="E9" s="3"/>
      <c r="F9" s="86"/>
      <c r="G9" s="30"/>
      <c r="H9" s="235"/>
    </row>
    <row r="10" spans="1:9">
      <c r="A10" s="4" t="s">
        <v>652</v>
      </c>
      <c r="B10" s="235"/>
      <c r="C10" s="235"/>
      <c r="D10" s="235"/>
      <c r="E10" s="3"/>
      <c r="F10" s="86"/>
      <c r="G10" s="30"/>
      <c r="H10" s="235"/>
    </row>
    <row r="11" spans="1:9" s="231" customFormat="1">
      <c r="B11" s="235"/>
      <c r="C11" s="235"/>
      <c r="D11" s="235"/>
      <c r="E11" s="3"/>
      <c r="F11" s="86"/>
      <c r="G11" s="30"/>
      <c r="H11" s="235"/>
    </row>
    <row r="12" spans="1:9">
      <c r="A12" s="12" t="s">
        <v>649</v>
      </c>
      <c r="B12" s="235"/>
      <c r="C12" s="235"/>
      <c r="D12" s="235"/>
      <c r="E12" s="3"/>
      <c r="F12" s="86"/>
      <c r="G12" s="30"/>
      <c r="H12" s="235"/>
    </row>
    <row r="13" spans="1:9">
      <c r="A13" s="12" t="s">
        <v>650</v>
      </c>
      <c r="B13" s="235"/>
      <c r="C13" s="235"/>
      <c r="D13" s="235"/>
      <c r="E13" s="3"/>
      <c r="F13" s="86"/>
      <c r="G13" s="30"/>
      <c r="H13" s="235"/>
    </row>
    <row r="14" spans="1:9">
      <c r="A14" s="4" t="s">
        <v>653</v>
      </c>
      <c r="B14" s="235"/>
      <c r="C14" s="235"/>
      <c r="D14" s="235"/>
      <c r="E14" s="3"/>
      <c r="F14" s="86"/>
      <c r="G14" s="30"/>
      <c r="H14" s="235"/>
    </row>
    <row r="15" spans="1:9">
      <c r="A15" s="235"/>
      <c r="B15" s="235"/>
      <c r="C15" s="235"/>
      <c r="D15" s="235"/>
      <c r="E15" s="3"/>
      <c r="F15" s="86"/>
      <c r="G15" s="30"/>
      <c r="H15" s="235"/>
    </row>
    <row r="16" spans="1:9">
      <c r="A16" s="12" t="s">
        <v>258</v>
      </c>
      <c r="B16" s="235"/>
      <c r="C16" s="235" t="s">
        <v>644</v>
      </c>
      <c r="D16" s="235"/>
      <c r="E16" s="3"/>
      <c r="F16" s="86"/>
      <c r="G16" s="30"/>
      <c r="H16" s="235"/>
    </row>
    <row r="17" spans="1:8">
      <c r="A17" s="4" t="s">
        <v>273</v>
      </c>
      <c r="B17" s="235"/>
      <c r="C17" s="235" t="s">
        <v>633</v>
      </c>
      <c r="D17" s="235"/>
      <c r="E17" s="3"/>
      <c r="F17" s="86"/>
      <c r="G17" s="30"/>
      <c r="H17" s="235"/>
    </row>
    <row r="18" spans="1:8">
      <c r="A18" s="257" t="s">
        <v>260</v>
      </c>
      <c r="B18" s="235"/>
      <c r="C18" s="235" t="s">
        <v>634</v>
      </c>
      <c r="D18" s="235"/>
      <c r="E18" s="3"/>
      <c r="F18" s="86"/>
      <c r="G18" s="30"/>
      <c r="H18" s="235"/>
    </row>
    <row r="19" spans="1:8">
      <c r="A19" s="12" t="s">
        <v>252</v>
      </c>
      <c r="C19" s="231" t="s">
        <v>635</v>
      </c>
    </row>
    <row r="20" spans="1:8">
      <c r="A20" s="12" t="s">
        <v>249</v>
      </c>
      <c r="C20" s="231" t="s">
        <v>636</v>
      </c>
    </row>
    <row r="21" spans="1:8">
      <c r="A21" s="257" t="s">
        <v>267</v>
      </c>
      <c r="C21" s="231" t="s">
        <v>637</v>
      </c>
    </row>
    <row r="22" spans="1:8">
      <c r="A22" s="4" t="s">
        <v>274</v>
      </c>
      <c r="C22" s="231" t="s">
        <v>638</v>
      </c>
    </row>
    <row r="23" spans="1:8">
      <c r="A23" s="4" t="s">
        <v>268</v>
      </c>
      <c r="C23" s="231" t="s">
        <v>640</v>
      </c>
    </row>
    <row r="24" spans="1:8">
      <c r="A24" s="12" t="s">
        <v>248</v>
      </c>
      <c r="C24" s="231" t="s">
        <v>641</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sheetPr codeName="Hoja22"/>
  <dimension ref="A1:R75"/>
  <sheetViews>
    <sheetView topLeftCell="A16" zoomScaleNormal="100" workbookViewId="0">
      <selection activeCell="L13" sqref="L13"/>
    </sheetView>
  </sheetViews>
  <sheetFormatPr baseColWidth="10" defaultRowHeight="15"/>
  <cols>
    <col min="1" max="3" width="11.42578125" style="231"/>
    <col min="4" max="6" width="11.5703125" style="231" customWidth="1"/>
    <col min="7" max="7" width="3.5703125" style="231" customWidth="1"/>
    <col min="8" max="8" width="3.28515625" style="231" customWidth="1"/>
    <col min="9" max="9" width="4.5703125" style="231" customWidth="1"/>
    <col min="10" max="11" width="7" style="231" customWidth="1"/>
    <col min="12" max="12" width="11.42578125" style="231" customWidth="1"/>
    <col min="13" max="16384" width="11.42578125" style="231"/>
  </cols>
  <sheetData>
    <row r="1" spans="1:12">
      <c r="A1" s="18" t="s">
        <v>247</v>
      </c>
      <c r="B1" s="18"/>
      <c r="C1" s="18"/>
      <c r="D1" s="18"/>
      <c r="E1" s="18"/>
      <c r="F1" s="18"/>
      <c r="G1" s="18" t="s">
        <v>302</v>
      </c>
      <c r="H1" s="18"/>
      <c r="I1" s="18"/>
      <c r="J1" s="18"/>
      <c r="K1" s="18"/>
      <c r="L1" s="231" t="s">
        <v>305</v>
      </c>
    </row>
    <row r="2" spans="1:12">
      <c r="C2" s="17" t="s">
        <v>250</v>
      </c>
      <c r="D2" s="17" t="s">
        <v>294</v>
      </c>
      <c r="E2" s="18" t="s">
        <v>251</v>
      </c>
      <c r="F2" s="18" t="s">
        <v>293</v>
      </c>
      <c r="G2" s="18" t="s">
        <v>303</v>
      </c>
      <c r="H2" s="18" t="s">
        <v>304</v>
      </c>
      <c r="I2" s="18" t="s">
        <v>314</v>
      </c>
      <c r="J2" s="18"/>
      <c r="K2" s="18"/>
      <c r="L2" s="231" t="s">
        <v>305</v>
      </c>
    </row>
    <row r="3" spans="1:12">
      <c r="A3" s="138" t="s">
        <v>546</v>
      </c>
      <c r="B3" s="207" t="s">
        <v>3</v>
      </c>
      <c r="C3" s="253">
        <v>1</v>
      </c>
      <c r="D3" s="124">
        <v>1.06</v>
      </c>
      <c r="E3" s="59">
        <v>2.75</v>
      </c>
      <c r="F3" s="234">
        <f>+(D3-1)*E3</f>
        <v>0.16500000000000015</v>
      </c>
      <c r="G3" s="54">
        <v>1</v>
      </c>
      <c r="H3" s="125">
        <v>3</v>
      </c>
      <c r="I3" s="208">
        <v>14</v>
      </c>
      <c r="J3" s="131">
        <f>+(1.06-1)*H3</f>
        <v>0.18000000000000016</v>
      </c>
      <c r="K3" s="131">
        <f>+(1.06-1)*I3</f>
        <v>0.84000000000000075</v>
      </c>
      <c r="L3" s="59"/>
    </row>
    <row r="4" spans="1:12">
      <c r="A4" s="207" t="s">
        <v>28</v>
      </c>
      <c r="B4" s="138" t="s">
        <v>308</v>
      </c>
      <c r="C4" s="253">
        <v>2</v>
      </c>
      <c r="D4" s="124">
        <v>1.2</v>
      </c>
      <c r="E4" s="59">
        <v>2.5</v>
      </c>
      <c r="F4" s="234">
        <f>+(D4-1)*E4</f>
        <v>0.49999999999999989</v>
      </c>
      <c r="G4" s="54">
        <v>2</v>
      </c>
      <c r="H4" s="125">
        <v>3</v>
      </c>
      <c r="I4" s="208">
        <v>10</v>
      </c>
      <c r="J4" s="131">
        <f>+(1.2-1)*H4</f>
        <v>0.59999999999999987</v>
      </c>
      <c r="K4" s="131">
        <f>+(1.2-1)*I4</f>
        <v>1.9999999999999996</v>
      </c>
      <c r="L4" s="59" t="s">
        <v>646</v>
      </c>
    </row>
    <row r="5" spans="1:12">
      <c r="A5" s="138" t="s">
        <v>16</v>
      </c>
      <c r="B5" s="207" t="s">
        <v>4</v>
      </c>
      <c r="C5" s="254">
        <v>2</v>
      </c>
      <c r="D5" s="124">
        <v>2.38</v>
      </c>
      <c r="E5" s="210">
        <v>1.25</v>
      </c>
      <c r="F5" s="59">
        <f>-E5</f>
        <v>-1.25</v>
      </c>
      <c r="G5" s="46">
        <v>2</v>
      </c>
      <c r="H5" s="125">
        <v>2</v>
      </c>
      <c r="I5" s="125">
        <v>5</v>
      </c>
      <c r="J5" s="131">
        <f>-H5</f>
        <v>-2</v>
      </c>
      <c r="K5" s="131">
        <f>-I5</f>
        <v>-5</v>
      </c>
      <c r="L5" s="59"/>
    </row>
    <row r="6" spans="1:12">
      <c r="A6" s="130" t="s">
        <v>504</v>
      </c>
      <c r="B6" s="130" t="s">
        <v>62</v>
      </c>
      <c r="C6" s="254">
        <v>1</v>
      </c>
      <c r="D6" s="124">
        <v>1.5</v>
      </c>
      <c r="E6" s="210">
        <v>1.5</v>
      </c>
      <c r="F6" s="59">
        <f>-E6</f>
        <v>-1.5</v>
      </c>
      <c r="G6" s="46">
        <v>1</v>
      </c>
      <c r="H6" s="125">
        <v>2</v>
      </c>
      <c r="I6" s="208">
        <v>9</v>
      </c>
      <c r="J6" s="131">
        <f t="shared" ref="J6:J12" si="0">-H6</f>
        <v>-2</v>
      </c>
      <c r="K6" s="131">
        <f t="shared" ref="K6:K12" si="1">-I6</f>
        <v>-9</v>
      </c>
      <c r="L6" s="59" t="s">
        <v>647</v>
      </c>
    </row>
    <row r="7" spans="1:12">
      <c r="A7" s="138" t="s">
        <v>0</v>
      </c>
      <c r="B7" s="207" t="s">
        <v>26</v>
      </c>
      <c r="C7" s="124" t="s">
        <v>256</v>
      </c>
      <c r="D7" s="124"/>
      <c r="E7" s="59"/>
      <c r="F7" s="59"/>
      <c r="G7" s="258">
        <v>1</v>
      </c>
      <c r="H7" s="125">
        <v>2</v>
      </c>
      <c r="I7" s="125">
        <v>5</v>
      </c>
      <c r="J7" s="131">
        <f>+(1.62-1)*H7</f>
        <v>1.2400000000000002</v>
      </c>
      <c r="K7" s="131">
        <f>+(1.62-1)*I7</f>
        <v>3.1000000000000005</v>
      </c>
      <c r="L7" s="59"/>
    </row>
    <row r="8" spans="1:12">
      <c r="A8" s="138" t="s">
        <v>1</v>
      </c>
      <c r="B8" s="207" t="s">
        <v>15</v>
      </c>
      <c r="C8" s="124" t="s">
        <v>256</v>
      </c>
      <c r="D8" s="124"/>
      <c r="E8" s="59"/>
      <c r="F8" s="59"/>
      <c r="G8" s="258">
        <v>1</v>
      </c>
      <c r="H8" s="125">
        <v>3</v>
      </c>
      <c r="I8" s="208">
        <v>10</v>
      </c>
      <c r="J8" s="131">
        <f>+(2.2-1)*H8</f>
        <v>3.6000000000000005</v>
      </c>
      <c r="K8" s="131">
        <f>+(2.2-1)*I8</f>
        <v>12.000000000000002</v>
      </c>
      <c r="L8" s="59"/>
    </row>
    <row r="9" spans="1:12">
      <c r="A9" s="130" t="s">
        <v>73</v>
      </c>
      <c r="B9" s="130" t="s">
        <v>10</v>
      </c>
      <c r="C9" s="254">
        <v>1</v>
      </c>
      <c r="D9" s="124">
        <v>1.44</v>
      </c>
      <c r="E9" s="59">
        <v>2.25</v>
      </c>
      <c r="F9" s="59">
        <f>-E9</f>
        <v>-2.25</v>
      </c>
      <c r="G9" s="46">
        <v>1</v>
      </c>
      <c r="H9" s="125">
        <v>3</v>
      </c>
      <c r="I9" s="208">
        <v>13</v>
      </c>
      <c r="J9" s="131">
        <f t="shared" si="0"/>
        <v>-3</v>
      </c>
      <c r="K9" s="131">
        <f t="shared" si="1"/>
        <v>-13</v>
      </c>
      <c r="L9" s="59"/>
    </row>
    <row r="10" spans="1:12">
      <c r="A10" s="138" t="s">
        <v>27</v>
      </c>
      <c r="B10" s="207" t="s">
        <v>47</v>
      </c>
      <c r="C10" s="124" t="s">
        <v>256</v>
      </c>
      <c r="D10" s="124"/>
      <c r="E10" s="59"/>
      <c r="F10" s="59"/>
      <c r="G10" s="259">
        <v>2</v>
      </c>
      <c r="H10" s="125">
        <v>2</v>
      </c>
      <c r="I10" s="125">
        <v>7</v>
      </c>
      <c r="J10" s="131">
        <f t="shared" si="0"/>
        <v>-2</v>
      </c>
      <c r="K10" s="131">
        <f t="shared" si="1"/>
        <v>-7</v>
      </c>
      <c r="L10" s="59"/>
    </row>
    <row r="11" spans="1:12">
      <c r="A11" s="207" t="s">
        <v>2</v>
      </c>
      <c r="B11" s="138" t="s">
        <v>520</v>
      </c>
      <c r="C11" s="252" t="s">
        <v>257</v>
      </c>
      <c r="D11" s="124"/>
      <c r="E11" s="59"/>
      <c r="F11" s="59"/>
      <c r="G11" s="54">
        <v>2</v>
      </c>
      <c r="H11" s="125">
        <v>2</v>
      </c>
      <c r="I11" s="125">
        <v>6</v>
      </c>
      <c r="J11" s="131">
        <f>+(1.91-1)*H11</f>
        <v>1.8199999999999998</v>
      </c>
      <c r="K11" s="131">
        <f>+(1.91-1)*I11</f>
        <v>5.4599999999999991</v>
      </c>
      <c r="L11" s="59"/>
    </row>
    <row r="12" spans="1:12">
      <c r="A12" s="138" t="s">
        <v>181</v>
      </c>
      <c r="B12" s="207" t="s">
        <v>5</v>
      </c>
      <c r="C12" s="263">
        <v>1</v>
      </c>
      <c r="D12" s="124">
        <v>2.6</v>
      </c>
      <c r="E12" s="210">
        <v>1.25</v>
      </c>
      <c r="F12" s="234">
        <f>+(D12-1)*E12</f>
        <v>2</v>
      </c>
      <c r="G12" s="46">
        <v>2</v>
      </c>
      <c r="H12" s="125">
        <v>2</v>
      </c>
      <c r="I12" s="125">
        <v>7</v>
      </c>
      <c r="J12" s="131">
        <f t="shared" si="0"/>
        <v>-2</v>
      </c>
      <c r="K12" s="131">
        <f t="shared" si="1"/>
        <v>-7</v>
      </c>
      <c r="L12" s="59"/>
    </row>
    <row r="13" spans="1:12">
      <c r="A13" s="207"/>
      <c r="B13" s="207"/>
      <c r="C13" s="59"/>
      <c r="D13" s="59"/>
      <c r="E13" s="59"/>
      <c r="F13" s="59"/>
      <c r="G13" s="59"/>
      <c r="H13" s="59"/>
      <c r="I13" s="59"/>
      <c r="J13" s="59"/>
      <c r="K13" s="59"/>
      <c r="L13" s="59"/>
    </row>
    <row r="14" spans="1:12">
      <c r="A14" s="207"/>
      <c r="B14" s="207"/>
      <c r="F14" s="102">
        <f>SUM(F3:F12)</f>
        <v>-2.335</v>
      </c>
      <c r="J14" s="102">
        <f t="shared" ref="J14:K14" si="2">SUM(J3:J12)</f>
        <v>-3.5599999999999992</v>
      </c>
      <c r="K14" s="102">
        <f t="shared" si="2"/>
        <v>-17.599999999999994</v>
      </c>
    </row>
    <row r="15" spans="1:12">
      <c r="A15" s="207"/>
      <c r="B15" s="207"/>
      <c r="F15" s="101">
        <f>+F14/SUM(E3:E12)</f>
        <v>-0.20304347826086958</v>
      </c>
      <c r="J15" s="101">
        <f>+J14/SUM(H3:H12)</f>
        <v>-0.14833333333333329</v>
      </c>
      <c r="K15" s="101">
        <f>+K14/SUM(I3:I12)</f>
        <v>-0.20465116279069762</v>
      </c>
    </row>
    <row r="16" spans="1:12">
      <c r="A16" s="59"/>
      <c r="B16" s="59"/>
      <c r="F16" s="101"/>
      <c r="J16" s="101"/>
      <c r="K16" s="101"/>
    </row>
    <row r="17" spans="1:18">
      <c r="A17" s="59"/>
      <c r="B17" s="59"/>
      <c r="F17" s="101"/>
      <c r="J17" s="101"/>
      <c r="K17" s="101"/>
    </row>
    <row r="18" spans="1:18">
      <c r="A18" s="207"/>
      <c r="B18" s="207"/>
      <c r="C18" s="17" t="s">
        <v>250</v>
      </c>
      <c r="D18" s="17" t="s">
        <v>294</v>
      </c>
      <c r="E18" s="18" t="s">
        <v>251</v>
      </c>
      <c r="F18" s="18" t="s">
        <v>293</v>
      </c>
      <c r="G18" s="18" t="s">
        <v>303</v>
      </c>
      <c r="H18" s="18" t="s">
        <v>304</v>
      </c>
      <c r="I18" s="18" t="s">
        <v>314</v>
      </c>
      <c r="J18" s="18"/>
      <c r="K18" s="18"/>
      <c r="L18" s="82" t="s">
        <v>305</v>
      </c>
      <c r="M18" s="82"/>
      <c r="N18" s="82"/>
      <c r="O18" s="82"/>
      <c r="P18" s="82"/>
      <c r="Q18" s="82"/>
      <c r="R18" s="82"/>
    </row>
    <row r="19" spans="1:18">
      <c r="A19" s="130" t="s">
        <v>258</v>
      </c>
      <c r="B19" s="130" t="s">
        <v>266</v>
      </c>
      <c r="C19" s="246" t="s">
        <v>256</v>
      </c>
      <c r="D19" s="246"/>
      <c r="E19" s="207"/>
      <c r="F19" s="207"/>
      <c r="G19" s="251">
        <v>2</v>
      </c>
      <c r="H19" s="247">
        <v>3</v>
      </c>
      <c r="I19" s="249">
        <v>11</v>
      </c>
      <c r="J19" s="248">
        <f>-H19</f>
        <v>-3</v>
      </c>
      <c r="K19" s="248">
        <f>-I19</f>
        <v>-11</v>
      </c>
      <c r="L19" s="207"/>
      <c r="M19" s="82"/>
      <c r="N19" s="82"/>
      <c r="O19" s="82"/>
      <c r="P19" s="82"/>
      <c r="Q19" s="82"/>
      <c r="R19" s="82"/>
    </row>
    <row r="20" spans="1:18">
      <c r="A20" s="138" t="s">
        <v>273</v>
      </c>
      <c r="B20" s="207" t="s">
        <v>277</v>
      </c>
      <c r="C20" s="252" t="s">
        <v>257</v>
      </c>
      <c r="D20" s="246"/>
      <c r="E20" s="207"/>
      <c r="F20" s="207"/>
      <c r="G20" s="251">
        <v>2</v>
      </c>
      <c r="H20" s="247">
        <v>1</v>
      </c>
      <c r="I20" s="247">
        <v>1</v>
      </c>
      <c r="J20" s="248">
        <f t="shared" ref="J20:K27" si="3">-H20</f>
        <v>-1</v>
      </c>
      <c r="K20" s="248">
        <f t="shared" ref="K20:K24" si="4">-I20</f>
        <v>-1</v>
      </c>
      <c r="L20" s="207"/>
      <c r="M20" s="82"/>
      <c r="N20" s="82"/>
      <c r="O20" s="82"/>
      <c r="P20" s="82"/>
      <c r="Q20" s="82"/>
      <c r="R20" s="82"/>
    </row>
    <row r="21" spans="1:18">
      <c r="A21" s="207" t="s">
        <v>276</v>
      </c>
      <c r="B21" s="138" t="s">
        <v>262</v>
      </c>
      <c r="C21" s="123" t="s">
        <v>272</v>
      </c>
      <c r="D21" s="246"/>
      <c r="E21" s="207"/>
      <c r="F21" s="207"/>
      <c r="G21" s="251">
        <v>1</v>
      </c>
      <c r="H21" s="247">
        <v>2</v>
      </c>
      <c r="I21" s="247">
        <v>5</v>
      </c>
      <c r="J21" s="248">
        <f t="shared" si="3"/>
        <v>-2</v>
      </c>
      <c r="K21" s="248">
        <f t="shared" si="4"/>
        <v>-5</v>
      </c>
      <c r="L21" s="207"/>
      <c r="M21" s="82"/>
      <c r="N21" s="82"/>
      <c r="O21" s="82"/>
      <c r="P21" s="82"/>
      <c r="Q21" s="82"/>
      <c r="R21" s="82"/>
    </row>
    <row r="22" spans="1:18">
      <c r="A22" s="130" t="s">
        <v>494</v>
      </c>
      <c r="B22" s="130" t="s">
        <v>270</v>
      </c>
      <c r="C22" s="254">
        <v>1</v>
      </c>
      <c r="D22" s="246">
        <v>1.53</v>
      </c>
      <c r="E22" s="210">
        <v>2.5</v>
      </c>
      <c r="F22" s="207">
        <f>-E22</f>
        <v>-2.5</v>
      </c>
      <c r="G22" s="251">
        <v>1</v>
      </c>
      <c r="H22" s="247">
        <v>2</v>
      </c>
      <c r="I22" s="247">
        <v>5</v>
      </c>
      <c r="J22" s="248">
        <f t="shared" si="3"/>
        <v>-2</v>
      </c>
      <c r="K22" s="248">
        <f t="shared" si="4"/>
        <v>-5</v>
      </c>
      <c r="L22" s="207"/>
      <c r="M22" s="82"/>
      <c r="N22" s="82"/>
      <c r="O22" s="82"/>
      <c r="P22" s="82"/>
      <c r="Q22" s="82"/>
      <c r="R22" s="82"/>
    </row>
    <row r="23" spans="1:18">
      <c r="A23" s="130" t="s">
        <v>252</v>
      </c>
      <c r="B23" s="130" t="s">
        <v>271</v>
      </c>
      <c r="C23" s="255">
        <v>1</v>
      </c>
      <c r="D23" s="246">
        <v>3</v>
      </c>
      <c r="E23" s="207">
        <v>1</v>
      </c>
      <c r="F23" s="207">
        <f>-E23</f>
        <v>-1</v>
      </c>
      <c r="G23" s="251">
        <v>2</v>
      </c>
      <c r="H23" s="247">
        <v>2</v>
      </c>
      <c r="I23" s="247">
        <v>8</v>
      </c>
      <c r="J23" s="248">
        <f t="shared" si="3"/>
        <v>-2</v>
      </c>
      <c r="K23" s="248">
        <f t="shared" si="4"/>
        <v>-8</v>
      </c>
      <c r="L23" s="207"/>
      <c r="M23" s="82"/>
      <c r="N23" s="82"/>
      <c r="O23" s="82"/>
      <c r="P23" s="82"/>
      <c r="Q23" s="82"/>
      <c r="R23" s="82"/>
    </row>
    <row r="24" spans="1:18">
      <c r="A24" s="130" t="s">
        <v>249</v>
      </c>
      <c r="B24" s="130" t="s">
        <v>253</v>
      </c>
      <c r="C24" s="254">
        <v>1</v>
      </c>
      <c r="D24" s="246">
        <v>1.8</v>
      </c>
      <c r="E24" s="250">
        <v>2</v>
      </c>
      <c r="F24" s="207">
        <f>-E24</f>
        <v>-2</v>
      </c>
      <c r="G24" s="251">
        <v>1</v>
      </c>
      <c r="H24" s="247">
        <v>1</v>
      </c>
      <c r="I24" s="247">
        <v>4</v>
      </c>
      <c r="J24" s="248">
        <f t="shared" si="3"/>
        <v>-1</v>
      </c>
      <c r="K24" s="248">
        <f t="shared" si="4"/>
        <v>-4</v>
      </c>
      <c r="L24" s="207"/>
      <c r="M24" s="82"/>
      <c r="N24" s="82"/>
      <c r="O24" s="82"/>
      <c r="P24" s="82"/>
      <c r="Q24" s="82"/>
      <c r="R24" s="82"/>
    </row>
    <row r="25" spans="1:18">
      <c r="A25" s="207" t="s">
        <v>267</v>
      </c>
      <c r="B25" s="138" t="s">
        <v>495</v>
      </c>
      <c r="C25" s="123" t="s">
        <v>272</v>
      </c>
      <c r="D25" s="246"/>
      <c r="E25" s="207"/>
      <c r="F25" s="207"/>
      <c r="G25" s="256">
        <v>2</v>
      </c>
      <c r="H25" s="247">
        <v>2</v>
      </c>
      <c r="I25" s="247">
        <v>6</v>
      </c>
      <c r="J25" s="131">
        <f>+(2.38-1)*H25</f>
        <v>2.76</v>
      </c>
      <c r="K25" s="131">
        <f>+(2.38-1)*I25</f>
        <v>8.2799999999999994</v>
      </c>
      <c r="L25" s="59" t="s">
        <v>648</v>
      </c>
      <c r="M25" s="82"/>
      <c r="N25" s="82"/>
      <c r="O25" s="82"/>
      <c r="P25" s="82"/>
      <c r="Q25" s="82"/>
      <c r="R25" s="82"/>
    </row>
    <row r="26" spans="1:18">
      <c r="A26" s="138" t="s">
        <v>274</v>
      </c>
      <c r="B26" s="207" t="s">
        <v>261</v>
      </c>
      <c r="C26" s="253">
        <v>1</v>
      </c>
      <c r="D26" s="246">
        <v>1.36</v>
      </c>
      <c r="E26" s="250">
        <v>2.5</v>
      </c>
      <c r="F26" s="234">
        <f>+(D26-1)*E26</f>
        <v>0.90000000000000024</v>
      </c>
      <c r="G26" s="256">
        <v>1</v>
      </c>
      <c r="H26" s="247">
        <v>2</v>
      </c>
      <c r="I26" s="247">
        <v>5</v>
      </c>
      <c r="J26" s="131">
        <f>+(1.36-1)*H26</f>
        <v>0.7200000000000002</v>
      </c>
      <c r="K26" s="131">
        <f>+(1.36-1)*I26</f>
        <v>1.8000000000000005</v>
      </c>
      <c r="L26" s="207"/>
      <c r="M26" s="82"/>
      <c r="N26" s="82"/>
      <c r="O26" s="82"/>
      <c r="P26" s="82"/>
      <c r="Q26" s="82"/>
      <c r="R26" s="82"/>
    </row>
    <row r="27" spans="1:18">
      <c r="A27" s="130" t="s">
        <v>268</v>
      </c>
      <c r="B27" s="130" t="s">
        <v>259</v>
      </c>
      <c r="C27" s="140" t="s">
        <v>272</v>
      </c>
      <c r="D27" s="246"/>
      <c r="E27" s="207"/>
      <c r="F27" s="207"/>
      <c r="G27" s="251">
        <v>1</v>
      </c>
      <c r="H27" s="247">
        <v>2</v>
      </c>
      <c r="I27" s="247">
        <v>8</v>
      </c>
      <c r="J27" s="248">
        <f t="shared" si="3"/>
        <v>-2</v>
      </c>
      <c r="K27" s="248">
        <f t="shared" si="3"/>
        <v>-8</v>
      </c>
      <c r="L27" s="59" t="s">
        <v>639</v>
      </c>
      <c r="M27" s="82"/>
      <c r="N27" s="82"/>
      <c r="O27" s="82"/>
      <c r="P27" s="82"/>
      <c r="Q27" s="82"/>
      <c r="R27" s="82"/>
    </row>
    <row r="28" spans="1:18">
      <c r="A28" s="207" t="s">
        <v>248</v>
      </c>
      <c r="B28" s="138" t="s">
        <v>263</v>
      </c>
      <c r="C28" s="124" t="s">
        <v>256</v>
      </c>
      <c r="D28" s="246"/>
      <c r="E28" s="207"/>
      <c r="F28" s="207"/>
      <c r="G28" s="256">
        <v>2</v>
      </c>
      <c r="H28" s="247">
        <v>1</v>
      </c>
      <c r="I28" s="247">
        <v>3</v>
      </c>
      <c r="J28" s="131">
        <f>+(3.25-1)*H28</f>
        <v>2.25</v>
      </c>
      <c r="K28" s="131">
        <f>+(3.25-1)*I28</f>
        <v>6.75</v>
      </c>
      <c r="L28" s="59" t="s">
        <v>642</v>
      </c>
      <c r="M28" s="82"/>
      <c r="N28" s="82"/>
      <c r="O28" s="82"/>
      <c r="P28" s="82"/>
      <c r="Q28" s="82"/>
      <c r="R28" s="82"/>
    </row>
    <row r="29" spans="1:18">
      <c r="A29" s="207" t="s">
        <v>493</v>
      </c>
      <c r="B29" s="138" t="s">
        <v>446</v>
      </c>
      <c r="C29" s="124" t="s">
        <v>256</v>
      </c>
      <c r="D29" s="246"/>
      <c r="E29" s="207"/>
      <c r="F29" s="207"/>
      <c r="G29" s="256">
        <v>2</v>
      </c>
      <c r="H29" s="247">
        <v>2</v>
      </c>
      <c r="I29" s="247">
        <v>7</v>
      </c>
      <c r="J29" s="131">
        <f>+(2.2-1)*H29</f>
        <v>2.4000000000000004</v>
      </c>
      <c r="K29" s="131">
        <f>+(2.2-1)*I29</f>
        <v>8.4000000000000021</v>
      </c>
      <c r="L29" s="59" t="s">
        <v>643</v>
      </c>
      <c r="M29" s="82"/>
      <c r="N29" s="82"/>
      <c r="O29" s="82"/>
      <c r="P29" s="82"/>
      <c r="Q29" s="82"/>
      <c r="R29" s="82"/>
    </row>
    <row r="30" spans="1:18">
      <c r="A30" s="207"/>
      <c r="B30" s="207"/>
      <c r="C30" s="207"/>
      <c r="D30" s="207"/>
      <c r="E30" s="207"/>
      <c r="F30" s="207"/>
      <c r="G30" s="207"/>
      <c r="H30" s="207"/>
      <c r="I30" s="207"/>
      <c r="J30" s="207"/>
      <c r="K30" s="207"/>
      <c r="L30" s="207"/>
      <c r="M30" s="82"/>
      <c r="N30" s="82"/>
      <c r="O30" s="82"/>
      <c r="P30" s="82"/>
      <c r="Q30" s="82"/>
      <c r="R30" s="82"/>
    </row>
    <row r="31" spans="1:18">
      <c r="A31" s="75"/>
      <c r="B31" s="80"/>
      <c r="C31" s="75"/>
      <c r="D31" s="82"/>
      <c r="E31" s="82"/>
      <c r="F31" s="107">
        <f>SUM(F19:F29)</f>
        <v>-4.5999999999999996</v>
      </c>
      <c r="G31" s="17"/>
      <c r="H31" s="17"/>
      <c r="I31" s="17"/>
      <c r="J31" s="107">
        <f t="shared" ref="J31:K31" si="5">SUM(J19:J29)</f>
        <v>-4.8699999999999992</v>
      </c>
      <c r="K31" s="107">
        <f t="shared" si="5"/>
        <v>-16.769999999999996</v>
      </c>
      <c r="L31" s="82"/>
      <c r="M31" s="82"/>
      <c r="N31" s="82"/>
      <c r="O31" s="82"/>
      <c r="P31" s="82"/>
      <c r="Q31" s="82"/>
      <c r="R31" s="82"/>
    </row>
    <row r="32" spans="1:18">
      <c r="A32" s="75"/>
      <c r="B32" s="80"/>
      <c r="C32" s="75"/>
      <c r="D32" s="82"/>
      <c r="E32" s="82"/>
      <c r="F32" s="101">
        <f>+F31/SUM(E19:E29)</f>
        <v>-0.57499999999999996</v>
      </c>
      <c r="G32" s="105"/>
      <c r="H32" s="105"/>
      <c r="I32" s="105"/>
      <c r="J32" s="101">
        <f>+J31/(SUM(H19:H29)-3)</f>
        <v>-0.28647058823529409</v>
      </c>
      <c r="K32" s="101">
        <f>+K31/(SUM(I19:I29)-18)</f>
        <v>-0.37266666666666659</v>
      </c>
      <c r="L32" s="82"/>
      <c r="M32" s="82"/>
      <c r="N32" s="82"/>
      <c r="O32" s="82"/>
      <c r="P32" s="82"/>
      <c r="Q32" s="82"/>
      <c r="R32" s="82"/>
    </row>
    <row r="33" spans="1:14">
      <c r="A33" s="235"/>
      <c r="B33" s="86"/>
      <c r="C33" s="235"/>
    </row>
    <row r="34" spans="1:14">
      <c r="A34" s="235"/>
      <c r="B34" s="86"/>
      <c r="C34" s="235"/>
    </row>
    <row r="35" spans="1:14">
      <c r="A35" s="235"/>
      <c r="B35" s="86"/>
      <c r="C35" s="235"/>
    </row>
    <row r="36" spans="1:14">
      <c r="A36" s="231" t="s">
        <v>632</v>
      </c>
      <c r="D36" s="231" t="s">
        <v>362</v>
      </c>
      <c r="E36" s="231" t="s">
        <v>363</v>
      </c>
      <c r="F36" s="231" t="s">
        <v>433</v>
      </c>
      <c r="L36" s="232" t="s">
        <v>429</v>
      </c>
      <c r="M36" s="232" t="s">
        <v>431</v>
      </c>
    </row>
    <row r="37" spans="1:14">
      <c r="A37" s="236" t="s">
        <v>392</v>
      </c>
      <c r="B37" s="235" t="s">
        <v>586</v>
      </c>
      <c r="C37" s="235" t="s">
        <v>47</v>
      </c>
      <c r="D37" s="103">
        <v>2</v>
      </c>
      <c r="E37" s="16">
        <v>1</v>
      </c>
      <c r="F37" s="16" t="s">
        <v>356</v>
      </c>
      <c r="G37" s="104"/>
      <c r="H37" s="104"/>
      <c r="I37" s="104"/>
      <c r="J37" s="104"/>
      <c r="K37" s="104"/>
      <c r="L37" s="16" t="s">
        <v>357</v>
      </c>
      <c r="M37" s="16" t="s">
        <v>357</v>
      </c>
      <c r="N37" s="235"/>
    </row>
    <row r="38" spans="1:14">
      <c r="A38" s="236" t="s">
        <v>393</v>
      </c>
      <c r="B38" s="235" t="s">
        <v>1</v>
      </c>
      <c r="C38" s="235" t="s">
        <v>15</v>
      </c>
      <c r="D38" s="16">
        <v>1</v>
      </c>
      <c r="E38" s="16">
        <v>1</v>
      </c>
      <c r="F38" s="16">
        <v>1</v>
      </c>
      <c r="G38" s="104"/>
      <c r="H38" s="104"/>
      <c r="I38" s="104"/>
      <c r="J38" s="104"/>
      <c r="K38" s="104"/>
      <c r="L38" s="16" t="s">
        <v>356</v>
      </c>
      <c r="M38" s="16" t="s">
        <v>356</v>
      </c>
      <c r="N38" s="235"/>
    </row>
    <row r="39" spans="1:14">
      <c r="A39" s="236" t="s">
        <v>394</v>
      </c>
      <c r="B39" s="235" t="s">
        <v>181</v>
      </c>
      <c r="C39" s="235" t="s">
        <v>5</v>
      </c>
      <c r="D39" s="16">
        <v>1</v>
      </c>
      <c r="E39" s="103">
        <v>2</v>
      </c>
      <c r="F39" s="16" t="s">
        <v>357</v>
      </c>
      <c r="G39" s="235"/>
      <c r="H39" s="104"/>
      <c r="I39" s="104"/>
      <c r="J39" s="104"/>
      <c r="K39" s="104"/>
      <c r="L39" s="16" t="s">
        <v>357</v>
      </c>
      <c r="M39" s="16" t="s">
        <v>357</v>
      </c>
      <c r="N39" s="235"/>
    </row>
    <row r="40" spans="1:14">
      <c r="A40" s="236" t="s">
        <v>395</v>
      </c>
      <c r="B40" s="235" t="s">
        <v>28</v>
      </c>
      <c r="C40" s="235" t="s">
        <v>308</v>
      </c>
      <c r="D40" s="16">
        <v>2</v>
      </c>
      <c r="E40" s="16">
        <v>2</v>
      </c>
      <c r="F40" s="16">
        <v>2</v>
      </c>
      <c r="G40" s="235"/>
      <c r="H40" s="104"/>
      <c r="I40" s="104"/>
      <c r="J40" s="104"/>
      <c r="K40" s="104"/>
      <c r="L40" s="16">
        <v>2</v>
      </c>
      <c r="M40" s="16">
        <v>2</v>
      </c>
      <c r="N40" s="235"/>
    </row>
    <row r="41" spans="1:14">
      <c r="A41" s="236" t="s">
        <v>396</v>
      </c>
      <c r="B41" s="235" t="s">
        <v>422</v>
      </c>
      <c r="C41" s="235" t="s">
        <v>599</v>
      </c>
      <c r="D41" s="103" t="s">
        <v>342</v>
      </c>
      <c r="E41" s="16">
        <v>1</v>
      </c>
      <c r="F41" s="16">
        <v>1</v>
      </c>
      <c r="G41" s="235"/>
      <c r="H41" s="104"/>
      <c r="I41" s="104"/>
      <c r="J41" s="104"/>
      <c r="K41" s="104"/>
      <c r="L41" s="16">
        <v>1</v>
      </c>
      <c r="M41" s="16" t="s">
        <v>356</v>
      </c>
      <c r="N41" s="235"/>
    </row>
    <row r="42" spans="1:14">
      <c r="A42" s="236" t="s">
        <v>397</v>
      </c>
      <c r="B42" s="235" t="s">
        <v>2</v>
      </c>
      <c r="C42" s="235" t="s">
        <v>587</v>
      </c>
      <c r="D42" s="103" t="s">
        <v>342</v>
      </c>
      <c r="E42" s="16">
        <v>2</v>
      </c>
      <c r="F42" s="16" t="s">
        <v>357</v>
      </c>
      <c r="G42" s="235"/>
      <c r="H42" s="104"/>
      <c r="I42" s="104"/>
      <c r="J42" s="104"/>
      <c r="K42" s="104"/>
      <c r="L42" s="16" t="s">
        <v>359</v>
      </c>
      <c r="M42" s="16" t="s">
        <v>359</v>
      </c>
      <c r="N42" s="235"/>
    </row>
    <row r="43" spans="1:14">
      <c r="A43" s="236" t="s">
        <v>398</v>
      </c>
      <c r="B43" s="235" t="s">
        <v>0</v>
      </c>
      <c r="C43" s="235" t="s">
        <v>26</v>
      </c>
      <c r="D43" s="103">
        <v>2</v>
      </c>
      <c r="E43" s="103" t="s">
        <v>342</v>
      </c>
      <c r="F43" s="16" t="s">
        <v>357</v>
      </c>
      <c r="G43" s="235"/>
      <c r="H43" s="104"/>
      <c r="I43" s="104"/>
      <c r="J43" s="104"/>
      <c r="K43" s="104"/>
      <c r="L43" s="16" t="s">
        <v>357</v>
      </c>
      <c r="M43" s="16" t="s">
        <v>357</v>
      </c>
      <c r="N43" s="235"/>
    </row>
    <row r="44" spans="1:14">
      <c r="A44" s="236" t="s">
        <v>399</v>
      </c>
      <c r="B44" s="235" t="s">
        <v>504</v>
      </c>
      <c r="C44" s="235" t="s">
        <v>588</v>
      </c>
      <c r="D44" s="103">
        <v>1</v>
      </c>
      <c r="E44" s="103">
        <v>1</v>
      </c>
      <c r="F44" s="103">
        <v>1</v>
      </c>
      <c r="G44" s="235"/>
      <c r="H44" s="104"/>
      <c r="I44" s="104"/>
      <c r="J44" s="104"/>
      <c r="K44" s="104"/>
      <c r="L44" s="103">
        <v>1</v>
      </c>
      <c r="M44" s="103">
        <v>1</v>
      </c>
      <c r="N44" s="235"/>
    </row>
    <row r="45" spans="1:14">
      <c r="A45" s="236" t="s">
        <v>400</v>
      </c>
      <c r="B45" s="235" t="s">
        <v>73</v>
      </c>
      <c r="C45" s="235" t="s">
        <v>585</v>
      </c>
      <c r="D45" s="103">
        <v>1</v>
      </c>
      <c r="E45" s="103">
        <v>1</v>
      </c>
      <c r="F45" s="103">
        <v>1</v>
      </c>
      <c r="G45" s="235"/>
      <c r="H45" s="104"/>
      <c r="I45" s="104"/>
      <c r="J45" s="104"/>
      <c r="K45" s="104"/>
      <c r="L45" s="103">
        <v>1</v>
      </c>
      <c r="M45" s="16" t="s">
        <v>356</v>
      </c>
      <c r="N45" s="235"/>
    </row>
    <row r="46" spans="1:14">
      <c r="A46" s="236" t="s">
        <v>401</v>
      </c>
      <c r="B46" s="235" t="s">
        <v>494</v>
      </c>
      <c r="C46" s="235" t="s">
        <v>270</v>
      </c>
      <c r="D46" s="103">
        <v>1</v>
      </c>
      <c r="E46" s="103">
        <v>1</v>
      </c>
      <c r="F46" s="103">
        <v>1</v>
      </c>
      <c r="G46" s="235"/>
      <c r="H46" s="104"/>
      <c r="I46" s="104"/>
      <c r="J46" s="104"/>
      <c r="K46" s="104"/>
      <c r="L46" s="16" t="s">
        <v>356</v>
      </c>
      <c r="M46" s="16" t="s">
        <v>356</v>
      </c>
      <c r="N46" s="149"/>
    </row>
    <row r="47" spans="1:14">
      <c r="A47" s="236" t="s">
        <v>402</v>
      </c>
      <c r="B47" s="235" t="s">
        <v>267</v>
      </c>
      <c r="C47" s="235" t="s">
        <v>495</v>
      </c>
      <c r="D47" s="103" t="s">
        <v>342</v>
      </c>
      <c r="E47" s="16">
        <v>2</v>
      </c>
      <c r="F47" s="103" t="s">
        <v>356</v>
      </c>
      <c r="G47" s="235"/>
      <c r="H47" s="104"/>
      <c r="I47" s="104"/>
      <c r="J47" s="104"/>
      <c r="K47" s="104"/>
      <c r="L47" s="16" t="s">
        <v>357</v>
      </c>
      <c r="M47" s="16" t="s">
        <v>357</v>
      </c>
      <c r="N47" s="149"/>
    </row>
    <row r="48" spans="1:14">
      <c r="A48" s="236" t="s">
        <v>403</v>
      </c>
      <c r="B48" s="235" t="s">
        <v>248</v>
      </c>
      <c r="C48" s="235" t="s">
        <v>263</v>
      </c>
      <c r="D48" s="103" t="s">
        <v>342</v>
      </c>
      <c r="E48" s="16">
        <v>2</v>
      </c>
      <c r="F48" s="16" t="s">
        <v>357</v>
      </c>
      <c r="G48" s="235"/>
      <c r="H48" s="104"/>
      <c r="I48" s="104"/>
      <c r="J48" s="104"/>
      <c r="K48" s="104"/>
      <c r="L48" s="16" t="s">
        <v>357</v>
      </c>
      <c r="M48" s="16" t="s">
        <v>357</v>
      </c>
      <c r="N48" s="149"/>
    </row>
    <row r="49" spans="1:18">
      <c r="A49" s="236" t="s">
        <v>404</v>
      </c>
      <c r="B49" s="235" t="s">
        <v>274</v>
      </c>
      <c r="C49" s="235" t="s">
        <v>261</v>
      </c>
      <c r="D49" s="16">
        <v>1</v>
      </c>
      <c r="E49" s="16">
        <v>1</v>
      </c>
      <c r="F49" s="16">
        <v>1</v>
      </c>
      <c r="G49" s="235"/>
      <c r="H49" s="104"/>
      <c r="I49" s="104"/>
      <c r="J49" s="104"/>
      <c r="K49" s="104"/>
      <c r="L49" s="16">
        <v>1</v>
      </c>
      <c r="M49" s="16">
        <v>1</v>
      </c>
      <c r="N49" s="149"/>
    </row>
    <row r="50" spans="1:18">
      <c r="A50" s="236" t="s">
        <v>405</v>
      </c>
      <c r="B50" s="235" t="s">
        <v>268</v>
      </c>
      <c r="C50" s="235" t="s">
        <v>259</v>
      </c>
      <c r="D50" s="16" t="s">
        <v>342</v>
      </c>
      <c r="E50" s="16" t="s">
        <v>342</v>
      </c>
      <c r="F50" s="16" t="s">
        <v>356</v>
      </c>
      <c r="G50" s="235"/>
      <c r="H50" s="104"/>
      <c r="I50" s="104"/>
      <c r="J50" s="104"/>
      <c r="K50" s="104"/>
      <c r="L50" s="16" t="s">
        <v>356</v>
      </c>
      <c r="M50" s="16" t="s">
        <v>356</v>
      </c>
      <c r="N50" s="149"/>
    </row>
    <row r="51" spans="1:18">
      <c r="A51" s="236" t="s">
        <v>406</v>
      </c>
      <c r="B51" s="235" t="s">
        <v>16</v>
      </c>
      <c r="C51" s="235" t="s">
        <v>4</v>
      </c>
      <c r="D51" s="103">
        <v>2</v>
      </c>
      <c r="E51" s="103">
        <v>2</v>
      </c>
      <c r="F51" s="103">
        <v>2</v>
      </c>
      <c r="G51" s="149"/>
      <c r="H51" s="104"/>
      <c r="I51" s="104"/>
      <c r="J51" s="104"/>
      <c r="K51" s="104"/>
      <c r="L51" s="103">
        <v>2</v>
      </c>
      <c r="M51" s="103">
        <v>2</v>
      </c>
      <c r="N51" s="235"/>
    </row>
    <row r="52" spans="1:18">
      <c r="A52" s="236"/>
      <c r="F52" s="232"/>
      <c r="G52" s="233"/>
      <c r="H52" s="232"/>
      <c r="I52" s="232"/>
      <c r="J52" s="232"/>
      <c r="K52" s="232"/>
      <c r="L52" s="232"/>
      <c r="M52" s="232"/>
    </row>
    <row r="53" spans="1:18">
      <c r="F53" s="232" t="s">
        <v>658</v>
      </c>
      <c r="G53" s="232"/>
      <c r="H53" s="232"/>
      <c r="I53" s="232"/>
      <c r="J53" s="232"/>
      <c r="K53" s="232"/>
      <c r="L53" s="232" t="s">
        <v>659</v>
      </c>
      <c r="M53" s="232" t="s">
        <v>524</v>
      </c>
    </row>
    <row r="54" spans="1:18">
      <c r="D54" s="111">
        <v>0.5</v>
      </c>
      <c r="E54" s="111">
        <v>0.5</v>
      </c>
      <c r="F54" s="111">
        <v>324</v>
      </c>
      <c r="G54" s="232"/>
      <c r="H54" s="232"/>
      <c r="I54" s="232"/>
      <c r="J54" s="232"/>
      <c r="K54" s="232"/>
      <c r="L54" s="111">
        <v>1944</v>
      </c>
      <c r="M54" s="111">
        <v>7776</v>
      </c>
    </row>
    <row r="57" spans="1:18">
      <c r="D57" s="231" t="s">
        <v>527</v>
      </c>
      <c r="E57" s="231" t="s">
        <v>528</v>
      </c>
      <c r="M57" s="231" t="s">
        <v>567</v>
      </c>
      <c r="N57" s="63"/>
      <c r="P57" s="135"/>
      <c r="Q57" s="135"/>
      <c r="R57" s="135"/>
    </row>
    <row r="58" spans="1:18">
      <c r="A58" s="236" t="s">
        <v>392</v>
      </c>
      <c r="B58" s="235" t="s">
        <v>586</v>
      </c>
      <c r="C58" s="235" t="s">
        <v>47</v>
      </c>
      <c r="D58" s="124"/>
      <c r="E58" s="124"/>
      <c r="F58" s="124"/>
      <c r="G58" s="124"/>
      <c r="H58" s="124"/>
      <c r="I58" s="124"/>
      <c r="J58" s="124"/>
      <c r="K58" s="124"/>
      <c r="L58" s="124"/>
      <c r="M58" s="124"/>
      <c r="N58" s="136"/>
    </row>
    <row r="59" spans="1:18">
      <c r="A59" s="236" t="s">
        <v>393</v>
      </c>
      <c r="B59" s="235" t="s">
        <v>1</v>
      </c>
      <c r="C59" s="235" t="s">
        <v>15</v>
      </c>
      <c r="D59" s="124"/>
      <c r="E59" s="124"/>
      <c r="F59" s="124"/>
      <c r="G59" s="124"/>
      <c r="H59" s="124"/>
      <c r="I59" s="124"/>
      <c r="J59" s="124"/>
      <c r="K59" s="124"/>
      <c r="L59" s="124"/>
      <c r="M59" s="124"/>
    </row>
    <row r="60" spans="1:18">
      <c r="A60" s="236" t="s">
        <v>394</v>
      </c>
      <c r="B60" s="235" t="s">
        <v>181</v>
      </c>
      <c r="C60" s="235" t="s">
        <v>5</v>
      </c>
      <c r="D60" s="124"/>
      <c r="E60" s="124"/>
      <c r="F60" s="124"/>
      <c r="G60" s="124"/>
      <c r="H60" s="124"/>
      <c r="I60" s="124"/>
      <c r="J60" s="124"/>
      <c r="K60" s="124"/>
      <c r="L60" s="124"/>
      <c r="M60" s="124"/>
    </row>
    <row r="61" spans="1:18">
      <c r="A61" s="236" t="s">
        <v>395</v>
      </c>
      <c r="B61" s="235" t="s">
        <v>28</v>
      </c>
      <c r="C61" s="235" t="s">
        <v>308</v>
      </c>
      <c r="D61" s="124"/>
      <c r="E61" s="124"/>
      <c r="F61" s="124"/>
      <c r="G61" s="124"/>
      <c r="H61" s="124"/>
      <c r="I61" s="124"/>
      <c r="J61" s="124"/>
      <c r="K61" s="124"/>
      <c r="L61" s="124"/>
      <c r="M61" s="124"/>
      <c r="P61" s="135"/>
      <c r="Q61" s="135"/>
      <c r="R61" s="135"/>
    </row>
    <row r="62" spans="1:18">
      <c r="A62" s="236" t="s">
        <v>396</v>
      </c>
      <c r="B62" s="235" t="s">
        <v>422</v>
      </c>
      <c r="C62" s="235" t="s">
        <v>599</v>
      </c>
      <c r="D62" s="124"/>
      <c r="E62" s="124"/>
      <c r="F62" s="124"/>
      <c r="G62" s="124"/>
      <c r="H62" s="124"/>
      <c r="I62" s="124"/>
      <c r="J62" s="124"/>
      <c r="K62" s="124"/>
      <c r="L62" s="124"/>
      <c r="M62" s="124"/>
      <c r="P62" s="135"/>
      <c r="Q62" s="135"/>
      <c r="R62" s="135"/>
    </row>
    <row r="63" spans="1:18">
      <c r="A63" s="236" t="s">
        <v>397</v>
      </c>
      <c r="B63" s="235" t="s">
        <v>2</v>
      </c>
      <c r="C63" s="235" t="s">
        <v>587</v>
      </c>
      <c r="D63" s="124"/>
      <c r="E63" s="124"/>
      <c r="F63" s="124"/>
      <c r="G63" s="124"/>
      <c r="H63" s="124"/>
      <c r="I63" s="124"/>
      <c r="J63" s="124"/>
      <c r="K63" s="124"/>
      <c r="L63" s="124"/>
      <c r="M63" s="124"/>
      <c r="P63" s="135"/>
      <c r="Q63" s="135"/>
    </row>
    <row r="64" spans="1:18">
      <c r="A64" s="236" t="s">
        <v>398</v>
      </c>
      <c r="B64" s="235" t="s">
        <v>0</v>
      </c>
      <c r="C64" s="235" t="s">
        <v>26</v>
      </c>
      <c r="D64" s="124"/>
      <c r="E64" s="124"/>
      <c r="F64" s="124"/>
      <c r="G64" s="124"/>
      <c r="H64" s="124"/>
      <c r="I64" s="124"/>
      <c r="J64" s="124"/>
      <c r="K64" s="124"/>
      <c r="L64" s="124"/>
      <c r="M64" s="124"/>
    </row>
    <row r="65" spans="1:13">
      <c r="A65" s="236" t="s">
        <v>399</v>
      </c>
      <c r="B65" s="235" t="s">
        <v>504</v>
      </c>
      <c r="C65" s="235" t="s">
        <v>588</v>
      </c>
      <c r="D65" s="124"/>
      <c r="E65" s="124"/>
      <c r="F65" s="124"/>
      <c r="G65" s="228"/>
      <c r="H65" s="124"/>
      <c r="I65" s="124"/>
      <c r="J65" s="124"/>
      <c r="K65" s="124"/>
      <c r="L65" s="124"/>
      <c r="M65" s="124"/>
    </row>
    <row r="66" spans="1:13">
      <c r="A66" s="236" t="s">
        <v>400</v>
      </c>
      <c r="B66" s="235" t="s">
        <v>73</v>
      </c>
      <c r="C66" s="235" t="s">
        <v>585</v>
      </c>
      <c r="D66" s="124"/>
      <c r="E66" s="124"/>
      <c r="F66" s="124"/>
      <c r="G66" s="124"/>
      <c r="H66" s="124"/>
      <c r="I66" s="124"/>
      <c r="J66" s="124"/>
      <c r="K66" s="124"/>
      <c r="L66" s="124"/>
      <c r="M66" s="124"/>
    </row>
    <row r="67" spans="1:13">
      <c r="A67" s="236" t="s">
        <v>401</v>
      </c>
      <c r="B67" s="235" t="s">
        <v>494</v>
      </c>
      <c r="C67" s="235" t="s">
        <v>270</v>
      </c>
      <c r="D67" s="124"/>
      <c r="E67" s="124"/>
      <c r="F67" s="124"/>
      <c r="G67" s="124"/>
      <c r="H67" s="124"/>
      <c r="I67" s="124"/>
      <c r="J67" s="124"/>
      <c r="K67" s="124"/>
      <c r="L67" s="124"/>
      <c r="M67" s="124"/>
    </row>
    <row r="68" spans="1:13">
      <c r="A68" s="236" t="s">
        <v>402</v>
      </c>
      <c r="B68" s="235" t="s">
        <v>267</v>
      </c>
      <c r="C68" s="235" t="s">
        <v>495</v>
      </c>
      <c r="D68" s="124"/>
      <c r="E68" s="124"/>
      <c r="F68" s="124"/>
      <c r="G68" s="124"/>
      <c r="H68" s="124"/>
      <c r="I68" s="124"/>
      <c r="J68" s="124"/>
      <c r="K68" s="124"/>
      <c r="L68" s="124"/>
      <c r="M68" s="124"/>
    </row>
    <row r="69" spans="1:13">
      <c r="A69" s="236" t="s">
        <v>403</v>
      </c>
      <c r="B69" s="235" t="s">
        <v>248</v>
      </c>
      <c r="C69" s="235" t="s">
        <v>263</v>
      </c>
      <c r="D69" s="124"/>
      <c r="E69" s="124"/>
      <c r="F69" s="124"/>
      <c r="G69" s="124"/>
      <c r="H69" s="124"/>
      <c r="I69" s="124"/>
      <c r="J69" s="124"/>
      <c r="K69" s="124"/>
      <c r="L69" s="124"/>
      <c r="M69" s="124"/>
    </row>
    <row r="70" spans="1:13">
      <c r="A70" s="236" t="s">
        <v>404</v>
      </c>
      <c r="B70" s="235" t="s">
        <v>274</v>
      </c>
      <c r="C70" s="235" t="s">
        <v>261</v>
      </c>
      <c r="D70" s="124"/>
      <c r="E70" s="124"/>
      <c r="F70" s="124"/>
      <c r="G70" s="124"/>
      <c r="H70" s="124"/>
      <c r="I70" s="124"/>
      <c r="J70" s="124"/>
      <c r="K70" s="124"/>
      <c r="L70" s="124"/>
      <c r="M70" s="124"/>
    </row>
    <row r="71" spans="1:13">
      <c r="A71" s="236" t="s">
        <v>405</v>
      </c>
      <c r="B71" s="235" t="s">
        <v>268</v>
      </c>
      <c r="C71" s="235" t="s">
        <v>259</v>
      </c>
      <c r="D71" s="124"/>
      <c r="E71" s="124"/>
      <c r="F71" s="124"/>
      <c r="G71" s="124"/>
      <c r="H71" s="124"/>
      <c r="I71" s="124"/>
      <c r="J71" s="124"/>
      <c r="K71" s="124"/>
      <c r="L71" s="124"/>
      <c r="M71" s="124"/>
    </row>
    <row r="72" spans="1:13">
      <c r="A72" s="236" t="s">
        <v>406</v>
      </c>
      <c r="B72" s="235" t="s">
        <v>16</v>
      </c>
      <c r="C72" s="235" t="s">
        <v>4</v>
      </c>
      <c r="D72" s="124"/>
      <c r="E72" s="124"/>
      <c r="F72" s="124"/>
      <c r="G72" s="124"/>
      <c r="H72" s="124"/>
      <c r="I72" s="124"/>
      <c r="J72" s="124"/>
      <c r="K72" s="124"/>
      <c r="L72" s="124"/>
      <c r="M72" s="124"/>
    </row>
    <row r="74" spans="1:13">
      <c r="M74" s="232" t="s">
        <v>568</v>
      </c>
    </row>
    <row r="75" spans="1:13">
      <c r="D75" s="111">
        <v>0.5</v>
      </c>
      <c r="E75" s="111">
        <v>0.5</v>
      </c>
      <c r="M75" s="111">
        <v>2916</v>
      </c>
    </row>
  </sheetData>
  <pageMargins left="0.7" right="0.7" top="0.75" bottom="0.75"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sheetPr codeName="Hoja23"/>
  <dimension ref="A1:N26"/>
  <sheetViews>
    <sheetView workbookViewId="0">
      <selection activeCell="F2" sqref="F2"/>
    </sheetView>
  </sheetViews>
  <sheetFormatPr baseColWidth="10" defaultRowHeight="15"/>
  <cols>
    <col min="1" max="1" width="4.28515625" style="231" customWidth="1"/>
    <col min="2" max="3" width="13.5703125" style="231" customWidth="1"/>
    <col min="4" max="4" width="14.7109375" style="231" bestFit="1" customWidth="1"/>
    <col min="5" max="7" width="7.85546875" style="231" customWidth="1"/>
    <col min="8" max="16384" width="11.42578125" style="231"/>
  </cols>
  <sheetData>
    <row r="1" spans="1:14">
      <c r="A1" s="4" t="s">
        <v>12</v>
      </c>
      <c r="B1" s="4" t="s">
        <v>47</v>
      </c>
      <c r="C1" s="4" t="s">
        <v>1</v>
      </c>
      <c r="D1" s="4" t="s">
        <v>49</v>
      </c>
      <c r="E1" s="5">
        <v>2.25</v>
      </c>
      <c r="F1" s="9">
        <f>((1.89-1)*0.95)+1</f>
        <v>1.8454999999999999</v>
      </c>
      <c r="G1" s="10" t="s">
        <v>122</v>
      </c>
      <c r="H1" s="235" t="s">
        <v>660</v>
      </c>
      <c r="I1" s="235"/>
    </row>
    <row r="2" spans="1:14">
      <c r="A2" s="4" t="s">
        <v>12</v>
      </c>
      <c r="B2" s="4" t="s">
        <v>15</v>
      </c>
      <c r="C2" s="4" t="s">
        <v>181</v>
      </c>
      <c r="D2" s="4" t="s">
        <v>49</v>
      </c>
      <c r="E2" s="5">
        <v>1.75</v>
      </c>
      <c r="F2" s="9">
        <f>((2.32-1)*0.95)+1</f>
        <v>2.2539999999999996</v>
      </c>
      <c r="G2" s="10" t="s">
        <v>122</v>
      </c>
      <c r="H2" s="235" t="s">
        <v>663</v>
      </c>
      <c r="I2" s="235"/>
    </row>
    <row r="3" spans="1:14">
      <c r="A3" s="235"/>
      <c r="B3" s="235"/>
      <c r="C3" s="235"/>
      <c r="D3" s="235"/>
      <c r="E3" s="3"/>
      <c r="F3" s="86"/>
      <c r="G3" s="30"/>
      <c r="H3" s="235"/>
      <c r="I3" s="235"/>
    </row>
    <row r="4" spans="1:14">
      <c r="A4" s="235"/>
      <c r="B4" s="235"/>
      <c r="C4" s="235"/>
      <c r="D4" s="235"/>
      <c r="E4" s="3"/>
      <c r="F4" s="86"/>
      <c r="G4" s="30"/>
      <c r="H4" s="235"/>
      <c r="I4" s="235"/>
    </row>
    <row r="5" spans="1:14">
      <c r="A5" s="96" t="s">
        <v>242</v>
      </c>
      <c r="B5" s="235"/>
      <c r="C5" s="235"/>
      <c r="D5" s="235"/>
      <c r="E5" s="3"/>
      <c r="F5" s="86"/>
      <c r="G5" s="30"/>
      <c r="H5" s="235"/>
      <c r="I5" s="235"/>
      <c r="J5" s="235"/>
      <c r="K5" s="235"/>
      <c r="L5" s="235"/>
      <c r="M5" s="235"/>
      <c r="N5" s="235"/>
    </row>
    <row r="6" spans="1:14">
      <c r="A6" s="75"/>
      <c r="B6" s="75"/>
      <c r="C6" s="75"/>
      <c r="D6" s="75"/>
      <c r="E6" s="79"/>
      <c r="F6" s="80"/>
      <c r="G6" s="30"/>
      <c r="H6" s="75"/>
      <c r="I6" s="75"/>
      <c r="J6" s="235"/>
      <c r="K6" s="235"/>
      <c r="L6" s="235"/>
      <c r="M6" s="235"/>
      <c r="N6" s="235"/>
    </row>
    <row r="7" spans="1:14">
      <c r="A7" s="75"/>
      <c r="B7" s="75"/>
      <c r="C7" s="75"/>
      <c r="D7" s="75"/>
      <c r="E7" s="79"/>
      <c r="F7" s="86"/>
      <c r="G7" s="30"/>
      <c r="H7" s="235"/>
      <c r="I7" s="75"/>
      <c r="J7" s="235"/>
      <c r="K7" s="235"/>
      <c r="L7" s="235"/>
      <c r="M7" s="235"/>
      <c r="N7" s="235"/>
    </row>
    <row r="8" spans="1:14">
      <c r="A8" s="75"/>
      <c r="B8" s="75"/>
      <c r="C8" s="75"/>
      <c r="D8" s="75"/>
      <c r="E8" s="79"/>
      <c r="F8" s="80"/>
      <c r="G8" s="81"/>
      <c r="H8" s="75"/>
      <c r="I8" s="75"/>
      <c r="J8" s="235"/>
      <c r="K8" s="235"/>
      <c r="L8" s="235"/>
      <c r="M8" s="235"/>
      <c r="N8" s="235"/>
    </row>
    <row r="9" spans="1:14">
      <c r="A9" s="268" t="s">
        <v>662</v>
      </c>
      <c r="B9" s="75"/>
      <c r="C9" s="75"/>
      <c r="D9" s="75"/>
      <c r="E9" s="79"/>
      <c r="F9" s="80"/>
      <c r="G9" s="81"/>
      <c r="H9" s="75"/>
      <c r="I9" s="75"/>
      <c r="J9" s="235"/>
      <c r="K9" s="235"/>
      <c r="L9" s="235"/>
      <c r="M9" s="235"/>
      <c r="N9" s="235"/>
    </row>
    <row r="10" spans="1:14">
      <c r="A10" s="75"/>
      <c r="B10" s="75"/>
      <c r="C10" s="75"/>
      <c r="D10" s="75"/>
      <c r="E10" s="79"/>
      <c r="F10" s="80"/>
      <c r="G10" s="81"/>
      <c r="H10" s="75"/>
      <c r="I10" s="75"/>
      <c r="J10" s="235"/>
      <c r="K10" s="235"/>
      <c r="L10" s="235"/>
      <c r="M10" s="235"/>
      <c r="N10" s="235"/>
    </row>
    <row r="11" spans="1:14">
      <c r="A11" s="267" t="s">
        <v>661</v>
      </c>
      <c r="B11" s="235"/>
      <c r="C11" s="235"/>
      <c r="D11" s="235"/>
      <c r="E11" s="3"/>
      <c r="F11" s="86"/>
      <c r="G11" s="30"/>
      <c r="H11" s="235"/>
      <c r="I11" s="235"/>
      <c r="J11" s="235"/>
      <c r="K11" s="235"/>
      <c r="L11" s="235"/>
      <c r="M11" s="235"/>
      <c r="N11" s="235"/>
    </row>
    <row r="12" spans="1:14">
      <c r="A12" s="235"/>
      <c r="B12" s="235"/>
      <c r="C12" s="235"/>
      <c r="D12" s="235"/>
      <c r="E12" s="3"/>
      <c r="F12" s="86"/>
      <c r="G12" s="30"/>
      <c r="H12" s="235"/>
      <c r="I12" s="235"/>
      <c r="J12" s="235"/>
      <c r="K12" s="235"/>
      <c r="L12" s="235"/>
      <c r="M12" s="235"/>
      <c r="N12" s="235"/>
    </row>
    <row r="13" spans="1:14">
      <c r="A13" s="267" t="s">
        <v>664</v>
      </c>
      <c r="B13" s="235"/>
      <c r="C13" s="235"/>
      <c r="D13" s="235"/>
      <c r="E13" s="235"/>
      <c r="F13" s="235"/>
      <c r="G13" s="235"/>
      <c r="H13" s="235"/>
      <c r="I13" s="235"/>
      <c r="J13" s="235"/>
      <c r="K13" s="235"/>
      <c r="L13" s="235"/>
      <c r="M13" s="235"/>
      <c r="N13" s="235"/>
    </row>
    <row r="14" spans="1:14">
      <c r="A14" s="235"/>
      <c r="B14" s="235"/>
      <c r="C14" s="235"/>
      <c r="D14" s="235"/>
      <c r="E14" s="235"/>
      <c r="F14" s="235"/>
      <c r="G14" s="235"/>
      <c r="H14" s="235"/>
      <c r="I14" s="235"/>
      <c r="J14" s="235"/>
      <c r="K14" s="235"/>
      <c r="L14" s="235"/>
      <c r="M14" s="235"/>
      <c r="N14" s="235"/>
    </row>
    <row r="15" spans="1:14">
      <c r="A15" s="270" t="s">
        <v>665</v>
      </c>
      <c r="B15" s="235"/>
      <c r="C15" s="235"/>
      <c r="D15" s="235"/>
      <c r="E15" s="235"/>
      <c r="F15" s="235"/>
      <c r="G15" s="235"/>
      <c r="H15" s="235"/>
      <c r="I15" s="235"/>
      <c r="J15" s="235"/>
      <c r="K15" s="235"/>
      <c r="L15" s="235"/>
      <c r="M15" s="235"/>
      <c r="N15" s="235"/>
    </row>
    <row r="16" spans="1:14">
      <c r="A16" s="235"/>
      <c r="B16" s="235"/>
      <c r="C16" s="235"/>
      <c r="D16" s="235"/>
    </row>
    <row r="17" spans="1:4">
      <c r="A17" s="243" t="s">
        <v>666</v>
      </c>
      <c r="B17" s="235"/>
      <c r="C17" s="235"/>
      <c r="D17" s="235"/>
    </row>
    <row r="18" spans="1:4">
      <c r="A18" s="235"/>
      <c r="B18" s="235"/>
      <c r="C18" s="235"/>
      <c r="D18" s="235"/>
    </row>
    <row r="19" spans="1:4">
      <c r="B19" s="235"/>
      <c r="C19" s="235"/>
      <c r="D19" s="235"/>
    </row>
    <row r="20" spans="1:4">
      <c r="A20" s="12" t="s">
        <v>667</v>
      </c>
      <c r="B20" s="235"/>
      <c r="C20" s="235"/>
      <c r="D20" s="235"/>
    </row>
    <row r="21" spans="1:4">
      <c r="A21" s="4" t="s">
        <v>671</v>
      </c>
      <c r="B21" s="235"/>
      <c r="C21" s="235"/>
      <c r="D21" s="235"/>
    </row>
    <row r="22" spans="1:4">
      <c r="A22" s="235"/>
      <c r="B22" s="235"/>
      <c r="C22" s="235"/>
      <c r="D22" s="235"/>
    </row>
    <row r="23" spans="1:4">
      <c r="A23" s="235"/>
      <c r="B23" s="235"/>
      <c r="C23" s="235"/>
      <c r="D23" s="235"/>
    </row>
    <row r="24" spans="1:4">
      <c r="A24" s="235"/>
      <c r="B24" s="235"/>
      <c r="C24" s="235"/>
      <c r="D24" s="235"/>
    </row>
    <row r="25" spans="1:4">
      <c r="A25" s="235"/>
      <c r="B25" s="235"/>
      <c r="C25" s="235"/>
      <c r="D25" s="235"/>
    </row>
    <row r="26" spans="1:4">
      <c r="A26" s="235"/>
      <c r="B26" s="235"/>
      <c r="C26" s="235"/>
      <c r="D26" s="23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sheetPr codeName="Hoja24"/>
  <dimension ref="A1:R75"/>
  <sheetViews>
    <sheetView topLeftCell="A34" zoomScaleNormal="100" workbookViewId="0">
      <selection activeCell="A37" sqref="A37"/>
    </sheetView>
  </sheetViews>
  <sheetFormatPr baseColWidth="10" defaultRowHeight="15"/>
  <cols>
    <col min="1" max="3" width="11.42578125" style="231"/>
    <col min="4" max="6" width="11.5703125" style="231" customWidth="1"/>
    <col min="7" max="7" width="3.5703125" style="231" customWidth="1"/>
    <col min="8" max="8" width="3.28515625" style="231" customWidth="1"/>
    <col min="9" max="9" width="4.5703125" style="231" customWidth="1"/>
    <col min="10" max="11" width="7" style="231" customWidth="1"/>
    <col min="12" max="12" width="11.42578125" style="231" customWidth="1"/>
    <col min="13" max="16384" width="11.42578125" style="231"/>
  </cols>
  <sheetData>
    <row r="1" spans="1:12">
      <c r="A1" s="18" t="s">
        <v>247</v>
      </c>
      <c r="B1" s="18"/>
      <c r="C1" s="18"/>
      <c r="D1" s="18"/>
      <c r="E1" s="18"/>
      <c r="F1" s="18"/>
      <c r="G1" s="18" t="s">
        <v>302</v>
      </c>
      <c r="H1" s="18"/>
      <c r="I1" s="18"/>
      <c r="J1" s="18"/>
      <c r="K1" s="18"/>
      <c r="L1" s="231" t="s">
        <v>305</v>
      </c>
    </row>
    <row r="2" spans="1:12">
      <c r="C2" s="17" t="s">
        <v>250</v>
      </c>
      <c r="D2" s="17" t="s">
        <v>294</v>
      </c>
      <c r="E2" s="18" t="s">
        <v>251</v>
      </c>
      <c r="F2" s="18" t="s">
        <v>293</v>
      </c>
      <c r="G2" s="18" t="s">
        <v>303</v>
      </c>
      <c r="H2" s="18" t="s">
        <v>304</v>
      </c>
      <c r="I2" s="18" t="s">
        <v>314</v>
      </c>
      <c r="J2" s="18"/>
      <c r="K2" s="18"/>
      <c r="L2" s="231" t="s">
        <v>305</v>
      </c>
    </row>
    <row r="3" spans="1:12">
      <c r="A3" s="207"/>
      <c r="B3" s="207"/>
      <c r="C3" s="246"/>
      <c r="D3" s="246"/>
      <c r="E3" s="207"/>
      <c r="F3" s="207"/>
      <c r="G3" s="207"/>
      <c r="H3" s="247"/>
      <c r="I3" s="247"/>
      <c r="J3" s="248"/>
      <c r="K3" s="248"/>
      <c r="L3" s="207"/>
    </row>
    <row r="4" spans="1:12">
      <c r="A4" s="207"/>
      <c r="B4" s="207"/>
      <c r="C4" s="246"/>
      <c r="D4" s="246"/>
      <c r="E4" s="207"/>
      <c r="F4" s="207"/>
      <c r="G4" s="207"/>
      <c r="H4" s="247"/>
      <c r="I4" s="247"/>
      <c r="J4" s="248"/>
      <c r="K4" s="248"/>
      <c r="L4" s="207"/>
    </row>
    <row r="5" spans="1:12">
      <c r="A5" s="207"/>
      <c r="B5" s="207"/>
      <c r="C5" s="246"/>
      <c r="D5" s="246"/>
      <c r="E5" s="207"/>
      <c r="F5" s="207"/>
      <c r="G5" s="207"/>
      <c r="H5" s="247"/>
      <c r="I5" s="247"/>
      <c r="J5" s="248"/>
      <c r="K5" s="248"/>
      <c r="L5" s="207"/>
    </row>
    <row r="6" spans="1:12">
      <c r="A6" s="207"/>
      <c r="B6" s="207"/>
      <c r="C6" s="246"/>
      <c r="D6" s="246"/>
      <c r="E6" s="207"/>
      <c r="F6" s="207"/>
      <c r="G6" s="207"/>
      <c r="H6" s="247"/>
      <c r="I6" s="247"/>
      <c r="J6" s="248"/>
      <c r="K6" s="248"/>
      <c r="L6" s="207"/>
    </row>
    <row r="7" spans="1:12">
      <c r="A7" s="207"/>
      <c r="B7" s="207"/>
      <c r="C7" s="246"/>
      <c r="D7" s="246"/>
      <c r="E7" s="207"/>
      <c r="F7" s="207"/>
      <c r="G7" s="207"/>
      <c r="H7" s="247"/>
      <c r="I7" s="247"/>
      <c r="J7" s="248"/>
      <c r="K7" s="248"/>
      <c r="L7" s="207"/>
    </row>
    <row r="8" spans="1:12">
      <c r="A8" s="207"/>
      <c r="B8" s="207"/>
      <c r="C8" s="246"/>
      <c r="D8" s="246"/>
      <c r="E8" s="207"/>
      <c r="F8" s="207"/>
      <c r="G8" s="207"/>
      <c r="H8" s="247"/>
      <c r="I8" s="247"/>
      <c r="J8" s="248"/>
      <c r="K8" s="248"/>
      <c r="L8" s="207"/>
    </row>
    <row r="9" spans="1:12">
      <c r="A9" s="207"/>
      <c r="B9" s="207"/>
      <c r="C9" s="246"/>
      <c r="D9" s="246"/>
      <c r="E9" s="207"/>
      <c r="F9" s="207"/>
      <c r="G9" s="207"/>
      <c r="H9" s="247"/>
      <c r="I9" s="247"/>
      <c r="J9" s="248"/>
      <c r="K9" s="248"/>
      <c r="L9" s="207"/>
    </row>
    <row r="10" spans="1:12">
      <c r="A10" s="207"/>
      <c r="B10" s="207"/>
      <c r="C10" s="246"/>
      <c r="D10" s="246"/>
      <c r="E10" s="207"/>
      <c r="F10" s="207"/>
      <c r="G10" s="207"/>
      <c r="H10" s="247"/>
      <c r="I10" s="247"/>
      <c r="J10" s="248"/>
      <c r="K10" s="248"/>
      <c r="L10" s="207"/>
    </row>
    <row r="11" spans="1:12">
      <c r="A11" s="207"/>
      <c r="B11" s="207"/>
      <c r="C11" s="246"/>
      <c r="D11" s="246"/>
      <c r="E11" s="207"/>
      <c r="F11" s="207"/>
      <c r="G11" s="207"/>
      <c r="H11" s="247"/>
      <c r="I11" s="247"/>
      <c r="J11" s="248"/>
      <c r="K11" s="248"/>
      <c r="L11" s="207"/>
    </row>
    <row r="12" spans="1:12">
      <c r="A12" s="207"/>
      <c r="B12" s="207"/>
      <c r="C12" s="246"/>
      <c r="D12" s="246"/>
      <c r="E12" s="207"/>
      <c r="F12" s="207"/>
      <c r="G12" s="207"/>
      <c r="H12" s="247"/>
      <c r="I12" s="247"/>
      <c r="J12" s="248"/>
      <c r="K12" s="248"/>
      <c r="L12" s="207"/>
    </row>
    <row r="13" spans="1:12">
      <c r="A13" s="207"/>
      <c r="B13" s="207"/>
      <c r="C13" s="246"/>
      <c r="D13" s="246"/>
      <c r="E13" s="207"/>
      <c r="F13" s="207"/>
      <c r="G13" s="207"/>
      <c r="H13" s="247"/>
      <c r="I13" s="247"/>
      <c r="J13" s="248"/>
      <c r="K13" s="248"/>
      <c r="L13" s="207"/>
    </row>
    <row r="14" spans="1:12">
      <c r="A14" s="207"/>
      <c r="B14" s="207"/>
      <c r="F14" s="102">
        <f>SUM(F3:F12)</f>
        <v>0</v>
      </c>
      <c r="J14" s="102">
        <f t="shared" ref="J14:K14" si="0">SUM(J3:J12)</f>
        <v>0</v>
      </c>
      <c r="K14" s="102">
        <f t="shared" si="0"/>
        <v>0</v>
      </c>
    </row>
    <row r="15" spans="1:12">
      <c r="A15" s="207"/>
      <c r="B15" s="207"/>
      <c r="F15" s="101" t="e">
        <f>+F14/SUM(E3:E12)</f>
        <v>#DIV/0!</v>
      </c>
      <c r="J15" s="101" t="e">
        <f>+J14/SUM(H3:H12)</f>
        <v>#DIV/0!</v>
      </c>
      <c r="K15" s="101" t="e">
        <f>+K14/SUM(I3:I12)</f>
        <v>#DIV/0!</v>
      </c>
    </row>
    <row r="16" spans="1:12">
      <c r="A16" s="59"/>
      <c r="B16" s="59"/>
      <c r="F16" s="101"/>
      <c r="J16" s="101"/>
      <c r="K16" s="101"/>
    </row>
    <row r="17" spans="1:18">
      <c r="A17" s="59"/>
      <c r="B17" s="59"/>
      <c r="F17" s="101"/>
      <c r="J17" s="101"/>
      <c r="K17" s="101"/>
    </row>
    <row r="18" spans="1:18">
      <c r="A18" s="207"/>
      <c r="B18" s="207"/>
      <c r="C18" s="17" t="s">
        <v>250</v>
      </c>
      <c r="D18" s="17" t="s">
        <v>294</v>
      </c>
      <c r="E18" s="18" t="s">
        <v>251</v>
      </c>
      <c r="F18" s="18" t="s">
        <v>293</v>
      </c>
      <c r="G18" s="18" t="s">
        <v>303</v>
      </c>
      <c r="H18" s="18" t="s">
        <v>304</v>
      </c>
      <c r="I18" s="18" t="s">
        <v>314</v>
      </c>
      <c r="J18" s="18"/>
      <c r="K18" s="18"/>
      <c r="L18" s="82" t="s">
        <v>305</v>
      </c>
      <c r="M18" s="82"/>
      <c r="N18" s="82"/>
      <c r="O18" s="82"/>
      <c r="P18" s="82"/>
      <c r="Q18" s="82"/>
      <c r="R18" s="82"/>
    </row>
    <row r="19" spans="1:18">
      <c r="A19" s="207"/>
      <c r="B19" s="207"/>
      <c r="C19" s="246"/>
      <c r="D19" s="246"/>
      <c r="E19" s="207"/>
      <c r="F19" s="207"/>
      <c r="G19" s="207"/>
      <c r="H19" s="247"/>
      <c r="I19" s="247"/>
      <c r="J19" s="248"/>
      <c r="K19" s="248"/>
      <c r="L19" s="207"/>
      <c r="M19" s="82"/>
      <c r="N19" s="82"/>
      <c r="O19" s="82"/>
      <c r="P19" s="82"/>
      <c r="Q19" s="82"/>
      <c r="R19" s="82"/>
    </row>
    <row r="20" spans="1:18">
      <c r="A20" s="207"/>
      <c r="B20" s="207"/>
      <c r="C20" s="246"/>
      <c r="D20" s="246"/>
      <c r="E20" s="207"/>
      <c r="F20" s="207"/>
      <c r="G20" s="207"/>
      <c r="H20" s="247"/>
      <c r="I20" s="247"/>
      <c r="J20" s="248"/>
      <c r="K20" s="248"/>
      <c r="L20" s="207"/>
      <c r="M20" s="82"/>
      <c r="N20" s="82"/>
      <c r="O20" s="82"/>
      <c r="P20" s="82"/>
      <c r="Q20" s="82"/>
      <c r="R20" s="82"/>
    </row>
    <row r="21" spans="1:18">
      <c r="A21" s="207"/>
      <c r="B21" s="207"/>
      <c r="C21" s="246"/>
      <c r="D21" s="246"/>
      <c r="E21" s="207"/>
      <c r="F21" s="207"/>
      <c r="G21" s="207"/>
      <c r="H21" s="247"/>
      <c r="I21" s="247"/>
      <c r="J21" s="248"/>
      <c r="K21" s="248"/>
      <c r="L21" s="207"/>
      <c r="M21" s="82"/>
      <c r="N21" s="82"/>
      <c r="O21" s="82"/>
      <c r="P21" s="82"/>
      <c r="Q21" s="82"/>
      <c r="R21" s="82"/>
    </row>
    <row r="22" spans="1:18">
      <c r="A22" s="207"/>
      <c r="B22" s="207"/>
      <c r="C22" s="246"/>
      <c r="D22" s="246"/>
      <c r="E22" s="207"/>
      <c r="F22" s="207"/>
      <c r="G22" s="207"/>
      <c r="H22" s="247"/>
      <c r="I22" s="247"/>
      <c r="J22" s="248"/>
      <c r="K22" s="248"/>
      <c r="L22" s="207"/>
      <c r="M22" s="82"/>
      <c r="N22" s="82"/>
      <c r="O22" s="82"/>
      <c r="P22" s="82"/>
      <c r="Q22" s="82"/>
      <c r="R22" s="82"/>
    </row>
    <row r="23" spans="1:18">
      <c r="A23" s="207"/>
      <c r="B23" s="207"/>
      <c r="C23" s="246"/>
      <c r="D23" s="246"/>
      <c r="E23" s="207"/>
      <c r="F23" s="207"/>
      <c r="G23" s="207"/>
      <c r="H23" s="247"/>
      <c r="I23" s="247"/>
      <c r="J23" s="248"/>
      <c r="K23" s="248"/>
      <c r="L23" s="207"/>
      <c r="M23" s="82"/>
      <c r="N23" s="82"/>
      <c r="O23" s="82"/>
      <c r="P23" s="82"/>
      <c r="Q23" s="82"/>
      <c r="R23" s="82"/>
    </row>
    <row r="24" spans="1:18">
      <c r="A24" s="207"/>
      <c r="B24" s="207"/>
      <c r="C24" s="246"/>
      <c r="D24" s="246"/>
      <c r="E24" s="207"/>
      <c r="F24" s="207"/>
      <c r="G24" s="207"/>
      <c r="H24" s="247"/>
      <c r="I24" s="247"/>
      <c r="J24" s="248"/>
      <c r="K24" s="248"/>
      <c r="L24" s="207"/>
      <c r="M24" s="82"/>
      <c r="N24" s="82"/>
      <c r="O24" s="82"/>
      <c r="P24" s="82"/>
      <c r="Q24" s="82"/>
      <c r="R24" s="82"/>
    </row>
    <row r="25" spans="1:18">
      <c r="A25" s="207"/>
      <c r="B25" s="207"/>
      <c r="C25" s="246"/>
      <c r="D25" s="246"/>
      <c r="E25" s="207"/>
      <c r="F25" s="207"/>
      <c r="G25" s="207"/>
      <c r="H25" s="247"/>
      <c r="I25" s="247"/>
      <c r="J25" s="248"/>
      <c r="K25" s="248"/>
      <c r="L25" s="207"/>
      <c r="M25" s="82"/>
      <c r="N25" s="82"/>
      <c r="O25" s="82"/>
      <c r="P25" s="82"/>
      <c r="Q25" s="82"/>
      <c r="R25" s="82"/>
    </row>
    <row r="26" spans="1:18">
      <c r="A26" s="207"/>
      <c r="B26" s="207"/>
      <c r="C26" s="246"/>
      <c r="D26" s="246"/>
      <c r="E26" s="207"/>
      <c r="F26" s="207"/>
      <c r="G26" s="207"/>
      <c r="H26" s="247"/>
      <c r="I26" s="247"/>
      <c r="J26" s="248"/>
      <c r="K26" s="248"/>
      <c r="L26" s="207"/>
      <c r="M26" s="82"/>
      <c r="N26" s="82"/>
      <c r="O26" s="82"/>
      <c r="P26" s="82"/>
      <c r="Q26" s="82"/>
      <c r="R26" s="82"/>
    </row>
    <row r="27" spans="1:18">
      <c r="A27" s="207"/>
      <c r="B27" s="207"/>
      <c r="C27" s="246"/>
      <c r="D27" s="246"/>
      <c r="E27" s="207"/>
      <c r="F27" s="207"/>
      <c r="G27" s="207"/>
      <c r="H27" s="247"/>
      <c r="I27" s="247"/>
      <c r="J27" s="248"/>
      <c r="K27" s="248"/>
      <c r="L27" s="207"/>
      <c r="M27" s="82"/>
      <c r="N27" s="82"/>
      <c r="O27" s="82"/>
      <c r="P27" s="82"/>
      <c r="Q27" s="82"/>
      <c r="R27" s="82"/>
    </row>
    <row r="28" spans="1:18">
      <c r="A28" s="207"/>
      <c r="B28" s="207"/>
      <c r="C28" s="246"/>
      <c r="D28" s="246"/>
      <c r="E28" s="207"/>
      <c r="F28" s="207"/>
      <c r="G28" s="207"/>
      <c r="H28" s="247"/>
      <c r="I28" s="247"/>
      <c r="J28" s="248"/>
      <c r="K28" s="248"/>
      <c r="L28" s="207"/>
      <c r="M28" s="82"/>
      <c r="N28" s="82"/>
      <c r="O28" s="82"/>
      <c r="P28" s="82"/>
      <c r="Q28" s="82"/>
      <c r="R28" s="82"/>
    </row>
    <row r="29" spans="1:18">
      <c r="A29" s="207"/>
      <c r="B29" s="207"/>
      <c r="C29" s="246"/>
      <c r="D29" s="246"/>
      <c r="E29" s="207"/>
      <c r="F29" s="207"/>
      <c r="G29" s="207"/>
      <c r="H29" s="247"/>
      <c r="I29" s="247"/>
      <c r="J29" s="248"/>
      <c r="K29" s="248"/>
      <c r="L29" s="207"/>
      <c r="M29" s="82"/>
      <c r="N29" s="82"/>
      <c r="O29" s="82"/>
      <c r="P29" s="82"/>
      <c r="Q29" s="82"/>
      <c r="R29" s="82"/>
    </row>
    <row r="30" spans="1:18">
      <c r="A30" s="207"/>
      <c r="B30" s="207"/>
      <c r="C30" s="207"/>
      <c r="D30" s="207"/>
      <c r="E30" s="207"/>
      <c r="F30" s="207"/>
      <c r="G30" s="207"/>
      <c r="H30" s="207"/>
      <c r="I30" s="207"/>
      <c r="J30" s="207"/>
      <c r="K30" s="207"/>
      <c r="L30" s="207"/>
      <c r="M30" s="82"/>
      <c r="N30" s="82"/>
      <c r="O30" s="82"/>
      <c r="P30" s="82"/>
      <c r="Q30" s="82"/>
      <c r="R30" s="82"/>
    </row>
    <row r="31" spans="1:18">
      <c r="A31" s="75"/>
      <c r="B31" s="80"/>
      <c r="C31" s="75"/>
      <c r="D31" s="82"/>
      <c r="E31" s="82"/>
      <c r="F31" s="107">
        <f>SUM(F19:F29)</f>
        <v>0</v>
      </c>
      <c r="G31" s="17"/>
      <c r="H31" s="17"/>
      <c r="I31" s="17"/>
      <c r="J31" s="107">
        <f t="shared" ref="J31:K31" si="1">SUM(J19:J29)</f>
        <v>0</v>
      </c>
      <c r="K31" s="107">
        <f t="shared" si="1"/>
        <v>0</v>
      </c>
      <c r="L31" s="82"/>
      <c r="M31" s="82"/>
      <c r="N31" s="82"/>
      <c r="O31" s="82"/>
      <c r="P31" s="82"/>
      <c r="Q31" s="82"/>
      <c r="R31" s="82"/>
    </row>
    <row r="32" spans="1:18">
      <c r="A32" s="75"/>
      <c r="B32" s="80"/>
      <c r="C32" s="75"/>
      <c r="D32" s="82"/>
      <c r="E32" s="82"/>
      <c r="F32" s="101" t="e">
        <f>+F31/SUM(E19:E29)</f>
        <v>#DIV/0!</v>
      </c>
      <c r="G32" s="105"/>
      <c r="H32" s="105"/>
      <c r="I32" s="105"/>
      <c r="J32" s="101">
        <f>+J31/(SUM(H19:H29)-3)</f>
        <v>0</v>
      </c>
      <c r="K32" s="101">
        <f>+K31/(SUM(I19:I29)-18)</f>
        <v>0</v>
      </c>
      <c r="L32" s="82"/>
      <c r="M32" s="82"/>
      <c r="N32" s="82"/>
      <c r="O32" s="82"/>
      <c r="P32" s="82"/>
      <c r="Q32" s="82"/>
      <c r="R32" s="82"/>
    </row>
    <row r="33" spans="1:14">
      <c r="A33" s="235"/>
      <c r="B33" s="86"/>
      <c r="C33" s="235"/>
    </row>
    <row r="34" spans="1:14">
      <c r="A34" s="235"/>
      <c r="B34" s="86"/>
      <c r="C34" s="235"/>
    </row>
    <row r="35" spans="1:14">
      <c r="A35" s="235"/>
      <c r="B35" s="86"/>
      <c r="C35" s="235"/>
    </row>
    <row r="36" spans="1:14">
      <c r="A36" s="275" t="s">
        <v>698</v>
      </c>
      <c r="D36" s="231" t="s">
        <v>362</v>
      </c>
      <c r="E36" s="231" t="s">
        <v>363</v>
      </c>
      <c r="F36" s="231" t="s">
        <v>433</v>
      </c>
      <c r="L36" s="232" t="s">
        <v>429</v>
      </c>
      <c r="M36" s="232" t="s">
        <v>431</v>
      </c>
    </row>
    <row r="37" spans="1:14">
      <c r="A37" s="236" t="s">
        <v>392</v>
      </c>
      <c r="B37" s="265" t="s">
        <v>585</v>
      </c>
      <c r="C37" s="265" t="s">
        <v>586</v>
      </c>
      <c r="D37" s="104"/>
      <c r="E37" s="104"/>
      <c r="F37" s="104"/>
      <c r="G37" s="104"/>
      <c r="H37" s="104"/>
      <c r="I37" s="104"/>
      <c r="J37" s="104"/>
      <c r="K37" s="104"/>
      <c r="L37" s="104"/>
      <c r="M37" s="104"/>
      <c r="N37" s="235"/>
    </row>
    <row r="38" spans="1:14">
      <c r="A38" s="236" t="s">
        <v>393</v>
      </c>
      <c r="B38" s="265" t="s">
        <v>47</v>
      </c>
      <c r="C38" s="265" t="s">
        <v>1</v>
      </c>
      <c r="D38" s="104"/>
      <c r="E38" s="104"/>
      <c r="F38" s="104"/>
      <c r="G38" s="104"/>
      <c r="H38" s="104"/>
      <c r="I38" s="104"/>
      <c r="J38" s="104"/>
      <c r="K38" s="104"/>
      <c r="L38" s="104"/>
      <c r="M38" s="104"/>
      <c r="N38" s="235"/>
    </row>
    <row r="39" spans="1:14">
      <c r="A39" s="236" t="s">
        <v>394</v>
      </c>
      <c r="B39" s="265" t="s">
        <v>15</v>
      </c>
      <c r="C39" s="265" t="s">
        <v>181</v>
      </c>
      <c r="D39" s="104"/>
      <c r="E39" s="104"/>
      <c r="F39" s="104"/>
      <c r="G39" s="235"/>
      <c r="H39" s="104"/>
      <c r="I39" s="104"/>
      <c r="J39" s="104"/>
      <c r="K39" s="104"/>
      <c r="L39" s="104"/>
      <c r="M39" s="104"/>
      <c r="N39" s="235"/>
    </row>
    <row r="40" spans="1:14">
      <c r="A40" s="236" t="s">
        <v>395</v>
      </c>
      <c r="B40" s="265" t="s">
        <v>5</v>
      </c>
      <c r="C40" s="265" t="s">
        <v>28</v>
      </c>
      <c r="D40" s="104"/>
      <c r="E40" s="104"/>
      <c r="F40" s="104"/>
      <c r="G40" s="235"/>
      <c r="H40" s="104"/>
      <c r="I40" s="104"/>
      <c r="J40" s="104"/>
      <c r="K40" s="104"/>
      <c r="L40" s="104"/>
      <c r="M40" s="104"/>
      <c r="N40" s="235"/>
    </row>
    <row r="41" spans="1:14">
      <c r="A41" s="236" t="s">
        <v>396</v>
      </c>
      <c r="B41" s="265" t="s">
        <v>599</v>
      </c>
      <c r="C41" s="265" t="s">
        <v>2</v>
      </c>
      <c r="D41" s="104"/>
      <c r="E41" s="104"/>
      <c r="F41" s="104"/>
      <c r="G41" s="235"/>
      <c r="H41" s="104"/>
      <c r="I41" s="104"/>
      <c r="J41" s="104"/>
      <c r="K41" s="104"/>
      <c r="L41" s="104"/>
      <c r="M41" s="104"/>
      <c r="N41" s="235"/>
    </row>
    <row r="42" spans="1:14">
      <c r="A42" s="236" t="s">
        <v>397</v>
      </c>
      <c r="B42" s="265" t="s">
        <v>587</v>
      </c>
      <c r="C42" s="265" t="s">
        <v>16</v>
      </c>
      <c r="D42" s="104"/>
      <c r="E42" s="104"/>
      <c r="F42" s="104"/>
      <c r="G42" s="235"/>
      <c r="H42" s="104"/>
      <c r="I42" s="104"/>
      <c r="J42" s="104"/>
      <c r="K42" s="104"/>
      <c r="L42" s="104"/>
      <c r="M42" s="104"/>
      <c r="N42" s="235"/>
    </row>
    <row r="43" spans="1:14">
      <c r="A43" s="236" t="s">
        <v>398</v>
      </c>
      <c r="B43" s="265" t="s">
        <v>4</v>
      </c>
      <c r="C43" s="265" t="s">
        <v>0</v>
      </c>
      <c r="D43" s="104"/>
      <c r="E43" s="104"/>
      <c r="F43" s="104"/>
      <c r="G43" s="235"/>
      <c r="H43" s="104"/>
      <c r="I43" s="104"/>
      <c r="J43" s="104"/>
      <c r="K43" s="104"/>
      <c r="L43" s="104"/>
      <c r="M43" s="104"/>
      <c r="N43" s="235"/>
    </row>
    <row r="44" spans="1:14">
      <c r="A44" s="236" t="s">
        <v>399</v>
      </c>
      <c r="B44" s="265" t="s">
        <v>26</v>
      </c>
      <c r="C44" s="265" t="s">
        <v>504</v>
      </c>
      <c r="D44" s="104"/>
      <c r="E44" s="104"/>
      <c r="F44" s="104"/>
      <c r="G44" s="235"/>
      <c r="H44" s="104"/>
      <c r="I44" s="104"/>
      <c r="J44" s="104"/>
      <c r="K44" s="104"/>
      <c r="L44" s="104"/>
      <c r="M44" s="104"/>
      <c r="N44" s="235"/>
    </row>
    <row r="45" spans="1:14">
      <c r="A45" s="236" t="s">
        <v>400</v>
      </c>
      <c r="B45" s="265" t="s">
        <v>588</v>
      </c>
      <c r="C45" s="265" t="s">
        <v>73</v>
      </c>
      <c r="D45" s="104"/>
      <c r="E45" s="104"/>
      <c r="F45" s="104"/>
      <c r="G45" s="235"/>
      <c r="H45" s="104"/>
      <c r="I45" s="104"/>
      <c r="J45" s="104"/>
      <c r="K45" s="104"/>
      <c r="L45" s="104"/>
      <c r="M45" s="104"/>
      <c r="N45" s="235"/>
    </row>
    <row r="46" spans="1:14">
      <c r="A46" s="236" t="s">
        <v>401</v>
      </c>
      <c r="B46" s="265" t="s">
        <v>495</v>
      </c>
      <c r="C46" s="265" t="s">
        <v>248</v>
      </c>
      <c r="D46" s="104"/>
      <c r="E46" s="104"/>
      <c r="F46" s="104"/>
      <c r="G46" s="235"/>
      <c r="H46" s="104"/>
      <c r="I46" s="104"/>
      <c r="J46" s="104"/>
      <c r="K46" s="104"/>
      <c r="L46" s="104"/>
      <c r="M46" s="104"/>
      <c r="N46" s="149"/>
    </row>
    <row r="47" spans="1:14">
      <c r="A47" s="236" t="s">
        <v>402</v>
      </c>
      <c r="B47" s="265" t="s">
        <v>263</v>
      </c>
      <c r="C47" s="265" t="s">
        <v>273</v>
      </c>
      <c r="D47" s="104"/>
      <c r="E47" s="104"/>
      <c r="F47" s="104"/>
      <c r="G47" s="235"/>
      <c r="H47" s="104"/>
      <c r="I47" s="104"/>
      <c r="J47" s="104"/>
      <c r="K47" s="104"/>
      <c r="L47" s="104"/>
      <c r="M47" s="104"/>
      <c r="N47" s="149"/>
    </row>
    <row r="48" spans="1:14">
      <c r="A48" s="236" t="s">
        <v>403</v>
      </c>
      <c r="B48" s="265" t="s">
        <v>277</v>
      </c>
      <c r="C48" s="265" t="s">
        <v>445</v>
      </c>
      <c r="D48" s="104"/>
      <c r="E48" s="104"/>
      <c r="F48" s="104"/>
      <c r="G48" s="235"/>
      <c r="H48" s="104"/>
      <c r="I48" s="104"/>
      <c r="J48" s="104"/>
      <c r="K48" s="104"/>
      <c r="L48" s="104"/>
      <c r="M48" s="104"/>
      <c r="N48" s="149"/>
    </row>
    <row r="49" spans="1:18">
      <c r="A49" s="236" t="s">
        <v>404</v>
      </c>
      <c r="B49" s="265" t="s">
        <v>261</v>
      </c>
      <c r="C49" s="265" t="s">
        <v>249</v>
      </c>
      <c r="D49" s="104"/>
      <c r="E49" s="104"/>
      <c r="F49" s="104"/>
      <c r="G49" s="235"/>
      <c r="H49" s="104"/>
      <c r="I49" s="104"/>
      <c r="J49" s="104"/>
      <c r="K49" s="104"/>
      <c r="L49" s="104"/>
      <c r="M49" s="104"/>
      <c r="N49" s="149"/>
    </row>
    <row r="50" spans="1:18">
      <c r="A50" s="236" t="s">
        <v>405</v>
      </c>
      <c r="B50" s="265" t="s">
        <v>253</v>
      </c>
      <c r="C50" s="265" t="s">
        <v>268</v>
      </c>
      <c r="D50" s="104"/>
      <c r="E50" s="104"/>
      <c r="F50" s="104"/>
      <c r="G50" s="235"/>
      <c r="H50" s="104"/>
      <c r="I50" s="104"/>
      <c r="J50" s="104"/>
      <c r="K50" s="104"/>
      <c r="L50" s="104"/>
      <c r="M50" s="104"/>
      <c r="N50" s="149"/>
    </row>
    <row r="51" spans="1:18">
      <c r="A51" s="236" t="s">
        <v>406</v>
      </c>
      <c r="B51" s="265" t="s">
        <v>308</v>
      </c>
      <c r="C51" s="265" t="s">
        <v>422</v>
      </c>
      <c r="D51" s="104"/>
      <c r="E51" s="104"/>
      <c r="F51" s="104"/>
      <c r="G51" s="149"/>
      <c r="H51" s="104"/>
      <c r="I51" s="104"/>
      <c r="J51" s="104"/>
      <c r="K51" s="104"/>
      <c r="L51" s="104"/>
      <c r="M51" s="104"/>
      <c r="N51" s="235"/>
    </row>
    <row r="52" spans="1:18">
      <c r="A52" s="236"/>
      <c r="F52" s="232"/>
      <c r="G52" s="233"/>
      <c r="H52" s="232"/>
      <c r="I52" s="232"/>
      <c r="J52" s="232"/>
      <c r="K52" s="232"/>
      <c r="L52" s="232"/>
      <c r="M52" s="232"/>
    </row>
    <row r="53" spans="1:18">
      <c r="F53" s="232" t="s">
        <v>658</v>
      </c>
      <c r="G53" s="232"/>
      <c r="H53" s="232"/>
      <c r="I53" s="232"/>
      <c r="J53" s="232"/>
      <c r="K53" s="232"/>
      <c r="L53" s="232" t="s">
        <v>659</v>
      </c>
      <c r="M53" s="232" t="s">
        <v>524</v>
      </c>
    </row>
    <row r="54" spans="1:18">
      <c r="D54" s="111">
        <v>0.5</v>
      </c>
      <c r="E54" s="111">
        <v>0.5</v>
      </c>
      <c r="F54" s="111">
        <v>324</v>
      </c>
      <c r="G54" s="232"/>
      <c r="H54" s="232"/>
      <c r="I54" s="232"/>
      <c r="J54" s="232"/>
      <c r="K54" s="232"/>
      <c r="L54" s="111">
        <v>1944</v>
      </c>
      <c r="M54" s="111">
        <v>7776</v>
      </c>
    </row>
    <row r="57" spans="1:18">
      <c r="D57" s="231" t="s">
        <v>527</v>
      </c>
      <c r="E57" s="231" t="s">
        <v>528</v>
      </c>
      <c r="M57" s="231" t="s">
        <v>567</v>
      </c>
      <c r="N57" s="63"/>
      <c r="P57" s="135"/>
      <c r="Q57" s="135"/>
      <c r="R57" s="135"/>
    </row>
    <row r="58" spans="1:18">
      <c r="A58" s="236" t="s">
        <v>392</v>
      </c>
      <c r="B58" s="266" t="s">
        <v>585</v>
      </c>
      <c r="C58" s="266" t="s">
        <v>586</v>
      </c>
      <c r="D58" s="216">
        <v>1</v>
      </c>
      <c r="E58" s="269">
        <v>2</v>
      </c>
      <c r="F58" s="124"/>
      <c r="G58" s="124"/>
      <c r="H58" s="124"/>
      <c r="I58" s="124"/>
      <c r="J58" s="124"/>
      <c r="K58" s="124"/>
      <c r="L58" s="124"/>
      <c r="M58" s="124"/>
      <c r="N58" s="136"/>
    </row>
    <row r="59" spans="1:18">
      <c r="A59" s="236" t="s">
        <v>393</v>
      </c>
      <c r="B59" s="266" t="s">
        <v>47</v>
      </c>
      <c r="C59" s="266" t="s">
        <v>1</v>
      </c>
      <c r="D59" s="140">
        <v>1</v>
      </c>
      <c r="E59" s="140">
        <v>1</v>
      </c>
      <c r="F59" s="124"/>
      <c r="G59" s="124"/>
      <c r="H59" s="124"/>
      <c r="I59" s="124"/>
      <c r="J59" s="124"/>
      <c r="K59" s="124"/>
      <c r="L59" s="124"/>
      <c r="M59" s="124"/>
    </row>
    <row r="60" spans="1:18">
      <c r="A60" s="236" t="s">
        <v>394</v>
      </c>
      <c r="B60" s="266" t="s">
        <v>15</v>
      </c>
      <c r="C60" s="266" t="s">
        <v>181</v>
      </c>
      <c r="D60" s="140">
        <v>1</v>
      </c>
      <c r="E60" s="140">
        <v>1</v>
      </c>
      <c r="F60" s="124"/>
      <c r="G60" s="124"/>
      <c r="H60" s="124"/>
      <c r="I60" s="124"/>
      <c r="J60" s="124"/>
      <c r="K60" s="124"/>
      <c r="L60" s="124"/>
      <c r="M60" s="124"/>
    </row>
    <row r="61" spans="1:18">
      <c r="A61" s="236" t="s">
        <v>395</v>
      </c>
      <c r="B61" s="266" t="s">
        <v>5</v>
      </c>
      <c r="C61" s="266" t="s">
        <v>28</v>
      </c>
      <c r="D61" s="140" t="s">
        <v>342</v>
      </c>
      <c r="E61" s="140" t="s">
        <v>342</v>
      </c>
      <c r="F61" s="124"/>
      <c r="G61" s="124"/>
      <c r="H61" s="124"/>
      <c r="I61" s="124"/>
      <c r="J61" s="124"/>
      <c r="K61" s="124"/>
      <c r="L61" s="124"/>
      <c r="M61" s="124"/>
      <c r="P61" s="135"/>
      <c r="Q61" s="135"/>
      <c r="R61" s="135"/>
    </row>
    <row r="62" spans="1:18">
      <c r="A62" s="236" t="s">
        <v>396</v>
      </c>
      <c r="B62" s="266" t="s">
        <v>599</v>
      </c>
      <c r="C62" s="266" t="s">
        <v>2</v>
      </c>
      <c r="D62" s="123">
        <v>2</v>
      </c>
      <c r="E62" s="123">
        <v>2</v>
      </c>
      <c r="F62" s="124"/>
      <c r="G62" s="124"/>
      <c r="H62" s="124"/>
      <c r="I62" s="124"/>
      <c r="J62" s="124"/>
      <c r="K62" s="124"/>
      <c r="L62" s="124"/>
      <c r="M62" s="124"/>
      <c r="P62" s="135"/>
      <c r="Q62" s="135"/>
      <c r="R62" s="135"/>
    </row>
    <row r="63" spans="1:18">
      <c r="A63" s="236" t="s">
        <v>397</v>
      </c>
      <c r="B63" s="266" t="s">
        <v>587</v>
      </c>
      <c r="C63" s="266" t="s">
        <v>16</v>
      </c>
      <c r="D63" s="216" t="s">
        <v>342</v>
      </c>
      <c r="E63" s="269">
        <v>1</v>
      </c>
      <c r="F63" s="124"/>
      <c r="G63" s="124"/>
      <c r="H63" s="124"/>
      <c r="I63" s="124"/>
      <c r="J63" s="124"/>
      <c r="K63" s="124"/>
      <c r="L63" s="124"/>
      <c r="M63" s="124"/>
      <c r="P63" s="135"/>
      <c r="Q63" s="135"/>
    </row>
    <row r="64" spans="1:18">
      <c r="A64" s="236" t="s">
        <v>398</v>
      </c>
      <c r="B64" s="266" t="s">
        <v>4</v>
      </c>
      <c r="C64" s="266" t="s">
        <v>0</v>
      </c>
      <c r="D64" s="140">
        <v>1</v>
      </c>
      <c r="E64" s="140">
        <v>1</v>
      </c>
      <c r="F64" s="124"/>
      <c r="G64" s="124"/>
      <c r="H64" s="124"/>
      <c r="I64" s="124"/>
      <c r="J64" s="124"/>
      <c r="K64" s="124"/>
      <c r="L64" s="124"/>
      <c r="M64" s="124"/>
    </row>
    <row r="65" spans="1:15">
      <c r="A65" s="236" t="s">
        <v>399</v>
      </c>
      <c r="B65" s="266" t="s">
        <v>26</v>
      </c>
      <c r="C65" s="266" t="s">
        <v>504</v>
      </c>
      <c r="D65" s="140" t="s">
        <v>342</v>
      </c>
      <c r="E65" s="140" t="s">
        <v>342</v>
      </c>
      <c r="F65" s="124"/>
      <c r="G65" s="228"/>
      <c r="H65" s="124"/>
      <c r="I65" s="124"/>
      <c r="J65" s="124"/>
      <c r="K65" s="124"/>
      <c r="L65" s="124"/>
      <c r="M65" s="124"/>
    </row>
    <row r="66" spans="1:15">
      <c r="A66" s="236" t="s">
        <v>400</v>
      </c>
      <c r="B66" s="266" t="s">
        <v>588</v>
      </c>
      <c r="C66" s="266" t="s">
        <v>73</v>
      </c>
      <c r="D66" s="216">
        <v>1</v>
      </c>
      <c r="E66" s="216">
        <v>2</v>
      </c>
      <c r="F66" s="124"/>
      <c r="G66" s="124"/>
      <c r="H66" s="124"/>
      <c r="I66" s="124"/>
      <c r="J66" s="124"/>
      <c r="K66" s="124"/>
      <c r="L66" s="124"/>
      <c r="M66" s="124"/>
    </row>
    <row r="67" spans="1:15">
      <c r="A67" s="236" t="s">
        <v>401</v>
      </c>
      <c r="B67" s="266" t="s">
        <v>495</v>
      </c>
      <c r="C67" s="266" t="s">
        <v>248</v>
      </c>
      <c r="D67" s="123">
        <v>2</v>
      </c>
      <c r="E67" s="123">
        <v>2</v>
      </c>
      <c r="F67" s="124"/>
      <c r="G67" s="124"/>
      <c r="H67" s="124"/>
      <c r="I67" s="124"/>
      <c r="J67" s="124"/>
      <c r="K67" s="124"/>
      <c r="L67" s="124"/>
      <c r="M67" s="124"/>
    </row>
    <row r="68" spans="1:15">
      <c r="A68" s="236" t="s">
        <v>402</v>
      </c>
      <c r="B68" s="266" t="s">
        <v>263</v>
      </c>
      <c r="C68" s="266" t="s">
        <v>273</v>
      </c>
      <c r="D68" s="140">
        <v>1</v>
      </c>
      <c r="E68" s="140">
        <v>1</v>
      </c>
      <c r="F68" s="124"/>
      <c r="G68" s="124"/>
      <c r="H68" s="124"/>
      <c r="I68" s="124"/>
      <c r="J68" s="124"/>
      <c r="K68" s="124"/>
      <c r="L68" s="124"/>
      <c r="M68" s="124"/>
      <c r="O68" s="266" t="s">
        <v>668</v>
      </c>
    </row>
    <row r="69" spans="1:15">
      <c r="A69" s="236" t="s">
        <v>403</v>
      </c>
      <c r="B69" s="266" t="s">
        <v>277</v>
      </c>
      <c r="C69" s="266" t="s">
        <v>445</v>
      </c>
      <c r="D69" s="140" t="s">
        <v>342</v>
      </c>
      <c r="E69" s="123">
        <v>1</v>
      </c>
      <c r="F69" s="124"/>
      <c r="G69" s="124"/>
      <c r="H69" s="124"/>
      <c r="I69" s="124"/>
      <c r="J69" s="124"/>
      <c r="K69" s="124"/>
      <c r="L69" s="124"/>
      <c r="M69" s="124"/>
      <c r="O69" s="266" t="s">
        <v>669</v>
      </c>
    </row>
    <row r="70" spans="1:15">
      <c r="A70" s="236" t="s">
        <v>404</v>
      </c>
      <c r="B70" s="266" t="s">
        <v>261</v>
      </c>
      <c r="C70" s="266" t="s">
        <v>249</v>
      </c>
      <c r="D70" s="123" t="s">
        <v>342</v>
      </c>
      <c r="E70" s="123" t="s">
        <v>342</v>
      </c>
      <c r="F70" s="124"/>
      <c r="G70" s="124"/>
      <c r="H70" s="124"/>
      <c r="I70" s="124"/>
      <c r="J70" s="124"/>
      <c r="K70" s="124"/>
      <c r="L70" s="124"/>
      <c r="M70" s="124"/>
      <c r="O70" s="266" t="s">
        <v>670</v>
      </c>
    </row>
    <row r="71" spans="1:15">
      <c r="A71" s="236" t="s">
        <v>405</v>
      </c>
      <c r="B71" s="266" t="s">
        <v>253</v>
      </c>
      <c r="C71" s="266" t="s">
        <v>268</v>
      </c>
      <c r="D71" s="140">
        <v>1</v>
      </c>
      <c r="E71" s="140">
        <v>1</v>
      </c>
      <c r="F71" s="124"/>
      <c r="G71" s="124"/>
      <c r="H71" s="124"/>
      <c r="I71" s="124"/>
      <c r="J71" s="124"/>
      <c r="K71" s="124"/>
      <c r="L71" s="124"/>
      <c r="M71" s="124"/>
    </row>
    <row r="72" spans="1:15">
      <c r="A72" s="236" t="s">
        <v>406</v>
      </c>
      <c r="B72" s="266" t="s">
        <v>308</v>
      </c>
      <c r="C72" s="266" t="s">
        <v>422</v>
      </c>
      <c r="D72" s="123">
        <v>1</v>
      </c>
      <c r="E72" s="123">
        <v>1</v>
      </c>
      <c r="F72" s="124"/>
      <c r="G72" s="124"/>
      <c r="H72" s="124"/>
      <c r="I72" s="124"/>
      <c r="J72" s="124"/>
      <c r="K72" s="124"/>
      <c r="L72" s="124"/>
      <c r="M72" s="124"/>
    </row>
    <row r="74" spans="1:15">
      <c r="M74" s="232" t="s">
        <v>568</v>
      </c>
    </row>
    <row r="75" spans="1:15">
      <c r="D75" s="111">
        <v>0.5</v>
      </c>
      <c r="E75" s="111">
        <v>0.5</v>
      </c>
      <c r="M75" s="111">
        <v>2916</v>
      </c>
    </row>
  </sheetData>
  <pageMargins left="0.7" right="0.7" top="0.75" bottom="0.75" header="0.3" footer="0.3"/>
  <pageSetup paperSize="9" orientation="portrait" horizontalDpi="0" verticalDpi="0" r:id="rId1"/>
</worksheet>
</file>

<file path=xl/worksheets/sheet25.xml><?xml version="1.0" encoding="utf-8"?>
<worksheet xmlns="http://schemas.openxmlformats.org/spreadsheetml/2006/main" xmlns:r="http://schemas.openxmlformats.org/officeDocument/2006/relationships">
  <sheetPr codeName="Hoja25"/>
  <dimension ref="A1:N26"/>
  <sheetViews>
    <sheetView workbookViewId="0">
      <selection activeCell="F2" sqref="F2"/>
    </sheetView>
  </sheetViews>
  <sheetFormatPr baseColWidth="10" defaultRowHeight="15"/>
  <cols>
    <col min="1" max="1" width="4.28515625" style="266" customWidth="1"/>
    <col min="2" max="3" width="13.5703125" style="266" customWidth="1"/>
    <col min="4" max="4" width="14.7109375" style="266" bestFit="1" customWidth="1"/>
    <col min="5" max="7" width="7.85546875" style="266" customWidth="1"/>
    <col min="8" max="16384" width="11.42578125" style="266"/>
  </cols>
  <sheetData>
    <row r="1" spans="1:14">
      <c r="A1" s="12" t="s">
        <v>12</v>
      </c>
      <c r="B1" s="12" t="s">
        <v>181</v>
      </c>
      <c r="C1" s="12" t="s">
        <v>47</v>
      </c>
      <c r="D1" s="12" t="s">
        <v>49</v>
      </c>
      <c r="E1" s="13">
        <v>2</v>
      </c>
      <c r="F1" s="14">
        <v>1.9</v>
      </c>
      <c r="G1" s="15" t="s">
        <v>243</v>
      </c>
      <c r="H1" s="235" t="s">
        <v>674</v>
      </c>
      <c r="I1" s="235"/>
    </row>
    <row r="2" spans="1:14">
      <c r="A2" s="4" t="s">
        <v>12</v>
      </c>
      <c r="B2" s="4" t="s">
        <v>28</v>
      </c>
      <c r="C2" s="4" t="s">
        <v>15</v>
      </c>
      <c r="D2" s="4" t="s">
        <v>49</v>
      </c>
      <c r="E2" s="5">
        <v>1.75</v>
      </c>
      <c r="F2" s="9">
        <f>((1.92-1)*0.95)+1</f>
        <v>1.8739999999999999</v>
      </c>
      <c r="G2" s="10" t="s">
        <v>187</v>
      </c>
      <c r="H2" s="235"/>
      <c r="I2" s="235"/>
    </row>
    <row r="3" spans="1:14" s="273" customFormat="1">
      <c r="A3" s="235"/>
      <c r="B3" s="235"/>
      <c r="C3" s="235"/>
      <c r="D3" s="235"/>
      <c r="E3" s="3"/>
      <c r="F3" s="86"/>
      <c r="G3" s="30"/>
      <c r="H3" s="235"/>
      <c r="I3" s="235"/>
    </row>
    <row r="4" spans="1:14">
      <c r="A4" s="12" t="s">
        <v>12</v>
      </c>
      <c r="B4" s="12" t="s">
        <v>422</v>
      </c>
      <c r="C4" s="12" t="s">
        <v>5</v>
      </c>
      <c r="D4" s="12" t="s">
        <v>692</v>
      </c>
      <c r="E4" s="13">
        <v>0.75</v>
      </c>
      <c r="F4" s="14">
        <f>((10-1)*0.95)+1</f>
        <v>9.5499999999999989</v>
      </c>
      <c r="G4" s="15" t="s">
        <v>41</v>
      </c>
      <c r="H4" s="235"/>
      <c r="I4" s="235"/>
    </row>
    <row r="5" spans="1:14">
      <c r="A5" s="12" t="s">
        <v>12</v>
      </c>
      <c r="B5" s="12" t="s">
        <v>0</v>
      </c>
      <c r="C5" s="12" t="s">
        <v>134</v>
      </c>
      <c r="D5" s="12" t="s">
        <v>49</v>
      </c>
      <c r="E5" s="13">
        <v>1</v>
      </c>
      <c r="F5" s="14">
        <f>((3.5-1)*0.95)+1</f>
        <v>3.375</v>
      </c>
      <c r="G5" s="15" t="s">
        <v>145</v>
      </c>
      <c r="H5" s="235"/>
      <c r="I5" s="235"/>
    </row>
    <row r="6" spans="1:14">
      <c r="A6" s="4" t="s">
        <v>12</v>
      </c>
      <c r="B6" s="4" t="s">
        <v>73</v>
      </c>
      <c r="C6" s="4" t="s">
        <v>26</v>
      </c>
      <c r="D6" s="4" t="s">
        <v>693</v>
      </c>
      <c r="E6" s="5">
        <v>1.3</v>
      </c>
      <c r="F6" s="9">
        <v>2.2349999999999999</v>
      </c>
      <c r="G6" s="10" t="s">
        <v>38</v>
      </c>
      <c r="H6" s="235"/>
      <c r="I6" s="235"/>
    </row>
    <row r="7" spans="1:14">
      <c r="A7" s="4" t="s">
        <v>12</v>
      </c>
      <c r="B7" s="4" t="s">
        <v>1</v>
      </c>
      <c r="C7" s="4" t="s">
        <v>27</v>
      </c>
      <c r="D7" s="4" t="s">
        <v>49</v>
      </c>
      <c r="E7" s="5">
        <v>0.75</v>
      </c>
      <c r="F7" s="9">
        <f>((3.35-1)*0.95)+1</f>
        <v>3.2324999999999999</v>
      </c>
      <c r="G7" s="10" t="s">
        <v>36</v>
      </c>
      <c r="H7" s="235"/>
      <c r="I7" s="235"/>
    </row>
    <row r="8" spans="1:14">
      <c r="B8" s="235"/>
      <c r="C8" s="235"/>
      <c r="D8" s="235"/>
      <c r="E8" s="3"/>
      <c r="F8" s="86"/>
      <c r="G8" s="30"/>
      <c r="H8" s="235"/>
      <c r="I8" s="235"/>
    </row>
    <row r="9" spans="1:14" s="273" customFormat="1">
      <c r="A9" s="12" t="s">
        <v>694</v>
      </c>
      <c r="B9" s="235"/>
      <c r="C9" s="235" t="s">
        <v>695</v>
      </c>
      <c r="D9" s="235"/>
      <c r="E9" s="3"/>
      <c r="F9" s="86"/>
      <c r="G9" s="30"/>
      <c r="H9" s="235"/>
      <c r="I9" s="235"/>
    </row>
    <row r="10" spans="1:14">
      <c r="B10" s="235"/>
      <c r="C10" s="235"/>
      <c r="D10" s="235"/>
      <c r="E10" s="3"/>
      <c r="F10" s="86"/>
      <c r="G10" s="30"/>
      <c r="H10" s="235"/>
      <c r="I10" s="235"/>
    </row>
    <row r="11" spans="1:14">
      <c r="A11" s="17"/>
      <c r="B11" s="235"/>
      <c r="C11" s="235"/>
      <c r="D11" s="235"/>
      <c r="E11" s="3"/>
      <c r="F11" s="86"/>
      <c r="G11" s="30"/>
      <c r="H11" s="235"/>
      <c r="I11" s="235"/>
      <c r="J11" s="235"/>
      <c r="K11" s="235"/>
      <c r="L11" s="235"/>
      <c r="M11" s="235"/>
      <c r="N11" s="235"/>
    </row>
    <row r="12" spans="1:14">
      <c r="A12" s="268" t="s">
        <v>673</v>
      </c>
      <c r="B12" s="235"/>
      <c r="C12" s="235"/>
      <c r="D12" s="235"/>
      <c r="E12" s="3"/>
      <c r="F12" s="86"/>
      <c r="G12" s="30"/>
      <c r="H12" s="235"/>
      <c r="I12" s="235"/>
      <c r="J12" s="235"/>
      <c r="K12" s="235"/>
      <c r="L12" s="235"/>
      <c r="M12" s="235"/>
      <c r="N12" s="235"/>
    </row>
    <row r="13" spans="1:14">
      <c r="A13" s="17"/>
      <c r="B13" s="235"/>
      <c r="C13" s="235"/>
      <c r="D13" s="235"/>
      <c r="E13" s="235"/>
      <c r="F13" s="235"/>
      <c r="G13" s="235"/>
      <c r="H13" s="235"/>
      <c r="I13" s="235"/>
      <c r="J13" s="235"/>
      <c r="K13" s="235"/>
      <c r="L13" s="235"/>
      <c r="M13" s="235"/>
      <c r="N13" s="235"/>
    </row>
    <row r="14" spans="1:14">
      <c r="A14" s="268" t="s">
        <v>678</v>
      </c>
      <c r="B14" s="235"/>
      <c r="C14" s="235"/>
      <c r="D14" s="235"/>
      <c r="E14" s="235"/>
      <c r="F14" s="235"/>
      <c r="G14" s="235"/>
      <c r="H14" s="235"/>
      <c r="I14" s="235"/>
      <c r="J14" s="235"/>
      <c r="K14" s="235"/>
      <c r="L14" s="235"/>
      <c r="M14" s="235"/>
      <c r="N14" s="235"/>
    </row>
    <row r="15" spans="1:14">
      <c r="A15" s="17"/>
      <c r="B15" s="235"/>
      <c r="C15" s="235"/>
      <c r="D15" s="235"/>
      <c r="E15" s="235"/>
      <c r="F15" s="235"/>
      <c r="G15" s="235"/>
      <c r="H15" s="235"/>
      <c r="I15" s="235"/>
      <c r="J15" s="235"/>
      <c r="K15" s="235"/>
      <c r="L15" s="235"/>
      <c r="M15" s="235"/>
      <c r="N15" s="235"/>
    </row>
    <row r="16" spans="1:14">
      <c r="B16" s="235"/>
      <c r="C16" s="235"/>
      <c r="D16" s="235"/>
    </row>
    <row r="17" spans="1:4">
      <c r="A17" s="75"/>
      <c r="B17" s="235"/>
      <c r="C17" s="235"/>
      <c r="D17" s="235"/>
    </row>
    <row r="18" spans="1:4">
      <c r="A18" s="235" t="s">
        <v>676</v>
      </c>
      <c r="B18" s="235"/>
      <c r="C18" s="235"/>
      <c r="D18" s="235"/>
    </row>
    <row r="19" spans="1:4">
      <c r="A19" s="235" t="s">
        <v>675</v>
      </c>
      <c r="B19" s="235"/>
      <c r="C19" s="235"/>
      <c r="D19" s="235"/>
    </row>
    <row r="20" spans="1:4">
      <c r="A20" s="235" t="s">
        <v>679</v>
      </c>
      <c r="B20" s="235"/>
      <c r="C20" s="235"/>
      <c r="D20" s="235"/>
    </row>
    <row r="21" spans="1:4">
      <c r="A21" s="235" t="s">
        <v>677</v>
      </c>
      <c r="B21" s="235"/>
      <c r="C21" s="235"/>
      <c r="D21" s="235"/>
    </row>
    <row r="22" spans="1:4">
      <c r="A22" s="235"/>
      <c r="B22" s="235"/>
      <c r="C22" s="235"/>
      <c r="D22" s="235"/>
    </row>
    <row r="23" spans="1:4">
      <c r="A23" s="235"/>
      <c r="B23" s="235"/>
      <c r="C23" s="235"/>
      <c r="D23" s="235"/>
    </row>
    <row r="24" spans="1:4">
      <c r="A24" s="235"/>
      <c r="B24" s="235"/>
      <c r="C24" s="235"/>
      <c r="D24" s="235"/>
    </row>
    <row r="25" spans="1:4">
      <c r="A25" s="235"/>
      <c r="B25" s="235"/>
      <c r="C25" s="235"/>
      <c r="D25" s="235"/>
    </row>
    <row r="26" spans="1:4">
      <c r="A26" s="235"/>
      <c r="B26" s="235"/>
      <c r="C26" s="235"/>
      <c r="D26" s="235"/>
    </row>
  </sheetData>
  <pageMargins left="0.7" right="0.7" top="0.75" bottom="0.75" header="0.3" footer="0.3"/>
  <pageSetup paperSize="9" orientation="portrait" horizontalDpi="0" verticalDpi="0" r:id="rId1"/>
</worksheet>
</file>

<file path=xl/worksheets/sheet26.xml><?xml version="1.0" encoding="utf-8"?>
<worksheet xmlns="http://schemas.openxmlformats.org/spreadsheetml/2006/main" xmlns:r="http://schemas.openxmlformats.org/officeDocument/2006/relationships">
  <sheetPr codeName="Hoja48"/>
  <dimension ref="A1:R75"/>
  <sheetViews>
    <sheetView topLeftCell="A16" zoomScaleNormal="100" workbookViewId="0">
      <selection activeCell="C29" sqref="C29:I30"/>
    </sheetView>
  </sheetViews>
  <sheetFormatPr baseColWidth="10" defaultRowHeight="15"/>
  <cols>
    <col min="1" max="3" width="11.42578125" style="266"/>
    <col min="4" max="6" width="11.5703125" style="266" customWidth="1"/>
    <col min="7" max="7" width="3.5703125" style="266" customWidth="1"/>
    <col min="8" max="8" width="3.28515625" style="266" customWidth="1"/>
    <col min="9" max="9" width="4.5703125" style="266" customWidth="1"/>
    <col min="10" max="11" width="7" style="266" customWidth="1"/>
    <col min="12" max="12" width="11.42578125" style="266" customWidth="1"/>
    <col min="13" max="16384" width="11.42578125" style="266"/>
  </cols>
  <sheetData>
    <row r="1" spans="1:12">
      <c r="A1" s="18" t="s">
        <v>247</v>
      </c>
      <c r="B1" s="18"/>
      <c r="C1" s="18"/>
      <c r="D1" s="18"/>
      <c r="E1" s="18"/>
      <c r="F1" s="18"/>
      <c r="G1" s="18" t="s">
        <v>302</v>
      </c>
      <c r="H1" s="18"/>
      <c r="I1" s="18"/>
      <c r="J1" s="18"/>
      <c r="K1" s="18"/>
      <c r="L1" s="266" t="s">
        <v>305</v>
      </c>
    </row>
    <row r="2" spans="1:12">
      <c r="C2" s="17" t="s">
        <v>250</v>
      </c>
      <c r="D2" s="17" t="s">
        <v>294</v>
      </c>
      <c r="E2" s="18" t="s">
        <v>251</v>
      </c>
      <c r="F2" s="18" t="s">
        <v>293</v>
      </c>
      <c r="G2" s="18" t="s">
        <v>303</v>
      </c>
      <c r="H2" s="18" t="s">
        <v>304</v>
      </c>
      <c r="I2" s="18" t="s">
        <v>314</v>
      </c>
      <c r="J2" s="18"/>
      <c r="K2" s="18"/>
      <c r="L2" s="266" t="s">
        <v>305</v>
      </c>
    </row>
    <row r="3" spans="1:12">
      <c r="A3" s="59" t="s">
        <v>16</v>
      </c>
      <c r="B3" s="138" t="s">
        <v>3</v>
      </c>
      <c r="C3" s="124" t="s">
        <v>256</v>
      </c>
      <c r="D3" s="246"/>
      <c r="E3" s="207"/>
      <c r="F3" s="207"/>
      <c r="G3" s="256">
        <v>2</v>
      </c>
      <c r="H3" s="247">
        <v>2</v>
      </c>
      <c r="I3" s="247">
        <v>5</v>
      </c>
      <c r="J3" s="131">
        <f>+(5-1)*H3</f>
        <v>8</v>
      </c>
      <c r="K3" s="131">
        <f>+(5-1)*I3</f>
        <v>20</v>
      </c>
      <c r="L3" s="207"/>
    </row>
    <row r="4" spans="1:12">
      <c r="A4" s="59" t="s">
        <v>181</v>
      </c>
      <c r="B4" s="138" t="s">
        <v>47</v>
      </c>
      <c r="C4" s="255">
        <v>1</v>
      </c>
      <c r="D4" s="246">
        <v>1.91</v>
      </c>
      <c r="E4" s="250">
        <v>1</v>
      </c>
      <c r="F4" s="207">
        <f>-E4</f>
        <v>-1</v>
      </c>
      <c r="G4" s="256">
        <v>2</v>
      </c>
      <c r="H4" s="247">
        <v>1</v>
      </c>
      <c r="I4" s="247">
        <v>3</v>
      </c>
      <c r="J4" s="131">
        <f>+(4.33-1)*H4</f>
        <v>3.33</v>
      </c>
      <c r="K4" s="131">
        <f>+(4.33-1)*I4</f>
        <v>9.99</v>
      </c>
      <c r="L4" s="207"/>
    </row>
    <row r="5" spans="1:12">
      <c r="A5" s="138" t="s">
        <v>28</v>
      </c>
      <c r="B5" s="59" t="s">
        <v>15</v>
      </c>
      <c r="C5" s="124" t="s">
        <v>256</v>
      </c>
      <c r="D5" s="246"/>
      <c r="E5" s="207"/>
      <c r="F5" s="207"/>
      <c r="G5" s="251">
        <v>2</v>
      </c>
      <c r="H5" s="247">
        <v>3</v>
      </c>
      <c r="I5" s="249">
        <v>10</v>
      </c>
      <c r="J5" s="248">
        <f>-H5</f>
        <v>-3</v>
      </c>
      <c r="K5" s="248">
        <f>-I5</f>
        <v>-10</v>
      </c>
      <c r="L5" s="207"/>
    </row>
    <row r="6" spans="1:12">
      <c r="A6" s="138" t="s">
        <v>62</v>
      </c>
      <c r="B6" s="59" t="s">
        <v>10</v>
      </c>
      <c r="C6" s="253">
        <v>1</v>
      </c>
      <c r="D6" s="246">
        <v>1.5</v>
      </c>
      <c r="E6" s="250">
        <v>1.5</v>
      </c>
      <c r="F6" s="234">
        <f>+(D6-1)*E6</f>
        <v>0.75</v>
      </c>
      <c r="G6" s="256">
        <v>1</v>
      </c>
      <c r="H6" s="247">
        <v>3</v>
      </c>
      <c r="I6" s="249">
        <v>12</v>
      </c>
      <c r="J6" s="131">
        <f>+(1.5-1)*H6</f>
        <v>1.5</v>
      </c>
      <c r="K6" s="131">
        <f>+(1.5-1)*I6</f>
        <v>6</v>
      </c>
      <c r="L6" s="207"/>
    </row>
    <row r="7" spans="1:12">
      <c r="A7" s="130" t="s">
        <v>73</v>
      </c>
      <c r="B7" s="130" t="s">
        <v>26</v>
      </c>
      <c r="C7" s="124" t="s">
        <v>256</v>
      </c>
      <c r="D7" s="246"/>
      <c r="E7" s="207"/>
      <c r="F7" s="207"/>
      <c r="G7" s="251">
        <v>1</v>
      </c>
      <c r="H7" s="247">
        <v>2</v>
      </c>
      <c r="I7" s="247">
        <v>6</v>
      </c>
      <c r="J7" s="248">
        <f>-H7</f>
        <v>-2</v>
      </c>
      <c r="K7" s="248">
        <f>-I7</f>
        <v>-6</v>
      </c>
      <c r="L7" s="207"/>
    </row>
    <row r="8" spans="1:12">
      <c r="A8" s="138" t="s">
        <v>546</v>
      </c>
      <c r="B8" s="59" t="s">
        <v>5</v>
      </c>
      <c r="C8" s="253">
        <v>1</v>
      </c>
      <c r="D8" s="246">
        <v>1.22</v>
      </c>
      <c r="E8" s="207">
        <v>3</v>
      </c>
      <c r="F8" s="234">
        <f>+(D8-1)*E8</f>
        <v>0.65999999999999992</v>
      </c>
      <c r="G8" s="256">
        <v>1</v>
      </c>
      <c r="H8" s="247">
        <v>2</v>
      </c>
      <c r="I8" s="249">
        <v>8</v>
      </c>
      <c r="J8" s="131">
        <f>+(1.22-1)*H8</f>
        <v>0.43999999999999995</v>
      </c>
      <c r="K8" s="131">
        <f>+(1.22-1)*I8</f>
        <v>1.7599999999999998</v>
      </c>
      <c r="L8" s="207"/>
    </row>
    <row r="9" spans="1:12">
      <c r="A9" s="138" t="s">
        <v>1</v>
      </c>
      <c r="B9" s="59" t="s">
        <v>27</v>
      </c>
      <c r="C9" s="124" t="s">
        <v>256</v>
      </c>
      <c r="D9" s="246"/>
      <c r="E9" s="207"/>
      <c r="F9" s="207"/>
      <c r="G9" s="251">
        <v>2</v>
      </c>
      <c r="H9" s="247">
        <v>3</v>
      </c>
      <c r="I9" s="249">
        <v>11</v>
      </c>
      <c r="J9" s="248">
        <f t="shared" ref="J9:K11" si="0">-H9</f>
        <v>-3</v>
      </c>
      <c r="K9" s="248">
        <f t="shared" si="0"/>
        <v>-11</v>
      </c>
      <c r="L9" s="207"/>
    </row>
    <row r="10" spans="1:12">
      <c r="A10" s="138" t="s">
        <v>67</v>
      </c>
      <c r="B10" s="59" t="s">
        <v>4</v>
      </c>
      <c r="C10" s="254">
        <v>2</v>
      </c>
      <c r="D10" s="246">
        <v>3.2</v>
      </c>
      <c r="E10" s="250">
        <v>1</v>
      </c>
      <c r="F10" s="207">
        <f>-E10</f>
        <v>-1</v>
      </c>
      <c r="G10" s="251">
        <v>2</v>
      </c>
      <c r="H10" s="247">
        <v>2</v>
      </c>
      <c r="I10" s="249">
        <v>9</v>
      </c>
      <c r="J10" s="248">
        <f t="shared" si="0"/>
        <v>-2</v>
      </c>
      <c r="K10" s="248">
        <f t="shared" si="0"/>
        <v>-9</v>
      </c>
      <c r="L10" s="207"/>
    </row>
    <row r="11" spans="1:12">
      <c r="A11" s="130" t="s">
        <v>0</v>
      </c>
      <c r="B11" s="130" t="s">
        <v>134</v>
      </c>
      <c r="C11" s="124" t="s">
        <v>256</v>
      </c>
      <c r="D11" s="246"/>
      <c r="E11" s="207"/>
      <c r="F11" s="207"/>
      <c r="G11" s="251">
        <v>1</v>
      </c>
      <c r="H11" s="247">
        <v>1</v>
      </c>
      <c r="I11" s="247">
        <v>1</v>
      </c>
      <c r="J11" s="248">
        <f t="shared" si="0"/>
        <v>-1</v>
      </c>
      <c r="K11" s="248">
        <f t="shared" si="0"/>
        <v>-1</v>
      </c>
      <c r="L11" s="207"/>
    </row>
    <row r="12" spans="1:12">
      <c r="A12" s="59" t="s">
        <v>2</v>
      </c>
      <c r="B12" s="138" t="s">
        <v>308</v>
      </c>
      <c r="C12" s="124" t="s">
        <v>256</v>
      </c>
      <c r="D12" s="246"/>
      <c r="E12" s="207"/>
      <c r="F12" s="207"/>
      <c r="G12" s="256">
        <v>2</v>
      </c>
      <c r="H12" s="247">
        <v>3</v>
      </c>
      <c r="I12" s="249">
        <v>17</v>
      </c>
      <c r="J12" s="131">
        <f>+(1.33-1)*H12</f>
        <v>0.99000000000000021</v>
      </c>
      <c r="K12" s="131">
        <f>+(1.33-1)*I12</f>
        <v>5.6100000000000012</v>
      </c>
      <c r="L12" s="207"/>
    </row>
    <row r="13" spans="1:12">
      <c r="A13" s="207"/>
      <c r="B13" s="207"/>
      <c r="C13" s="246"/>
      <c r="D13" s="246"/>
      <c r="E13" s="207"/>
      <c r="F13" s="207"/>
      <c r="G13" s="207"/>
      <c r="H13" s="247"/>
      <c r="I13" s="247"/>
      <c r="J13" s="248"/>
      <c r="K13" s="248"/>
      <c r="L13" s="207"/>
    </row>
    <row r="14" spans="1:12">
      <c r="A14" s="207"/>
      <c r="B14" s="207"/>
      <c r="F14" s="102">
        <f>SUM(F3:F12)</f>
        <v>-0.59000000000000008</v>
      </c>
      <c r="J14" s="102">
        <f t="shared" ref="J14:K14" si="1">SUM(J3:J12)</f>
        <v>3.26</v>
      </c>
      <c r="K14" s="102">
        <f t="shared" si="1"/>
        <v>6.3600000000000012</v>
      </c>
    </row>
    <row r="15" spans="1:12">
      <c r="A15" s="207"/>
      <c r="B15" s="207"/>
      <c r="F15" s="101">
        <f>+F14/SUM(E3:E12)</f>
        <v>-9.0769230769230783E-2</v>
      </c>
      <c r="J15" s="101">
        <f>+J14/SUM(H3:H12)</f>
        <v>0.14818181818181816</v>
      </c>
      <c r="K15" s="101">
        <f>+K14/SUM(I3:I12)</f>
        <v>7.7560975609756111E-2</v>
      </c>
    </row>
    <row r="16" spans="1:12">
      <c r="A16" s="59"/>
      <c r="B16" s="59"/>
      <c r="F16" s="101"/>
      <c r="J16" s="101"/>
      <c r="K16" s="101"/>
    </row>
    <row r="17" spans="1:18">
      <c r="A17" s="59"/>
      <c r="B17" s="59"/>
      <c r="F17" s="101"/>
      <c r="J17" s="101"/>
      <c r="K17" s="101"/>
    </row>
    <row r="18" spans="1:18">
      <c r="A18" s="207"/>
      <c r="B18" s="207"/>
      <c r="C18" s="17" t="s">
        <v>250</v>
      </c>
      <c r="D18" s="17" t="s">
        <v>294</v>
      </c>
      <c r="E18" s="18" t="s">
        <v>251</v>
      </c>
      <c r="F18" s="18" t="s">
        <v>293</v>
      </c>
      <c r="G18" s="18" t="s">
        <v>303</v>
      </c>
      <c r="H18" s="18" t="s">
        <v>304</v>
      </c>
      <c r="I18" s="18" t="s">
        <v>314</v>
      </c>
      <c r="J18" s="18"/>
      <c r="K18" s="18"/>
      <c r="L18" s="82" t="s">
        <v>305</v>
      </c>
      <c r="M18" s="82"/>
      <c r="N18" s="82"/>
      <c r="O18" s="82"/>
      <c r="P18" s="82"/>
      <c r="Q18" s="82"/>
      <c r="R18" s="82"/>
    </row>
    <row r="19" spans="1:18">
      <c r="A19" s="138" t="s">
        <v>260</v>
      </c>
      <c r="B19" s="59" t="s">
        <v>262</v>
      </c>
      <c r="C19" s="124" t="s">
        <v>256</v>
      </c>
      <c r="D19" s="246"/>
      <c r="E19" s="207"/>
      <c r="F19" s="207"/>
      <c r="G19" s="251">
        <v>2</v>
      </c>
      <c r="H19" s="247">
        <v>2</v>
      </c>
      <c r="I19" s="247">
        <v>6</v>
      </c>
      <c r="J19" s="248">
        <f>-H19</f>
        <v>-2</v>
      </c>
      <c r="K19" s="248">
        <f>-I19</f>
        <v>-6</v>
      </c>
      <c r="L19" s="59" t="s">
        <v>680</v>
      </c>
      <c r="M19" s="82"/>
      <c r="N19" s="82"/>
      <c r="O19" s="82"/>
      <c r="P19" s="82"/>
      <c r="Q19" s="82"/>
      <c r="R19" s="82"/>
    </row>
    <row r="20" spans="1:18">
      <c r="A20" s="138" t="s">
        <v>274</v>
      </c>
      <c r="B20" s="59" t="s">
        <v>277</v>
      </c>
      <c r="C20" s="253">
        <v>1</v>
      </c>
      <c r="D20" s="246">
        <v>1.33</v>
      </c>
      <c r="E20" s="250">
        <v>2</v>
      </c>
      <c r="F20" s="234">
        <f>+(D20-1)*E20</f>
        <v>0.66000000000000014</v>
      </c>
      <c r="G20" s="256">
        <v>1</v>
      </c>
      <c r="H20" s="247">
        <v>3</v>
      </c>
      <c r="I20" s="249">
        <v>21</v>
      </c>
      <c r="J20" s="131">
        <f>+(1.25-1)*H20</f>
        <v>0.75</v>
      </c>
      <c r="K20" s="131">
        <f>+(1.25-1)*I20</f>
        <v>5.25</v>
      </c>
      <c r="L20" s="59" t="s">
        <v>681</v>
      </c>
      <c r="M20" s="82"/>
      <c r="N20" s="82"/>
      <c r="O20" s="82"/>
      <c r="P20" s="82"/>
      <c r="Q20" s="82"/>
      <c r="R20" s="82"/>
    </row>
    <row r="21" spans="1:18">
      <c r="A21" s="138" t="s">
        <v>258</v>
      </c>
      <c r="B21" s="59" t="s">
        <v>263</v>
      </c>
      <c r="C21" s="254">
        <v>2</v>
      </c>
      <c r="D21" s="246">
        <v>2.6</v>
      </c>
      <c r="E21" s="207">
        <v>1.5</v>
      </c>
      <c r="F21" s="207">
        <f>-E21</f>
        <v>-1.5</v>
      </c>
      <c r="G21" s="251">
        <v>2</v>
      </c>
      <c r="H21" s="247">
        <v>3</v>
      </c>
      <c r="I21" s="249">
        <v>15</v>
      </c>
      <c r="J21" s="248">
        <f t="shared" ref="J21:K22" si="2">-H21</f>
        <v>-3</v>
      </c>
      <c r="K21" s="248">
        <f t="shared" si="2"/>
        <v>-15</v>
      </c>
      <c r="L21" s="59" t="s">
        <v>682</v>
      </c>
      <c r="M21" s="82"/>
      <c r="N21" s="82"/>
      <c r="O21" s="82"/>
      <c r="P21" s="82"/>
      <c r="Q21" s="82"/>
      <c r="R21" s="82"/>
    </row>
    <row r="22" spans="1:18">
      <c r="A22" s="130" t="s">
        <v>252</v>
      </c>
      <c r="B22" s="130" t="s">
        <v>446</v>
      </c>
      <c r="C22" s="246"/>
      <c r="D22" s="246"/>
      <c r="E22" s="207"/>
      <c r="F22" s="207"/>
      <c r="G22" s="251">
        <v>2</v>
      </c>
      <c r="H22" s="247">
        <v>2</v>
      </c>
      <c r="I22" s="247">
        <v>5</v>
      </c>
      <c r="J22" s="248">
        <f t="shared" si="2"/>
        <v>-2</v>
      </c>
      <c r="K22" s="248">
        <f t="shared" si="2"/>
        <v>-5</v>
      </c>
      <c r="L22" s="59" t="s">
        <v>683</v>
      </c>
      <c r="M22" s="82"/>
      <c r="N22" s="82"/>
      <c r="O22" s="82"/>
      <c r="P22" s="82"/>
      <c r="Q22" s="82"/>
      <c r="R22" s="82"/>
    </row>
    <row r="23" spans="1:18">
      <c r="A23" s="59" t="s">
        <v>268</v>
      </c>
      <c r="B23" s="138" t="s">
        <v>261</v>
      </c>
      <c r="C23" s="216" t="s">
        <v>342</v>
      </c>
      <c r="D23" s="246"/>
      <c r="E23" s="207"/>
      <c r="F23" s="207"/>
      <c r="G23" s="256">
        <v>2</v>
      </c>
      <c r="H23" s="247">
        <v>3</v>
      </c>
      <c r="I23" s="249">
        <v>15</v>
      </c>
      <c r="J23" s="131">
        <f>+(4.75-1)*H23</f>
        <v>11.25</v>
      </c>
      <c r="K23" s="131">
        <f>+(4.75-1)*I23</f>
        <v>56.25</v>
      </c>
      <c r="L23" s="207"/>
      <c r="M23" s="82"/>
      <c r="N23" s="82"/>
      <c r="O23" s="82"/>
      <c r="P23" s="82"/>
      <c r="Q23" s="82"/>
      <c r="R23" s="82"/>
    </row>
    <row r="24" spans="1:18">
      <c r="A24" s="138" t="s">
        <v>493</v>
      </c>
      <c r="B24" s="59" t="s">
        <v>276</v>
      </c>
      <c r="C24" s="123" t="s">
        <v>342</v>
      </c>
      <c r="D24" s="246"/>
      <c r="E24" s="207"/>
      <c r="F24" s="207"/>
      <c r="G24" s="251">
        <v>2</v>
      </c>
      <c r="H24" s="247">
        <v>2</v>
      </c>
      <c r="I24" s="247">
        <v>5</v>
      </c>
      <c r="J24" s="248">
        <f>-H24</f>
        <v>-2</v>
      </c>
      <c r="K24" s="248">
        <f>-I24</f>
        <v>-5</v>
      </c>
      <c r="L24" s="59" t="s">
        <v>684</v>
      </c>
      <c r="M24" s="82"/>
      <c r="N24" s="82"/>
      <c r="O24" s="82"/>
      <c r="P24" s="82"/>
      <c r="Q24" s="82"/>
      <c r="R24" s="82"/>
    </row>
    <row r="25" spans="1:18">
      <c r="A25" s="59" t="s">
        <v>249</v>
      </c>
      <c r="B25" s="138" t="s">
        <v>266</v>
      </c>
      <c r="C25" s="255">
        <v>1</v>
      </c>
      <c r="D25" s="246">
        <v>1.67</v>
      </c>
      <c r="E25" s="207">
        <v>1</v>
      </c>
      <c r="F25" s="207">
        <f>-E25</f>
        <v>-1</v>
      </c>
      <c r="G25" s="256">
        <v>2</v>
      </c>
      <c r="H25" s="247">
        <v>1</v>
      </c>
      <c r="I25" s="247">
        <v>3</v>
      </c>
      <c r="J25" s="131">
        <f>+(5-1)*H25</f>
        <v>4</v>
      </c>
      <c r="K25" s="131">
        <f>+(5-1)*I25</f>
        <v>12</v>
      </c>
      <c r="L25" s="207"/>
      <c r="M25" s="82"/>
      <c r="N25" s="82"/>
      <c r="O25" s="82"/>
      <c r="P25" s="82"/>
      <c r="Q25" s="82"/>
      <c r="R25" s="82"/>
    </row>
    <row r="26" spans="1:18">
      <c r="A26" s="138" t="s">
        <v>267</v>
      </c>
      <c r="B26" s="59" t="s">
        <v>270</v>
      </c>
      <c r="C26" s="246"/>
      <c r="D26" s="246"/>
      <c r="E26" s="207"/>
      <c r="F26" s="207"/>
      <c r="G26" s="251">
        <v>2</v>
      </c>
      <c r="H26" s="247">
        <v>2</v>
      </c>
      <c r="I26" s="247">
        <v>8</v>
      </c>
      <c r="J26" s="248">
        <f t="shared" ref="J26:K27" si="3">-H26</f>
        <v>-2</v>
      </c>
      <c r="K26" s="248">
        <f t="shared" si="3"/>
        <v>-8</v>
      </c>
      <c r="L26" s="59" t="s">
        <v>685</v>
      </c>
      <c r="M26" s="82"/>
      <c r="N26" s="82"/>
      <c r="O26" s="82"/>
      <c r="P26" s="82"/>
      <c r="Q26" s="82"/>
      <c r="R26" s="82"/>
    </row>
    <row r="27" spans="1:18">
      <c r="A27" s="138" t="s">
        <v>248</v>
      </c>
      <c r="B27" s="59" t="s">
        <v>271</v>
      </c>
      <c r="C27" s="124" t="s">
        <v>256</v>
      </c>
      <c r="D27" s="246"/>
      <c r="E27" s="207"/>
      <c r="F27" s="207"/>
      <c r="G27" s="251">
        <v>2</v>
      </c>
      <c r="H27" s="247">
        <v>3</v>
      </c>
      <c r="I27" s="249">
        <v>13</v>
      </c>
      <c r="J27" s="248">
        <f t="shared" si="3"/>
        <v>-3</v>
      </c>
      <c r="K27" s="248">
        <f t="shared" si="3"/>
        <v>-13</v>
      </c>
      <c r="L27" s="207"/>
      <c r="M27" s="82"/>
      <c r="N27" s="82"/>
      <c r="O27" s="82"/>
      <c r="P27" s="82"/>
      <c r="Q27" s="82"/>
      <c r="R27" s="82"/>
    </row>
    <row r="28" spans="1:18">
      <c r="A28" s="59" t="s">
        <v>273</v>
      </c>
      <c r="B28" s="138" t="s">
        <v>495</v>
      </c>
      <c r="C28" s="123" t="s">
        <v>257</v>
      </c>
      <c r="D28" s="246"/>
      <c r="E28" s="207"/>
      <c r="F28" s="207"/>
      <c r="G28" s="256">
        <v>2</v>
      </c>
      <c r="H28" s="247">
        <v>2</v>
      </c>
      <c r="I28" s="249">
        <v>9</v>
      </c>
      <c r="J28" s="131">
        <f>+(2.88-1)*H28</f>
        <v>3.76</v>
      </c>
      <c r="K28" s="131">
        <f>+(2.88-1)*I28</f>
        <v>16.919999999999998</v>
      </c>
      <c r="L28" s="59" t="s">
        <v>686</v>
      </c>
      <c r="M28" s="82"/>
      <c r="N28" s="82"/>
      <c r="O28" s="82"/>
      <c r="P28" s="82"/>
      <c r="Q28" s="82"/>
      <c r="R28" s="82"/>
    </row>
    <row r="29" spans="1:18">
      <c r="A29" s="138" t="s">
        <v>253</v>
      </c>
      <c r="B29" s="59" t="s">
        <v>259</v>
      </c>
      <c r="C29" s="123" t="s">
        <v>342</v>
      </c>
      <c r="D29" s="246"/>
      <c r="E29" s="207"/>
      <c r="F29" s="207"/>
      <c r="G29" s="256">
        <v>1</v>
      </c>
      <c r="H29" s="247">
        <v>2</v>
      </c>
      <c r="I29" s="249">
        <v>9</v>
      </c>
      <c r="J29" s="131">
        <f>+(2.3-1)*H29</f>
        <v>2.5999999999999996</v>
      </c>
      <c r="K29" s="131">
        <f>+(2.3-1)*I29</f>
        <v>11.7</v>
      </c>
      <c r="L29" s="207"/>
      <c r="M29" s="82"/>
      <c r="N29" s="82"/>
      <c r="O29" s="82"/>
      <c r="P29" s="82"/>
      <c r="Q29" s="82"/>
      <c r="R29" s="82"/>
    </row>
    <row r="30" spans="1:18">
      <c r="A30" s="207"/>
      <c r="B30" s="207"/>
      <c r="C30" s="207"/>
      <c r="D30" s="207"/>
      <c r="E30" s="207"/>
      <c r="F30" s="207"/>
      <c r="G30" s="207"/>
      <c r="H30" s="207"/>
      <c r="I30" s="207"/>
      <c r="J30" s="207"/>
      <c r="K30" s="207"/>
      <c r="L30" s="207"/>
      <c r="M30" s="82"/>
      <c r="N30" s="82"/>
      <c r="O30" s="82"/>
      <c r="P30" s="82"/>
      <c r="Q30" s="82"/>
      <c r="R30" s="82"/>
    </row>
    <row r="31" spans="1:18">
      <c r="A31" s="75"/>
      <c r="B31" s="80"/>
      <c r="C31" s="75"/>
      <c r="D31" s="82"/>
      <c r="E31" s="82"/>
      <c r="F31" s="107">
        <f>SUM(F19:F29)</f>
        <v>-1.8399999999999999</v>
      </c>
      <c r="G31" s="17"/>
      <c r="H31" s="17"/>
      <c r="I31" s="17"/>
      <c r="J31" s="107">
        <f t="shared" ref="J31:K31" si="4">SUM(J19:J29)</f>
        <v>8.36</v>
      </c>
      <c r="K31" s="107">
        <f t="shared" si="4"/>
        <v>50.120000000000005</v>
      </c>
      <c r="L31" s="82"/>
      <c r="M31" s="82"/>
      <c r="N31" s="82"/>
      <c r="O31" s="82"/>
      <c r="P31" s="82"/>
      <c r="Q31" s="82"/>
      <c r="R31" s="82"/>
    </row>
    <row r="32" spans="1:18">
      <c r="A32" s="75"/>
      <c r="B32" s="80"/>
      <c r="C32" s="75"/>
      <c r="D32" s="82"/>
      <c r="E32" s="82"/>
      <c r="F32" s="101">
        <f>+F31/SUM(E19:E29)</f>
        <v>-0.40888888888888886</v>
      </c>
      <c r="G32" s="105"/>
      <c r="H32" s="105"/>
      <c r="I32" s="105"/>
      <c r="J32" s="101">
        <f>+J31/(SUM(H19:H29)-3)</f>
        <v>0.37999999999999995</v>
      </c>
      <c r="K32" s="101">
        <f>+K31/(SUM(I19:I29)-18)</f>
        <v>0.55076923076923079</v>
      </c>
      <c r="L32" s="82"/>
      <c r="M32" s="82"/>
      <c r="N32" s="82"/>
      <c r="O32" s="82"/>
      <c r="P32" s="82"/>
      <c r="Q32" s="82"/>
      <c r="R32" s="82"/>
    </row>
    <row r="33" spans="1:14">
      <c r="A33" s="235"/>
      <c r="B33" s="86"/>
      <c r="C33" s="235"/>
    </row>
    <row r="34" spans="1:14">
      <c r="A34" s="235"/>
      <c r="B34" s="86"/>
      <c r="C34" s="235"/>
    </row>
    <row r="35" spans="1:14">
      <c r="A35" s="235"/>
      <c r="B35" s="86"/>
      <c r="C35" s="235"/>
    </row>
    <row r="36" spans="1:14">
      <c r="A36" s="275" t="s">
        <v>699</v>
      </c>
      <c r="D36" s="266" t="s">
        <v>362</v>
      </c>
      <c r="E36" s="266" t="s">
        <v>363</v>
      </c>
      <c r="F36" s="266" t="s">
        <v>433</v>
      </c>
      <c r="L36" s="232" t="s">
        <v>429</v>
      </c>
      <c r="M36" s="232" t="s">
        <v>431</v>
      </c>
    </row>
    <row r="37" spans="1:14">
      <c r="A37" s="236" t="s">
        <v>392</v>
      </c>
      <c r="B37" s="272" t="s">
        <v>1</v>
      </c>
      <c r="C37" s="272" t="s">
        <v>586</v>
      </c>
      <c r="D37" s="16">
        <v>1</v>
      </c>
      <c r="E37" s="103">
        <v>2</v>
      </c>
      <c r="F37" s="16" t="s">
        <v>356</v>
      </c>
      <c r="G37" s="104"/>
      <c r="H37" s="104"/>
      <c r="I37" s="104"/>
      <c r="J37" s="104"/>
      <c r="K37" s="104"/>
      <c r="L37" s="16" t="s">
        <v>356</v>
      </c>
      <c r="M37" s="16" t="s">
        <v>357</v>
      </c>
      <c r="N37" s="235"/>
    </row>
    <row r="38" spans="1:14">
      <c r="A38" s="236" t="s">
        <v>393</v>
      </c>
      <c r="B38" s="272" t="s">
        <v>181</v>
      </c>
      <c r="C38" s="272" t="s">
        <v>47</v>
      </c>
      <c r="D38" s="103">
        <v>1</v>
      </c>
      <c r="E38" s="103">
        <v>1</v>
      </c>
      <c r="F38" s="103">
        <v>1</v>
      </c>
      <c r="G38" s="104"/>
      <c r="H38" s="104"/>
      <c r="I38" s="104"/>
      <c r="J38" s="104"/>
      <c r="K38" s="104"/>
      <c r="L38" s="103">
        <v>1</v>
      </c>
      <c r="M38" s="103">
        <v>1</v>
      </c>
      <c r="N38" s="235"/>
    </row>
    <row r="39" spans="1:14">
      <c r="A39" s="236" t="s">
        <v>394</v>
      </c>
      <c r="B39" s="272" t="s">
        <v>28</v>
      </c>
      <c r="C39" s="272" t="s">
        <v>15</v>
      </c>
      <c r="D39" s="16">
        <v>1</v>
      </c>
      <c r="E39" s="16">
        <v>1</v>
      </c>
      <c r="F39" s="16">
        <v>1</v>
      </c>
      <c r="G39" s="235"/>
      <c r="H39" s="104"/>
      <c r="I39" s="104"/>
      <c r="J39" s="104"/>
      <c r="K39" s="104"/>
      <c r="L39" s="16">
        <v>1</v>
      </c>
      <c r="M39" s="16" t="s">
        <v>356</v>
      </c>
      <c r="N39" s="235"/>
    </row>
    <row r="40" spans="1:14">
      <c r="A40" s="236" t="s">
        <v>395</v>
      </c>
      <c r="B40" s="272" t="s">
        <v>422</v>
      </c>
      <c r="C40" s="272" t="s">
        <v>5</v>
      </c>
      <c r="D40" s="103">
        <v>2</v>
      </c>
      <c r="E40" s="16">
        <v>1</v>
      </c>
      <c r="F40" s="103" t="s">
        <v>359</v>
      </c>
      <c r="G40" s="235"/>
      <c r="H40" s="104"/>
      <c r="I40" s="104"/>
      <c r="J40" s="104"/>
      <c r="K40" s="104"/>
      <c r="L40" s="103" t="s">
        <v>359</v>
      </c>
      <c r="M40" s="103" t="s">
        <v>359</v>
      </c>
      <c r="N40" s="235"/>
    </row>
    <row r="41" spans="1:14">
      <c r="A41" s="236" t="s">
        <v>396</v>
      </c>
      <c r="B41" s="272" t="s">
        <v>2</v>
      </c>
      <c r="C41" s="272" t="s">
        <v>308</v>
      </c>
      <c r="D41" s="16">
        <v>2</v>
      </c>
      <c r="E41" s="16">
        <v>2</v>
      </c>
      <c r="F41" s="16">
        <v>2</v>
      </c>
      <c r="G41" s="235"/>
      <c r="H41" s="104"/>
      <c r="I41" s="104"/>
      <c r="J41" s="104"/>
      <c r="K41" s="104"/>
      <c r="L41" s="16">
        <v>2</v>
      </c>
      <c r="M41" s="16">
        <v>2</v>
      </c>
      <c r="N41" s="235"/>
    </row>
    <row r="42" spans="1:14">
      <c r="A42" s="236" t="s">
        <v>397</v>
      </c>
      <c r="B42" s="272" t="s">
        <v>16</v>
      </c>
      <c r="C42" s="272" t="s">
        <v>599</v>
      </c>
      <c r="D42" s="103" t="s">
        <v>342</v>
      </c>
      <c r="E42" s="103">
        <v>1</v>
      </c>
      <c r="F42" s="103" t="s">
        <v>356</v>
      </c>
      <c r="G42" s="235"/>
      <c r="H42" s="104"/>
      <c r="I42" s="104"/>
      <c r="J42" s="104"/>
      <c r="K42" s="104"/>
      <c r="L42" s="103" t="s">
        <v>356</v>
      </c>
      <c r="M42" s="103" t="s">
        <v>356</v>
      </c>
      <c r="N42" s="235"/>
    </row>
    <row r="43" spans="1:14">
      <c r="A43" s="236" t="s">
        <v>398</v>
      </c>
      <c r="B43" s="272" t="s">
        <v>0</v>
      </c>
      <c r="C43" s="272" t="s">
        <v>587</v>
      </c>
      <c r="D43" s="103">
        <v>1</v>
      </c>
      <c r="E43" s="103">
        <v>2</v>
      </c>
      <c r="F43" s="103">
        <v>1</v>
      </c>
      <c r="G43" s="235"/>
      <c r="H43" s="104"/>
      <c r="I43" s="104"/>
      <c r="J43" s="104"/>
      <c r="K43" s="104"/>
      <c r="L43" s="16" t="s">
        <v>356</v>
      </c>
      <c r="M43" s="16" t="s">
        <v>357</v>
      </c>
      <c r="N43" s="235"/>
    </row>
    <row r="44" spans="1:14">
      <c r="A44" s="236" t="s">
        <v>399</v>
      </c>
      <c r="B44" s="272" t="s">
        <v>73</v>
      </c>
      <c r="C44" s="272" t="s">
        <v>26</v>
      </c>
      <c r="D44" s="16" t="s">
        <v>342</v>
      </c>
      <c r="E44" s="103">
        <v>1</v>
      </c>
      <c r="F44" s="16" t="s">
        <v>359</v>
      </c>
      <c r="G44" s="235"/>
      <c r="H44" s="104"/>
      <c r="I44" s="104"/>
      <c r="J44" s="104"/>
      <c r="K44" s="104"/>
      <c r="L44" s="16" t="s">
        <v>359</v>
      </c>
      <c r="M44" s="16" t="s">
        <v>359</v>
      </c>
      <c r="N44" s="235"/>
    </row>
    <row r="45" spans="1:14">
      <c r="A45" s="236" t="s">
        <v>400</v>
      </c>
      <c r="B45" s="272" t="s">
        <v>588</v>
      </c>
      <c r="C45" s="272" t="s">
        <v>585</v>
      </c>
      <c r="D45" s="16">
        <v>1</v>
      </c>
      <c r="E45" s="16">
        <v>1</v>
      </c>
      <c r="F45" s="16">
        <v>1</v>
      </c>
      <c r="G45" s="235"/>
      <c r="H45" s="104"/>
      <c r="I45" s="104"/>
      <c r="J45" s="104"/>
      <c r="K45" s="104"/>
      <c r="L45" s="16">
        <v>1</v>
      </c>
      <c r="M45" s="16">
        <v>1</v>
      </c>
      <c r="N45" s="235"/>
    </row>
    <row r="46" spans="1:14">
      <c r="A46" s="236" t="s">
        <v>401</v>
      </c>
      <c r="B46" s="272" t="s">
        <v>687</v>
      </c>
      <c r="C46" s="272" t="s">
        <v>276</v>
      </c>
      <c r="D46" s="103">
        <v>2</v>
      </c>
      <c r="E46" s="103">
        <v>2</v>
      </c>
      <c r="F46" s="103" t="s">
        <v>359</v>
      </c>
      <c r="G46" s="235"/>
      <c r="H46" s="104"/>
      <c r="I46" s="104"/>
      <c r="J46" s="104"/>
      <c r="K46" s="104"/>
      <c r="L46" s="103" t="s">
        <v>359</v>
      </c>
      <c r="M46" s="103" t="s">
        <v>359</v>
      </c>
      <c r="N46" s="149"/>
    </row>
    <row r="47" spans="1:14">
      <c r="A47" s="236" t="s">
        <v>402</v>
      </c>
      <c r="B47" s="272" t="s">
        <v>252</v>
      </c>
      <c r="C47" s="272" t="s">
        <v>254</v>
      </c>
      <c r="D47" s="103">
        <v>2</v>
      </c>
      <c r="E47" s="16" t="s">
        <v>342</v>
      </c>
      <c r="F47" s="16" t="s">
        <v>359</v>
      </c>
      <c r="G47" s="235"/>
      <c r="H47" s="104"/>
      <c r="I47" s="104"/>
      <c r="J47" s="104"/>
      <c r="K47" s="104"/>
      <c r="L47" s="16" t="s">
        <v>359</v>
      </c>
      <c r="M47" s="16" t="s">
        <v>359</v>
      </c>
      <c r="N47" s="149" t="s">
        <v>688</v>
      </c>
    </row>
    <row r="48" spans="1:14">
      <c r="A48" s="236" t="s">
        <v>403</v>
      </c>
      <c r="B48" s="272" t="s">
        <v>267</v>
      </c>
      <c r="C48" s="272" t="s">
        <v>270</v>
      </c>
      <c r="D48" s="16">
        <v>1</v>
      </c>
      <c r="E48" s="16">
        <v>1</v>
      </c>
      <c r="F48" s="16" t="s">
        <v>357</v>
      </c>
      <c r="G48" s="235"/>
      <c r="H48" s="104"/>
      <c r="I48" s="104"/>
      <c r="J48" s="104"/>
      <c r="K48" s="104"/>
      <c r="L48" s="16" t="s">
        <v>357</v>
      </c>
      <c r="M48" s="16" t="s">
        <v>357</v>
      </c>
      <c r="N48" s="149" t="s">
        <v>689</v>
      </c>
    </row>
    <row r="49" spans="1:18">
      <c r="A49" s="236" t="s">
        <v>404</v>
      </c>
      <c r="B49" s="272" t="s">
        <v>273</v>
      </c>
      <c r="C49" s="272" t="s">
        <v>495</v>
      </c>
      <c r="D49" s="103" t="s">
        <v>342</v>
      </c>
      <c r="E49" s="103" t="s">
        <v>342</v>
      </c>
      <c r="F49" s="16" t="s">
        <v>357</v>
      </c>
      <c r="G49" s="235"/>
      <c r="H49" s="104"/>
      <c r="I49" s="104"/>
      <c r="J49" s="104"/>
      <c r="K49" s="104"/>
      <c r="L49" s="16" t="s">
        <v>357</v>
      </c>
      <c r="M49" s="16" t="s">
        <v>357</v>
      </c>
      <c r="N49" s="149" t="s">
        <v>690</v>
      </c>
    </row>
    <row r="50" spans="1:18">
      <c r="A50" s="236" t="s">
        <v>405</v>
      </c>
      <c r="B50" s="272" t="s">
        <v>445</v>
      </c>
      <c r="C50" s="272" t="s">
        <v>263</v>
      </c>
      <c r="D50" s="16">
        <v>1</v>
      </c>
      <c r="E50" s="103" t="s">
        <v>342</v>
      </c>
      <c r="F50" s="16" t="s">
        <v>356</v>
      </c>
      <c r="G50" s="235"/>
      <c r="H50" s="104"/>
      <c r="I50" s="104"/>
      <c r="J50" s="104"/>
      <c r="K50" s="104"/>
      <c r="L50" s="16" t="s">
        <v>357</v>
      </c>
      <c r="M50" s="16" t="s">
        <v>357</v>
      </c>
      <c r="N50" s="149" t="s">
        <v>691</v>
      </c>
    </row>
    <row r="51" spans="1:18">
      <c r="A51" s="236" t="s">
        <v>406</v>
      </c>
      <c r="B51" s="272" t="s">
        <v>504</v>
      </c>
      <c r="C51" s="272" t="s">
        <v>4</v>
      </c>
      <c r="D51" s="103" t="s">
        <v>342</v>
      </c>
      <c r="E51" s="16">
        <v>1</v>
      </c>
      <c r="F51" s="103" t="s">
        <v>342</v>
      </c>
      <c r="G51" s="149"/>
      <c r="H51" s="104"/>
      <c r="I51" s="104"/>
      <c r="J51" s="104"/>
      <c r="K51" s="104"/>
      <c r="L51" s="103" t="s">
        <v>342</v>
      </c>
      <c r="M51" s="103" t="s">
        <v>342</v>
      </c>
      <c r="N51" s="235"/>
    </row>
    <row r="52" spans="1:18">
      <c r="A52" s="236"/>
      <c r="F52" s="232"/>
      <c r="G52" s="233"/>
      <c r="H52" s="232"/>
      <c r="I52" s="232"/>
      <c r="J52" s="232"/>
      <c r="K52" s="232"/>
      <c r="L52" s="232"/>
      <c r="M52" s="232"/>
    </row>
    <row r="53" spans="1:18">
      <c r="F53" s="232" t="s">
        <v>696</v>
      </c>
      <c r="G53" s="232"/>
      <c r="H53" s="232"/>
      <c r="I53" s="232"/>
      <c r="J53" s="232"/>
      <c r="K53" s="232"/>
      <c r="L53" s="232" t="s">
        <v>432</v>
      </c>
      <c r="M53" s="232" t="s">
        <v>524</v>
      </c>
    </row>
    <row r="54" spans="1:18">
      <c r="D54" s="111">
        <v>0.5</v>
      </c>
      <c r="E54" s="111">
        <v>0.5</v>
      </c>
      <c r="F54" s="111">
        <v>576</v>
      </c>
      <c r="G54" s="232"/>
      <c r="H54" s="232"/>
      <c r="I54" s="232"/>
      <c r="J54" s="232"/>
      <c r="K54" s="232"/>
      <c r="L54" s="111">
        <v>1728</v>
      </c>
      <c r="M54" s="111">
        <v>7776</v>
      </c>
    </row>
    <row r="57" spans="1:18">
      <c r="D57" s="266" t="s">
        <v>527</v>
      </c>
      <c r="E57" s="266" t="s">
        <v>528</v>
      </c>
      <c r="M57" s="266" t="s">
        <v>567</v>
      </c>
      <c r="N57" s="63"/>
      <c r="P57" s="135"/>
      <c r="Q57" s="135"/>
      <c r="R57" s="135"/>
    </row>
    <row r="58" spans="1:18">
      <c r="A58" s="236" t="s">
        <v>392</v>
      </c>
      <c r="B58" s="273" t="s">
        <v>1</v>
      </c>
      <c r="C58" s="273" t="s">
        <v>586</v>
      </c>
      <c r="D58" s="271"/>
      <c r="E58" s="271"/>
      <c r="F58" s="124"/>
      <c r="G58" s="124"/>
      <c r="H58" s="124"/>
      <c r="I58" s="124"/>
      <c r="J58" s="124"/>
      <c r="K58" s="124"/>
      <c r="L58" s="124"/>
      <c r="M58" s="124"/>
      <c r="N58" s="136"/>
    </row>
    <row r="59" spans="1:18">
      <c r="A59" s="236" t="s">
        <v>393</v>
      </c>
      <c r="B59" s="273" t="s">
        <v>181</v>
      </c>
      <c r="C59" s="273" t="s">
        <v>47</v>
      </c>
      <c r="D59" s="124"/>
      <c r="E59" s="124"/>
      <c r="F59" s="124"/>
      <c r="G59" s="124"/>
      <c r="H59" s="124"/>
      <c r="I59" s="124"/>
      <c r="J59" s="124"/>
      <c r="K59" s="124"/>
      <c r="L59" s="124"/>
      <c r="M59" s="124"/>
    </row>
    <row r="60" spans="1:18">
      <c r="A60" s="236" t="s">
        <v>394</v>
      </c>
      <c r="B60" s="273" t="s">
        <v>28</v>
      </c>
      <c r="C60" s="273" t="s">
        <v>15</v>
      </c>
      <c r="D60" s="124"/>
      <c r="E60" s="124"/>
      <c r="F60" s="124"/>
      <c r="G60" s="124"/>
      <c r="H60" s="124"/>
      <c r="I60" s="124"/>
      <c r="J60" s="124"/>
      <c r="K60" s="124"/>
      <c r="L60" s="124"/>
      <c r="M60" s="124"/>
    </row>
    <row r="61" spans="1:18">
      <c r="A61" s="236" t="s">
        <v>395</v>
      </c>
      <c r="B61" s="273" t="s">
        <v>422</v>
      </c>
      <c r="C61" s="273" t="s">
        <v>5</v>
      </c>
      <c r="D61" s="124"/>
      <c r="E61" s="124"/>
      <c r="F61" s="124"/>
      <c r="G61" s="124"/>
      <c r="H61" s="124"/>
      <c r="I61" s="124"/>
      <c r="J61" s="124"/>
      <c r="K61" s="124"/>
      <c r="L61" s="124"/>
      <c r="M61" s="124"/>
      <c r="P61" s="135"/>
      <c r="Q61" s="135"/>
      <c r="R61" s="135"/>
    </row>
    <row r="62" spans="1:18">
      <c r="A62" s="236" t="s">
        <v>396</v>
      </c>
      <c r="B62" s="273" t="s">
        <v>2</v>
      </c>
      <c r="C62" s="273" t="s">
        <v>308</v>
      </c>
      <c r="D62" s="124"/>
      <c r="E62" s="124"/>
      <c r="F62" s="124"/>
      <c r="G62" s="124"/>
      <c r="H62" s="124"/>
      <c r="I62" s="124"/>
      <c r="J62" s="124"/>
      <c r="K62" s="124"/>
      <c r="L62" s="124"/>
      <c r="M62" s="124"/>
      <c r="P62" s="135"/>
      <c r="Q62" s="135"/>
      <c r="R62" s="135"/>
    </row>
    <row r="63" spans="1:18">
      <c r="A63" s="236" t="s">
        <v>397</v>
      </c>
      <c r="B63" s="273" t="s">
        <v>16</v>
      </c>
      <c r="C63" s="273" t="s">
        <v>599</v>
      </c>
      <c r="D63" s="271"/>
      <c r="E63" s="271"/>
      <c r="F63" s="124"/>
      <c r="G63" s="124"/>
      <c r="H63" s="124"/>
      <c r="I63" s="124"/>
      <c r="J63" s="124"/>
      <c r="K63" s="124"/>
      <c r="L63" s="124"/>
      <c r="M63" s="124"/>
      <c r="P63" s="135"/>
      <c r="Q63" s="135"/>
    </row>
    <row r="64" spans="1:18">
      <c r="A64" s="236" t="s">
        <v>398</v>
      </c>
      <c r="B64" s="273" t="s">
        <v>0</v>
      </c>
      <c r="C64" s="273" t="s">
        <v>587</v>
      </c>
      <c r="D64" s="124"/>
      <c r="E64" s="124"/>
      <c r="F64" s="124"/>
      <c r="G64" s="124"/>
      <c r="H64" s="124"/>
      <c r="I64" s="124"/>
      <c r="J64" s="124"/>
      <c r="K64" s="124"/>
      <c r="L64" s="124"/>
      <c r="M64" s="124"/>
    </row>
    <row r="65" spans="1:13">
      <c r="A65" s="236" t="s">
        <v>399</v>
      </c>
      <c r="B65" s="273" t="s">
        <v>73</v>
      </c>
      <c r="C65" s="273" t="s">
        <v>26</v>
      </c>
      <c r="D65" s="124"/>
      <c r="E65" s="124"/>
      <c r="F65" s="124"/>
      <c r="G65" s="228"/>
      <c r="H65" s="124"/>
      <c r="I65" s="124"/>
      <c r="J65" s="124"/>
      <c r="K65" s="124"/>
      <c r="L65" s="124"/>
      <c r="M65" s="124"/>
    </row>
    <row r="66" spans="1:13">
      <c r="A66" s="236" t="s">
        <v>400</v>
      </c>
      <c r="B66" s="273" t="s">
        <v>588</v>
      </c>
      <c r="C66" s="273" t="s">
        <v>585</v>
      </c>
      <c r="D66" s="271"/>
      <c r="E66" s="271"/>
      <c r="F66" s="124"/>
      <c r="G66" s="124"/>
      <c r="H66" s="124"/>
      <c r="I66" s="124"/>
      <c r="J66" s="124"/>
      <c r="K66" s="124"/>
      <c r="L66" s="124"/>
      <c r="M66" s="124"/>
    </row>
    <row r="67" spans="1:13">
      <c r="A67" s="236" t="s">
        <v>401</v>
      </c>
      <c r="B67" s="273" t="s">
        <v>687</v>
      </c>
      <c r="C67" s="273" t="s">
        <v>276</v>
      </c>
      <c r="D67" s="124"/>
      <c r="E67" s="124"/>
      <c r="F67" s="124"/>
      <c r="G67" s="124"/>
      <c r="H67" s="124"/>
      <c r="I67" s="124"/>
      <c r="J67" s="124"/>
      <c r="K67" s="124"/>
      <c r="L67" s="124"/>
      <c r="M67" s="124"/>
    </row>
    <row r="68" spans="1:13">
      <c r="A68" s="236" t="s">
        <v>402</v>
      </c>
      <c r="B68" s="273" t="s">
        <v>252</v>
      </c>
      <c r="C68" s="273" t="s">
        <v>254</v>
      </c>
      <c r="D68" s="124"/>
      <c r="E68" s="124"/>
      <c r="F68" s="124"/>
      <c r="G68" s="124"/>
      <c r="H68" s="124"/>
      <c r="I68" s="124"/>
      <c r="J68" s="124"/>
      <c r="K68" s="124"/>
      <c r="L68" s="124"/>
      <c r="M68" s="124"/>
    </row>
    <row r="69" spans="1:13">
      <c r="A69" s="236" t="s">
        <v>403</v>
      </c>
      <c r="B69" s="273" t="s">
        <v>267</v>
      </c>
      <c r="C69" s="273" t="s">
        <v>270</v>
      </c>
      <c r="D69" s="124"/>
      <c r="E69" s="124"/>
      <c r="F69" s="124"/>
      <c r="G69" s="124"/>
      <c r="H69" s="124"/>
      <c r="I69" s="124"/>
      <c r="J69" s="124"/>
      <c r="K69" s="124"/>
      <c r="L69" s="124"/>
      <c r="M69" s="124"/>
    </row>
    <row r="70" spans="1:13">
      <c r="A70" s="236" t="s">
        <v>404</v>
      </c>
      <c r="B70" s="273" t="s">
        <v>273</v>
      </c>
      <c r="C70" s="273" t="s">
        <v>495</v>
      </c>
      <c r="D70" s="124"/>
      <c r="E70" s="124"/>
      <c r="F70" s="124"/>
      <c r="G70" s="124"/>
      <c r="H70" s="124"/>
      <c r="I70" s="124"/>
      <c r="J70" s="124"/>
      <c r="K70" s="124"/>
      <c r="L70" s="124"/>
      <c r="M70" s="124"/>
    </row>
    <row r="71" spans="1:13">
      <c r="A71" s="236" t="s">
        <v>405</v>
      </c>
      <c r="B71" s="273" t="s">
        <v>445</v>
      </c>
      <c r="C71" s="273" t="s">
        <v>263</v>
      </c>
      <c r="D71" s="124"/>
      <c r="E71" s="124"/>
      <c r="F71" s="124"/>
      <c r="G71" s="124"/>
      <c r="H71" s="124"/>
      <c r="I71" s="124"/>
      <c r="J71" s="124"/>
      <c r="K71" s="124"/>
      <c r="L71" s="124"/>
      <c r="M71" s="124"/>
    </row>
    <row r="72" spans="1:13">
      <c r="A72" s="236" t="s">
        <v>406</v>
      </c>
      <c r="B72" s="273" t="s">
        <v>504</v>
      </c>
      <c r="C72" s="273" t="s">
        <v>4</v>
      </c>
      <c r="D72" s="124"/>
      <c r="E72" s="124"/>
      <c r="F72" s="124"/>
      <c r="G72" s="124"/>
      <c r="H72" s="124"/>
      <c r="I72" s="124"/>
      <c r="J72" s="124"/>
      <c r="K72" s="124"/>
      <c r="L72" s="124"/>
      <c r="M72" s="124"/>
    </row>
    <row r="74" spans="1:13">
      <c r="M74" s="232" t="s">
        <v>568</v>
      </c>
    </row>
    <row r="75" spans="1:13">
      <c r="D75" s="111">
        <v>0.5</v>
      </c>
      <c r="E75" s="111">
        <v>0.5</v>
      </c>
      <c r="M75" s="111">
        <v>2916</v>
      </c>
    </row>
  </sheetData>
  <pageMargins left="0.7" right="0.7" top="0.75" bottom="0.75" header="0.3" footer="0.3"/>
  <pageSetup paperSize="9" orientation="portrait" horizontalDpi="0" verticalDpi="0" r:id="rId1"/>
</worksheet>
</file>

<file path=xl/worksheets/sheet27.xml><?xml version="1.0" encoding="utf-8"?>
<worksheet xmlns="http://schemas.openxmlformats.org/spreadsheetml/2006/main" xmlns:r="http://schemas.openxmlformats.org/officeDocument/2006/relationships">
  <dimension ref="A1:N30"/>
  <sheetViews>
    <sheetView workbookViewId="0">
      <selection activeCell="A7" sqref="A7"/>
    </sheetView>
  </sheetViews>
  <sheetFormatPr baseColWidth="10" defaultRowHeight="15"/>
  <cols>
    <col min="1" max="1" width="4.28515625" style="273" customWidth="1"/>
    <col min="2" max="3" width="13.5703125" style="273" customWidth="1"/>
    <col min="4" max="4" width="14.7109375" style="273" bestFit="1" customWidth="1"/>
    <col min="5" max="7" width="7.85546875" style="273" customWidth="1"/>
    <col min="8" max="16384" width="11.42578125" style="273"/>
  </cols>
  <sheetData>
    <row r="1" spans="1:14">
      <c r="A1" s="235"/>
      <c r="B1" s="235"/>
      <c r="C1" s="235"/>
      <c r="D1" s="235"/>
      <c r="E1" s="3"/>
      <c r="F1" s="86"/>
      <c r="G1" s="30"/>
      <c r="H1" s="235"/>
      <c r="I1" s="235"/>
    </row>
    <row r="2" spans="1:14">
      <c r="A2" s="235"/>
      <c r="B2" s="235"/>
      <c r="C2" s="235"/>
      <c r="D2" s="235"/>
      <c r="E2" s="3"/>
      <c r="F2" s="86"/>
      <c r="G2" s="30"/>
      <c r="H2" s="235"/>
      <c r="I2" s="235"/>
    </row>
    <row r="3" spans="1:14">
      <c r="A3" s="12" t="s">
        <v>703</v>
      </c>
      <c r="B3" s="235"/>
      <c r="C3" s="235"/>
      <c r="D3" s="235"/>
      <c r="E3" s="3"/>
      <c r="F3" s="86"/>
      <c r="G3" s="30"/>
      <c r="H3" s="235"/>
      <c r="I3" s="235"/>
    </row>
    <row r="4" spans="1:14">
      <c r="B4" s="235"/>
      <c r="C4" s="235"/>
      <c r="D4" s="235"/>
      <c r="E4" s="3"/>
      <c r="F4" s="86"/>
      <c r="G4" s="30"/>
      <c r="H4" s="235"/>
      <c r="I4" s="235"/>
    </row>
    <row r="5" spans="1:14">
      <c r="A5" s="4" t="s">
        <v>702</v>
      </c>
      <c r="B5" s="235"/>
      <c r="C5" s="235"/>
      <c r="D5" s="235"/>
      <c r="E5" s="3"/>
      <c r="F5" s="86"/>
      <c r="G5" s="30"/>
      <c r="H5" s="235"/>
      <c r="I5" s="235"/>
    </row>
    <row r="6" spans="1:14">
      <c r="A6" s="235"/>
      <c r="B6" s="235"/>
      <c r="C6" s="235"/>
      <c r="D6" s="235"/>
      <c r="E6" s="3"/>
      <c r="F6" s="86"/>
      <c r="G6" s="30"/>
      <c r="H6" s="235"/>
      <c r="I6" s="235"/>
    </row>
    <row r="7" spans="1:14">
      <c r="A7" s="12" t="s">
        <v>704</v>
      </c>
      <c r="B7" s="235"/>
      <c r="C7" s="235"/>
      <c r="D7" s="235"/>
      <c r="E7" s="3"/>
      <c r="F7" s="86"/>
      <c r="G7" s="30"/>
      <c r="H7" s="235"/>
      <c r="I7" s="235"/>
    </row>
    <row r="8" spans="1:14">
      <c r="A8" s="235"/>
      <c r="B8" s="235"/>
      <c r="C8" s="235"/>
      <c r="D8" s="235"/>
      <c r="E8" s="3"/>
      <c r="F8" s="86"/>
      <c r="G8" s="30"/>
      <c r="H8" s="235"/>
      <c r="I8" s="235"/>
    </row>
    <row r="9" spans="1:14">
      <c r="A9" s="96" t="s">
        <v>242</v>
      </c>
      <c r="B9" s="235"/>
      <c r="C9" s="235"/>
      <c r="D9" s="235"/>
      <c r="E9" s="3"/>
      <c r="F9" s="86"/>
      <c r="G9" s="30"/>
      <c r="H9" s="235"/>
      <c r="I9" s="235"/>
      <c r="J9" s="235"/>
      <c r="K9" s="235"/>
      <c r="L9" s="235"/>
      <c r="M9" s="235"/>
      <c r="N9" s="235"/>
    </row>
    <row r="10" spans="1:14">
      <c r="A10" s="75"/>
      <c r="B10" s="75"/>
      <c r="C10" s="75"/>
      <c r="D10" s="75"/>
      <c r="E10" s="79"/>
      <c r="F10" s="80"/>
      <c r="G10" s="30"/>
      <c r="H10" s="75"/>
      <c r="I10" s="75"/>
      <c r="J10" s="235"/>
      <c r="K10" s="235"/>
      <c r="L10" s="235"/>
      <c r="M10" s="235"/>
      <c r="N10" s="235"/>
    </row>
    <row r="11" spans="1:14">
      <c r="A11" s="75"/>
      <c r="B11" s="75"/>
      <c r="C11" s="75"/>
      <c r="D11" s="75"/>
      <c r="E11" s="79"/>
      <c r="F11" s="86"/>
      <c r="G11" s="30"/>
      <c r="H11" s="235"/>
      <c r="I11" s="75"/>
      <c r="J11" s="235"/>
      <c r="K11" s="235"/>
      <c r="L11" s="235"/>
      <c r="M11" s="235"/>
      <c r="N11" s="235"/>
    </row>
    <row r="12" spans="1:14">
      <c r="A12" s="75"/>
      <c r="B12" s="75"/>
      <c r="C12" s="75"/>
      <c r="D12" s="75"/>
      <c r="E12" s="79"/>
      <c r="F12" s="80"/>
      <c r="G12" s="81"/>
      <c r="H12" s="75"/>
      <c r="I12" s="75"/>
      <c r="J12" s="235"/>
      <c r="K12" s="235"/>
      <c r="L12" s="235"/>
      <c r="M12" s="235"/>
      <c r="N12" s="235"/>
    </row>
    <row r="13" spans="1:14">
      <c r="A13" s="4" t="s">
        <v>700</v>
      </c>
      <c r="B13" s="75"/>
      <c r="C13" s="75"/>
      <c r="D13" s="75"/>
      <c r="E13" s="79"/>
      <c r="F13" s="80"/>
      <c r="G13" s="81"/>
      <c r="H13" s="75"/>
      <c r="I13" s="75"/>
      <c r="J13" s="235"/>
      <c r="K13" s="235"/>
      <c r="L13" s="235"/>
      <c r="M13" s="235"/>
      <c r="N13" s="235"/>
    </row>
    <row r="14" spans="1:14">
      <c r="A14" s="75"/>
      <c r="B14" s="75"/>
      <c r="C14" s="75"/>
      <c r="D14" s="75"/>
      <c r="E14" s="79"/>
      <c r="F14" s="80"/>
      <c r="G14" s="81"/>
      <c r="H14" s="75"/>
      <c r="I14" s="75"/>
      <c r="J14" s="235"/>
      <c r="K14" s="235"/>
      <c r="L14" s="235"/>
      <c r="M14" s="235"/>
      <c r="N14" s="235"/>
    </row>
    <row r="15" spans="1:14">
      <c r="A15" s="4" t="s">
        <v>701</v>
      </c>
      <c r="B15" s="75"/>
      <c r="C15" s="235"/>
      <c r="D15" s="235"/>
      <c r="E15" s="3"/>
      <c r="F15" s="86"/>
      <c r="G15" s="30"/>
      <c r="H15" s="235"/>
      <c r="I15" s="235"/>
      <c r="J15" s="235"/>
      <c r="K15" s="235"/>
      <c r="L15" s="235"/>
      <c r="M15" s="235"/>
      <c r="N15" s="235"/>
    </row>
    <row r="16" spans="1:14">
      <c r="A16" s="75"/>
      <c r="B16" s="75"/>
      <c r="C16" s="235"/>
      <c r="D16" s="235"/>
      <c r="E16" s="3"/>
      <c r="F16" s="86"/>
      <c r="G16" s="30"/>
      <c r="H16" s="235"/>
      <c r="I16" s="235"/>
      <c r="J16" s="235"/>
      <c r="K16" s="235"/>
      <c r="L16" s="235"/>
      <c r="M16" s="235"/>
      <c r="N16" s="235"/>
    </row>
    <row r="17" spans="1:14">
      <c r="A17" s="276" t="s">
        <v>705</v>
      </c>
      <c r="B17" s="75"/>
      <c r="C17" s="235"/>
      <c r="D17" s="235"/>
      <c r="E17" s="235"/>
      <c r="F17" s="235"/>
      <c r="G17" s="235"/>
      <c r="H17" s="235"/>
      <c r="I17" s="235"/>
      <c r="J17" s="235"/>
      <c r="K17" s="235"/>
      <c r="L17" s="235"/>
      <c r="M17" s="235"/>
      <c r="N17" s="235"/>
    </row>
    <row r="18" spans="1:14">
      <c r="A18" s="75"/>
      <c r="B18" s="75"/>
      <c r="C18" s="235"/>
      <c r="D18" s="235"/>
      <c r="E18" s="235"/>
      <c r="F18" s="235"/>
      <c r="G18" s="235"/>
      <c r="H18" s="235"/>
      <c r="I18" s="235"/>
      <c r="J18" s="235"/>
      <c r="K18" s="235"/>
      <c r="L18" s="235"/>
      <c r="M18" s="235"/>
      <c r="N18" s="235"/>
    </row>
    <row r="19" spans="1:14">
      <c r="A19" s="75"/>
      <c r="B19" s="75"/>
      <c r="C19" s="235"/>
      <c r="D19" s="235"/>
      <c r="E19" s="235"/>
      <c r="F19" s="235"/>
      <c r="G19" s="235"/>
      <c r="H19" s="235"/>
      <c r="I19" s="235"/>
      <c r="J19" s="235"/>
      <c r="K19" s="235"/>
      <c r="L19" s="235"/>
      <c r="M19" s="235"/>
      <c r="N19" s="235"/>
    </row>
    <row r="20" spans="1:14">
      <c r="A20" s="75"/>
      <c r="B20" s="75"/>
      <c r="C20" s="235"/>
      <c r="D20" s="235"/>
    </row>
    <row r="21" spans="1:14">
      <c r="A21" s="75"/>
      <c r="B21" s="75"/>
      <c r="C21" s="235"/>
      <c r="D21" s="235"/>
    </row>
    <row r="22" spans="1:14">
      <c r="A22" s="75"/>
      <c r="B22" s="75"/>
      <c r="C22" s="235"/>
      <c r="D22" s="235"/>
    </row>
    <row r="23" spans="1:14">
      <c r="A23" s="75"/>
      <c r="B23" s="75"/>
      <c r="C23" s="235"/>
      <c r="D23" s="235"/>
    </row>
    <row r="24" spans="1:14">
      <c r="A24" s="75"/>
      <c r="B24" s="75"/>
      <c r="C24" s="235"/>
      <c r="D24" s="235"/>
    </row>
    <row r="25" spans="1:14">
      <c r="A25" s="75"/>
      <c r="B25" s="75"/>
      <c r="C25" s="235"/>
      <c r="D25" s="235"/>
    </row>
    <row r="26" spans="1:14">
      <c r="A26" s="75"/>
      <c r="B26" s="75"/>
      <c r="C26" s="235"/>
      <c r="D26" s="235"/>
    </row>
    <row r="27" spans="1:14">
      <c r="A27" s="75"/>
      <c r="B27" s="75"/>
      <c r="C27" s="235"/>
      <c r="D27" s="235"/>
    </row>
    <row r="28" spans="1:14">
      <c r="A28" s="75"/>
      <c r="B28" s="75"/>
      <c r="C28" s="235"/>
      <c r="D28" s="235"/>
    </row>
    <row r="29" spans="1:14">
      <c r="A29" s="235"/>
      <c r="B29" s="235"/>
      <c r="C29" s="235"/>
      <c r="D29" s="235"/>
    </row>
    <row r="30" spans="1:14">
      <c r="A30" s="235"/>
      <c r="B30" s="235"/>
      <c r="C30" s="235"/>
      <c r="D30" s="235"/>
    </row>
  </sheetData>
  <pageMargins left="0.7" right="0.7" top="0.75" bottom="0.75" header="0.3" footer="0.3"/>
  <pageSetup paperSize="9" orientation="portrait" horizontalDpi="0" verticalDpi="0" r:id="rId1"/>
</worksheet>
</file>

<file path=xl/worksheets/sheet28.xml><?xml version="1.0" encoding="utf-8"?>
<worksheet xmlns="http://schemas.openxmlformats.org/spreadsheetml/2006/main" xmlns:r="http://schemas.openxmlformats.org/officeDocument/2006/relationships">
  <dimension ref="A1:R75"/>
  <sheetViews>
    <sheetView zoomScaleNormal="100" workbookViewId="0">
      <selection activeCell="J4" sqref="J4"/>
    </sheetView>
  </sheetViews>
  <sheetFormatPr baseColWidth="10" defaultRowHeight="15"/>
  <cols>
    <col min="1" max="3" width="11.42578125" style="273"/>
    <col min="4" max="6" width="11.5703125" style="273" customWidth="1"/>
    <col min="7" max="7" width="3.5703125" style="273" customWidth="1"/>
    <col min="8" max="8" width="3.28515625" style="273" customWidth="1"/>
    <col min="9" max="9" width="4.5703125" style="273" customWidth="1"/>
    <col min="10" max="11" width="7" style="273" customWidth="1"/>
    <col min="12" max="12" width="11.42578125" style="273" customWidth="1"/>
    <col min="13" max="16384" width="11.42578125" style="273"/>
  </cols>
  <sheetData>
    <row r="1" spans="1:12">
      <c r="A1" s="18" t="s">
        <v>247</v>
      </c>
      <c r="B1" s="18"/>
      <c r="C1" s="18"/>
      <c r="D1" s="18"/>
      <c r="E1" s="18"/>
      <c r="F1" s="18"/>
      <c r="G1" s="18" t="s">
        <v>302</v>
      </c>
      <c r="H1" s="18"/>
      <c r="I1" s="18"/>
      <c r="J1" s="18"/>
      <c r="K1" s="18"/>
      <c r="L1" s="273" t="s">
        <v>305</v>
      </c>
    </row>
    <row r="2" spans="1:12">
      <c r="C2" s="17" t="s">
        <v>250</v>
      </c>
      <c r="D2" s="17" t="s">
        <v>294</v>
      </c>
      <c r="E2" s="18" t="s">
        <v>251</v>
      </c>
      <c r="F2" s="18" t="s">
        <v>293</v>
      </c>
      <c r="G2" s="18" t="s">
        <v>303</v>
      </c>
      <c r="H2" s="18" t="s">
        <v>304</v>
      </c>
      <c r="I2" s="18" t="s">
        <v>314</v>
      </c>
      <c r="J2" s="18"/>
      <c r="K2" s="18"/>
      <c r="L2" s="273" t="s">
        <v>305</v>
      </c>
    </row>
    <row r="3" spans="1:12">
      <c r="A3" s="130" t="s">
        <v>181</v>
      </c>
      <c r="B3" s="130" t="s">
        <v>10</v>
      </c>
      <c r="C3" s="124" t="s">
        <v>256</v>
      </c>
      <c r="D3" s="246"/>
      <c r="E3" s="207"/>
      <c r="F3" s="207"/>
      <c r="G3" s="251">
        <v>1</v>
      </c>
      <c r="H3" s="247">
        <v>2</v>
      </c>
      <c r="I3" s="247">
        <v>7</v>
      </c>
      <c r="J3" s="248">
        <f>-H3</f>
        <v>-2</v>
      </c>
      <c r="K3" s="248">
        <f>-I3</f>
        <v>-7</v>
      </c>
      <c r="L3" s="207"/>
    </row>
    <row r="4" spans="1:12">
      <c r="A4" s="138" t="s">
        <v>15</v>
      </c>
      <c r="B4" s="59" t="s">
        <v>16</v>
      </c>
      <c r="C4" s="246"/>
      <c r="D4" s="246"/>
      <c r="E4" s="207"/>
      <c r="F4" s="207"/>
      <c r="G4" s="256">
        <v>1</v>
      </c>
      <c r="H4" s="247">
        <v>1</v>
      </c>
      <c r="I4" s="247">
        <v>2</v>
      </c>
      <c r="J4" s="131">
        <f>+(1.8-1)*H4</f>
        <v>0.8</v>
      </c>
      <c r="K4" s="131">
        <f>+(1.8-1)*I4</f>
        <v>1.6</v>
      </c>
      <c r="L4" s="207"/>
    </row>
    <row r="5" spans="1:12">
      <c r="A5" s="59" t="s">
        <v>3</v>
      </c>
      <c r="B5" s="138" t="s">
        <v>73</v>
      </c>
      <c r="C5" s="246"/>
      <c r="D5" s="246"/>
      <c r="E5" s="207"/>
      <c r="F5" s="207"/>
      <c r="G5" s="251">
        <v>1</v>
      </c>
      <c r="H5" s="247">
        <v>2</v>
      </c>
      <c r="I5" s="247">
        <v>7</v>
      </c>
      <c r="J5" s="248">
        <f t="shared" ref="J5:J6" si="0">-H5</f>
        <v>-2</v>
      </c>
      <c r="K5" s="248">
        <f t="shared" ref="K5:K6" si="1">-I5</f>
        <v>-7</v>
      </c>
      <c r="L5" s="207"/>
    </row>
    <row r="6" spans="1:12">
      <c r="A6" s="130" t="s">
        <v>520</v>
      </c>
      <c r="B6" s="130" t="s">
        <v>588</v>
      </c>
      <c r="C6" s="254">
        <v>1</v>
      </c>
      <c r="D6" s="246">
        <v>1.4</v>
      </c>
      <c r="E6" s="207">
        <v>2</v>
      </c>
      <c r="F6" s="207">
        <f>-E6</f>
        <v>-2</v>
      </c>
      <c r="G6" s="251">
        <v>2</v>
      </c>
      <c r="H6" s="247">
        <v>1</v>
      </c>
      <c r="I6" s="247">
        <v>1</v>
      </c>
      <c r="J6" s="248">
        <f t="shared" si="0"/>
        <v>-1</v>
      </c>
      <c r="K6" s="248">
        <f t="shared" si="1"/>
        <v>-1</v>
      </c>
      <c r="L6" s="207"/>
    </row>
    <row r="7" spans="1:12">
      <c r="A7" s="138" t="s">
        <v>308</v>
      </c>
      <c r="B7" s="59" t="s">
        <v>504</v>
      </c>
      <c r="C7" s="253">
        <v>1</v>
      </c>
      <c r="D7" s="246">
        <v>1.2</v>
      </c>
      <c r="E7" s="207">
        <v>3</v>
      </c>
      <c r="F7" s="234">
        <f>+(D7-1)*E7</f>
        <v>0.59999999999999987</v>
      </c>
      <c r="G7" s="256">
        <v>1</v>
      </c>
      <c r="H7" s="247">
        <v>1</v>
      </c>
      <c r="I7" s="247">
        <v>4</v>
      </c>
      <c r="J7" s="131">
        <f>+(1.2-1)*H7</f>
        <v>0.19999999999999996</v>
      </c>
      <c r="K7" s="131">
        <f>+(1.2-1)*I7</f>
        <v>0.79999999999999982</v>
      </c>
      <c r="L7" s="207"/>
    </row>
    <row r="8" spans="1:12">
      <c r="A8" s="138" t="s">
        <v>47</v>
      </c>
      <c r="B8" s="59" t="s">
        <v>2</v>
      </c>
      <c r="C8" s="253">
        <v>1</v>
      </c>
      <c r="D8" s="246">
        <v>1.85</v>
      </c>
      <c r="E8" s="250">
        <v>1.5</v>
      </c>
      <c r="F8" s="234">
        <f>+(D8-1)*E8</f>
        <v>1.2750000000000001</v>
      </c>
      <c r="G8" s="256">
        <v>1</v>
      </c>
      <c r="H8" s="247">
        <v>3</v>
      </c>
      <c r="I8" s="249">
        <v>16</v>
      </c>
      <c r="J8" s="131">
        <f>+(1.85-1)*H8</f>
        <v>2.5500000000000003</v>
      </c>
      <c r="K8" s="131">
        <f>+(1.85-1)*I8</f>
        <v>13.600000000000001</v>
      </c>
      <c r="L8" s="207"/>
    </row>
    <row r="9" spans="1:12">
      <c r="A9" s="138" t="s">
        <v>1</v>
      </c>
      <c r="B9" s="59" t="s">
        <v>28</v>
      </c>
      <c r="C9" s="253">
        <v>1</v>
      </c>
      <c r="D9" s="246">
        <v>2.25</v>
      </c>
      <c r="E9" s="250">
        <v>1</v>
      </c>
      <c r="F9" s="234">
        <f>+(D9-1)*E9</f>
        <v>1.25</v>
      </c>
      <c r="G9" s="251">
        <v>2</v>
      </c>
      <c r="H9" s="247">
        <v>1</v>
      </c>
      <c r="I9" s="247">
        <v>3</v>
      </c>
      <c r="J9" s="248">
        <f>-H9</f>
        <v>-1</v>
      </c>
      <c r="K9" s="248">
        <f>-I9</f>
        <v>-3</v>
      </c>
      <c r="L9" s="207"/>
    </row>
    <row r="10" spans="1:12">
      <c r="A10" s="59" t="s">
        <v>5</v>
      </c>
      <c r="B10" s="138" t="s">
        <v>0</v>
      </c>
      <c r="C10" s="124" t="s">
        <v>256</v>
      </c>
      <c r="D10" s="246"/>
      <c r="E10" s="207"/>
      <c r="F10" s="207"/>
      <c r="G10" s="256">
        <v>2</v>
      </c>
      <c r="H10" s="247">
        <v>3</v>
      </c>
      <c r="I10" s="249">
        <v>10</v>
      </c>
      <c r="J10" s="131">
        <f>+(5-1)*H10</f>
        <v>12</v>
      </c>
      <c r="K10" s="131">
        <f>+(5-1)*I10</f>
        <v>40</v>
      </c>
      <c r="L10" s="207"/>
    </row>
    <row r="11" spans="1:12">
      <c r="A11" s="59" t="s">
        <v>27</v>
      </c>
      <c r="B11" s="138" t="s">
        <v>422</v>
      </c>
      <c r="C11" s="253">
        <v>2</v>
      </c>
      <c r="D11" s="246">
        <v>1.53</v>
      </c>
      <c r="E11" s="207">
        <v>2.75</v>
      </c>
      <c r="F11" s="234">
        <f>+(D11-1)*E11</f>
        <v>1.4575</v>
      </c>
      <c r="G11" s="256">
        <v>2</v>
      </c>
      <c r="H11" s="247">
        <v>1</v>
      </c>
      <c r="I11" s="247">
        <v>3</v>
      </c>
      <c r="J11" s="131">
        <f>+(1.53-1)*H11</f>
        <v>0.53</v>
      </c>
      <c r="K11" s="131">
        <f>+(1.53-1)*I11</f>
        <v>1.59</v>
      </c>
      <c r="L11" s="207"/>
    </row>
    <row r="12" spans="1:12">
      <c r="A12" s="138" t="s">
        <v>4</v>
      </c>
      <c r="B12" s="59" t="s">
        <v>26</v>
      </c>
      <c r="C12" s="124" t="s">
        <v>256</v>
      </c>
      <c r="D12" s="246"/>
      <c r="E12" s="207"/>
      <c r="F12" s="207"/>
      <c r="G12" s="256">
        <v>1</v>
      </c>
      <c r="H12" s="247">
        <v>2</v>
      </c>
      <c r="I12" s="247">
        <v>5</v>
      </c>
      <c r="J12" s="131">
        <f>+(1.4-1)*H12</f>
        <v>0.79999999999999982</v>
      </c>
      <c r="K12" s="131">
        <f>+(1.4-1)*I12</f>
        <v>1.9999999999999996</v>
      </c>
      <c r="L12" s="59" t="s">
        <v>716</v>
      </c>
    </row>
    <row r="13" spans="1:12">
      <c r="A13" s="207"/>
      <c r="B13" s="207"/>
      <c r="C13" s="246"/>
      <c r="D13" s="246"/>
      <c r="E13" s="207"/>
      <c r="F13" s="207"/>
      <c r="G13" s="207"/>
      <c r="H13" s="247"/>
      <c r="I13" s="247"/>
      <c r="J13" s="248"/>
      <c r="K13" s="248"/>
      <c r="L13" s="207"/>
    </row>
    <row r="14" spans="1:12">
      <c r="A14" s="207"/>
      <c r="B14" s="207"/>
      <c r="F14" s="102">
        <f>SUM(F3:F12)</f>
        <v>2.5825</v>
      </c>
      <c r="J14" s="102">
        <f t="shared" ref="J14:K14" si="2">SUM(J3:J12)</f>
        <v>10.879999999999999</v>
      </c>
      <c r="K14" s="102">
        <f t="shared" si="2"/>
        <v>41.59</v>
      </c>
    </row>
    <row r="15" spans="1:12">
      <c r="A15" s="207"/>
      <c r="B15" s="207"/>
      <c r="F15" s="101">
        <f>+F14/SUM(E3:E12)</f>
        <v>0.25195121951219512</v>
      </c>
      <c r="J15" s="101">
        <f>+J14/SUM(H3:H12)</f>
        <v>0.6399999999999999</v>
      </c>
      <c r="K15" s="101">
        <f>+K14/SUM(I3:I12)</f>
        <v>0.71706896551724142</v>
      </c>
    </row>
    <row r="16" spans="1:12">
      <c r="A16" s="59"/>
      <c r="B16" s="59"/>
      <c r="F16" s="101"/>
      <c r="J16" s="101"/>
      <c r="K16" s="101"/>
    </row>
    <row r="17" spans="1:18">
      <c r="A17" s="59"/>
      <c r="B17" s="59"/>
      <c r="F17" s="101"/>
      <c r="J17" s="101"/>
      <c r="K17" s="101"/>
    </row>
    <row r="18" spans="1:18">
      <c r="A18" s="207"/>
      <c r="B18" s="207"/>
      <c r="C18" s="17" t="s">
        <v>250</v>
      </c>
      <c r="D18" s="17" t="s">
        <v>294</v>
      </c>
      <c r="E18" s="18" t="s">
        <v>251</v>
      </c>
      <c r="F18" s="18" t="s">
        <v>293</v>
      </c>
      <c r="G18" s="18" t="s">
        <v>303</v>
      </c>
      <c r="H18" s="18" t="s">
        <v>304</v>
      </c>
      <c r="I18" s="18" t="s">
        <v>314</v>
      </c>
      <c r="J18" s="18"/>
      <c r="K18" s="18"/>
      <c r="L18" s="82" t="s">
        <v>305</v>
      </c>
      <c r="M18" s="82"/>
      <c r="N18" s="82"/>
      <c r="O18" s="82"/>
      <c r="P18" s="82"/>
      <c r="Q18" s="82"/>
      <c r="R18" s="82"/>
    </row>
    <row r="19" spans="1:18">
      <c r="A19" s="207"/>
      <c r="B19" s="207"/>
      <c r="C19" s="246"/>
      <c r="D19" s="246"/>
      <c r="E19" s="207"/>
      <c r="F19" s="207"/>
      <c r="G19" s="207"/>
      <c r="H19" s="247"/>
      <c r="I19" s="247"/>
      <c r="J19" s="248"/>
      <c r="K19" s="248"/>
      <c r="L19" s="207"/>
      <c r="M19" s="82"/>
      <c r="N19" s="82"/>
      <c r="O19" s="82"/>
      <c r="P19" s="82"/>
      <c r="Q19" s="82"/>
      <c r="R19" s="82"/>
    </row>
    <row r="20" spans="1:18">
      <c r="A20" s="207"/>
      <c r="B20" s="207"/>
      <c r="C20" s="246"/>
      <c r="D20" s="246"/>
      <c r="E20" s="207"/>
      <c r="F20" s="207"/>
      <c r="G20" s="207"/>
      <c r="H20" s="247"/>
      <c r="I20" s="247"/>
      <c r="J20" s="248"/>
      <c r="K20" s="248"/>
      <c r="L20" s="207"/>
      <c r="M20" s="82"/>
      <c r="N20" s="82"/>
      <c r="O20" s="82"/>
      <c r="P20" s="82"/>
      <c r="Q20" s="82"/>
      <c r="R20" s="82"/>
    </row>
    <row r="21" spans="1:18">
      <c r="A21" s="207"/>
      <c r="B21" s="207"/>
      <c r="C21" s="246"/>
      <c r="D21" s="246"/>
      <c r="E21" s="207"/>
      <c r="F21" s="207"/>
      <c r="G21" s="207"/>
      <c r="H21" s="247"/>
      <c r="I21" s="247"/>
      <c r="J21" s="248"/>
      <c r="K21" s="248"/>
      <c r="L21" s="207"/>
      <c r="M21" s="82"/>
      <c r="N21" s="82"/>
      <c r="O21" s="82"/>
      <c r="P21" s="82"/>
      <c r="Q21" s="82"/>
      <c r="R21" s="82"/>
    </row>
    <row r="22" spans="1:18">
      <c r="A22" s="207"/>
      <c r="B22" s="207"/>
      <c r="C22" s="246"/>
      <c r="D22" s="246"/>
      <c r="E22" s="207"/>
      <c r="F22" s="207"/>
      <c r="G22" s="207"/>
      <c r="H22" s="247"/>
      <c r="I22" s="247"/>
      <c r="J22" s="248"/>
      <c r="K22" s="248"/>
      <c r="L22" s="207"/>
      <c r="M22" s="82"/>
      <c r="N22" s="82"/>
      <c r="O22" s="82"/>
      <c r="P22" s="82"/>
      <c r="Q22" s="82"/>
      <c r="R22" s="82"/>
    </row>
    <row r="23" spans="1:18">
      <c r="A23" s="207"/>
      <c r="B23" s="207"/>
      <c r="C23" s="246"/>
      <c r="D23" s="246"/>
      <c r="E23" s="207"/>
      <c r="F23" s="207"/>
      <c r="G23" s="207"/>
      <c r="H23" s="247"/>
      <c r="I23" s="247"/>
      <c r="J23" s="248"/>
      <c r="K23" s="248"/>
      <c r="L23" s="207"/>
      <c r="M23" s="82"/>
      <c r="N23" s="82"/>
      <c r="O23" s="82"/>
      <c r="P23" s="82"/>
      <c r="Q23" s="82"/>
      <c r="R23" s="82"/>
    </row>
    <row r="24" spans="1:18">
      <c r="A24" s="207"/>
      <c r="B24" s="207"/>
      <c r="C24" s="246"/>
      <c r="D24" s="246"/>
      <c r="E24" s="207"/>
      <c r="F24" s="207"/>
      <c r="G24" s="207"/>
      <c r="H24" s="247"/>
      <c r="I24" s="247"/>
      <c r="J24" s="248"/>
      <c r="K24" s="248"/>
      <c r="L24" s="207"/>
      <c r="M24" s="82"/>
      <c r="N24" s="82"/>
      <c r="O24" s="82"/>
      <c r="P24" s="82"/>
      <c r="Q24" s="82"/>
      <c r="R24" s="82"/>
    </row>
    <row r="25" spans="1:18">
      <c r="A25" s="207"/>
      <c r="B25" s="207"/>
      <c r="C25" s="246"/>
      <c r="D25" s="246"/>
      <c r="E25" s="207"/>
      <c r="F25" s="207"/>
      <c r="G25" s="207"/>
      <c r="H25" s="247"/>
      <c r="I25" s="247"/>
      <c r="J25" s="248"/>
      <c r="K25" s="248"/>
      <c r="L25" s="207"/>
      <c r="M25" s="82"/>
      <c r="N25" s="82"/>
      <c r="O25" s="82"/>
      <c r="P25" s="82"/>
      <c r="Q25" s="82"/>
      <c r="R25" s="82"/>
    </row>
    <row r="26" spans="1:18">
      <c r="A26" s="207"/>
      <c r="B26" s="207"/>
      <c r="C26" s="246"/>
      <c r="D26" s="246"/>
      <c r="E26" s="207"/>
      <c r="F26" s="207"/>
      <c r="G26" s="207"/>
      <c r="H26" s="247"/>
      <c r="I26" s="247"/>
      <c r="J26" s="248"/>
      <c r="K26" s="248"/>
      <c r="L26" s="207"/>
      <c r="M26" s="82"/>
      <c r="N26" s="82"/>
      <c r="O26" s="82"/>
      <c r="P26" s="82"/>
      <c r="Q26" s="82"/>
      <c r="R26" s="82"/>
    </row>
    <row r="27" spans="1:18">
      <c r="A27" s="207"/>
      <c r="B27" s="207"/>
      <c r="C27" s="246"/>
      <c r="D27" s="246"/>
      <c r="E27" s="207"/>
      <c r="F27" s="207"/>
      <c r="G27" s="207"/>
      <c r="H27" s="247"/>
      <c r="I27" s="247"/>
      <c r="J27" s="248"/>
      <c r="K27" s="248"/>
      <c r="L27" s="207"/>
      <c r="M27" s="82"/>
      <c r="N27" s="82"/>
      <c r="O27" s="82"/>
      <c r="P27" s="82"/>
      <c r="Q27" s="82"/>
      <c r="R27" s="82"/>
    </row>
    <row r="28" spans="1:18">
      <c r="A28" s="207"/>
      <c r="B28" s="207"/>
      <c r="C28" s="246"/>
      <c r="D28" s="246"/>
      <c r="E28" s="207"/>
      <c r="F28" s="207"/>
      <c r="G28" s="207"/>
      <c r="H28" s="247"/>
      <c r="I28" s="247"/>
      <c r="J28" s="248"/>
      <c r="K28" s="248"/>
      <c r="L28" s="207"/>
      <c r="M28" s="82"/>
      <c r="N28" s="82"/>
      <c r="O28" s="82"/>
      <c r="P28" s="82"/>
      <c r="Q28" s="82"/>
      <c r="R28" s="82"/>
    </row>
    <row r="29" spans="1:18">
      <c r="A29" s="207"/>
      <c r="B29" s="207"/>
      <c r="C29" s="246"/>
      <c r="D29" s="246"/>
      <c r="E29" s="207"/>
      <c r="F29" s="207"/>
      <c r="G29" s="207"/>
      <c r="H29" s="247"/>
      <c r="I29" s="247"/>
      <c r="J29" s="248"/>
      <c r="K29" s="248"/>
      <c r="L29" s="207"/>
      <c r="M29" s="82"/>
      <c r="N29" s="82"/>
      <c r="O29" s="82"/>
      <c r="P29" s="82"/>
      <c r="Q29" s="82"/>
      <c r="R29" s="82"/>
    </row>
    <row r="30" spans="1:18">
      <c r="A30" s="207"/>
      <c r="B30" s="207"/>
      <c r="C30" s="207"/>
      <c r="D30" s="207"/>
      <c r="E30" s="207"/>
      <c r="F30" s="207"/>
      <c r="G30" s="207"/>
      <c r="H30" s="207"/>
      <c r="I30" s="207"/>
      <c r="J30" s="207"/>
      <c r="K30" s="207"/>
      <c r="L30" s="207"/>
      <c r="M30" s="82"/>
      <c r="N30" s="82"/>
      <c r="O30" s="82"/>
      <c r="P30" s="82"/>
      <c r="Q30" s="82"/>
      <c r="R30" s="82"/>
    </row>
    <row r="31" spans="1:18">
      <c r="A31" s="75"/>
      <c r="B31" s="80"/>
      <c r="C31" s="75"/>
      <c r="D31" s="82"/>
      <c r="E31" s="82"/>
      <c r="F31" s="107">
        <f>SUM(F19:F29)</f>
        <v>0</v>
      </c>
      <c r="G31" s="17"/>
      <c r="H31" s="17"/>
      <c r="I31" s="17"/>
      <c r="J31" s="107">
        <f t="shared" ref="J31:K31" si="3">SUM(J19:J29)</f>
        <v>0</v>
      </c>
      <c r="K31" s="107">
        <f t="shared" si="3"/>
        <v>0</v>
      </c>
      <c r="L31" s="82"/>
      <c r="M31" s="82"/>
      <c r="N31" s="82"/>
      <c r="O31" s="82"/>
      <c r="P31" s="82"/>
      <c r="Q31" s="82"/>
      <c r="R31" s="82"/>
    </row>
    <row r="32" spans="1:18">
      <c r="A32" s="75"/>
      <c r="B32" s="80"/>
      <c r="C32" s="75"/>
      <c r="D32" s="82"/>
      <c r="E32" s="82"/>
      <c r="F32" s="101" t="e">
        <f>+F31/SUM(E19:E29)</f>
        <v>#DIV/0!</v>
      </c>
      <c r="G32" s="105"/>
      <c r="H32" s="105"/>
      <c r="I32" s="105"/>
      <c r="J32" s="101">
        <f>+J31/(SUM(H19:H29)-3)</f>
        <v>0</v>
      </c>
      <c r="K32" s="101">
        <f>+K31/(SUM(I19:I29)-18)</f>
        <v>0</v>
      </c>
      <c r="L32" s="82"/>
      <c r="M32" s="82"/>
      <c r="N32" s="82"/>
      <c r="O32" s="82"/>
      <c r="P32" s="82"/>
      <c r="Q32" s="82"/>
      <c r="R32" s="82"/>
    </row>
    <row r="33" spans="1:14">
      <c r="A33" s="235"/>
      <c r="B33" s="86"/>
      <c r="C33" s="235"/>
    </row>
    <row r="34" spans="1:14">
      <c r="A34" s="235"/>
      <c r="B34" s="86"/>
      <c r="C34" s="235"/>
    </row>
    <row r="35" spans="1:14">
      <c r="A35" s="235"/>
      <c r="B35" s="86"/>
      <c r="C35" s="235"/>
    </row>
    <row r="36" spans="1:14">
      <c r="A36" s="275" t="s">
        <v>717</v>
      </c>
      <c r="D36" s="273" t="s">
        <v>362</v>
      </c>
      <c r="E36" s="273" t="s">
        <v>363</v>
      </c>
      <c r="F36" s="273" t="s">
        <v>433</v>
      </c>
      <c r="L36" s="232" t="s">
        <v>429</v>
      </c>
      <c r="M36" s="232" t="s">
        <v>431</v>
      </c>
    </row>
    <row r="37" spans="1:14">
      <c r="A37" s="236" t="s">
        <v>392</v>
      </c>
      <c r="B37" s="275" t="s">
        <v>4</v>
      </c>
      <c r="C37" s="275" t="s">
        <v>26</v>
      </c>
      <c r="D37" s="16">
        <v>1</v>
      </c>
      <c r="E37" s="104"/>
      <c r="F37" s="16">
        <v>1</v>
      </c>
      <c r="G37" s="104"/>
      <c r="H37" s="104"/>
      <c r="I37" s="104"/>
      <c r="J37" s="104"/>
      <c r="K37" s="104"/>
      <c r="L37" s="16">
        <v>1</v>
      </c>
      <c r="M37" s="16">
        <v>1</v>
      </c>
      <c r="N37" s="235"/>
    </row>
    <row r="38" spans="1:14">
      <c r="A38" s="236" t="s">
        <v>393</v>
      </c>
      <c r="B38" s="274" t="s">
        <v>587</v>
      </c>
      <c r="C38" s="274" t="s">
        <v>588</v>
      </c>
      <c r="D38" s="16" t="s">
        <v>342</v>
      </c>
      <c r="E38" s="104"/>
      <c r="F38" s="16" t="s">
        <v>356</v>
      </c>
      <c r="G38" s="104"/>
      <c r="H38" s="104"/>
      <c r="I38" s="104"/>
      <c r="J38" s="104"/>
      <c r="K38" s="104"/>
      <c r="L38" s="16" t="s">
        <v>356</v>
      </c>
      <c r="M38" s="16" t="s">
        <v>356</v>
      </c>
      <c r="N38" s="235"/>
    </row>
    <row r="39" spans="1:14">
      <c r="A39" s="236" t="s">
        <v>394</v>
      </c>
      <c r="B39" s="274" t="s">
        <v>599</v>
      </c>
      <c r="C39" s="274" t="s">
        <v>73</v>
      </c>
      <c r="D39" s="103">
        <v>1</v>
      </c>
      <c r="E39" s="104"/>
      <c r="F39" s="103" t="s">
        <v>356</v>
      </c>
      <c r="G39" s="235"/>
      <c r="H39" s="104"/>
      <c r="I39" s="104"/>
      <c r="J39" s="104"/>
      <c r="K39" s="104"/>
      <c r="L39" s="103" t="s">
        <v>356</v>
      </c>
      <c r="M39" s="16" t="s">
        <v>357</v>
      </c>
      <c r="N39" s="235"/>
    </row>
    <row r="40" spans="1:14">
      <c r="A40" s="236" t="s">
        <v>395</v>
      </c>
      <c r="B40" s="274" t="s">
        <v>308</v>
      </c>
      <c r="C40" s="274" t="s">
        <v>504</v>
      </c>
      <c r="D40" s="16">
        <v>1</v>
      </c>
      <c r="E40" s="104"/>
      <c r="F40" s="16">
        <v>1</v>
      </c>
      <c r="G40" s="235"/>
      <c r="H40" s="104"/>
      <c r="I40" s="104"/>
      <c r="J40" s="104"/>
      <c r="K40" s="104"/>
      <c r="L40" s="16">
        <v>1</v>
      </c>
      <c r="M40" s="16">
        <v>1</v>
      </c>
      <c r="N40" s="235"/>
    </row>
    <row r="41" spans="1:14">
      <c r="A41" s="236" t="s">
        <v>396</v>
      </c>
      <c r="B41" s="274" t="s">
        <v>15</v>
      </c>
      <c r="C41" s="274" t="s">
        <v>16</v>
      </c>
      <c r="D41" s="16">
        <v>1</v>
      </c>
      <c r="E41" s="104"/>
      <c r="F41" s="16">
        <v>1</v>
      </c>
      <c r="G41" s="235"/>
      <c r="H41" s="104"/>
      <c r="I41" s="104"/>
      <c r="J41" s="104"/>
      <c r="K41" s="104"/>
      <c r="L41" s="16">
        <v>1</v>
      </c>
      <c r="M41" s="16" t="s">
        <v>356</v>
      </c>
      <c r="N41" s="235"/>
    </row>
    <row r="42" spans="1:14">
      <c r="A42" s="236" t="s">
        <v>397</v>
      </c>
      <c r="B42" s="274" t="s">
        <v>47</v>
      </c>
      <c r="C42" s="274" t="s">
        <v>2</v>
      </c>
      <c r="D42" s="103" t="s">
        <v>342</v>
      </c>
      <c r="E42" s="104"/>
      <c r="F42" s="103" t="s">
        <v>359</v>
      </c>
      <c r="G42" s="235"/>
      <c r="H42" s="104"/>
      <c r="I42" s="104"/>
      <c r="J42" s="104"/>
      <c r="K42" s="104"/>
      <c r="L42" s="16" t="s">
        <v>357</v>
      </c>
      <c r="M42" s="16" t="s">
        <v>357</v>
      </c>
      <c r="N42" s="235"/>
    </row>
    <row r="43" spans="1:14">
      <c r="A43" s="236" t="s">
        <v>398</v>
      </c>
      <c r="B43" s="274" t="s">
        <v>586</v>
      </c>
      <c r="C43" s="274" t="s">
        <v>422</v>
      </c>
      <c r="D43" s="103">
        <v>1</v>
      </c>
      <c r="E43" s="104"/>
      <c r="F43" s="103" t="s">
        <v>356</v>
      </c>
      <c r="G43" s="235"/>
      <c r="H43" s="104"/>
      <c r="I43" s="104"/>
      <c r="J43" s="104"/>
      <c r="K43" s="104"/>
      <c r="L43" s="103" t="s">
        <v>356</v>
      </c>
      <c r="M43" s="103" t="s">
        <v>356</v>
      </c>
      <c r="N43" s="235"/>
    </row>
    <row r="44" spans="1:14">
      <c r="A44" s="236" t="s">
        <v>399</v>
      </c>
      <c r="B44" s="274" t="s">
        <v>1</v>
      </c>
      <c r="C44" s="274" t="s">
        <v>28</v>
      </c>
      <c r="D44" s="16">
        <v>1</v>
      </c>
      <c r="E44" s="104"/>
      <c r="F44" s="16" t="s">
        <v>357</v>
      </c>
      <c r="G44" s="235"/>
      <c r="H44" s="104"/>
      <c r="I44" s="104"/>
      <c r="J44" s="104"/>
      <c r="K44" s="104"/>
      <c r="L44" s="16" t="s">
        <v>357</v>
      </c>
      <c r="M44" s="16" t="s">
        <v>357</v>
      </c>
      <c r="N44" s="235"/>
    </row>
    <row r="45" spans="1:14">
      <c r="A45" s="236" t="s">
        <v>400</v>
      </c>
      <c r="B45" s="274" t="s">
        <v>181</v>
      </c>
      <c r="C45" s="274" t="s">
        <v>585</v>
      </c>
      <c r="D45" s="16" t="s">
        <v>342</v>
      </c>
      <c r="E45" s="104"/>
      <c r="F45" s="16" t="s">
        <v>359</v>
      </c>
      <c r="G45" s="235"/>
      <c r="H45" s="104"/>
      <c r="I45" s="104"/>
      <c r="J45" s="104"/>
      <c r="K45" s="104"/>
      <c r="L45" s="16" t="s">
        <v>359</v>
      </c>
      <c r="M45" s="16" t="s">
        <v>357</v>
      </c>
      <c r="N45" s="235"/>
    </row>
    <row r="46" spans="1:14">
      <c r="A46" s="236" t="s">
        <v>401</v>
      </c>
      <c r="B46" s="274" t="s">
        <v>706</v>
      </c>
      <c r="C46" s="274" t="s">
        <v>598</v>
      </c>
      <c r="D46" s="16">
        <v>1</v>
      </c>
      <c r="E46" s="104"/>
      <c r="F46" s="16">
        <v>1</v>
      </c>
      <c r="G46" s="235"/>
      <c r="H46" s="104"/>
      <c r="I46" s="104"/>
      <c r="J46" s="104"/>
      <c r="K46" s="104"/>
      <c r="L46" s="16">
        <v>1</v>
      </c>
      <c r="M46" s="16">
        <v>1</v>
      </c>
      <c r="N46" s="149" t="s">
        <v>712</v>
      </c>
    </row>
    <row r="47" spans="1:14">
      <c r="A47" s="236" t="s">
        <v>402</v>
      </c>
      <c r="B47" s="274" t="s">
        <v>707</v>
      </c>
      <c r="C47" s="274" t="s">
        <v>708</v>
      </c>
      <c r="D47" s="103">
        <v>2</v>
      </c>
      <c r="E47" s="104"/>
      <c r="F47" s="103" t="s">
        <v>359</v>
      </c>
      <c r="G47" s="235"/>
      <c r="H47" s="104"/>
      <c r="I47" s="104"/>
      <c r="J47" s="104"/>
      <c r="K47" s="104"/>
      <c r="L47" s="103" t="s">
        <v>359</v>
      </c>
      <c r="M47" s="103" t="s">
        <v>359</v>
      </c>
      <c r="N47" s="149" t="s">
        <v>713</v>
      </c>
    </row>
    <row r="48" spans="1:14">
      <c r="A48" s="236" t="s">
        <v>403</v>
      </c>
      <c r="B48" s="274" t="s">
        <v>589</v>
      </c>
      <c r="C48" s="274" t="s">
        <v>593</v>
      </c>
      <c r="D48" s="16" t="s">
        <v>342</v>
      </c>
      <c r="E48" s="104"/>
      <c r="F48" s="16" t="s">
        <v>357</v>
      </c>
      <c r="G48" s="235"/>
      <c r="H48" s="104"/>
      <c r="I48" s="104"/>
      <c r="J48" s="104"/>
      <c r="K48" s="104"/>
      <c r="L48" s="16" t="s">
        <v>357</v>
      </c>
      <c r="M48" s="16" t="s">
        <v>357</v>
      </c>
      <c r="N48" s="149" t="s">
        <v>711</v>
      </c>
    </row>
    <row r="49" spans="1:18">
      <c r="A49" s="236" t="s">
        <v>404</v>
      </c>
      <c r="B49" s="274" t="s">
        <v>709</v>
      </c>
      <c r="C49" s="274" t="s">
        <v>594</v>
      </c>
      <c r="D49" s="16">
        <v>2</v>
      </c>
      <c r="E49" s="104"/>
      <c r="F49" s="16">
        <v>2</v>
      </c>
      <c r="G49" s="235"/>
      <c r="H49" s="104"/>
      <c r="I49" s="104"/>
      <c r="J49" s="104"/>
      <c r="K49" s="104"/>
      <c r="L49" s="16" t="s">
        <v>359</v>
      </c>
      <c r="M49" s="16" t="s">
        <v>359</v>
      </c>
      <c r="N49" s="149" t="s">
        <v>714</v>
      </c>
    </row>
    <row r="50" spans="1:18">
      <c r="A50" s="236" t="s">
        <v>405</v>
      </c>
      <c r="B50" s="274" t="s">
        <v>710</v>
      </c>
      <c r="C50" s="274" t="s">
        <v>592</v>
      </c>
      <c r="D50" s="16">
        <v>1</v>
      </c>
      <c r="E50" s="104"/>
      <c r="F50" s="16" t="s">
        <v>356</v>
      </c>
      <c r="G50" s="235"/>
      <c r="H50" s="104"/>
      <c r="I50" s="104"/>
      <c r="J50" s="104"/>
      <c r="K50" s="104"/>
      <c r="L50" s="16" t="s">
        <v>356</v>
      </c>
      <c r="M50" s="16" t="s">
        <v>356</v>
      </c>
      <c r="N50" s="149" t="s">
        <v>715</v>
      </c>
    </row>
    <row r="51" spans="1:18">
      <c r="A51" s="236" t="s">
        <v>406</v>
      </c>
      <c r="B51" s="274" t="s">
        <v>5</v>
      </c>
      <c r="C51" s="274" t="s">
        <v>0</v>
      </c>
      <c r="D51" s="16">
        <v>2</v>
      </c>
      <c r="E51" s="104"/>
      <c r="F51" s="16">
        <v>2</v>
      </c>
      <c r="G51" s="235"/>
      <c r="H51" s="104"/>
      <c r="I51" s="104"/>
      <c r="J51" s="104"/>
      <c r="K51" s="104"/>
      <c r="L51" s="16">
        <v>2</v>
      </c>
      <c r="M51" s="16">
        <v>2</v>
      </c>
      <c r="N51" s="235"/>
    </row>
    <row r="52" spans="1:18">
      <c r="A52" s="236"/>
      <c r="D52" s="235"/>
      <c r="E52" s="235"/>
      <c r="F52" s="104"/>
      <c r="G52" s="149"/>
      <c r="H52" s="104"/>
      <c r="I52" s="104"/>
      <c r="J52" s="104"/>
      <c r="K52" s="104"/>
      <c r="L52" s="104"/>
      <c r="M52" s="104"/>
      <c r="N52" s="235"/>
    </row>
    <row r="53" spans="1:18">
      <c r="F53" s="232" t="s">
        <v>696</v>
      </c>
      <c r="G53" s="232"/>
      <c r="H53" s="232"/>
      <c r="I53" s="232"/>
      <c r="J53" s="232"/>
      <c r="K53" s="232"/>
      <c r="L53" s="232" t="s">
        <v>432</v>
      </c>
      <c r="M53" s="232" t="s">
        <v>524</v>
      </c>
    </row>
    <row r="54" spans="1:18">
      <c r="D54" s="111">
        <v>0.5</v>
      </c>
      <c r="E54" s="111">
        <v>0.5</v>
      </c>
      <c r="F54" s="111">
        <v>576</v>
      </c>
      <c r="G54" s="232"/>
      <c r="H54" s="232"/>
      <c r="I54" s="232"/>
      <c r="J54" s="232"/>
      <c r="K54" s="232"/>
      <c r="L54" s="111">
        <v>1728</v>
      </c>
      <c r="M54" s="111">
        <v>7776</v>
      </c>
    </row>
    <row r="57" spans="1:18">
      <c r="D57" s="273" t="s">
        <v>527</v>
      </c>
      <c r="E57" s="273" t="s">
        <v>528</v>
      </c>
      <c r="M57" s="273" t="s">
        <v>567</v>
      </c>
      <c r="N57" s="63"/>
      <c r="P57" s="135"/>
      <c r="Q57" s="135"/>
      <c r="R57" s="135"/>
    </row>
    <row r="58" spans="1:18">
      <c r="A58" s="236" t="s">
        <v>392</v>
      </c>
      <c r="B58" s="275" t="s">
        <v>4</v>
      </c>
      <c r="C58" s="275" t="s">
        <v>26</v>
      </c>
      <c r="D58" s="271"/>
      <c r="E58" s="271"/>
      <c r="F58" s="124"/>
      <c r="G58" s="124"/>
      <c r="H58" s="124"/>
      <c r="I58" s="124"/>
      <c r="J58" s="124"/>
      <c r="K58" s="124"/>
      <c r="L58" s="124"/>
      <c r="M58" s="124"/>
      <c r="N58" s="136"/>
    </row>
    <row r="59" spans="1:18">
      <c r="A59" s="236" t="s">
        <v>393</v>
      </c>
      <c r="B59" s="275" t="s">
        <v>587</v>
      </c>
      <c r="C59" s="275" t="s">
        <v>588</v>
      </c>
      <c r="D59" s="124"/>
      <c r="E59" s="124"/>
      <c r="F59" s="124"/>
      <c r="G59" s="124"/>
      <c r="H59" s="124"/>
      <c r="I59" s="124"/>
      <c r="J59" s="124"/>
      <c r="K59" s="124"/>
      <c r="L59" s="124"/>
      <c r="M59" s="124"/>
    </row>
    <row r="60" spans="1:18">
      <c r="A60" s="236" t="s">
        <v>394</v>
      </c>
      <c r="B60" s="275" t="s">
        <v>599</v>
      </c>
      <c r="C60" s="275" t="s">
        <v>73</v>
      </c>
      <c r="D60" s="124"/>
      <c r="E60" s="124"/>
      <c r="F60" s="124"/>
      <c r="G60" s="124"/>
      <c r="H60" s="124"/>
      <c r="I60" s="124"/>
      <c r="J60" s="124"/>
      <c r="K60" s="124"/>
      <c r="L60" s="124"/>
      <c r="M60" s="124"/>
    </row>
    <row r="61" spans="1:18">
      <c r="A61" s="236" t="s">
        <v>395</v>
      </c>
      <c r="B61" s="275" t="s">
        <v>308</v>
      </c>
      <c r="C61" s="275" t="s">
        <v>504</v>
      </c>
      <c r="D61" s="124"/>
      <c r="E61" s="124"/>
      <c r="F61" s="124"/>
      <c r="G61" s="124"/>
      <c r="H61" s="124"/>
      <c r="I61" s="124"/>
      <c r="J61" s="124"/>
      <c r="K61" s="124"/>
      <c r="L61" s="124"/>
      <c r="M61" s="124"/>
      <c r="P61" s="135"/>
      <c r="Q61" s="135"/>
      <c r="R61" s="135"/>
    </row>
    <row r="62" spans="1:18">
      <c r="A62" s="236" t="s">
        <v>396</v>
      </c>
      <c r="B62" s="275" t="s">
        <v>15</v>
      </c>
      <c r="C62" s="275" t="s">
        <v>16</v>
      </c>
      <c r="D62" s="124"/>
      <c r="E62" s="124"/>
      <c r="F62" s="124"/>
      <c r="G62" s="124"/>
      <c r="H62" s="124"/>
      <c r="I62" s="124"/>
      <c r="J62" s="124"/>
      <c r="K62" s="124"/>
      <c r="L62" s="124"/>
      <c r="M62" s="124"/>
      <c r="P62" s="135"/>
      <c r="Q62" s="135"/>
      <c r="R62" s="135"/>
    </row>
    <row r="63" spans="1:18">
      <c r="A63" s="236" t="s">
        <v>397</v>
      </c>
      <c r="B63" s="275" t="s">
        <v>47</v>
      </c>
      <c r="C63" s="275" t="s">
        <v>2</v>
      </c>
      <c r="D63" s="271"/>
      <c r="E63" s="271"/>
      <c r="F63" s="124"/>
      <c r="G63" s="124"/>
      <c r="H63" s="124"/>
      <c r="I63" s="124"/>
      <c r="J63" s="124"/>
      <c r="K63" s="124"/>
      <c r="L63" s="124"/>
      <c r="M63" s="124"/>
      <c r="P63" s="135"/>
      <c r="Q63" s="135"/>
    </row>
    <row r="64" spans="1:18">
      <c r="A64" s="236" t="s">
        <v>398</v>
      </c>
      <c r="B64" s="275" t="s">
        <v>586</v>
      </c>
      <c r="C64" s="275" t="s">
        <v>422</v>
      </c>
      <c r="D64" s="124"/>
      <c r="E64" s="124"/>
      <c r="F64" s="124"/>
      <c r="G64" s="124"/>
      <c r="H64" s="124"/>
      <c r="I64" s="124"/>
      <c r="J64" s="124"/>
      <c r="K64" s="124"/>
      <c r="L64" s="124"/>
      <c r="M64" s="124"/>
    </row>
    <row r="65" spans="1:13">
      <c r="A65" s="236" t="s">
        <v>399</v>
      </c>
      <c r="B65" s="275" t="s">
        <v>1</v>
      </c>
      <c r="C65" s="275" t="s">
        <v>28</v>
      </c>
      <c r="D65" s="124"/>
      <c r="E65" s="124"/>
      <c r="F65" s="124"/>
      <c r="G65" s="228"/>
      <c r="H65" s="124"/>
      <c r="I65" s="124"/>
      <c r="J65" s="124"/>
      <c r="K65" s="124"/>
      <c r="L65" s="124"/>
      <c r="M65" s="124"/>
    </row>
    <row r="66" spans="1:13">
      <c r="A66" s="236" t="s">
        <v>400</v>
      </c>
      <c r="B66" s="275" t="s">
        <v>181</v>
      </c>
      <c r="C66" s="275" t="s">
        <v>585</v>
      </c>
      <c r="D66" s="271"/>
      <c r="E66" s="271"/>
      <c r="F66" s="124"/>
      <c r="G66" s="124"/>
      <c r="H66" s="124"/>
      <c r="I66" s="124"/>
      <c r="J66" s="124"/>
      <c r="K66" s="124"/>
      <c r="L66" s="124"/>
      <c r="M66" s="124"/>
    </row>
    <row r="67" spans="1:13">
      <c r="A67" s="236" t="s">
        <v>401</v>
      </c>
      <c r="B67" s="275" t="s">
        <v>706</v>
      </c>
      <c r="C67" s="275" t="s">
        <v>598</v>
      </c>
      <c r="D67" s="124"/>
      <c r="E67" s="124"/>
      <c r="F67" s="124"/>
      <c r="G67" s="124"/>
      <c r="H67" s="124"/>
      <c r="I67" s="124"/>
      <c r="J67" s="124"/>
      <c r="K67" s="124"/>
      <c r="L67" s="124"/>
      <c r="M67" s="124"/>
    </row>
    <row r="68" spans="1:13">
      <c r="A68" s="236" t="s">
        <v>402</v>
      </c>
      <c r="B68" s="275" t="s">
        <v>707</v>
      </c>
      <c r="C68" s="275" t="s">
        <v>708</v>
      </c>
      <c r="D68" s="124"/>
      <c r="E68" s="124"/>
      <c r="F68" s="124"/>
      <c r="G68" s="124"/>
      <c r="H68" s="124"/>
      <c r="I68" s="124"/>
      <c r="J68" s="124"/>
      <c r="K68" s="124"/>
      <c r="L68" s="124"/>
      <c r="M68" s="124"/>
    </row>
    <row r="69" spans="1:13">
      <c r="A69" s="236" t="s">
        <v>403</v>
      </c>
      <c r="B69" s="275" t="s">
        <v>589</v>
      </c>
      <c r="C69" s="275" t="s">
        <v>593</v>
      </c>
      <c r="D69" s="124"/>
      <c r="E69" s="124"/>
      <c r="F69" s="124"/>
      <c r="G69" s="124"/>
      <c r="H69" s="124"/>
      <c r="I69" s="124"/>
      <c r="J69" s="124"/>
      <c r="K69" s="124"/>
      <c r="L69" s="124"/>
      <c r="M69" s="124"/>
    </row>
    <row r="70" spans="1:13">
      <c r="A70" s="236" t="s">
        <v>404</v>
      </c>
      <c r="B70" s="275" t="s">
        <v>709</v>
      </c>
      <c r="C70" s="275" t="s">
        <v>594</v>
      </c>
      <c r="D70" s="124"/>
      <c r="E70" s="124"/>
      <c r="F70" s="124"/>
      <c r="G70" s="124"/>
      <c r="H70" s="124"/>
      <c r="I70" s="124"/>
      <c r="J70" s="124"/>
      <c r="K70" s="124"/>
      <c r="L70" s="124"/>
      <c r="M70" s="124"/>
    </row>
    <row r="71" spans="1:13">
      <c r="A71" s="236" t="s">
        <v>405</v>
      </c>
      <c r="B71" s="275" t="s">
        <v>710</v>
      </c>
      <c r="C71" s="275" t="s">
        <v>592</v>
      </c>
      <c r="D71" s="124"/>
      <c r="E71" s="124"/>
      <c r="F71" s="124"/>
      <c r="G71" s="124"/>
      <c r="H71" s="124"/>
      <c r="I71" s="124"/>
      <c r="J71" s="124"/>
      <c r="K71" s="124"/>
      <c r="L71" s="124"/>
      <c r="M71" s="124"/>
    </row>
    <row r="72" spans="1:13">
      <c r="A72" s="236" t="s">
        <v>406</v>
      </c>
      <c r="B72" s="275" t="s">
        <v>5</v>
      </c>
      <c r="C72" s="275" t="s">
        <v>0</v>
      </c>
      <c r="D72" s="124"/>
      <c r="E72" s="124"/>
      <c r="F72" s="124"/>
      <c r="G72" s="124"/>
      <c r="H72" s="124"/>
      <c r="I72" s="124"/>
      <c r="J72" s="124"/>
      <c r="K72" s="124"/>
      <c r="L72" s="124"/>
      <c r="M72" s="124"/>
    </row>
    <row r="74" spans="1:13">
      <c r="M74" s="232" t="s">
        <v>568</v>
      </c>
    </row>
    <row r="75" spans="1:13">
      <c r="D75" s="111">
        <v>0.5</v>
      </c>
      <c r="E75" s="111">
        <v>0.5</v>
      </c>
      <c r="M75" s="111">
        <v>2916</v>
      </c>
    </row>
  </sheetData>
  <pageMargins left="0.7" right="0.7" top="0.75" bottom="0.75" header="0.3" footer="0.3"/>
  <pageSetup paperSize="9" orientation="portrait" horizontalDpi="0" verticalDpi="0" r:id="rId1"/>
</worksheet>
</file>

<file path=xl/worksheets/sheet29.xml><?xml version="1.0" encoding="utf-8"?>
<worksheet xmlns="http://schemas.openxmlformats.org/spreadsheetml/2006/main" xmlns:r="http://schemas.openxmlformats.org/officeDocument/2006/relationships">
  <dimension ref="A1:N32"/>
  <sheetViews>
    <sheetView workbookViewId="0">
      <selection activeCell="F1" sqref="F1"/>
    </sheetView>
  </sheetViews>
  <sheetFormatPr baseColWidth="10" defaultRowHeight="15"/>
  <cols>
    <col min="1" max="1" width="4.28515625" style="275" customWidth="1"/>
    <col min="2" max="3" width="13.5703125" style="275" customWidth="1"/>
    <col min="4" max="4" width="14.7109375" style="275" bestFit="1" customWidth="1"/>
    <col min="5" max="7" width="7.85546875" style="275" customWidth="1"/>
    <col min="8" max="16384" width="11.42578125" style="275"/>
  </cols>
  <sheetData>
    <row r="1" spans="1:14">
      <c r="A1" s="4" t="s">
        <v>12</v>
      </c>
      <c r="B1" s="4" t="s">
        <v>5</v>
      </c>
      <c r="C1" s="4" t="s">
        <v>2</v>
      </c>
      <c r="D1" s="4" t="s">
        <v>49</v>
      </c>
      <c r="E1" s="5">
        <v>2</v>
      </c>
      <c r="F1" s="9">
        <f>((1.9-1)*0.95)+1</f>
        <v>1.855</v>
      </c>
      <c r="G1" s="10" t="s">
        <v>743</v>
      </c>
      <c r="H1" s="235"/>
      <c r="I1" s="235"/>
    </row>
    <row r="2" spans="1:14" s="278" customFormat="1">
      <c r="A2" s="12" t="s">
        <v>12</v>
      </c>
      <c r="B2" s="12" t="s">
        <v>520</v>
      </c>
      <c r="C2" s="12" t="s">
        <v>504</v>
      </c>
      <c r="D2" s="12" t="s">
        <v>742</v>
      </c>
      <c r="E2" s="13">
        <v>1</v>
      </c>
      <c r="F2" s="12">
        <v>1.89</v>
      </c>
      <c r="G2" s="15" t="s">
        <v>42</v>
      </c>
    </row>
    <row r="3" spans="1:14" s="278" customFormat="1">
      <c r="A3" s="12" t="s">
        <v>12</v>
      </c>
      <c r="B3" s="12" t="s">
        <v>47</v>
      </c>
      <c r="C3" s="12" t="s">
        <v>28</v>
      </c>
      <c r="D3" s="12" t="s">
        <v>742</v>
      </c>
      <c r="E3" s="13">
        <v>0.75</v>
      </c>
      <c r="F3" s="14">
        <v>2.09</v>
      </c>
      <c r="G3" s="15" t="s">
        <v>122</v>
      </c>
      <c r="H3" s="235"/>
      <c r="I3" s="235"/>
    </row>
    <row r="4" spans="1:14" s="278" customFormat="1">
      <c r="A4" s="12" t="s">
        <v>12</v>
      </c>
      <c r="B4" s="12" t="s">
        <v>1</v>
      </c>
      <c r="C4" s="12" t="s">
        <v>10</v>
      </c>
      <c r="D4" s="12" t="s">
        <v>742</v>
      </c>
      <c r="E4" s="13">
        <v>0.75</v>
      </c>
      <c r="F4" s="14">
        <v>3.56</v>
      </c>
      <c r="G4" s="15" t="s">
        <v>42</v>
      </c>
      <c r="H4" s="235"/>
      <c r="I4" s="235"/>
    </row>
    <row r="5" spans="1:14" s="278" customFormat="1">
      <c r="A5" s="12" t="s">
        <v>12</v>
      </c>
      <c r="B5" s="12" t="s">
        <v>308</v>
      </c>
      <c r="C5" s="12" t="s">
        <v>16</v>
      </c>
      <c r="D5" s="12" t="s">
        <v>742</v>
      </c>
      <c r="E5" s="13">
        <v>0.5</v>
      </c>
      <c r="F5" s="14">
        <v>7.67</v>
      </c>
      <c r="G5" s="15" t="s">
        <v>204</v>
      </c>
      <c r="H5" s="235"/>
      <c r="I5" s="235"/>
    </row>
    <row r="6" spans="1:14">
      <c r="F6" s="86"/>
      <c r="G6" s="30"/>
      <c r="H6" s="235"/>
      <c r="I6" s="235"/>
    </row>
    <row r="7" spans="1:14">
      <c r="A7" s="235" t="s">
        <v>733</v>
      </c>
      <c r="B7" s="235"/>
      <c r="C7" s="235"/>
      <c r="D7" s="235"/>
      <c r="E7" s="3"/>
      <c r="F7" s="86"/>
      <c r="G7" s="30"/>
      <c r="H7" s="235"/>
      <c r="I7" s="235"/>
    </row>
    <row r="8" spans="1:14" s="278" customFormat="1">
      <c r="A8" s="235" t="s">
        <v>734</v>
      </c>
      <c r="B8" s="235"/>
      <c r="C8" s="235"/>
      <c r="D8" s="235"/>
      <c r="E8" s="3"/>
      <c r="F8" s="86"/>
      <c r="G8" s="30"/>
      <c r="H8" s="235"/>
      <c r="I8" s="235"/>
    </row>
    <row r="9" spans="1:14" s="278" customFormat="1">
      <c r="A9" s="235" t="s">
        <v>735</v>
      </c>
      <c r="B9" s="235"/>
      <c r="C9" s="235"/>
      <c r="D9" s="235"/>
      <c r="E9" s="3"/>
      <c r="F9" s="86"/>
      <c r="G9" s="30"/>
      <c r="H9" s="235"/>
      <c r="I9" s="235"/>
    </row>
    <row r="10" spans="1:14" s="278" customFormat="1">
      <c r="A10" s="235" t="s">
        <v>736</v>
      </c>
      <c r="B10" s="235"/>
      <c r="C10" s="235"/>
      <c r="D10" s="235"/>
      <c r="E10" s="3"/>
      <c r="F10" s="86"/>
      <c r="G10" s="30"/>
      <c r="H10" s="235"/>
      <c r="I10" s="235"/>
    </row>
    <row r="11" spans="1:14" s="278" customFormat="1">
      <c r="A11" s="235" t="s">
        <v>737</v>
      </c>
      <c r="B11" s="235"/>
      <c r="C11" s="235"/>
      <c r="D11" s="235"/>
      <c r="E11" s="3"/>
      <c r="F11" s="86"/>
      <c r="G11" s="30"/>
      <c r="H11" s="235"/>
      <c r="I11" s="235"/>
    </row>
    <row r="12" spans="1:14" s="278" customFormat="1">
      <c r="A12" s="235"/>
      <c r="B12" s="235"/>
      <c r="C12" s="235"/>
      <c r="D12" s="235"/>
      <c r="E12" s="3"/>
      <c r="F12" s="86"/>
      <c r="G12" s="30"/>
      <c r="H12" s="235"/>
      <c r="I12" s="235"/>
    </row>
    <row r="13" spans="1:14">
      <c r="A13" s="235" t="s">
        <v>732</v>
      </c>
      <c r="B13" s="235"/>
      <c r="C13" s="235"/>
      <c r="D13" s="235"/>
      <c r="E13" s="3"/>
      <c r="F13" s="86"/>
      <c r="G13" s="30"/>
      <c r="H13" s="235"/>
      <c r="I13" s="235"/>
      <c r="J13" s="235"/>
      <c r="K13" s="235"/>
      <c r="L13" s="235"/>
      <c r="M13" s="235"/>
      <c r="N13" s="235"/>
    </row>
    <row r="14" spans="1:14" s="278" customFormat="1">
      <c r="A14" s="235" t="s">
        <v>738</v>
      </c>
      <c r="B14" s="235"/>
      <c r="C14" s="235"/>
      <c r="D14" s="235"/>
      <c r="E14" s="3"/>
      <c r="F14" s="86"/>
      <c r="G14" s="30"/>
      <c r="H14" s="235"/>
      <c r="I14" s="235"/>
      <c r="J14" s="235"/>
      <c r="K14" s="235"/>
      <c r="L14" s="235"/>
      <c r="M14" s="235"/>
      <c r="N14" s="235"/>
    </row>
    <row r="15" spans="1:14">
      <c r="B15" s="75"/>
      <c r="C15" s="75"/>
      <c r="D15" s="75"/>
      <c r="E15" s="79"/>
      <c r="F15" s="80"/>
      <c r="G15" s="30"/>
      <c r="H15" s="75"/>
      <c r="I15" s="75"/>
      <c r="J15" s="235"/>
      <c r="K15" s="235"/>
      <c r="L15" s="235"/>
      <c r="M15" s="235"/>
      <c r="N15" s="235"/>
    </row>
    <row r="16" spans="1:14">
      <c r="A16" s="235"/>
      <c r="B16" s="75"/>
      <c r="C16" s="75"/>
      <c r="D16" s="75"/>
      <c r="E16" s="79"/>
      <c r="F16" s="80"/>
      <c r="G16" s="81"/>
      <c r="H16" s="75"/>
      <c r="I16" s="75"/>
      <c r="J16" s="235"/>
      <c r="K16" s="235"/>
      <c r="L16" s="235"/>
      <c r="M16" s="235"/>
      <c r="N16" s="235"/>
    </row>
    <row r="17" spans="1:14">
      <c r="A17" s="4" t="s">
        <v>276</v>
      </c>
      <c r="B17" s="75"/>
      <c r="C17" s="235" t="s">
        <v>719</v>
      </c>
      <c r="D17" s="235"/>
      <c r="E17" s="3"/>
      <c r="F17" s="86"/>
      <c r="G17" s="30"/>
      <c r="H17" s="235"/>
      <c r="I17" s="235"/>
      <c r="J17" s="235"/>
      <c r="K17" s="235"/>
      <c r="L17" s="235"/>
      <c r="M17" s="235"/>
      <c r="N17" s="235"/>
    </row>
    <row r="18" spans="1:14">
      <c r="A18" s="12" t="s">
        <v>277</v>
      </c>
      <c r="B18" s="75"/>
      <c r="C18" s="235" t="s">
        <v>728</v>
      </c>
      <c r="D18" s="235"/>
      <c r="E18" s="3"/>
      <c r="F18" s="86"/>
      <c r="G18" s="30"/>
      <c r="H18" s="235"/>
      <c r="I18" s="235"/>
      <c r="J18" s="235"/>
      <c r="K18" s="235"/>
      <c r="L18" s="235"/>
      <c r="M18" s="235"/>
      <c r="N18" s="235"/>
    </row>
    <row r="19" spans="1:14">
      <c r="A19" s="4" t="s">
        <v>273</v>
      </c>
      <c r="B19" s="75"/>
      <c r="C19" s="235" t="s">
        <v>719</v>
      </c>
      <c r="D19" s="235"/>
      <c r="E19" s="235"/>
      <c r="F19" s="235"/>
      <c r="G19" s="235"/>
      <c r="H19" s="235"/>
      <c r="I19" s="235"/>
      <c r="J19" s="235"/>
      <c r="K19" s="235"/>
      <c r="L19" s="235"/>
      <c r="M19" s="235"/>
      <c r="N19" s="235"/>
    </row>
    <row r="20" spans="1:14">
      <c r="A20" s="12" t="s">
        <v>252</v>
      </c>
      <c r="B20" s="75"/>
      <c r="C20" s="235" t="s">
        <v>720</v>
      </c>
      <c r="D20" s="235"/>
      <c r="E20" s="235"/>
      <c r="F20" s="235"/>
      <c r="G20" s="235"/>
      <c r="H20" s="235"/>
      <c r="I20" s="235"/>
      <c r="J20" s="235"/>
      <c r="K20" s="235"/>
      <c r="L20" s="235"/>
      <c r="M20" s="235"/>
      <c r="N20" s="235"/>
    </row>
    <row r="21" spans="1:14">
      <c r="A21" s="235" t="s">
        <v>721</v>
      </c>
      <c r="B21" s="75"/>
      <c r="C21" s="235" t="s">
        <v>722</v>
      </c>
      <c r="D21" s="235"/>
      <c r="E21" s="235"/>
      <c r="F21" s="235"/>
      <c r="G21" s="235"/>
      <c r="H21" s="235"/>
      <c r="I21" s="235"/>
      <c r="J21" s="235"/>
      <c r="K21" s="235"/>
      <c r="L21" s="235"/>
      <c r="M21" s="235"/>
      <c r="N21" s="235"/>
    </row>
    <row r="22" spans="1:14">
      <c r="A22" s="4" t="s">
        <v>268</v>
      </c>
      <c r="B22" s="75"/>
      <c r="C22" s="235" t="s">
        <v>723</v>
      </c>
      <c r="D22" s="235"/>
    </row>
    <row r="23" spans="1:14">
      <c r="A23" s="12" t="s">
        <v>259</v>
      </c>
      <c r="B23" s="75"/>
      <c r="C23" s="235" t="s">
        <v>724</v>
      </c>
      <c r="D23" s="235"/>
    </row>
    <row r="24" spans="1:14">
      <c r="A24" s="12" t="s">
        <v>263</v>
      </c>
      <c r="B24" s="75"/>
      <c r="C24" s="235" t="s">
        <v>725</v>
      </c>
      <c r="D24" s="235"/>
    </row>
    <row r="25" spans="1:14">
      <c r="A25" s="75"/>
      <c r="B25" s="75"/>
      <c r="C25" s="235"/>
      <c r="D25" s="235"/>
    </row>
    <row r="26" spans="1:14">
      <c r="A26" s="75"/>
      <c r="B26" s="75"/>
      <c r="C26" s="235"/>
      <c r="D26" s="235"/>
    </row>
    <row r="27" spans="1:14">
      <c r="A27" s="75"/>
      <c r="B27" s="75"/>
      <c r="C27" s="235"/>
      <c r="D27" s="235"/>
    </row>
    <row r="28" spans="1:14">
      <c r="A28" s="75"/>
      <c r="B28" s="75"/>
      <c r="C28" s="235"/>
      <c r="D28" s="235"/>
    </row>
    <row r="29" spans="1:14">
      <c r="A29" s="75"/>
      <c r="B29" s="75"/>
      <c r="C29" s="235"/>
      <c r="D29" s="235"/>
    </row>
    <row r="30" spans="1:14">
      <c r="A30" s="75"/>
      <c r="B30" s="75"/>
      <c r="C30" s="235"/>
      <c r="D30" s="235"/>
    </row>
    <row r="31" spans="1:14">
      <c r="A31" s="235"/>
      <c r="B31" s="235"/>
      <c r="C31" s="235"/>
      <c r="D31" s="235"/>
    </row>
    <row r="32" spans="1:14">
      <c r="A32" s="235"/>
      <c r="B32" s="235"/>
      <c r="C32" s="235"/>
      <c r="D32" s="235"/>
    </row>
  </sheetData>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sheetPr codeName="Hoja4"/>
  <dimension ref="A1:O22"/>
  <sheetViews>
    <sheetView workbookViewId="0">
      <selection activeCell="H3" sqref="H3"/>
    </sheetView>
  </sheetViews>
  <sheetFormatPr baseColWidth="10" defaultRowHeight="15"/>
  <cols>
    <col min="1" max="1" width="4.28515625" customWidth="1"/>
    <col min="2" max="3" width="13.5703125" customWidth="1"/>
    <col min="5" max="6" width="7.85546875" customWidth="1"/>
    <col min="7" max="7" width="7.85546875" style="28" customWidth="1"/>
  </cols>
  <sheetData>
    <row r="1" spans="1:15">
      <c r="A1" s="12" t="s">
        <v>12</v>
      </c>
      <c r="B1" s="12" t="s">
        <v>28</v>
      </c>
      <c r="C1" s="12" t="s">
        <v>10</v>
      </c>
      <c r="D1" s="12" t="s">
        <v>49</v>
      </c>
      <c r="E1" s="13">
        <v>1</v>
      </c>
      <c r="F1" s="14">
        <f>((2.28-1)*0.95)+1</f>
        <v>2.2159999999999997</v>
      </c>
      <c r="G1" s="15" t="s">
        <v>38</v>
      </c>
      <c r="H1" t="s">
        <v>155</v>
      </c>
    </row>
    <row r="2" spans="1:15">
      <c r="A2" s="4" t="s">
        <v>12</v>
      </c>
      <c r="B2" s="4" t="s">
        <v>47</v>
      </c>
      <c r="C2" s="4" t="s">
        <v>0</v>
      </c>
      <c r="D2" s="4" t="s">
        <v>49</v>
      </c>
      <c r="E2" s="5">
        <v>1</v>
      </c>
      <c r="F2" s="9">
        <f>((2.32-1)*0.95)+1</f>
        <v>2.2539999999999996</v>
      </c>
      <c r="G2" s="10" t="s">
        <v>122</v>
      </c>
      <c r="H2" t="s">
        <v>156</v>
      </c>
    </row>
    <row r="3" spans="1:15">
      <c r="A3" s="12" t="s">
        <v>12</v>
      </c>
      <c r="B3" s="12" t="s">
        <v>5</v>
      </c>
      <c r="C3" s="12" t="s">
        <v>73</v>
      </c>
      <c r="D3" s="12" t="s">
        <v>49</v>
      </c>
      <c r="E3" s="13">
        <v>2</v>
      </c>
      <c r="F3" s="14">
        <f>((1.86-1)*0.95)+1</f>
        <v>1.8170000000000002</v>
      </c>
      <c r="G3" s="15" t="s">
        <v>39</v>
      </c>
      <c r="H3" t="s">
        <v>161</v>
      </c>
    </row>
    <row r="4" spans="1:15">
      <c r="A4" s="12" t="s">
        <v>12</v>
      </c>
      <c r="B4" s="12" t="s">
        <v>175</v>
      </c>
      <c r="C4" s="12" t="s">
        <v>4</v>
      </c>
      <c r="D4" s="12" t="s">
        <v>49</v>
      </c>
      <c r="E4" s="13">
        <v>1.5</v>
      </c>
      <c r="F4" s="14">
        <v>2</v>
      </c>
      <c r="G4" s="15" t="s">
        <v>37</v>
      </c>
    </row>
    <row r="5" spans="1:15">
      <c r="A5" s="12" t="s">
        <v>12</v>
      </c>
      <c r="B5" s="12" t="s">
        <v>27</v>
      </c>
      <c r="C5" s="12" t="s">
        <v>16</v>
      </c>
      <c r="D5" s="12" t="s">
        <v>49</v>
      </c>
      <c r="E5" s="13">
        <v>1.5</v>
      </c>
      <c r="F5" s="14">
        <v>1.75</v>
      </c>
      <c r="G5" s="15" t="s">
        <v>179</v>
      </c>
    </row>
    <row r="6" spans="1:15">
      <c r="E6" s="3"/>
    </row>
    <row r="7" spans="1:15">
      <c r="B7" s="29" t="s">
        <v>174</v>
      </c>
      <c r="C7" s="29"/>
      <c r="D7" s="29"/>
      <c r="E7" s="29"/>
      <c r="F7" s="29"/>
    </row>
    <row r="8" spans="1:15">
      <c r="B8" s="29" t="s">
        <v>171</v>
      </c>
      <c r="C8" s="29"/>
      <c r="D8" s="29"/>
      <c r="E8" s="29"/>
      <c r="F8" s="29"/>
    </row>
    <row r="9" spans="1:15">
      <c r="B9" t="s">
        <v>173</v>
      </c>
      <c r="H9" s="29" t="s">
        <v>157</v>
      </c>
      <c r="I9" s="29"/>
      <c r="J9" s="29"/>
      <c r="K9" s="29"/>
      <c r="L9" s="29"/>
      <c r="M9" s="29"/>
      <c r="N9" s="29"/>
    </row>
    <row r="10" spans="1:15">
      <c r="H10" t="s">
        <v>158</v>
      </c>
    </row>
    <row r="11" spans="1:15">
      <c r="H11" t="s">
        <v>159</v>
      </c>
    </row>
    <row r="12" spans="1:15">
      <c r="B12" t="s">
        <v>176</v>
      </c>
    </row>
    <row r="13" spans="1:15">
      <c r="B13" t="s">
        <v>177</v>
      </c>
      <c r="H13" s="29" t="s">
        <v>160</v>
      </c>
      <c r="I13" s="29"/>
      <c r="J13" s="29"/>
      <c r="K13" s="29"/>
      <c r="L13" s="29"/>
      <c r="M13" s="29"/>
      <c r="N13" s="29"/>
      <c r="O13" s="29"/>
    </row>
    <row r="15" spans="1:15">
      <c r="H15" s="29" t="s">
        <v>162</v>
      </c>
      <c r="I15" s="29"/>
      <c r="J15" t="s">
        <v>170</v>
      </c>
    </row>
    <row r="16" spans="1:15">
      <c r="B16" t="s">
        <v>178</v>
      </c>
      <c r="H16" t="s">
        <v>163</v>
      </c>
    </row>
    <row r="17" spans="1:8">
      <c r="H17" t="s">
        <v>164</v>
      </c>
    </row>
    <row r="18" spans="1:8">
      <c r="H18" t="s">
        <v>165</v>
      </c>
    </row>
    <row r="19" spans="1:8">
      <c r="A19" s="19" t="s">
        <v>180</v>
      </c>
      <c r="B19" s="19"/>
      <c r="C19" s="19"/>
      <c r="D19" s="19"/>
      <c r="E19" s="19"/>
      <c r="F19" s="19"/>
      <c r="H19" t="s">
        <v>166</v>
      </c>
    </row>
    <row r="20" spans="1:8">
      <c r="H20" t="s">
        <v>167</v>
      </c>
    </row>
    <row r="21" spans="1:8">
      <c r="H21" t="s">
        <v>168</v>
      </c>
    </row>
    <row r="22" spans="1:8">
      <c r="H22" t="s">
        <v>169</v>
      </c>
    </row>
  </sheetData>
  <pageMargins left="0.7" right="0.7" top="0.75" bottom="0.75" header="0.3" footer="0.3"/>
  <pageSetup paperSize="9" orientation="portrait" horizontalDpi="0" verticalDpi="0" r:id="rId1"/>
</worksheet>
</file>

<file path=xl/worksheets/sheet30.xml><?xml version="1.0" encoding="utf-8"?>
<worksheet xmlns="http://schemas.openxmlformats.org/spreadsheetml/2006/main" xmlns:r="http://schemas.openxmlformats.org/officeDocument/2006/relationships">
  <dimension ref="A1:R75"/>
  <sheetViews>
    <sheetView zoomScaleNormal="100" workbookViewId="0">
      <selection activeCell="J4" sqref="J4"/>
    </sheetView>
  </sheetViews>
  <sheetFormatPr baseColWidth="10" defaultRowHeight="15"/>
  <cols>
    <col min="1" max="3" width="11.42578125" style="275"/>
    <col min="4" max="6" width="11.5703125" style="275" customWidth="1"/>
    <col min="7" max="7" width="3.5703125" style="275" customWidth="1"/>
    <col min="8" max="8" width="3.28515625" style="275" customWidth="1"/>
    <col min="9" max="9" width="4.5703125" style="275" customWidth="1"/>
    <col min="10" max="11" width="7" style="275" customWidth="1"/>
    <col min="12" max="12" width="11.42578125" style="275" customWidth="1"/>
    <col min="13" max="16384" width="11.42578125" style="275"/>
  </cols>
  <sheetData>
    <row r="1" spans="1:12">
      <c r="A1" s="18" t="s">
        <v>247</v>
      </c>
      <c r="B1" s="18"/>
      <c r="C1" s="18"/>
      <c r="D1" s="18"/>
      <c r="E1" s="18"/>
      <c r="F1" s="18"/>
      <c r="G1" s="18" t="s">
        <v>302</v>
      </c>
      <c r="H1" s="18"/>
      <c r="I1" s="18"/>
      <c r="J1" s="18"/>
      <c r="K1" s="18"/>
      <c r="L1" s="275" t="s">
        <v>305</v>
      </c>
    </row>
    <row r="2" spans="1:12">
      <c r="C2" s="17" t="s">
        <v>250</v>
      </c>
      <c r="D2" s="17" t="s">
        <v>294</v>
      </c>
      <c r="E2" s="18" t="s">
        <v>251</v>
      </c>
      <c r="F2" s="18" t="s">
        <v>293</v>
      </c>
      <c r="G2" s="18" t="s">
        <v>303</v>
      </c>
      <c r="H2" s="18" t="s">
        <v>304</v>
      </c>
      <c r="I2" s="18" t="s">
        <v>314</v>
      </c>
      <c r="J2" s="18"/>
      <c r="K2" s="18"/>
      <c r="L2" s="275" t="s">
        <v>305</v>
      </c>
    </row>
    <row r="3" spans="1:12">
      <c r="A3" s="130" t="s">
        <v>27</v>
      </c>
      <c r="B3" s="130" t="s">
        <v>181</v>
      </c>
      <c r="C3" s="254">
        <v>1</v>
      </c>
      <c r="D3" s="246">
        <v>1.8</v>
      </c>
      <c r="E3" s="250">
        <v>1.25</v>
      </c>
      <c r="F3" s="207">
        <f>-E3</f>
        <v>-1.25</v>
      </c>
      <c r="G3" s="251">
        <v>1</v>
      </c>
      <c r="H3" s="247">
        <v>2</v>
      </c>
      <c r="I3" s="247">
        <v>5</v>
      </c>
      <c r="J3" s="248">
        <f>-H3</f>
        <v>-2</v>
      </c>
      <c r="K3" s="248">
        <f>-I3</f>
        <v>-5</v>
      </c>
      <c r="L3" s="207"/>
    </row>
    <row r="4" spans="1:12">
      <c r="A4" s="138" t="s">
        <v>520</v>
      </c>
      <c r="B4" s="59" t="s">
        <v>504</v>
      </c>
      <c r="C4" s="124" t="s">
        <v>256</v>
      </c>
      <c r="D4" s="246"/>
      <c r="E4" s="207"/>
      <c r="F4" s="207"/>
      <c r="G4" s="279">
        <v>1</v>
      </c>
      <c r="H4" s="247">
        <v>2</v>
      </c>
      <c r="I4" s="247">
        <v>5</v>
      </c>
      <c r="J4" s="131">
        <f>+(1.91-1)*H4</f>
        <v>1.8199999999999998</v>
      </c>
      <c r="K4" s="131">
        <f>+(1.91-1)*I4</f>
        <v>4.55</v>
      </c>
      <c r="L4" s="207"/>
    </row>
    <row r="5" spans="1:12">
      <c r="A5" s="138" t="s">
        <v>308</v>
      </c>
      <c r="B5" s="59" t="s">
        <v>16</v>
      </c>
      <c r="C5" s="253">
        <v>1</v>
      </c>
      <c r="D5" s="246">
        <v>1.1299999999999999</v>
      </c>
      <c r="E5" s="207">
        <v>2.5</v>
      </c>
      <c r="F5" s="234">
        <f>+(D5-1)*E5</f>
        <v>0.32499999999999973</v>
      </c>
      <c r="G5" s="256">
        <v>1</v>
      </c>
      <c r="H5" s="247">
        <v>3</v>
      </c>
      <c r="I5" s="249">
        <v>16</v>
      </c>
      <c r="J5" s="131">
        <f>+(1.13-1)*H5</f>
        <v>0.38999999999999968</v>
      </c>
      <c r="K5" s="131">
        <f>+(1.13-1)*I5</f>
        <v>2.0799999999999983</v>
      </c>
      <c r="L5" s="207"/>
    </row>
    <row r="6" spans="1:12">
      <c r="A6" s="59" t="s">
        <v>15</v>
      </c>
      <c r="B6" s="138" t="s">
        <v>422</v>
      </c>
      <c r="C6" s="253">
        <v>2</v>
      </c>
      <c r="D6" s="246">
        <v>1.36</v>
      </c>
      <c r="E6" s="207">
        <v>2.75</v>
      </c>
      <c r="F6" s="234">
        <f>+(D6-1)*E6</f>
        <v>0.99000000000000021</v>
      </c>
      <c r="G6" s="256">
        <v>2</v>
      </c>
      <c r="H6" s="247">
        <v>3</v>
      </c>
      <c r="I6" s="249">
        <v>11</v>
      </c>
      <c r="J6" s="131">
        <f>+(1.36-1)*H6</f>
        <v>1.0800000000000003</v>
      </c>
      <c r="K6" s="131">
        <f>+(1.36-1)*I6</f>
        <v>3.9600000000000009</v>
      </c>
      <c r="L6" s="207"/>
    </row>
    <row r="7" spans="1:12">
      <c r="A7" s="138" t="s">
        <v>47</v>
      </c>
      <c r="B7" s="59" t="s">
        <v>28</v>
      </c>
      <c r="C7" s="253">
        <v>1</v>
      </c>
      <c r="D7" s="246">
        <v>1.91</v>
      </c>
      <c r="E7" s="207">
        <v>1.75</v>
      </c>
      <c r="F7" s="234">
        <f>+(D7-1)*E7</f>
        <v>1.5924999999999998</v>
      </c>
      <c r="G7" s="256">
        <v>1</v>
      </c>
      <c r="H7" s="247">
        <v>3</v>
      </c>
      <c r="I7" s="249">
        <v>14</v>
      </c>
      <c r="J7" s="131">
        <f>+(1.91-1)*H7</f>
        <v>2.7299999999999995</v>
      </c>
      <c r="K7" s="131">
        <f>+(1.91-1)*I7</f>
        <v>12.739999999999998</v>
      </c>
      <c r="L7" s="207"/>
    </row>
    <row r="8" spans="1:12">
      <c r="A8" s="138" t="s">
        <v>26</v>
      </c>
      <c r="B8" s="59" t="s">
        <v>588</v>
      </c>
      <c r="C8" s="263">
        <v>1</v>
      </c>
      <c r="D8" s="246">
        <v>1.73</v>
      </c>
      <c r="E8" s="250">
        <v>1.25</v>
      </c>
      <c r="F8" s="234">
        <f>+(D8-1)*E8</f>
        <v>0.91249999999999998</v>
      </c>
      <c r="G8" s="251">
        <v>2</v>
      </c>
      <c r="H8" s="247">
        <v>1</v>
      </c>
      <c r="I8" s="247">
        <v>4</v>
      </c>
      <c r="J8" s="248">
        <f>-H8</f>
        <v>-1</v>
      </c>
      <c r="K8" s="248">
        <f>-I8</f>
        <v>-4</v>
      </c>
      <c r="L8" s="207"/>
    </row>
    <row r="9" spans="1:12">
      <c r="A9" s="138" t="s">
        <v>1</v>
      </c>
      <c r="B9" s="59" t="s">
        <v>10</v>
      </c>
      <c r="C9" s="217" t="s">
        <v>729</v>
      </c>
      <c r="D9" s="246"/>
      <c r="E9" s="207"/>
      <c r="F9" s="207"/>
      <c r="G9" s="256">
        <v>1</v>
      </c>
      <c r="H9" s="247">
        <v>3</v>
      </c>
      <c r="I9" s="249">
        <v>12</v>
      </c>
      <c r="J9" s="131">
        <f>+(1.25-1)*H9</f>
        <v>0.75</v>
      </c>
      <c r="K9" s="131">
        <f>+(1.25-1)*I9</f>
        <v>3</v>
      </c>
      <c r="L9" s="59" t="s">
        <v>730</v>
      </c>
    </row>
    <row r="10" spans="1:12">
      <c r="A10" s="138" t="s">
        <v>5</v>
      </c>
      <c r="B10" s="59" t="s">
        <v>2</v>
      </c>
      <c r="C10" s="253">
        <v>1</v>
      </c>
      <c r="D10" s="246">
        <v>1.7</v>
      </c>
      <c r="E10" s="250">
        <v>1</v>
      </c>
      <c r="F10" s="234">
        <f>+(D10-1)*E10</f>
        <v>0.7</v>
      </c>
      <c r="G10" s="256">
        <v>1</v>
      </c>
      <c r="H10" s="247">
        <v>2</v>
      </c>
      <c r="I10" s="247">
        <v>5</v>
      </c>
      <c r="J10" s="131">
        <f>+(1.7-1)*H10</f>
        <v>1.4</v>
      </c>
      <c r="K10" s="131">
        <f>+(1.7-1)*I10</f>
        <v>3.5</v>
      </c>
      <c r="L10" s="207"/>
    </row>
    <row r="11" spans="1:12">
      <c r="A11" s="138" t="s">
        <v>3</v>
      </c>
      <c r="B11" s="59" t="s">
        <v>0</v>
      </c>
      <c r="C11" s="255">
        <v>2</v>
      </c>
      <c r="D11" s="246">
        <v>3.1</v>
      </c>
      <c r="E11" s="207">
        <v>0.75</v>
      </c>
      <c r="F11" s="207">
        <f>-E11</f>
        <v>-0.75</v>
      </c>
      <c r="G11" s="256">
        <v>1</v>
      </c>
      <c r="H11" s="247">
        <v>2</v>
      </c>
      <c r="I11" s="247">
        <v>5</v>
      </c>
      <c r="J11" s="131">
        <f>+(1.57-1)*H11</f>
        <v>1.1400000000000001</v>
      </c>
      <c r="K11" s="131">
        <f>+(1.57-1)*I11</f>
        <v>2.8500000000000005</v>
      </c>
      <c r="L11" s="59" t="s">
        <v>731</v>
      </c>
    </row>
    <row r="12" spans="1:12">
      <c r="A12" s="138" t="s">
        <v>4</v>
      </c>
      <c r="B12" s="59" t="s">
        <v>73</v>
      </c>
      <c r="C12" s="246"/>
      <c r="D12" s="246"/>
      <c r="E12" s="207"/>
      <c r="F12" s="207"/>
      <c r="G12" s="251">
        <v>2</v>
      </c>
      <c r="H12" s="247">
        <v>1</v>
      </c>
      <c r="I12" s="247">
        <v>1</v>
      </c>
      <c r="J12" s="248">
        <f>-H12</f>
        <v>-1</v>
      </c>
      <c r="K12" s="248">
        <f>-I12</f>
        <v>-1</v>
      </c>
      <c r="L12" s="207"/>
    </row>
    <row r="13" spans="1:12">
      <c r="A13" s="207"/>
      <c r="B13" s="207"/>
      <c r="C13" s="246"/>
      <c r="D13" s="246"/>
      <c r="E13" s="207"/>
      <c r="F13" s="207"/>
      <c r="G13" s="207"/>
      <c r="H13" s="247"/>
      <c r="I13" s="247"/>
      <c r="J13" s="248"/>
      <c r="K13" s="248"/>
      <c r="L13" s="207"/>
    </row>
    <row r="14" spans="1:12">
      <c r="A14" s="207"/>
      <c r="B14" s="207"/>
      <c r="F14" s="102">
        <f>SUM(F3:F12)</f>
        <v>2.5199999999999996</v>
      </c>
      <c r="J14" s="102">
        <f t="shared" ref="J14:K14" si="0">SUM(J3:J12)</f>
        <v>5.3100000000000005</v>
      </c>
      <c r="K14" s="102">
        <f t="shared" si="0"/>
        <v>22.68</v>
      </c>
    </row>
    <row r="15" spans="1:12">
      <c r="A15" s="207"/>
      <c r="B15" s="207"/>
      <c r="F15" s="101">
        <f>+F14/SUM(E3:E12)</f>
        <v>0.22399999999999995</v>
      </c>
      <c r="J15" s="101">
        <f>+J14/SUM(H3:H12)</f>
        <v>0.24136363636363639</v>
      </c>
      <c r="K15" s="101">
        <f>+K14/SUM(I3:I12)</f>
        <v>0.29076923076923078</v>
      </c>
    </row>
    <row r="16" spans="1:12">
      <c r="A16" s="59"/>
      <c r="B16" s="59"/>
      <c r="F16" s="101"/>
      <c r="J16" s="101"/>
      <c r="K16" s="101"/>
    </row>
    <row r="17" spans="1:18">
      <c r="A17" s="59"/>
      <c r="B17" s="59"/>
      <c r="F17" s="101"/>
      <c r="J17" s="101"/>
      <c r="K17" s="101"/>
    </row>
    <row r="18" spans="1:18">
      <c r="A18" s="207"/>
      <c r="B18" s="207"/>
      <c r="C18" s="17" t="s">
        <v>250</v>
      </c>
      <c r="D18" s="17" t="s">
        <v>294</v>
      </c>
      <c r="E18" s="18" t="s">
        <v>251</v>
      </c>
      <c r="F18" s="18" t="s">
        <v>293</v>
      </c>
      <c r="G18" s="18" t="s">
        <v>303</v>
      </c>
      <c r="H18" s="18" t="s">
        <v>304</v>
      </c>
      <c r="I18" s="18" t="s">
        <v>314</v>
      </c>
      <c r="J18" s="18"/>
      <c r="K18" s="18"/>
      <c r="L18" s="82" t="s">
        <v>305</v>
      </c>
      <c r="M18" s="82"/>
      <c r="N18" s="82"/>
      <c r="O18" s="82"/>
      <c r="P18" s="82"/>
      <c r="Q18" s="82"/>
      <c r="R18" s="82"/>
    </row>
    <row r="19" spans="1:18">
      <c r="A19" s="130" t="s">
        <v>276</v>
      </c>
      <c r="B19" s="130" t="s">
        <v>494</v>
      </c>
      <c r="C19" s="246"/>
      <c r="D19" s="246"/>
      <c r="E19" s="207"/>
      <c r="F19" s="207"/>
      <c r="G19" s="251">
        <v>2</v>
      </c>
      <c r="H19" s="247">
        <v>1</v>
      </c>
      <c r="I19" s="247">
        <v>3</v>
      </c>
      <c r="J19" s="248">
        <f t="shared" ref="J19:J20" si="1">-H19</f>
        <v>-1</v>
      </c>
      <c r="K19" s="248">
        <f t="shared" ref="K19:K20" si="2">-I19</f>
        <v>-3</v>
      </c>
      <c r="L19" s="207"/>
      <c r="M19" s="82"/>
      <c r="N19" s="82"/>
      <c r="O19" s="82"/>
      <c r="P19" s="82"/>
      <c r="Q19" s="82"/>
      <c r="R19" s="82"/>
    </row>
    <row r="20" spans="1:18">
      <c r="A20" s="138" t="s">
        <v>277</v>
      </c>
      <c r="B20" s="59" t="s">
        <v>249</v>
      </c>
      <c r="C20" s="246"/>
      <c r="D20" s="246"/>
      <c r="E20" s="207"/>
      <c r="F20" s="207"/>
      <c r="G20" s="251">
        <v>2</v>
      </c>
      <c r="H20" s="247">
        <v>2</v>
      </c>
      <c r="I20" s="247">
        <v>6</v>
      </c>
      <c r="J20" s="248">
        <f t="shared" si="1"/>
        <v>-2</v>
      </c>
      <c r="K20" s="248">
        <f t="shared" si="2"/>
        <v>-6</v>
      </c>
      <c r="L20" s="207"/>
      <c r="M20" s="82"/>
      <c r="N20" s="82"/>
      <c r="O20" s="82"/>
      <c r="P20" s="82"/>
      <c r="Q20" s="82"/>
      <c r="R20" s="82"/>
    </row>
    <row r="21" spans="1:18">
      <c r="A21" s="138" t="s">
        <v>446</v>
      </c>
      <c r="B21" s="59" t="s">
        <v>267</v>
      </c>
      <c r="C21" s="253">
        <v>1</v>
      </c>
      <c r="D21" s="246">
        <v>1.44</v>
      </c>
      <c r="E21" s="250">
        <v>3</v>
      </c>
      <c r="F21" s="234">
        <f>+(D21-1)*E21</f>
        <v>1.3199999999999998</v>
      </c>
      <c r="G21" s="256">
        <v>1</v>
      </c>
      <c r="H21" s="247">
        <v>3</v>
      </c>
      <c r="I21" s="249">
        <v>12</v>
      </c>
      <c r="J21" s="131">
        <f>+(1.44-1)*H21</f>
        <v>1.3199999999999998</v>
      </c>
      <c r="K21" s="131">
        <f>+(1.44-1)*I21</f>
        <v>5.2799999999999994</v>
      </c>
      <c r="L21" s="207"/>
      <c r="M21" s="82"/>
      <c r="N21" s="82"/>
      <c r="O21" s="82"/>
      <c r="P21" s="82"/>
      <c r="Q21" s="82"/>
      <c r="R21" s="82"/>
    </row>
    <row r="22" spans="1:18">
      <c r="A22" s="59" t="s">
        <v>271</v>
      </c>
      <c r="B22" s="138" t="s">
        <v>273</v>
      </c>
      <c r="C22" s="254">
        <v>1</v>
      </c>
      <c r="D22" s="246">
        <v>1.8</v>
      </c>
      <c r="E22" s="210">
        <v>2</v>
      </c>
      <c r="F22" s="207">
        <f>-E22</f>
        <v>-2</v>
      </c>
      <c r="G22" s="251">
        <v>1</v>
      </c>
      <c r="H22" s="247">
        <v>3</v>
      </c>
      <c r="I22" s="249">
        <v>12</v>
      </c>
      <c r="J22" s="248">
        <f>-H22</f>
        <v>-3</v>
      </c>
      <c r="K22" s="248">
        <f>-I22</f>
        <v>-12</v>
      </c>
      <c r="L22" s="207"/>
      <c r="M22" s="82"/>
      <c r="N22" s="82"/>
      <c r="O22" s="82"/>
      <c r="P22" s="82"/>
      <c r="Q22" s="82"/>
      <c r="R22" s="82"/>
    </row>
    <row r="23" spans="1:18">
      <c r="A23" s="59" t="s">
        <v>262</v>
      </c>
      <c r="B23" s="138" t="s">
        <v>252</v>
      </c>
      <c r="C23" s="246"/>
      <c r="D23" s="246"/>
      <c r="E23" s="207"/>
      <c r="F23" s="207"/>
      <c r="G23" s="256">
        <v>2</v>
      </c>
      <c r="H23" s="247">
        <v>2</v>
      </c>
      <c r="I23" s="247">
        <v>8</v>
      </c>
      <c r="J23" s="131">
        <f>+(3.25-1)*H23</f>
        <v>4.5</v>
      </c>
      <c r="K23" s="131">
        <f>+(3.25-1)*I23</f>
        <v>18</v>
      </c>
      <c r="L23" s="207"/>
      <c r="M23" s="82"/>
      <c r="N23" s="82"/>
      <c r="O23" s="82"/>
      <c r="P23" s="82"/>
      <c r="Q23" s="82"/>
      <c r="R23" s="82"/>
    </row>
    <row r="24" spans="1:18">
      <c r="A24" s="130" t="s">
        <v>495</v>
      </c>
      <c r="B24" s="130" t="s">
        <v>445</v>
      </c>
      <c r="C24" s="254">
        <v>1</v>
      </c>
      <c r="D24" s="246">
        <v>2.1</v>
      </c>
      <c r="E24" s="207">
        <v>1</v>
      </c>
      <c r="F24" s="207">
        <f>-E24</f>
        <v>-1</v>
      </c>
      <c r="G24" s="251">
        <v>1</v>
      </c>
      <c r="H24" s="247">
        <v>3</v>
      </c>
      <c r="I24" s="249">
        <v>10</v>
      </c>
      <c r="J24" s="248">
        <f>-H24</f>
        <v>-3</v>
      </c>
      <c r="K24" s="248">
        <f>-I24</f>
        <v>-10</v>
      </c>
      <c r="L24" s="59" t="s">
        <v>726</v>
      </c>
      <c r="M24" s="82"/>
      <c r="N24" s="82"/>
      <c r="O24" s="82"/>
      <c r="P24" s="82"/>
      <c r="Q24" s="82"/>
      <c r="R24" s="82"/>
    </row>
    <row r="25" spans="1:18">
      <c r="A25" s="138" t="s">
        <v>261</v>
      </c>
      <c r="B25" s="59" t="s">
        <v>253</v>
      </c>
      <c r="C25" s="123" t="s">
        <v>342</v>
      </c>
      <c r="D25" s="246"/>
      <c r="E25" s="207"/>
      <c r="F25" s="207"/>
      <c r="G25" s="256">
        <v>1</v>
      </c>
      <c r="H25" s="247">
        <v>1</v>
      </c>
      <c r="I25" s="247">
        <v>2</v>
      </c>
      <c r="J25" s="131">
        <f>+(2.3-1)*H25</f>
        <v>1.2999999999999998</v>
      </c>
      <c r="K25" s="131">
        <f>+(2.3-1)*I25</f>
        <v>2.5999999999999996</v>
      </c>
      <c r="L25" s="59" t="s">
        <v>727</v>
      </c>
      <c r="M25" s="82"/>
      <c r="N25" s="82"/>
      <c r="O25" s="82"/>
      <c r="P25" s="82"/>
      <c r="Q25" s="82"/>
      <c r="R25" s="82"/>
    </row>
    <row r="26" spans="1:18">
      <c r="A26" s="59" t="s">
        <v>270</v>
      </c>
      <c r="B26" s="138" t="s">
        <v>248</v>
      </c>
      <c r="C26" s="253">
        <v>2</v>
      </c>
      <c r="D26" s="246">
        <v>1.83</v>
      </c>
      <c r="E26" s="207">
        <v>1</v>
      </c>
      <c r="F26" s="234">
        <f>+(D26-1)*E26</f>
        <v>0.83000000000000007</v>
      </c>
      <c r="G26" s="256">
        <v>2</v>
      </c>
      <c r="H26" s="247">
        <v>2</v>
      </c>
      <c r="I26" s="249">
        <v>9</v>
      </c>
      <c r="J26" s="131">
        <f>+(1.83-1)*H26</f>
        <v>1.6600000000000001</v>
      </c>
      <c r="K26" s="131">
        <f>+(1.83-1)*I26</f>
        <v>7.4700000000000006</v>
      </c>
      <c r="L26" s="207"/>
      <c r="M26" s="82"/>
      <c r="N26" s="82"/>
      <c r="O26" s="82"/>
      <c r="P26" s="82"/>
      <c r="Q26" s="82"/>
      <c r="R26" s="82"/>
    </row>
    <row r="27" spans="1:18">
      <c r="A27" s="59" t="s">
        <v>266</v>
      </c>
      <c r="B27" s="138" t="s">
        <v>268</v>
      </c>
      <c r="C27" s="124" t="s">
        <v>256</v>
      </c>
      <c r="D27" s="246"/>
      <c r="E27" s="207"/>
      <c r="F27" s="207"/>
      <c r="G27" s="251">
        <v>1</v>
      </c>
      <c r="H27" s="247">
        <v>3</v>
      </c>
      <c r="I27" s="249">
        <v>10</v>
      </c>
      <c r="J27" s="248">
        <f>-H27</f>
        <v>-3</v>
      </c>
      <c r="K27" s="248">
        <f>-I27</f>
        <v>-10</v>
      </c>
      <c r="L27" s="207"/>
      <c r="M27" s="82"/>
      <c r="N27" s="82"/>
      <c r="O27" s="82"/>
      <c r="P27" s="82"/>
      <c r="Q27" s="82"/>
      <c r="R27" s="82"/>
    </row>
    <row r="28" spans="1:18">
      <c r="A28" s="130" t="s">
        <v>259</v>
      </c>
      <c r="B28" s="130" t="s">
        <v>493</v>
      </c>
      <c r="C28" s="255">
        <v>1</v>
      </c>
      <c r="D28" s="246">
        <v>1.6</v>
      </c>
      <c r="E28" s="207">
        <v>1</v>
      </c>
      <c r="F28" s="207">
        <f>-E28</f>
        <v>-1</v>
      </c>
      <c r="G28" s="251">
        <v>2</v>
      </c>
      <c r="H28" s="247">
        <v>1</v>
      </c>
      <c r="I28" s="247">
        <v>1</v>
      </c>
      <c r="J28" s="248">
        <f t="shared" ref="J28:J29" si="3">-H28</f>
        <v>-1</v>
      </c>
      <c r="K28" s="248">
        <f t="shared" ref="K28:K29" si="4">-I28</f>
        <v>-1</v>
      </c>
      <c r="L28" s="207"/>
      <c r="M28" s="82"/>
      <c r="N28" s="82"/>
      <c r="O28" s="82"/>
      <c r="P28" s="82"/>
      <c r="Q28" s="82"/>
      <c r="R28" s="82"/>
    </row>
    <row r="29" spans="1:18">
      <c r="A29" s="130" t="s">
        <v>263</v>
      </c>
      <c r="B29" s="130" t="s">
        <v>274</v>
      </c>
      <c r="C29" s="255">
        <v>1</v>
      </c>
      <c r="D29" s="246">
        <v>2.2000000000000002</v>
      </c>
      <c r="E29" s="207">
        <v>1</v>
      </c>
      <c r="F29" s="207">
        <f>-E29</f>
        <v>-1</v>
      </c>
      <c r="G29" s="251">
        <v>2</v>
      </c>
      <c r="H29" s="247">
        <v>1</v>
      </c>
      <c r="I29" s="247">
        <v>4</v>
      </c>
      <c r="J29" s="248">
        <f t="shared" si="3"/>
        <v>-1</v>
      </c>
      <c r="K29" s="248">
        <f t="shared" si="4"/>
        <v>-4</v>
      </c>
      <c r="L29" s="207"/>
      <c r="M29" s="82"/>
      <c r="N29" s="82"/>
      <c r="O29" s="82"/>
      <c r="P29" s="82"/>
      <c r="Q29" s="82"/>
      <c r="R29" s="82"/>
    </row>
    <row r="30" spans="1:18">
      <c r="A30" s="207"/>
      <c r="B30" s="207"/>
      <c r="C30" s="207"/>
      <c r="D30" s="207"/>
      <c r="E30" s="207"/>
      <c r="F30" s="207"/>
      <c r="G30" s="207"/>
      <c r="H30" s="207"/>
      <c r="I30" s="207"/>
      <c r="J30" s="207"/>
      <c r="K30" s="207"/>
      <c r="L30" s="207"/>
      <c r="M30" s="82"/>
      <c r="N30" s="82"/>
      <c r="O30" s="82"/>
      <c r="P30" s="82"/>
      <c r="Q30" s="82"/>
      <c r="R30" s="82"/>
    </row>
    <row r="31" spans="1:18">
      <c r="A31" s="75"/>
      <c r="B31" s="80"/>
      <c r="C31" s="75"/>
      <c r="D31" s="82"/>
      <c r="E31" s="82"/>
      <c r="F31" s="107">
        <f>SUM(F19:F29)</f>
        <v>-2.85</v>
      </c>
      <c r="G31" s="17"/>
      <c r="H31" s="17"/>
      <c r="I31" s="17"/>
      <c r="J31" s="107">
        <f t="shared" ref="J31:K31" si="5">SUM(J19:J29)</f>
        <v>-5.22</v>
      </c>
      <c r="K31" s="107">
        <f t="shared" si="5"/>
        <v>-12.65</v>
      </c>
      <c r="L31" s="82"/>
      <c r="M31" s="82"/>
      <c r="N31" s="82"/>
      <c r="O31" s="82"/>
      <c r="P31" s="82"/>
      <c r="Q31" s="82"/>
      <c r="R31" s="82"/>
    </row>
    <row r="32" spans="1:18">
      <c r="A32" s="75"/>
      <c r="B32" s="80"/>
      <c r="C32" s="75"/>
      <c r="D32" s="82"/>
      <c r="E32" s="82"/>
      <c r="F32" s="101">
        <f>+F31/SUM(E19:E29)</f>
        <v>-0.31666666666666665</v>
      </c>
      <c r="G32" s="105"/>
      <c r="H32" s="105"/>
      <c r="I32" s="105"/>
      <c r="J32" s="101">
        <f>+J31/(SUM(H19:H29)-3)</f>
        <v>-0.27473684210526317</v>
      </c>
      <c r="K32" s="101">
        <f>+K31/(SUM(I19:I29)-18)</f>
        <v>-0.21440677966101696</v>
      </c>
      <c r="L32" s="82"/>
      <c r="M32" s="82"/>
      <c r="N32" s="82"/>
      <c r="O32" s="82"/>
      <c r="P32" s="82"/>
      <c r="Q32" s="82"/>
      <c r="R32" s="82"/>
    </row>
    <row r="33" spans="1:14">
      <c r="A33" s="235"/>
      <c r="B33" s="86"/>
      <c r="C33" s="235"/>
    </row>
    <row r="34" spans="1:14">
      <c r="A34" s="235"/>
      <c r="B34" s="86"/>
      <c r="C34" s="235"/>
    </row>
    <row r="35" spans="1:14">
      <c r="A35" s="235"/>
      <c r="B35" s="86"/>
      <c r="C35" s="235"/>
    </row>
    <row r="36" spans="1:14">
      <c r="A36" s="275" t="s">
        <v>718</v>
      </c>
      <c r="D36" s="275" t="s">
        <v>362</v>
      </c>
      <c r="E36" s="275" t="s">
        <v>363</v>
      </c>
      <c r="F36" s="275" t="s">
        <v>433</v>
      </c>
      <c r="L36" s="232" t="s">
        <v>429</v>
      </c>
      <c r="M36" s="232" t="s">
        <v>431</v>
      </c>
    </row>
    <row r="37" spans="1:14">
      <c r="A37" s="236" t="s">
        <v>392</v>
      </c>
      <c r="B37" s="277" t="s">
        <v>586</v>
      </c>
      <c r="C37" s="277" t="s">
        <v>181</v>
      </c>
      <c r="D37" s="103">
        <v>1</v>
      </c>
      <c r="E37" s="103">
        <v>1</v>
      </c>
      <c r="F37" s="103">
        <v>1</v>
      </c>
      <c r="G37" s="104"/>
      <c r="H37" s="104"/>
      <c r="I37" s="104"/>
      <c r="J37" s="104"/>
      <c r="K37" s="104"/>
      <c r="L37" s="103">
        <v>1</v>
      </c>
      <c r="M37" s="103">
        <v>1</v>
      </c>
      <c r="N37" s="235"/>
    </row>
    <row r="38" spans="1:14">
      <c r="A38" s="236" t="s">
        <v>393</v>
      </c>
      <c r="B38" s="277" t="s">
        <v>47</v>
      </c>
      <c r="C38" s="277" t="s">
        <v>28</v>
      </c>
      <c r="D38" s="103" t="s">
        <v>342</v>
      </c>
      <c r="E38" s="16">
        <v>1</v>
      </c>
      <c r="F38" s="103" t="s">
        <v>359</v>
      </c>
      <c r="G38" s="104"/>
      <c r="H38" s="104"/>
      <c r="I38" s="104"/>
      <c r="J38" s="104"/>
      <c r="K38" s="104"/>
      <c r="L38" s="16" t="s">
        <v>357</v>
      </c>
      <c r="M38" s="16" t="s">
        <v>357</v>
      </c>
      <c r="N38" s="235"/>
    </row>
    <row r="39" spans="1:14">
      <c r="A39" s="236" t="s">
        <v>394</v>
      </c>
      <c r="B39" s="277" t="s">
        <v>15</v>
      </c>
      <c r="C39" s="277" t="s">
        <v>422</v>
      </c>
      <c r="D39" s="16">
        <v>2</v>
      </c>
      <c r="E39" s="16">
        <v>2</v>
      </c>
      <c r="F39" s="16">
        <v>2</v>
      </c>
      <c r="G39" s="235"/>
      <c r="H39" s="104"/>
      <c r="I39" s="104"/>
      <c r="J39" s="104"/>
      <c r="K39" s="104"/>
      <c r="L39" s="16">
        <v>2</v>
      </c>
      <c r="M39" s="16">
        <v>2</v>
      </c>
      <c r="N39" s="235"/>
    </row>
    <row r="40" spans="1:14">
      <c r="A40" s="236" t="s">
        <v>395</v>
      </c>
      <c r="B40" s="277" t="s">
        <v>5</v>
      </c>
      <c r="C40" s="277" t="s">
        <v>2</v>
      </c>
      <c r="D40" s="16">
        <v>1</v>
      </c>
      <c r="E40" s="103" t="s">
        <v>342</v>
      </c>
      <c r="F40" s="16">
        <v>1</v>
      </c>
      <c r="G40" s="235"/>
      <c r="H40" s="104"/>
      <c r="I40" s="104"/>
      <c r="J40" s="104"/>
      <c r="K40" s="104"/>
      <c r="L40" s="16">
        <v>1</v>
      </c>
      <c r="M40" s="16">
        <v>1</v>
      </c>
      <c r="N40" s="235"/>
    </row>
    <row r="41" spans="1:14">
      <c r="A41" s="236" t="s">
        <v>396</v>
      </c>
      <c r="B41" s="277" t="s">
        <v>308</v>
      </c>
      <c r="C41" s="277" t="s">
        <v>16</v>
      </c>
      <c r="D41" s="103" t="s">
        <v>342</v>
      </c>
      <c r="E41" s="16">
        <v>1</v>
      </c>
      <c r="F41" s="16" t="s">
        <v>357</v>
      </c>
      <c r="G41" s="235"/>
      <c r="H41" s="104"/>
      <c r="I41" s="104"/>
      <c r="J41" s="104"/>
      <c r="K41" s="104"/>
      <c r="L41" s="16" t="s">
        <v>357</v>
      </c>
      <c r="M41" s="16" t="s">
        <v>357</v>
      </c>
      <c r="N41" s="235" t="s">
        <v>741</v>
      </c>
    </row>
    <row r="42" spans="1:14">
      <c r="A42" s="236" t="s">
        <v>397</v>
      </c>
      <c r="B42" s="277" t="s">
        <v>599</v>
      </c>
      <c r="C42" s="277" t="s">
        <v>0</v>
      </c>
      <c r="D42" s="103">
        <v>2</v>
      </c>
      <c r="E42" s="16">
        <v>1</v>
      </c>
      <c r="F42" s="16" t="s">
        <v>357</v>
      </c>
      <c r="G42" s="235"/>
      <c r="H42" s="104"/>
      <c r="I42" s="104"/>
      <c r="J42" s="104"/>
      <c r="K42" s="104"/>
      <c r="L42" s="16" t="s">
        <v>357</v>
      </c>
      <c r="M42" s="16" t="s">
        <v>357</v>
      </c>
      <c r="N42" s="235"/>
    </row>
    <row r="43" spans="1:14">
      <c r="A43" s="236" t="s">
        <v>398</v>
      </c>
      <c r="B43" s="277" t="s">
        <v>587</v>
      </c>
      <c r="C43" s="277" t="s">
        <v>504</v>
      </c>
      <c r="D43" s="103" t="s">
        <v>342</v>
      </c>
      <c r="E43" s="16">
        <v>1</v>
      </c>
      <c r="F43" s="103" t="s">
        <v>359</v>
      </c>
      <c r="G43" s="235"/>
      <c r="H43" s="104"/>
      <c r="I43" s="104"/>
      <c r="J43" s="104"/>
      <c r="K43" s="104"/>
      <c r="L43" s="103" t="s">
        <v>359</v>
      </c>
      <c r="M43" s="103" t="s">
        <v>359</v>
      </c>
      <c r="N43" s="235"/>
    </row>
    <row r="44" spans="1:14">
      <c r="A44" s="236" t="s">
        <v>399</v>
      </c>
      <c r="B44" s="277" t="s">
        <v>4</v>
      </c>
      <c r="C44" s="277" t="s">
        <v>73</v>
      </c>
      <c r="D44" s="103" t="s">
        <v>342</v>
      </c>
      <c r="E44" s="16">
        <v>1</v>
      </c>
      <c r="F44" s="16" t="s">
        <v>357</v>
      </c>
      <c r="G44" s="235"/>
      <c r="H44" s="104"/>
      <c r="I44" s="104"/>
      <c r="J44" s="104"/>
      <c r="K44" s="104"/>
      <c r="L44" s="16" t="s">
        <v>357</v>
      </c>
      <c r="M44" s="16" t="s">
        <v>357</v>
      </c>
      <c r="N44" s="235"/>
    </row>
    <row r="45" spans="1:14">
      <c r="A45" s="236" t="s">
        <v>400</v>
      </c>
      <c r="B45" s="277" t="s">
        <v>26</v>
      </c>
      <c r="C45" s="277" t="s">
        <v>588</v>
      </c>
      <c r="D45" s="16">
        <v>1</v>
      </c>
      <c r="E45" s="16">
        <v>1</v>
      </c>
      <c r="F45" s="16">
        <v>1</v>
      </c>
      <c r="G45" s="235"/>
      <c r="H45" s="104"/>
      <c r="I45" s="104"/>
      <c r="J45" s="104"/>
      <c r="K45" s="104"/>
      <c r="L45" s="16">
        <v>1</v>
      </c>
      <c r="M45" s="16" t="s">
        <v>356</v>
      </c>
      <c r="N45" s="235"/>
    </row>
    <row r="46" spans="1:14">
      <c r="A46" s="236" t="s">
        <v>401</v>
      </c>
      <c r="B46" s="277" t="s">
        <v>259</v>
      </c>
      <c r="C46" s="277" t="s">
        <v>687</v>
      </c>
      <c r="D46" s="103">
        <v>1</v>
      </c>
      <c r="E46" s="103">
        <v>1</v>
      </c>
      <c r="F46" s="103">
        <v>1</v>
      </c>
      <c r="G46" s="235"/>
      <c r="H46" s="104"/>
      <c r="I46" s="104"/>
      <c r="J46" s="104"/>
      <c r="K46" s="104"/>
      <c r="L46" s="103">
        <v>1</v>
      </c>
      <c r="M46" s="103">
        <v>1</v>
      </c>
      <c r="N46" s="149"/>
    </row>
    <row r="47" spans="1:14">
      <c r="A47" s="236" t="s">
        <v>402</v>
      </c>
      <c r="B47" s="277" t="s">
        <v>262</v>
      </c>
      <c r="C47" s="277" t="s">
        <v>252</v>
      </c>
      <c r="D47" s="103">
        <v>1</v>
      </c>
      <c r="E47" s="103">
        <v>1</v>
      </c>
      <c r="F47" s="103" t="s">
        <v>356</v>
      </c>
      <c r="G47" s="235"/>
      <c r="H47" s="104"/>
      <c r="I47" s="104"/>
      <c r="J47" s="104"/>
      <c r="K47" s="104"/>
      <c r="L47" s="103" t="s">
        <v>356</v>
      </c>
      <c r="M47" s="16" t="s">
        <v>357</v>
      </c>
      <c r="N47" s="149"/>
    </row>
    <row r="48" spans="1:14">
      <c r="A48" s="236" t="s">
        <v>403</v>
      </c>
      <c r="B48" s="277" t="s">
        <v>495</v>
      </c>
      <c r="C48" s="277" t="s">
        <v>445</v>
      </c>
      <c r="D48" s="103">
        <v>1</v>
      </c>
      <c r="E48" s="103">
        <v>1</v>
      </c>
      <c r="F48" s="16" t="s">
        <v>356</v>
      </c>
      <c r="G48" s="235"/>
      <c r="H48" s="104"/>
      <c r="I48" s="104"/>
      <c r="J48" s="104"/>
      <c r="K48" s="104"/>
      <c r="L48" s="16" t="s">
        <v>356</v>
      </c>
      <c r="M48" s="16" t="s">
        <v>356</v>
      </c>
      <c r="N48" s="149"/>
    </row>
    <row r="49" spans="1:18">
      <c r="A49" s="236" t="s">
        <v>404</v>
      </c>
      <c r="B49" s="277" t="s">
        <v>263</v>
      </c>
      <c r="C49" s="277" t="s">
        <v>274</v>
      </c>
      <c r="D49" s="103">
        <v>1</v>
      </c>
      <c r="E49" s="103">
        <v>1</v>
      </c>
      <c r="F49" s="103">
        <v>1</v>
      </c>
      <c r="G49" s="235"/>
      <c r="H49" s="104"/>
      <c r="I49" s="104"/>
      <c r="J49" s="104"/>
      <c r="K49" s="104"/>
      <c r="L49" s="16" t="s">
        <v>356</v>
      </c>
      <c r="M49" s="16" t="s">
        <v>357</v>
      </c>
      <c r="N49" s="149"/>
    </row>
    <row r="50" spans="1:18">
      <c r="A50" s="236" t="s">
        <v>405</v>
      </c>
      <c r="B50" s="277" t="s">
        <v>277</v>
      </c>
      <c r="C50" s="277" t="s">
        <v>249</v>
      </c>
      <c r="D50" s="103" t="s">
        <v>342</v>
      </c>
      <c r="E50" s="103">
        <v>2</v>
      </c>
      <c r="F50" s="103" t="s">
        <v>359</v>
      </c>
      <c r="G50" s="235"/>
      <c r="H50" s="104"/>
      <c r="I50" s="104"/>
      <c r="J50" s="104"/>
      <c r="K50" s="104"/>
      <c r="L50" s="103" t="s">
        <v>359</v>
      </c>
      <c r="M50" s="16" t="s">
        <v>357</v>
      </c>
      <c r="N50" s="149"/>
    </row>
    <row r="51" spans="1:18">
      <c r="A51" s="236" t="s">
        <v>406</v>
      </c>
      <c r="B51" s="277" t="s">
        <v>1</v>
      </c>
      <c r="C51" s="277" t="s">
        <v>585</v>
      </c>
      <c r="D51" s="103" t="s">
        <v>342</v>
      </c>
      <c r="E51" s="16">
        <v>1</v>
      </c>
      <c r="F51" s="103" t="s">
        <v>342</v>
      </c>
      <c r="G51" s="235"/>
      <c r="H51" s="104"/>
      <c r="I51" s="104"/>
      <c r="J51" s="104"/>
      <c r="K51" s="104"/>
      <c r="L51" s="103" t="s">
        <v>342</v>
      </c>
      <c r="M51" s="103" t="s">
        <v>342</v>
      </c>
      <c r="N51" s="235"/>
    </row>
    <row r="52" spans="1:18">
      <c r="A52" s="236"/>
      <c r="D52" s="235"/>
      <c r="E52" s="235"/>
      <c r="F52" s="104"/>
      <c r="G52" s="149"/>
      <c r="H52" s="104"/>
      <c r="I52" s="104"/>
      <c r="J52" s="104"/>
      <c r="K52" s="104"/>
      <c r="L52" s="104"/>
      <c r="M52" s="104"/>
      <c r="N52" s="235"/>
    </row>
    <row r="53" spans="1:18">
      <c r="F53" s="232" t="s">
        <v>740</v>
      </c>
      <c r="G53" s="232"/>
      <c r="H53" s="232"/>
      <c r="I53" s="232"/>
      <c r="J53" s="232"/>
      <c r="K53" s="232"/>
      <c r="L53" s="232" t="s">
        <v>523</v>
      </c>
      <c r="M53" s="232" t="s">
        <v>739</v>
      </c>
    </row>
    <row r="54" spans="1:18">
      <c r="D54" s="111">
        <v>0.5</v>
      </c>
      <c r="E54" s="111">
        <v>0.5</v>
      </c>
      <c r="F54" s="111">
        <v>432</v>
      </c>
      <c r="G54" s="232"/>
      <c r="H54" s="232"/>
      <c r="I54" s="232"/>
      <c r="J54" s="232"/>
      <c r="K54" s="232"/>
      <c r="L54" s="111">
        <v>1296</v>
      </c>
      <c r="M54" s="111">
        <v>8748</v>
      </c>
    </row>
    <row r="57" spans="1:18">
      <c r="D57" s="275" t="s">
        <v>527</v>
      </c>
      <c r="E57" s="275" t="s">
        <v>528</v>
      </c>
      <c r="M57" s="275" t="s">
        <v>567</v>
      </c>
      <c r="N57" s="63"/>
      <c r="P57" s="135"/>
      <c r="Q57" s="135"/>
      <c r="R57" s="135"/>
    </row>
    <row r="58" spans="1:18">
      <c r="A58" s="236" t="s">
        <v>392</v>
      </c>
      <c r="B58" s="278" t="s">
        <v>586</v>
      </c>
      <c r="C58" s="278" t="s">
        <v>181</v>
      </c>
      <c r="D58" s="271"/>
      <c r="E58" s="271"/>
      <c r="F58" s="124"/>
      <c r="G58" s="124"/>
      <c r="H58" s="124"/>
      <c r="I58" s="124"/>
      <c r="J58" s="124"/>
      <c r="K58" s="124"/>
      <c r="L58" s="124"/>
      <c r="M58" s="124"/>
      <c r="N58" s="136"/>
    </row>
    <row r="59" spans="1:18">
      <c r="A59" s="236" t="s">
        <v>393</v>
      </c>
      <c r="B59" s="278" t="s">
        <v>47</v>
      </c>
      <c r="C59" s="278" t="s">
        <v>28</v>
      </c>
      <c r="D59" s="124"/>
      <c r="E59" s="124"/>
      <c r="F59" s="124"/>
      <c r="G59" s="124"/>
      <c r="H59" s="124"/>
      <c r="I59" s="124"/>
      <c r="J59" s="124"/>
      <c r="K59" s="124"/>
      <c r="L59" s="124"/>
      <c r="M59" s="124"/>
    </row>
    <row r="60" spans="1:18">
      <c r="A60" s="236" t="s">
        <v>394</v>
      </c>
      <c r="B60" s="278" t="s">
        <v>15</v>
      </c>
      <c r="C60" s="278" t="s">
        <v>422</v>
      </c>
      <c r="D60" s="124"/>
      <c r="E60" s="124"/>
      <c r="F60" s="124"/>
      <c r="G60" s="124"/>
      <c r="H60" s="124"/>
      <c r="I60" s="124"/>
      <c r="J60" s="124"/>
      <c r="K60" s="124"/>
      <c r="L60" s="124"/>
      <c r="M60" s="124"/>
    </row>
    <row r="61" spans="1:18">
      <c r="A61" s="236" t="s">
        <v>395</v>
      </c>
      <c r="B61" s="278" t="s">
        <v>5</v>
      </c>
      <c r="C61" s="278" t="s">
        <v>2</v>
      </c>
      <c r="D61" s="124"/>
      <c r="E61" s="124"/>
      <c r="F61" s="124"/>
      <c r="G61" s="124"/>
      <c r="H61" s="124"/>
      <c r="I61" s="124"/>
      <c r="J61" s="124"/>
      <c r="K61" s="124"/>
      <c r="L61" s="124"/>
      <c r="M61" s="124"/>
      <c r="P61" s="135"/>
      <c r="Q61" s="135"/>
      <c r="R61" s="135"/>
    </row>
    <row r="62" spans="1:18">
      <c r="A62" s="236" t="s">
        <v>396</v>
      </c>
      <c r="B62" s="278" t="s">
        <v>308</v>
      </c>
      <c r="C62" s="278" t="s">
        <v>16</v>
      </c>
      <c r="D62" s="124"/>
      <c r="E62" s="124"/>
      <c r="F62" s="124"/>
      <c r="G62" s="124"/>
      <c r="H62" s="124"/>
      <c r="I62" s="124"/>
      <c r="J62" s="124"/>
      <c r="K62" s="124"/>
      <c r="L62" s="124"/>
      <c r="M62" s="124"/>
      <c r="P62" s="135"/>
      <c r="Q62" s="135"/>
      <c r="R62" s="135"/>
    </row>
    <row r="63" spans="1:18">
      <c r="A63" s="236" t="s">
        <v>397</v>
      </c>
      <c r="B63" s="278" t="s">
        <v>599</v>
      </c>
      <c r="C63" s="278" t="s">
        <v>0</v>
      </c>
      <c r="D63" s="271"/>
      <c r="E63" s="271"/>
      <c r="F63" s="124"/>
      <c r="G63" s="124"/>
      <c r="H63" s="124"/>
      <c r="I63" s="124"/>
      <c r="J63" s="124"/>
      <c r="K63" s="124"/>
      <c r="L63" s="124"/>
      <c r="M63" s="124"/>
      <c r="P63" s="135"/>
      <c r="Q63" s="135"/>
    </row>
    <row r="64" spans="1:18">
      <c r="A64" s="236" t="s">
        <v>398</v>
      </c>
      <c r="B64" s="278" t="s">
        <v>587</v>
      </c>
      <c r="C64" s="278" t="s">
        <v>504</v>
      </c>
      <c r="D64" s="124"/>
      <c r="E64" s="124"/>
      <c r="F64" s="124"/>
      <c r="G64" s="124"/>
      <c r="H64" s="124"/>
      <c r="I64" s="124"/>
      <c r="J64" s="124"/>
      <c r="K64" s="124"/>
      <c r="L64" s="124"/>
      <c r="M64" s="124"/>
    </row>
    <row r="65" spans="1:13">
      <c r="A65" s="236" t="s">
        <v>399</v>
      </c>
      <c r="B65" s="278" t="s">
        <v>4</v>
      </c>
      <c r="C65" s="278" t="s">
        <v>73</v>
      </c>
      <c r="D65" s="124"/>
      <c r="E65" s="124"/>
      <c r="F65" s="124"/>
      <c r="G65" s="228"/>
      <c r="H65" s="124"/>
      <c r="I65" s="124"/>
      <c r="J65" s="124"/>
      <c r="K65" s="124"/>
      <c r="L65" s="124"/>
      <c r="M65" s="124"/>
    </row>
    <row r="66" spans="1:13">
      <c r="A66" s="236" t="s">
        <v>400</v>
      </c>
      <c r="B66" s="278" t="s">
        <v>26</v>
      </c>
      <c r="C66" s="278" t="s">
        <v>588</v>
      </c>
      <c r="D66" s="271"/>
      <c r="E66" s="271"/>
      <c r="F66" s="124"/>
      <c r="G66" s="124"/>
      <c r="H66" s="124"/>
      <c r="I66" s="124"/>
      <c r="J66" s="124"/>
      <c r="K66" s="124"/>
      <c r="L66" s="124"/>
      <c r="M66" s="124"/>
    </row>
    <row r="67" spans="1:13">
      <c r="A67" s="236" t="s">
        <v>401</v>
      </c>
      <c r="B67" s="278" t="s">
        <v>259</v>
      </c>
      <c r="C67" s="278" t="s">
        <v>687</v>
      </c>
      <c r="D67" s="124"/>
      <c r="E67" s="124"/>
      <c r="F67" s="124"/>
      <c r="G67" s="124"/>
      <c r="H67" s="124"/>
      <c r="I67" s="124"/>
      <c r="J67" s="124"/>
      <c r="K67" s="124"/>
      <c r="L67" s="124"/>
      <c r="M67" s="124"/>
    </row>
    <row r="68" spans="1:13">
      <c r="A68" s="236" t="s">
        <v>402</v>
      </c>
      <c r="B68" s="278" t="s">
        <v>262</v>
      </c>
      <c r="C68" s="278" t="s">
        <v>252</v>
      </c>
      <c r="D68" s="124"/>
      <c r="E68" s="124"/>
      <c r="F68" s="124"/>
      <c r="G68" s="124"/>
      <c r="H68" s="124"/>
      <c r="I68" s="124"/>
      <c r="J68" s="124"/>
      <c r="K68" s="124"/>
      <c r="L68" s="124"/>
      <c r="M68" s="124"/>
    </row>
    <row r="69" spans="1:13">
      <c r="A69" s="236" t="s">
        <v>403</v>
      </c>
      <c r="B69" s="278" t="s">
        <v>495</v>
      </c>
      <c r="C69" s="278" t="s">
        <v>445</v>
      </c>
      <c r="D69" s="124"/>
      <c r="E69" s="124"/>
      <c r="F69" s="124"/>
      <c r="G69" s="124"/>
      <c r="H69" s="124"/>
      <c r="I69" s="124"/>
      <c r="J69" s="124"/>
      <c r="K69" s="124"/>
      <c r="L69" s="124"/>
      <c r="M69" s="124"/>
    </row>
    <row r="70" spans="1:13">
      <c r="A70" s="236" t="s">
        <v>404</v>
      </c>
      <c r="B70" s="278" t="s">
        <v>263</v>
      </c>
      <c r="C70" s="278" t="s">
        <v>274</v>
      </c>
      <c r="D70" s="124"/>
      <c r="E70" s="124"/>
      <c r="F70" s="124"/>
      <c r="G70" s="124"/>
      <c r="H70" s="124"/>
      <c r="I70" s="124"/>
      <c r="J70" s="124"/>
      <c r="K70" s="124"/>
      <c r="L70" s="124"/>
      <c r="M70" s="124"/>
    </row>
    <row r="71" spans="1:13">
      <c r="A71" s="236" t="s">
        <v>405</v>
      </c>
      <c r="B71" s="278" t="s">
        <v>277</v>
      </c>
      <c r="C71" s="278" t="s">
        <v>249</v>
      </c>
      <c r="D71" s="124"/>
      <c r="E71" s="124"/>
      <c r="F71" s="124"/>
      <c r="G71" s="124"/>
      <c r="H71" s="124"/>
      <c r="I71" s="124"/>
      <c r="J71" s="124"/>
      <c r="K71" s="124"/>
      <c r="L71" s="124"/>
      <c r="M71" s="124"/>
    </row>
    <row r="72" spans="1:13">
      <c r="A72" s="236" t="s">
        <v>406</v>
      </c>
      <c r="B72" s="278" t="s">
        <v>1</v>
      </c>
      <c r="C72" s="278" t="s">
        <v>585</v>
      </c>
      <c r="D72" s="124"/>
      <c r="E72" s="124"/>
      <c r="F72" s="124"/>
      <c r="G72" s="124"/>
      <c r="H72" s="124"/>
      <c r="I72" s="124"/>
      <c r="J72" s="124"/>
      <c r="K72" s="124"/>
      <c r="L72" s="124"/>
      <c r="M72" s="124"/>
    </row>
    <row r="74" spans="1:13">
      <c r="M74" s="232" t="s">
        <v>568</v>
      </c>
    </row>
    <row r="75" spans="1:13">
      <c r="D75" s="111">
        <v>0.5</v>
      </c>
      <c r="E75" s="111">
        <v>0.5</v>
      </c>
      <c r="M75" s="111">
        <v>2916</v>
      </c>
    </row>
  </sheetData>
  <pageMargins left="0.7" right="0.7" top="0.75" bottom="0.75" header="0.3" footer="0.3"/>
  <pageSetup paperSize="9" orientation="portrait" horizontalDpi="0" verticalDpi="0" r:id="rId1"/>
</worksheet>
</file>

<file path=xl/worksheets/sheet31.xml><?xml version="1.0" encoding="utf-8"?>
<worksheet xmlns="http://schemas.openxmlformats.org/spreadsheetml/2006/main" xmlns:r="http://schemas.openxmlformats.org/officeDocument/2006/relationships">
  <dimension ref="A1:N32"/>
  <sheetViews>
    <sheetView workbookViewId="0">
      <selection activeCell="F2" sqref="F1:F2"/>
    </sheetView>
  </sheetViews>
  <sheetFormatPr baseColWidth="10" defaultRowHeight="15"/>
  <cols>
    <col min="1" max="1" width="4.28515625" style="278" customWidth="1"/>
    <col min="2" max="3" width="13.5703125" style="278" customWidth="1"/>
    <col min="4" max="4" width="14.7109375" style="278" bestFit="1" customWidth="1"/>
    <col min="5" max="7" width="7.85546875" style="278" customWidth="1"/>
    <col min="8" max="16384" width="11.42578125" style="278"/>
  </cols>
  <sheetData>
    <row r="1" spans="1:14" s="281" customFormat="1">
      <c r="A1" s="12" t="s">
        <v>12</v>
      </c>
      <c r="B1" s="12" t="s">
        <v>10</v>
      </c>
      <c r="C1" s="12" t="s">
        <v>26</v>
      </c>
      <c r="D1" s="12" t="s">
        <v>767</v>
      </c>
      <c r="E1" s="13">
        <v>1</v>
      </c>
      <c r="F1" s="14">
        <v>2.5099999999999998</v>
      </c>
      <c r="G1" s="15" t="s">
        <v>769</v>
      </c>
      <c r="H1" s="235" t="s">
        <v>761</v>
      </c>
    </row>
    <row r="2" spans="1:14" s="281" customFormat="1">
      <c r="A2" s="12" t="s">
        <v>12</v>
      </c>
      <c r="B2" s="12" t="s">
        <v>28</v>
      </c>
      <c r="C2" s="12" t="s">
        <v>27</v>
      </c>
      <c r="D2" s="12" t="s">
        <v>692</v>
      </c>
      <c r="E2" s="13">
        <v>1.5</v>
      </c>
      <c r="F2" s="14">
        <f>((4.4-1)*0.95)+1</f>
        <v>4.2300000000000004</v>
      </c>
      <c r="G2" s="15" t="s">
        <v>41</v>
      </c>
      <c r="H2" s="235" t="s">
        <v>766</v>
      </c>
    </row>
    <row r="3" spans="1:14" s="281" customFormat="1">
      <c r="A3" s="235" t="s">
        <v>770</v>
      </c>
      <c r="B3" s="235"/>
      <c r="C3" s="235"/>
      <c r="D3" s="235"/>
      <c r="E3" s="3"/>
      <c r="F3" s="86"/>
      <c r="G3" s="30"/>
      <c r="H3" s="235"/>
      <c r="I3" s="235"/>
      <c r="J3" s="235"/>
    </row>
    <row r="4" spans="1:14" s="281" customFormat="1">
      <c r="E4" s="3"/>
      <c r="F4" s="86"/>
      <c r="G4" s="30"/>
    </row>
    <row r="5" spans="1:14" s="281" customFormat="1">
      <c r="A5" s="17" t="s">
        <v>768</v>
      </c>
      <c r="E5" s="3"/>
      <c r="F5" s="86"/>
      <c r="G5" s="30"/>
    </row>
    <row r="6" spans="1:14" s="281" customFormat="1"/>
    <row r="7" spans="1:14">
      <c r="A7" s="17" t="s">
        <v>765</v>
      </c>
      <c r="B7" s="235"/>
      <c r="C7" s="235"/>
      <c r="D7" s="235"/>
      <c r="E7" s="3"/>
      <c r="F7" s="86"/>
      <c r="G7" s="30"/>
      <c r="H7" s="235"/>
      <c r="I7" s="235"/>
    </row>
    <row r="8" spans="1:14">
      <c r="A8" s="235"/>
      <c r="B8" s="235"/>
      <c r="C8" s="235"/>
      <c r="D8" s="235"/>
      <c r="E8" s="3"/>
      <c r="F8" s="235"/>
      <c r="G8" s="30"/>
      <c r="H8" s="235"/>
    </row>
    <row r="9" spans="1:14">
      <c r="A9" s="235" t="s">
        <v>762</v>
      </c>
      <c r="B9" s="235"/>
      <c r="C9" s="235"/>
      <c r="D9" s="235"/>
      <c r="E9" s="3"/>
      <c r="F9" s="86"/>
      <c r="G9" s="30"/>
      <c r="H9" s="235"/>
      <c r="I9" s="235"/>
    </row>
    <row r="10" spans="1:14">
      <c r="A10" s="235" t="s">
        <v>763</v>
      </c>
      <c r="B10" s="235"/>
      <c r="C10" s="235"/>
      <c r="D10" s="235"/>
      <c r="E10" s="3"/>
      <c r="F10" s="86"/>
      <c r="G10" s="30"/>
      <c r="H10" s="235"/>
      <c r="I10" s="235"/>
    </row>
    <row r="11" spans="1:14" s="281" customFormat="1">
      <c r="A11" s="235"/>
      <c r="B11" s="235"/>
      <c r="C11" s="235"/>
      <c r="D11" s="235"/>
      <c r="E11" s="3"/>
      <c r="F11" s="86"/>
      <c r="G11" s="30"/>
      <c r="H11" s="235"/>
      <c r="I11" s="235"/>
    </row>
    <row r="12" spans="1:14">
      <c r="A12" s="4" t="s">
        <v>16</v>
      </c>
      <c r="C12" s="235" t="s">
        <v>760</v>
      </c>
      <c r="D12" s="235"/>
      <c r="E12" s="3"/>
      <c r="F12" s="86"/>
      <c r="G12" s="30"/>
      <c r="H12" s="235"/>
      <c r="I12" s="235"/>
    </row>
    <row r="13" spans="1:14">
      <c r="A13" s="4" t="s">
        <v>4</v>
      </c>
      <c r="B13" s="235"/>
      <c r="C13" s="235" t="s">
        <v>764</v>
      </c>
      <c r="D13" s="235"/>
      <c r="E13" s="3"/>
      <c r="F13" s="86"/>
      <c r="G13" s="30"/>
      <c r="H13" s="235"/>
      <c r="I13" s="235"/>
    </row>
    <row r="14" spans="1:14">
      <c r="A14" s="235"/>
      <c r="B14" s="235"/>
      <c r="C14" s="235"/>
      <c r="D14" s="235"/>
      <c r="E14" s="3"/>
      <c r="F14" s="86"/>
      <c r="G14" s="30"/>
      <c r="H14" s="235"/>
      <c r="I14" s="235"/>
    </row>
    <row r="15" spans="1:14">
      <c r="A15" s="235"/>
      <c r="B15" s="235"/>
      <c r="C15" s="235"/>
      <c r="D15" s="235"/>
      <c r="E15" s="3"/>
      <c r="F15" s="86"/>
      <c r="G15" s="30"/>
      <c r="H15" s="235"/>
      <c r="I15" s="235"/>
    </row>
    <row r="16" spans="1:14">
      <c r="A16" s="235" t="s">
        <v>260</v>
      </c>
      <c r="B16" s="75"/>
      <c r="C16" s="235" t="s">
        <v>745</v>
      </c>
      <c r="D16" s="75"/>
      <c r="E16" s="79"/>
      <c r="F16" s="80"/>
      <c r="G16" s="81"/>
      <c r="H16" s="75"/>
      <c r="I16" s="75"/>
      <c r="J16" s="235"/>
      <c r="K16" s="235"/>
      <c r="L16" s="235"/>
      <c r="M16" s="235"/>
      <c r="N16" s="235"/>
    </row>
    <row r="17" spans="1:14">
      <c r="A17" s="4" t="s">
        <v>268</v>
      </c>
      <c r="B17" s="75"/>
      <c r="C17" s="235" t="s">
        <v>746</v>
      </c>
      <c r="D17" s="235"/>
      <c r="E17" s="3"/>
      <c r="F17" s="86"/>
      <c r="G17" s="30"/>
      <c r="H17" s="235"/>
      <c r="I17" s="235"/>
      <c r="J17" s="235"/>
      <c r="K17" s="235"/>
      <c r="L17" s="235"/>
      <c r="M17" s="235"/>
      <c r="N17" s="235"/>
    </row>
    <row r="18" spans="1:14">
      <c r="A18" s="4" t="s">
        <v>252</v>
      </c>
      <c r="B18" s="75"/>
      <c r="C18" s="235" t="s">
        <v>748</v>
      </c>
      <c r="D18" s="235"/>
      <c r="E18" s="3"/>
      <c r="F18" s="86"/>
      <c r="G18" s="30"/>
      <c r="H18" s="235"/>
      <c r="I18" s="235"/>
      <c r="J18" s="235"/>
      <c r="K18" s="235"/>
      <c r="L18" s="235"/>
      <c r="M18" s="235"/>
      <c r="N18" s="235"/>
    </row>
    <row r="19" spans="1:14">
      <c r="A19" s="257" t="s">
        <v>749</v>
      </c>
      <c r="B19" s="75"/>
      <c r="C19" s="235" t="s">
        <v>750</v>
      </c>
      <c r="D19" s="235"/>
      <c r="E19" s="235"/>
      <c r="F19" s="235"/>
      <c r="G19" s="235"/>
      <c r="H19" s="235"/>
      <c r="I19" s="235"/>
      <c r="J19" s="235"/>
      <c r="K19" s="235"/>
      <c r="L19" s="235"/>
      <c r="M19" s="235"/>
      <c r="N19" s="235"/>
    </row>
    <row r="20" spans="1:14">
      <c r="A20" s="235" t="s">
        <v>249</v>
      </c>
      <c r="B20" s="75"/>
      <c r="C20" s="235" t="s">
        <v>751</v>
      </c>
      <c r="D20" s="235"/>
      <c r="E20" s="235"/>
      <c r="F20" s="235"/>
      <c r="G20" s="235"/>
      <c r="H20" s="235"/>
      <c r="I20" s="235"/>
      <c r="J20" s="235"/>
      <c r="K20" s="235"/>
      <c r="L20" s="235"/>
      <c r="M20" s="235"/>
      <c r="N20" s="235"/>
    </row>
    <row r="21" spans="1:14">
      <c r="A21" s="4" t="s">
        <v>259</v>
      </c>
      <c r="B21" s="75"/>
      <c r="C21" s="235" t="s">
        <v>752</v>
      </c>
      <c r="D21" s="235"/>
      <c r="E21" s="235"/>
      <c r="F21" s="235"/>
      <c r="G21" s="235"/>
      <c r="H21" s="235"/>
      <c r="I21" s="235"/>
      <c r="J21" s="235"/>
      <c r="K21" s="235"/>
      <c r="L21" s="235"/>
      <c r="M21" s="235"/>
      <c r="N21" s="235"/>
    </row>
    <row r="22" spans="1:14">
      <c r="A22" s="235" t="s">
        <v>274</v>
      </c>
      <c r="B22" s="75"/>
      <c r="C22" s="235" t="s">
        <v>753</v>
      </c>
      <c r="D22" s="235"/>
    </row>
    <row r="23" spans="1:14">
      <c r="A23" s="12" t="s">
        <v>273</v>
      </c>
      <c r="B23" s="75"/>
      <c r="C23" s="235" t="s">
        <v>754</v>
      </c>
      <c r="D23" s="235"/>
    </row>
    <row r="24" spans="1:14">
      <c r="A24" s="235" t="s">
        <v>253</v>
      </c>
      <c r="B24" s="75"/>
      <c r="C24" s="235" t="s">
        <v>755</v>
      </c>
      <c r="D24" s="235"/>
    </row>
    <row r="25" spans="1:14">
      <c r="A25" s="75"/>
      <c r="B25" s="75"/>
      <c r="C25" s="235"/>
      <c r="D25" s="235"/>
    </row>
    <row r="26" spans="1:14">
      <c r="A26" s="75"/>
      <c r="B26" s="75"/>
      <c r="C26" s="235"/>
      <c r="D26" s="235"/>
    </row>
    <row r="27" spans="1:14">
      <c r="A27" s="75"/>
      <c r="B27" s="75"/>
      <c r="C27" s="235"/>
      <c r="D27" s="235"/>
    </row>
    <row r="28" spans="1:14">
      <c r="A28" s="75"/>
      <c r="B28" s="75"/>
      <c r="C28" s="235"/>
      <c r="D28" s="235"/>
    </row>
    <row r="29" spans="1:14">
      <c r="A29" s="75"/>
      <c r="B29" s="75"/>
      <c r="C29" s="235"/>
      <c r="D29" s="235"/>
    </row>
    <row r="30" spans="1:14">
      <c r="A30" s="75"/>
      <c r="B30" s="75"/>
      <c r="C30" s="235"/>
      <c r="D30" s="235"/>
    </row>
    <row r="31" spans="1:14">
      <c r="A31" s="235"/>
      <c r="B31" s="235"/>
      <c r="C31" s="235"/>
      <c r="D31" s="235"/>
    </row>
    <row r="32" spans="1:14">
      <c r="A32" s="235"/>
      <c r="B32" s="235"/>
      <c r="C32" s="235"/>
      <c r="D32" s="235"/>
    </row>
  </sheetData>
  <pageMargins left="0.7" right="0.7" top="0.75" bottom="0.75" header="0.3" footer="0.3"/>
  <pageSetup paperSize="9" orientation="portrait" horizontalDpi="0" verticalDpi="0" r:id="rId1"/>
</worksheet>
</file>

<file path=xl/worksheets/sheet32.xml><?xml version="1.0" encoding="utf-8"?>
<worksheet xmlns="http://schemas.openxmlformats.org/spreadsheetml/2006/main" xmlns:r="http://schemas.openxmlformats.org/officeDocument/2006/relationships">
  <dimension ref="A1:R75"/>
  <sheetViews>
    <sheetView topLeftCell="A19" zoomScaleNormal="100" workbookViewId="0">
      <selection activeCell="L31" sqref="L31"/>
    </sheetView>
  </sheetViews>
  <sheetFormatPr baseColWidth="10" defaultRowHeight="15"/>
  <cols>
    <col min="1" max="3" width="11.42578125" style="278"/>
    <col min="4" max="6" width="11.5703125" style="278" customWidth="1"/>
    <col min="7" max="7" width="3.5703125" style="278" customWidth="1"/>
    <col min="8" max="8" width="3.28515625" style="278" customWidth="1"/>
    <col min="9" max="9" width="4.5703125" style="278" customWidth="1"/>
    <col min="10" max="11" width="7" style="278" customWidth="1"/>
    <col min="12" max="12" width="11.42578125" style="278" customWidth="1"/>
    <col min="13" max="16384" width="11.42578125" style="278"/>
  </cols>
  <sheetData>
    <row r="1" spans="1:12">
      <c r="A1" s="18" t="s">
        <v>247</v>
      </c>
      <c r="B1" s="18"/>
      <c r="C1" s="18"/>
      <c r="D1" s="18"/>
      <c r="E1" s="18"/>
      <c r="F1" s="18"/>
      <c r="G1" s="18" t="s">
        <v>302</v>
      </c>
      <c r="H1" s="18"/>
      <c r="I1" s="18"/>
      <c r="J1" s="18"/>
      <c r="K1" s="18"/>
      <c r="L1" s="278" t="s">
        <v>305</v>
      </c>
    </row>
    <row r="2" spans="1:12">
      <c r="C2" s="17" t="s">
        <v>250</v>
      </c>
      <c r="D2" s="17" t="s">
        <v>294</v>
      </c>
      <c r="E2" s="18" t="s">
        <v>251</v>
      </c>
      <c r="F2" s="18" t="s">
        <v>293</v>
      </c>
      <c r="G2" s="18" t="s">
        <v>303</v>
      </c>
      <c r="H2" s="18" t="s">
        <v>304</v>
      </c>
      <c r="I2" s="18" t="s">
        <v>314</v>
      </c>
      <c r="J2" s="18"/>
      <c r="K2" s="18"/>
      <c r="L2" s="278" t="s">
        <v>305</v>
      </c>
    </row>
    <row r="3" spans="1:12">
      <c r="A3" s="138" t="s">
        <v>588</v>
      </c>
      <c r="B3" s="59" t="s">
        <v>4</v>
      </c>
      <c r="C3" s="254">
        <v>2</v>
      </c>
      <c r="D3" s="246">
        <v>2.5</v>
      </c>
      <c r="E3" s="250">
        <v>1</v>
      </c>
      <c r="F3" s="248">
        <f>-E3</f>
        <v>-1</v>
      </c>
      <c r="G3" s="251">
        <v>2</v>
      </c>
      <c r="H3" s="247">
        <v>1</v>
      </c>
      <c r="I3" s="247">
        <v>3</v>
      </c>
      <c r="J3" s="248">
        <f t="shared" ref="J3:K5" si="0">-H3</f>
        <v>-1</v>
      </c>
      <c r="K3" s="248">
        <f t="shared" si="0"/>
        <v>-3</v>
      </c>
      <c r="L3" s="207"/>
    </row>
    <row r="4" spans="1:12">
      <c r="A4" s="130" t="s">
        <v>0</v>
      </c>
      <c r="B4" s="130" t="s">
        <v>308</v>
      </c>
      <c r="C4" s="124" t="s">
        <v>256</v>
      </c>
      <c r="D4" s="246"/>
      <c r="E4" s="207"/>
      <c r="F4" s="248"/>
      <c r="G4" s="283">
        <v>2</v>
      </c>
      <c r="H4" s="247">
        <v>2</v>
      </c>
      <c r="I4" s="247">
        <v>7</v>
      </c>
      <c r="J4" s="248">
        <f t="shared" si="0"/>
        <v>-2</v>
      </c>
      <c r="K4" s="248">
        <f t="shared" si="0"/>
        <v>-7</v>
      </c>
      <c r="L4" s="207"/>
    </row>
    <row r="5" spans="1:12">
      <c r="A5" s="130" t="s">
        <v>16</v>
      </c>
      <c r="B5" s="130" t="s">
        <v>5</v>
      </c>
      <c r="C5" s="124" t="s">
        <v>256</v>
      </c>
      <c r="D5" s="246"/>
      <c r="E5" s="207"/>
      <c r="F5" s="248"/>
      <c r="G5" s="283">
        <v>2</v>
      </c>
      <c r="H5" s="247">
        <v>1</v>
      </c>
      <c r="I5" s="247">
        <v>2</v>
      </c>
      <c r="J5" s="248">
        <f t="shared" si="0"/>
        <v>-1</v>
      </c>
      <c r="K5" s="248">
        <f t="shared" si="0"/>
        <v>-2</v>
      </c>
      <c r="L5" s="207"/>
    </row>
    <row r="6" spans="1:12">
      <c r="A6" s="59" t="s">
        <v>181</v>
      </c>
      <c r="B6" s="138" t="s">
        <v>1</v>
      </c>
      <c r="C6" s="124" t="s">
        <v>256</v>
      </c>
      <c r="D6" s="246"/>
      <c r="E6" s="207"/>
      <c r="F6" s="248"/>
      <c r="G6" s="279">
        <v>2</v>
      </c>
      <c r="H6" s="247">
        <v>3</v>
      </c>
      <c r="I6" s="249">
        <v>10</v>
      </c>
      <c r="J6" s="131">
        <f>+(1.65-1)*H6</f>
        <v>1.9499999999999997</v>
      </c>
      <c r="K6" s="131">
        <f>+(1.65-1)*I6</f>
        <v>6.4999999999999991</v>
      </c>
      <c r="L6" s="207"/>
    </row>
    <row r="7" spans="1:12">
      <c r="A7" s="138" t="s">
        <v>28</v>
      </c>
      <c r="B7" s="59" t="s">
        <v>27</v>
      </c>
      <c r="C7" s="124" t="s">
        <v>256</v>
      </c>
      <c r="D7" s="246"/>
      <c r="E7" s="207"/>
      <c r="F7" s="248"/>
      <c r="G7" s="283">
        <v>2</v>
      </c>
      <c r="H7" s="247">
        <v>2</v>
      </c>
      <c r="I7" s="249">
        <v>9</v>
      </c>
      <c r="J7" s="248">
        <f>-H7</f>
        <v>-2</v>
      </c>
      <c r="K7" s="248">
        <f>-I7</f>
        <v>-9</v>
      </c>
      <c r="L7" s="59" t="s">
        <v>758</v>
      </c>
    </row>
    <row r="8" spans="1:12">
      <c r="A8" s="138" t="s">
        <v>504</v>
      </c>
      <c r="B8" s="59" t="s">
        <v>3</v>
      </c>
      <c r="C8" s="124" t="s">
        <v>256</v>
      </c>
      <c r="D8" s="246"/>
      <c r="E8" s="207"/>
      <c r="F8" s="248"/>
      <c r="G8" s="283">
        <v>2</v>
      </c>
      <c r="H8" s="247">
        <v>2</v>
      </c>
      <c r="I8" s="247">
        <v>7</v>
      </c>
      <c r="J8" s="248">
        <f>-H8</f>
        <v>-2</v>
      </c>
      <c r="K8" s="248">
        <f>-I8</f>
        <v>-7</v>
      </c>
      <c r="L8" s="207"/>
    </row>
    <row r="9" spans="1:12">
      <c r="A9" s="59" t="s">
        <v>10</v>
      </c>
      <c r="B9" s="138" t="s">
        <v>26</v>
      </c>
      <c r="C9" s="124" t="s">
        <v>256</v>
      </c>
      <c r="D9" s="246"/>
      <c r="E9" s="207"/>
      <c r="F9" s="248"/>
      <c r="G9" s="279">
        <v>2</v>
      </c>
      <c r="H9" s="247">
        <v>1</v>
      </c>
      <c r="I9" s="247">
        <v>4</v>
      </c>
      <c r="J9" s="131">
        <f>+(1.4-1)*H9</f>
        <v>0.39999999999999991</v>
      </c>
      <c r="K9" s="131">
        <f>+(1.4-1)*I9</f>
        <v>1.5999999999999996</v>
      </c>
      <c r="L9" s="207"/>
    </row>
    <row r="10" spans="1:12">
      <c r="A10" s="138" t="s">
        <v>2</v>
      </c>
      <c r="B10" s="59" t="s">
        <v>15</v>
      </c>
      <c r="C10" s="123" t="s">
        <v>342</v>
      </c>
      <c r="D10" s="246"/>
      <c r="E10" s="207"/>
      <c r="F10" s="248"/>
      <c r="G10" s="251">
        <v>2</v>
      </c>
      <c r="H10" s="247">
        <v>2</v>
      </c>
      <c r="I10" s="249">
        <v>8</v>
      </c>
      <c r="J10" s="248">
        <f>-H10</f>
        <v>-2</v>
      </c>
      <c r="K10" s="248">
        <f>-I10</f>
        <v>-8</v>
      </c>
      <c r="L10" s="207"/>
    </row>
    <row r="11" spans="1:12">
      <c r="A11" s="138" t="s">
        <v>422</v>
      </c>
      <c r="B11" s="59" t="s">
        <v>47</v>
      </c>
      <c r="C11" s="246"/>
      <c r="D11" s="246"/>
      <c r="E11" s="207"/>
      <c r="F11" s="248"/>
      <c r="G11" s="256">
        <v>1</v>
      </c>
      <c r="H11" s="247">
        <v>1</v>
      </c>
      <c r="I11" s="247">
        <v>2</v>
      </c>
      <c r="J11" s="131">
        <f>+(1.17-1)*H11</f>
        <v>0.16999999999999993</v>
      </c>
      <c r="K11" s="131">
        <f>+(1.17-1)*I11</f>
        <v>0.33999999999999986</v>
      </c>
      <c r="L11" s="207"/>
    </row>
    <row r="12" spans="1:12">
      <c r="A12" s="59" t="s">
        <v>73</v>
      </c>
      <c r="B12" s="138" t="s">
        <v>520</v>
      </c>
      <c r="C12" s="124" t="s">
        <v>256</v>
      </c>
      <c r="D12" s="246"/>
      <c r="E12" s="207"/>
      <c r="F12" s="248"/>
      <c r="G12" s="279">
        <v>2</v>
      </c>
      <c r="H12" s="247">
        <v>2</v>
      </c>
      <c r="I12" s="247">
        <v>6</v>
      </c>
      <c r="J12" s="131">
        <f>+(2.8-1)*H12</f>
        <v>3.5999999999999996</v>
      </c>
      <c r="K12" s="131">
        <f>+(2.8-1)*I12</f>
        <v>10.799999999999999</v>
      </c>
      <c r="L12" s="59" t="s">
        <v>759</v>
      </c>
    </row>
    <row r="13" spans="1:12">
      <c r="A13" s="207"/>
      <c r="B13" s="207"/>
      <c r="C13" s="246"/>
      <c r="D13" s="246"/>
      <c r="E13" s="207"/>
      <c r="F13" s="207"/>
      <c r="G13" s="207"/>
      <c r="H13" s="247"/>
      <c r="I13" s="247"/>
      <c r="J13" s="248"/>
      <c r="K13" s="248"/>
      <c r="L13" s="207"/>
    </row>
    <row r="14" spans="1:12">
      <c r="A14" s="207"/>
      <c r="B14" s="207"/>
      <c r="F14" s="102">
        <f>SUM(F3:F12)</f>
        <v>-1</v>
      </c>
      <c r="J14" s="102">
        <f t="shared" ref="J14:K14" si="1">SUM(J3:J12)</f>
        <v>-3.8800000000000008</v>
      </c>
      <c r="K14" s="102">
        <f t="shared" si="1"/>
        <v>-16.759999999999998</v>
      </c>
    </row>
    <row r="15" spans="1:12">
      <c r="A15" s="207"/>
      <c r="B15" s="207"/>
      <c r="F15" s="101">
        <f>+F14/SUM(E3:E12)</f>
        <v>-1</v>
      </c>
      <c r="J15" s="101">
        <f>+J14/SUM(H3:H12)</f>
        <v>-0.22823529411764709</v>
      </c>
      <c r="K15" s="101">
        <f>+K14/SUM(I3:I12)</f>
        <v>-0.28896551724137925</v>
      </c>
    </row>
    <row r="16" spans="1:12">
      <c r="A16" s="59"/>
      <c r="B16" s="59"/>
      <c r="F16" s="101"/>
      <c r="J16" s="101"/>
      <c r="K16" s="101"/>
    </row>
    <row r="17" spans="1:18">
      <c r="A17" s="59"/>
      <c r="B17" s="59"/>
      <c r="F17" s="101"/>
      <c r="J17" s="101"/>
      <c r="K17" s="101"/>
    </row>
    <row r="18" spans="1:18">
      <c r="A18" s="207"/>
      <c r="B18" s="207"/>
      <c r="C18" s="17" t="s">
        <v>250</v>
      </c>
      <c r="D18" s="17" t="s">
        <v>294</v>
      </c>
      <c r="E18" s="18" t="s">
        <v>251</v>
      </c>
      <c r="F18" s="18" t="s">
        <v>293</v>
      </c>
      <c r="G18" s="18" t="s">
        <v>303</v>
      </c>
      <c r="H18" s="18" t="s">
        <v>304</v>
      </c>
      <c r="I18" s="18" t="s">
        <v>314</v>
      </c>
      <c r="J18" s="18"/>
      <c r="K18" s="18"/>
      <c r="L18" s="82" t="s">
        <v>305</v>
      </c>
      <c r="M18" s="82"/>
      <c r="N18" s="82"/>
      <c r="O18" s="82"/>
      <c r="P18" s="82"/>
      <c r="Q18" s="82"/>
      <c r="R18" s="82"/>
    </row>
    <row r="19" spans="1:18">
      <c r="A19" s="138" t="s">
        <v>494</v>
      </c>
      <c r="B19" s="59" t="s">
        <v>493</v>
      </c>
      <c r="C19" s="253">
        <v>1</v>
      </c>
      <c r="D19" s="246">
        <v>1.44</v>
      </c>
      <c r="E19" s="250">
        <v>2.25</v>
      </c>
      <c r="F19" s="234">
        <f>+(D19-1)*E19</f>
        <v>0.98999999999999988</v>
      </c>
      <c r="G19" s="256">
        <v>1</v>
      </c>
      <c r="H19" s="247">
        <v>1</v>
      </c>
      <c r="I19" s="247">
        <v>4</v>
      </c>
      <c r="J19" s="131">
        <f>+(1.44-1)*H19</f>
        <v>0.43999999999999995</v>
      </c>
      <c r="K19" s="131">
        <f>+(1.44-1)*I19</f>
        <v>1.7599999999999998</v>
      </c>
      <c r="L19" s="207"/>
      <c r="M19" s="82"/>
      <c r="N19" s="82"/>
      <c r="O19" s="82"/>
      <c r="P19" s="82"/>
      <c r="Q19" s="82"/>
      <c r="R19" s="82"/>
    </row>
    <row r="20" spans="1:18">
      <c r="A20" s="59" t="s">
        <v>268</v>
      </c>
      <c r="B20" s="138" t="s">
        <v>277</v>
      </c>
      <c r="C20" s="254">
        <v>1</v>
      </c>
      <c r="D20" s="246">
        <v>1.73</v>
      </c>
      <c r="E20" s="207">
        <v>1.5</v>
      </c>
      <c r="F20" s="207">
        <f>-E20</f>
        <v>-1.5</v>
      </c>
      <c r="G20" s="251">
        <v>1</v>
      </c>
      <c r="H20" s="247">
        <v>1</v>
      </c>
      <c r="I20" s="247">
        <v>1</v>
      </c>
      <c r="J20" s="248">
        <f>-H20</f>
        <v>-1</v>
      </c>
      <c r="K20" s="248">
        <f>-I20</f>
        <v>-1</v>
      </c>
      <c r="L20" s="207"/>
      <c r="M20" s="82"/>
      <c r="N20" s="82"/>
      <c r="O20" s="82"/>
      <c r="P20" s="82"/>
      <c r="Q20" s="82"/>
      <c r="R20" s="82"/>
    </row>
    <row r="21" spans="1:18">
      <c r="A21" s="59" t="s">
        <v>445</v>
      </c>
      <c r="B21" s="138" t="s">
        <v>271</v>
      </c>
      <c r="C21" s="246"/>
      <c r="D21" s="246"/>
      <c r="E21" s="207"/>
      <c r="F21" s="207"/>
      <c r="G21" s="256">
        <v>2</v>
      </c>
      <c r="H21" s="247">
        <v>1</v>
      </c>
      <c r="I21" s="247">
        <v>3</v>
      </c>
      <c r="J21" s="131">
        <f>+(4.5-1)*H21</f>
        <v>3.5</v>
      </c>
      <c r="K21" s="131">
        <f>+(4.5-1)*I21</f>
        <v>10.5</v>
      </c>
      <c r="L21" s="207"/>
      <c r="M21" s="82"/>
      <c r="N21" s="82"/>
      <c r="O21" s="82"/>
      <c r="P21" s="82"/>
      <c r="Q21" s="82"/>
      <c r="R21" s="82"/>
    </row>
    <row r="22" spans="1:18">
      <c r="A22" s="138" t="s">
        <v>248</v>
      </c>
      <c r="B22" s="59" t="s">
        <v>446</v>
      </c>
      <c r="C22" s="124" t="s">
        <v>256</v>
      </c>
      <c r="D22" s="246"/>
      <c r="E22" s="207"/>
      <c r="F22" s="207"/>
      <c r="G22" s="251">
        <v>2</v>
      </c>
      <c r="H22" s="247">
        <v>2</v>
      </c>
      <c r="I22" s="247">
        <v>5</v>
      </c>
      <c r="J22" s="248">
        <f>-H22</f>
        <v>-2</v>
      </c>
      <c r="K22" s="248">
        <f>-I22</f>
        <v>-5</v>
      </c>
      <c r="L22" s="207"/>
      <c r="M22" s="82"/>
      <c r="N22" s="82"/>
      <c r="O22" s="82"/>
      <c r="P22" s="82"/>
      <c r="Q22" s="82"/>
      <c r="R22" s="82"/>
    </row>
    <row r="23" spans="1:18">
      <c r="A23" s="59" t="s">
        <v>261</v>
      </c>
      <c r="B23" s="138" t="s">
        <v>259</v>
      </c>
      <c r="C23" s="246"/>
      <c r="D23" s="246"/>
      <c r="E23" s="207"/>
      <c r="F23" s="207"/>
      <c r="G23" s="251">
        <v>1</v>
      </c>
      <c r="H23" s="247">
        <v>3</v>
      </c>
      <c r="I23" s="249">
        <v>13</v>
      </c>
      <c r="J23" s="248">
        <f>-H23</f>
        <v>-3</v>
      </c>
      <c r="K23" s="248">
        <f>-I23</f>
        <v>-13</v>
      </c>
      <c r="L23" s="207"/>
      <c r="M23" s="82"/>
      <c r="N23" s="82"/>
      <c r="O23" s="82"/>
      <c r="P23" s="82"/>
      <c r="Q23" s="82"/>
      <c r="R23" s="82"/>
    </row>
    <row r="24" spans="1:18">
      <c r="A24" s="59" t="s">
        <v>249</v>
      </c>
      <c r="B24" s="138" t="s">
        <v>263</v>
      </c>
      <c r="C24" s="253">
        <v>2</v>
      </c>
      <c r="D24" s="246">
        <v>2.2999999999999998</v>
      </c>
      <c r="E24" s="207">
        <v>1</v>
      </c>
      <c r="F24" s="234">
        <f>+(D24-1)*E24</f>
        <v>1.2999999999999998</v>
      </c>
      <c r="G24" s="256">
        <v>2</v>
      </c>
      <c r="H24" s="247">
        <v>3</v>
      </c>
      <c r="I24" s="249">
        <v>17</v>
      </c>
      <c r="J24" s="131">
        <f>+(2.3-1)*H24</f>
        <v>3.8999999999999995</v>
      </c>
      <c r="K24" s="131">
        <f>+(2.3-1)*I24</f>
        <v>22.099999999999998</v>
      </c>
      <c r="L24" s="207"/>
      <c r="M24" s="82"/>
      <c r="N24" s="82"/>
      <c r="O24" s="82"/>
      <c r="P24" s="82"/>
      <c r="Q24" s="82"/>
      <c r="R24" s="82"/>
    </row>
    <row r="25" spans="1:18">
      <c r="A25" s="130" t="s">
        <v>267</v>
      </c>
      <c r="B25" s="130" t="s">
        <v>262</v>
      </c>
      <c r="C25" s="140" t="s">
        <v>342</v>
      </c>
      <c r="D25" s="246"/>
      <c r="E25" s="207"/>
      <c r="F25" s="207"/>
      <c r="G25" s="251">
        <v>2</v>
      </c>
      <c r="H25" s="247">
        <v>2</v>
      </c>
      <c r="I25" s="247">
        <v>8</v>
      </c>
      <c r="J25" s="248">
        <f>-H25</f>
        <v>-2</v>
      </c>
      <c r="K25" s="248">
        <f>-I25</f>
        <v>-8</v>
      </c>
      <c r="L25" s="59" t="s">
        <v>756</v>
      </c>
      <c r="M25" s="82"/>
      <c r="N25" s="82"/>
      <c r="O25" s="82"/>
      <c r="P25" s="82"/>
      <c r="Q25" s="82"/>
      <c r="R25" s="82"/>
    </row>
    <row r="26" spans="1:18">
      <c r="A26" s="138" t="s">
        <v>252</v>
      </c>
      <c r="B26" s="59" t="s">
        <v>276</v>
      </c>
      <c r="C26" s="253">
        <v>1</v>
      </c>
      <c r="D26" s="246">
        <v>1.8</v>
      </c>
      <c r="E26" s="207">
        <v>1</v>
      </c>
      <c r="F26" s="234">
        <f>+(D26-1)*E26</f>
        <v>0.8</v>
      </c>
      <c r="G26" s="256">
        <v>1</v>
      </c>
      <c r="H26" s="247">
        <v>3</v>
      </c>
      <c r="I26" s="249">
        <v>13</v>
      </c>
      <c r="J26" s="131">
        <f>+(1.8-1)*H26</f>
        <v>2.4000000000000004</v>
      </c>
      <c r="K26" s="131">
        <f>+(1.8-1)*I26</f>
        <v>10.4</v>
      </c>
      <c r="L26" s="207"/>
      <c r="M26" s="82"/>
      <c r="N26" s="82"/>
      <c r="O26" s="82"/>
      <c r="P26" s="82"/>
      <c r="Q26" s="82"/>
      <c r="R26" s="82"/>
    </row>
    <row r="27" spans="1:18">
      <c r="A27" s="130" t="s">
        <v>274</v>
      </c>
      <c r="B27" s="130" t="s">
        <v>495</v>
      </c>
      <c r="C27" s="140" t="s">
        <v>342</v>
      </c>
      <c r="D27" s="246"/>
      <c r="E27" s="207"/>
      <c r="F27" s="207"/>
      <c r="G27" s="251">
        <v>2</v>
      </c>
      <c r="H27" s="247">
        <v>1</v>
      </c>
      <c r="I27" s="247">
        <v>1</v>
      </c>
      <c r="J27" s="248">
        <f t="shared" ref="J27:K29" si="2">-H27</f>
        <v>-1</v>
      </c>
      <c r="K27" s="248">
        <f t="shared" si="2"/>
        <v>-1</v>
      </c>
      <c r="L27" s="59" t="s">
        <v>757</v>
      </c>
      <c r="M27" s="82"/>
      <c r="N27" s="82"/>
      <c r="O27" s="82"/>
      <c r="P27" s="82"/>
      <c r="Q27" s="82"/>
      <c r="R27" s="82"/>
    </row>
    <row r="28" spans="1:18">
      <c r="A28" s="130" t="s">
        <v>273</v>
      </c>
      <c r="B28" s="130" t="s">
        <v>270</v>
      </c>
      <c r="C28" s="254">
        <v>1</v>
      </c>
      <c r="D28" s="246">
        <v>1.62</v>
      </c>
      <c r="E28" s="250">
        <v>0.75</v>
      </c>
      <c r="F28" s="207">
        <f>-E28</f>
        <v>-0.75</v>
      </c>
      <c r="G28" s="251">
        <v>1</v>
      </c>
      <c r="H28" s="247">
        <v>2</v>
      </c>
      <c r="I28" s="249">
        <v>9</v>
      </c>
      <c r="J28" s="248">
        <f t="shared" si="2"/>
        <v>-2</v>
      </c>
      <c r="K28" s="248">
        <f t="shared" si="2"/>
        <v>-9</v>
      </c>
      <c r="L28" s="207"/>
      <c r="M28" s="82"/>
      <c r="N28" s="82"/>
      <c r="O28" s="82"/>
      <c r="P28" s="82"/>
      <c r="Q28" s="82"/>
      <c r="R28" s="82"/>
    </row>
    <row r="29" spans="1:18">
      <c r="A29" s="59" t="s">
        <v>253</v>
      </c>
      <c r="B29" s="138" t="s">
        <v>266</v>
      </c>
      <c r="C29" s="254">
        <v>1</v>
      </c>
      <c r="D29" s="246">
        <v>1.91</v>
      </c>
      <c r="E29" s="282">
        <v>0.75</v>
      </c>
      <c r="F29" s="207">
        <f>-E29</f>
        <v>-0.75</v>
      </c>
      <c r="G29" s="251">
        <v>1</v>
      </c>
      <c r="H29" s="247">
        <v>1</v>
      </c>
      <c r="I29" s="247">
        <v>3</v>
      </c>
      <c r="J29" s="248">
        <f t="shared" si="2"/>
        <v>-1</v>
      </c>
      <c r="K29" s="248">
        <f t="shared" si="2"/>
        <v>-3</v>
      </c>
      <c r="L29" s="207"/>
      <c r="M29" s="82"/>
      <c r="N29" s="82"/>
      <c r="O29" s="82"/>
      <c r="P29" s="82"/>
      <c r="Q29" s="82"/>
      <c r="R29" s="82"/>
    </row>
    <row r="30" spans="1:18">
      <c r="A30" s="207"/>
      <c r="B30" s="207"/>
      <c r="C30" s="207"/>
      <c r="D30" s="207"/>
      <c r="E30" s="207"/>
      <c r="F30" s="207"/>
      <c r="G30" s="207"/>
      <c r="H30" s="207"/>
      <c r="I30" s="207"/>
      <c r="J30" s="207"/>
      <c r="K30" s="207"/>
      <c r="L30" s="207"/>
      <c r="M30" s="82"/>
      <c r="N30" s="82"/>
      <c r="O30" s="82"/>
      <c r="P30" s="82"/>
      <c r="Q30" s="82"/>
      <c r="R30" s="82"/>
    </row>
    <row r="31" spans="1:18">
      <c r="A31" s="75"/>
      <c r="B31" s="80"/>
      <c r="C31" s="75"/>
      <c r="D31" s="82"/>
      <c r="E31" s="82"/>
      <c r="F31" s="107">
        <f>SUM(F19:F29)</f>
        <v>8.9999999999999858E-2</v>
      </c>
      <c r="G31" s="17"/>
      <c r="H31" s="17"/>
      <c r="I31" s="17"/>
      <c r="J31" s="107">
        <f t="shared" ref="J31:K31" si="3">SUM(J19:J29)</f>
        <v>-1.7600000000000002</v>
      </c>
      <c r="K31" s="107">
        <f t="shared" si="3"/>
        <v>4.759999999999998</v>
      </c>
      <c r="L31" s="82"/>
      <c r="M31" s="82"/>
      <c r="N31" s="82"/>
      <c r="O31" s="82"/>
      <c r="P31" s="82"/>
      <c r="Q31" s="82"/>
      <c r="R31" s="82"/>
    </row>
    <row r="32" spans="1:18">
      <c r="A32" s="75"/>
      <c r="B32" s="80"/>
      <c r="C32" s="75"/>
      <c r="D32" s="82"/>
      <c r="E32" s="82"/>
      <c r="F32" s="101">
        <f>+F31/SUM(E19:E29)</f>
        <v>1.2413793103448256E-2</v>
      </c>
      <c r="G32" s="105"/>
      <c r="H32" s="105"/>
      <c r="I32" s="105"/>
      <c r="J32" s="101">
        <f>+J31/(SUM(H19:H29)-3)</f>
        <v>-0.1035294117647059</v>
      </c>
      <c r="K32" s="101">
        <f>+K31/(SUM(I19:I29)-18)</f>
        <v>8.0677966101694878E-2</v>
      </c>
      <c r="L32" s="82"/>
      <c r="M32" s="82"/>
      <c r="N32" s="82"/>
      <c r="O32" s="82"/>
      <c r="P32" s="82"/>
      <c r="Q32" s="82"/>
      <c r="R32" s="82"/>
    </row>
    <row r="33" spans="1:14">
      <c r="A33" s="235"/>
      <c r="B33" s="86"/>
      <c r="C33" s="235"/>
    </row>
    <row r="34" spans="1:14">
      <c r="A34" s="235"/>
      <c r="B34" s="86"/>
      <c r="C34" s="235"/>
    </row>
    <row r="35" spans="1:14">
      <c r="A35" s="235"/>
      <c r="B35" s="86"/>
      <c r="C35" s="235"/>
    </row>
    <row r="36" spans="1:14">
      <c r="A36" s="278" t="s">
        <v>747</v>
      </c>
      <c r="D36" s="278" t="s">
        <v>362</v>
      </c>
      <c r="E36" s="278" t="s">
        <v>363</v>
      </c>
      <c r="F36" s="278" t="s">
        <v>433</v>
      </c>
      <c r="L36" s="232" t="s">
        <v>429</v>
      </c>
      <c r="M36" s="232" t="s">
        <v>431</v>
      </c>
    </row>
    <row r="37" spans="1:14">
      <c r="A37" s="236" t="s">
        <v>392</v>
      </c>
      <c r="B37" s="280" t="s">
        <v>181</v>
      </c>
      <c r="C37" s="280" t="s">
        <v>1</v>
      </c>
      <c r="D37" s="16">
        <v>2</v>
      </c>
      <c r="E37" s="103" t="s">
        <v>342</v>
      </c>
      <c r="F37" s="104"/>
      <c r="G37" s="104"/>
      <c r="H37" s="104"/>
      <c r="I37" s="104"/>
      <c r="J37" s="104"/>
      <c r="K37" s="104"/>
      <c r="L37" s="104"/>
      <c r="M37" s="16" t="s">
        <v>359</v>
      </c>
      <c r="N37" s="235"/>
    </row>
    <row r="38" spans="1:14">
      <c r="A38" s="236" t="s">
        <v>393</v>
      </c>
      <c r="B38" s="280" t="s">
        <v>422</v>
      </c>
      <c r="C38" s="280" t="s">
        <v>47</v>
      </c>
      <c r="D38" s="16">
        <v>1</v>
      </c>
      <c r="E38" s="16">
        <v>1</v>
      </c>
      <c r="F38" s="104"/>
      <c r="G38" s="104"/>
      <c r="H38" s="104"/>
      <c r="I38" s="104"/>
      <c r="J38" s="104"/>
      <c r="K38" s="104"/>
      <c r="L38" s="104"/>
      <c r="M38" s="16">
        <v>1</v>
      </c>
      <c r="N38" s="235"/>
    </row>
    <row r="39" spans="1:14">
      <c r="A39" s="236" t="s">
        <v>394</v>
      </c>
      <c r="B39" s="280" t="s">
        <v>2</v>
      </c>
      <c r="C39" s="280" t="s">
        <v>15</v>
      </c>
      <c r="D39" s="103" t="s">
        <v>342</v>
      </c>
      <c r="E39" s="16">
        <v>1</v>
      </c>
      <c r="F39" s="104"/>
      <c r="G39" s="235"/>
      <c r="H39" s="104"/>
      <c r="I39" s="104"/>
      <c r="J39" s="104"/>
      <c r="K39" s="104"/>
      <c r="L39" s="104"/>
      <c r="M39" s="16" t="s">
        <v>357</v>
      </c>
      <c r="N39" s="235"/>
    </row>
    <row r="40" spans="1:14">
      <c r="A40" s="236" t="s">
        <v>395</v>
      </c>
      <c r="B40" s="280" t="s">
        <v>16</v>
      </c>
      <c r="C40" s="280" t="s">
        <v>5</v>
      </c>
      <c r="D40" s="16" t="s">
        <v>342</v>
      </c>
      <c r="E40" s="103">
        <v>1</v>
      </c>
      <c r="F40" s="104"/>
      <c r="G40" s="235"/>
      <c r="H40" s="104"/>
      <c r="I40" s="104"/>
      <c r="J40" s="104"/>
      <c r="K40" s="104"/>
      <c r="L40" s="104"/>
      <c r="M40" s="16" t="s">
        <v>357</v>
      </c>
      <c r="N40" s="235"/>
    </row>
    <row r="41" spans="1:14">
      <c r="A41" s="236" t="s">
        <v>396</v>
      </c>
      <c r="B41" s="280" t="s">
        <v>0</v>
      </c>
      <c r="C41" s="280" t="s">
        <v>308</v>
      </c>
      <c r="D41" s="103">
        <v>2</v>
      </c>
      <c r="E41" s="103">
        <v>2</v>
      </c>
      <c r="F41" s="104"/>
      <c r="G41" s="235"/>
      <c r="H41" s="104"/>
      <c r="I41" s="104"/>
      <c r="J41" s="104"/>
      <c r="K41" s="104"/>
      <c r="L41" s="104"/>
      <c r="M41" s="103">
        <v>2</v>
      </c>
      <c r="N41" s="235"/>
    </row>
    <row r="42" spans="1:14">
      <c r="A42" s="236" t="s">
        <v>397</v>
      </c>
      <c r="B42" s="280" t="s">
        <v>504</v>
      </c>
      <c r="C42" s="280" t="s">
        <v>599</v>
      </c>
      <c r="D42" s="16">
        <v>1</v>
      </c>
      <c r="E42" s="16">
        <v>1</v>
      </c>
      <c r="F42" s="104"/>
      <c r="G42" s="235"/>
      <c r="H42" s="104"/>
      <c r="I42" s="104"/>
      <c r="J42" s="104"/>
      <c r="K42" s="104"/>
      <c r="L42" s="104"/>
      <c r="M42" s="16">
        <v>1</v>
      </c>
      <c r="N42" s="235"/>
    </row>
    <row r="43" spans="1:14">
      <c r="A43" s="236" t="s">
        <v>398</v>
      </c>
      <c r="B43" s="280" t="s">
        <v>73</v>
      </c>
      <c r="C43" s="280" t="s">
        <v>587</v>
      </c>
      <c r="D43" s="16">
        <v>2</v>
      </c>
      <c r="E43" s="16">
        <v>2</v>
      </c>
      <c r="F43" s="104"/>
      <c r="G43" s="235"/>
      <c r="H43" s="104"/>
      <c r="I43" s="104"/>
      <c r="J43" s="104"/>
      <c r="K43" s="104"/>
      <c r="L43" s="104"/>
      <c r="M43" s="16" t="s">
        <v>359</v>
      </c>
      <c r="N43" s="235"/>
    </row>
    <row r="44" spans="1:14">
      <c r="A44" s="236" t="s">
        <v>399</v>
      </c>
      <c r="B44" s="280" t="s">
        <v>588</v>
      </c>
      <c r="C44" s="280" t="s">
        <v>4</v>
      </c>
      <c r="D44" s="103" t="s">
        <v>342</v>
      </c>
      <c r="E44" s="16">
        <v>1</v>
      </c>
      <c r="F44" s="104"/>
      <c r="G44" s="235"/>
      <c r="H44" s="104"/>
      <c r="I44" s="104"/>
      <c r="J44" s="104"/>
      <c r="K44" s="104"/>
      <c r="L44" s="104"/>
      <c r="M44" s="16" t="s">
        <v>357</v>
      </c>
      <c r="N44" s="235"/>
    </row>
    <row r="45" spans="1:14">
      <c r="A45" s="236" t="s">
        <v>400</v>
      </c>
      <c r="B45" s="280" t="s">
        <v>585</v>
      </c>
      <c r="C45" s="280" t="s">
        <v>26</v>
      </c>
      <c r="D45" s="103" t="s">
        <v>342</v>
      </c>
      <c r="E45" s="103" t="s">
        <v>342</v>
      </c>
      <c r="F45" s="104"/>
      <c r="G45" s="235"/>
      <c r="H45" s="104"/>
      <c r="I45" s="104"/>
      <c r="J45" s="104"/>
      <c r="K45" s="104"/>
      <c r="L45" s="104"/>
      <c r="M45" s="103" t="s">
        <v>356</v>
      </c>
      <c r="N45" s="235"/>
    </row>
    <row r="46" spans="1:14">
      <c r="A46" s="236" t="s">
        <v>401</v>
      </c>
      <c r="B46" s="280" t="s">
        <v>252</v>
      </c>
      <c r="C46" s="280" t="s">
        <v>276</v>
      </c>
      <c r="D46" s="16">
        <v>1</v>
      </c>
      <c r="E46" s="16">
        <v>1</v>
      </c>
      <c r="F46" s="104"/>
      <c r="G46" s="235"/>
      <c r="H46" s="104"/>
      <c r="I46" s="104"/>
      <c r="J46" s="104"/>
      <c r="K46" s="104"/>
      <c r="L46" s="104"/>
      <c r="M46" s="16">
        <v>1</v>
      </c>
      <c r="N46" s="149"/>
    </row>
    <row r="47" spans="1:14">
      <c r="A47" s="236" t="s">
        <v>402</v>
      </c>
      <c r="B47" s="280" t="s">
        <v>267</v>
      </c>
      <c r="C47" s="280" t="s">
        <v>262</v>
      </c>
      <c r="D47" s="103">
        <v>2</v>
      </c>
      <c r="E47" s="103">
        <v>2</v>
      </c>
      <c r="F47" s="104"/>
      <c r="G47" s="235"/>
      <c r="H47" s="104"/>
      <c r="I47" s="104"/>
      <c r="J47" s="104"/>
      <c r="K47" s="104"/>
      <c r="L47" s="104"/>
      <c r="M47" s="16" t="s">
        <v>357</v>
      </c>
      <c r="N47" s="149"/>
    </row>
    <row r="48" spans="1:14">
      <c r="A48" s="236" t="s">
        <v>403</v>
      </c>
      <c r="B48" s="280" t="s">
        <v>274</v>
      </c>
      <c r="C48" s="280" t="s">
        <v>495</v>
      </c>
      <c r="D48" s="103">
        <v>1</v>
      </c>
      <c r="E48" s="16" t="s">
        <v>342</v>
      </c>
      <c r="F48" s="104"/>
      <c r="G48" s="235"/>
      <c r="H48" s="104"/>
      <c r="I48" s="104"/>
      <c r="J48" s="104"/>
      <c r="K48" s="104"/>
      <c r="L48" s="104"/>
      <c r="M48" s="16" t="s">
        <v>356</v>
      </c>
      <c r="N48" s="149"/>
    </row>
    <row r="49" spans="1:18">
      <c r="A49" s="236" t="s">
        <v>404</v>
      </c>
      <c r="B49" s="280" t="s">
        <v>249</v>
      </c>
      <c r="C49" s="280" t="s">
        <v>263</v>
      </c>
      <c r="D49" s="103" t="s">
        <v>342</v>
      </c>
      <c r="E49" s="103">
        <v>1</v>
      </c>
      <c r="F49" s="104"/>
      <c r="G49" s="235"/>
      <c r="H49" s="104"/>
      <c r="I49" s="104"/>
      <c r="J49" s="104"/>
      <c r="K49" s="104"/>
      <c r="L49" s="104"/>
      <c r="M49" s="16" t="s">
        <v>357</v>
      </c>
      <c r="N49" s="149"/>
    </row>
    <row r="50" spans="1:18">
      <c r="A50" s="236" t="s">
        <v>405</v>
      </c>
      <c r="B50" s="280" t="s">
        <v>261</v>
      </c>
      <c r="C50" s="280" t="s">
        <v>259</v>
      </c>
      <c r="D50" s="16">
        <v>2</v>
      </c>
      <c r="E50" s="16">
        <v>2</v>
      </c>
      <c r="F50" s="104"/>
      <c r="G50" s="235"/>
      <c r="H50" s="104"/>
      <c r="I50" s="104"/>
      <c r="J50" s="104"/>
      <c r="K50" s="104"/>
      <c r="L50" s="104"/>
      <c r="M50" s="16" t="s">
        <v>359</v>
      </c>
      <c r="N50" s="149"/>
    </row>
    <row r="51" spans="1:18">
      <c r="A51" s="236" t="s">
        <v>406</v>
      </c>
      <c r="B51" s="280" t="s">
        <v>28</v>
      </c>
      <c r="C51" s="280" t="s">
        <v>586</v>
      </c>
      <c r="D51" s="103">
        <v>2</v>
      </c>
      <c r="E51" s="103">
        <v>2</v>
      </c>
      <c r="F51" s="104"/>
      <c r="G51" s="235"/>
      <c r="H51" s="104"/>
      <c r="I51" s="104"/>
      <c r="J51" s="104"/>
      <c r="K51" s="104"/>
      <c r="L51" s="104"/>
      <c r="M51" s="103">
        <v>2</v>
      </c>
      <c r="N51" s="235"/>
    </row>
    <row r="52" spans="1:18">
      <c r="A52" s="236"/>
      <c r="D52" s="235"/>
      <c r="E52" s="235"/>
      <c r="F52" s="104"/>
      <c r="G52" s="149"/>
      <c r="H52" s="104"/>
      <c r="I52" s="104"/>
      <c r="J52" s="104"/>
      <c r="K52" s="104"/>
      <c r="L52" s="104"/>
      <c r="M52" s="104"/>
      <c r="N52" s="235"/>
    </row>
    <row r="53" spans="1:18">
      <c r="F53" s="232" t="s">
        <v>740</v>
      </c>
      <c r="G53" s="232"/>
      <c r="H53" s="232"/>
      <c r="I53" s="232"/>
      <c r="J53" s="232"/>
      <c r="K53" s="232"/>
      <c r="L53" s="232" t="s">
        <v>523</v>
      </c>
      <c r="M53" s="232" t="s">
        <v>475</v>
      </c>
    </row>
    <row r="54" spans="1:18">
      <c r="D54" s="111">
        <v>0.5</v>
      </c>
      <c r="E54" s="111">
        <v>0.5</v>
      </c>
      <c r="F54" s="111">
        <v>432</v>
      </c>
      <c r="G54" s="232"/>
      <c r="H54" s="232"/>
      <c r="I54" s="232"/>
      <c r="J54" s="232"/>
      <c r="K54" s="232"/>
      <c r="L54" s="111">
        <v>1296</v>
      </c>
      <c r="M54" s="111">
        <v>3888</v>
      </c>
    </row>
    <row r="57" spans="1:18">
      <c r="D57" s="278" t="s">
        <v>527</v>
      </c>
      <c r="E57" s="278" t="s">
        <v>528</v>
      </c>
      <c r="M57" s="278" t="s">
        <v>567</v>
      </c>
      <c r="N57" s="63"/>
      <c r="P57" s="135"/>
      <c r="Q57" s="135"/>
      <c r="R57" s="135"/>
    </row>
    <row r="58" spans="1:18">
      <c r="A58" s="236" t="s">
        <v>392</v>
      </c>
      <c r="B58" s="281" t="s">
        <v>181</v>
      </c>
      <c r="C58" s="281" t="s">
        <v>1</v>
      </c>
      <c r="D58" s="271"/>
      <c r="E58" s="271"/>
      <c r="F58" s="124"/>
      <c r="G58" s="124"/>
      <c r="H58" s="124"/>
      <c r="I58" s="124"/>
      <c r="J58" s="124"/>
      <c r="K58" s="124"/>
      <c r="L58" s="124"/>
      <c r="M58" s="124"/>
      <c r="N58" s="136"/>
    </row>
    <row r="59" spans="1:18">
      <c r="A59" s="236" t="s">
        <v>393</v>
      </c>
      <c r="B59" s="281" t="s">
        <v>422</v>
      </c>
      <c r="C59" s="281" t="s">
        <v>47</v>
      </c>
      <c r="D59" s="124"/>
      <c r="E59" s="124"/>
      <c r="F59" s="124"/>
      <c r="G59" s="124"/>
      <c r="H59" s="124"/>
      <c r="I59" s="124"/>
      <c r="J59" s="124"/>
      <c r="K59" s="124"/>
      <c r="L59" s="124"/>
      <c r="M59" s="124"/>
    </row>
    <row r="60" spans="1:18">
      <c r="A60" s="236" t="s">
        <v>394</v>
      </c>
      <c r="B60" s="281" t="s">
        <v>2</v>
      </c>
      <c r="C60" s="281" t="s">
        <v>15</v>
      </c>
      <c r="D60" s="124"/>
      <c r="E60" s="124"/>
      <c r="F60" s="124"/>
      <c r="G60" s="124"/>
      <c r="H60" s="124"/>
      <c r="I60" s="124"/>
      <c r="J60" s="124"/>
      <c r="K60" s="124"/>
      <c r="L60" s="124"/>
      <c r="M60" s="124"/>
    </row>
    <row r="61" spans="1:18">
      <c r="A61" s="236" t="s">
        <v>395</v>
      </c>
      <c r="B61" s="281" t="s">
        <v>16</v>
      </c>
      <c r="C61" s="281" t="s">
        <v>5</v>
      </c>
      <c r="D61" s="124"/>
      <c r="E61" s="124"/>
      <c r="F61" s="124"/>
      <c r="G61" s="124"/>
      <c r="H61" s="124"/>
      <c r="I61" s="124"/>
      <c r="J61" s="124"/>
      <c r="K61" s="124"/>
      <c r="L61" s="124"/>
      <c r="M61" s="124"/>
      <c r="P61" s="135"/>
      <c r="Q61" s="135"/>
      <c r="R61" s="135"/>
    </row>
    <row r="62" spans="1:18">
      <c r="A62" s="236" t="s">
        <v>396</v>
      </c>
      <c r="B62" s="281" t="s">
        <v>0</v>
      </c>
      <c r="C62" s="281" t="s">
        <v>308</v>
      </c>
      <c r="D62" s="124"/>
      <c r="E62" s="124"/>
      <c r="F62" s="124"/>
      <c r="G62" s="124"/>
      <c r="H62" s="124"/>
      <c r="I62" s="124"/>
      <c r="J62" s="124"/>
      <c r="K62" s="124"/>
      <c r="L62" s="124"/>
      <c r="M62" s="124"/>
      <c r="P62" s="135"/>
      <c r="Q62" s="135"/>
      <c r="R62" s="135"/>
    </row>
    <row r="63" spans="1:18">
      <c r="A63" s="236" t="s">
        <v>397</v>
      </c>
      <c r="B63" s="281" t="s">
        <v>504</v>
      </c>
      <c r="C63" s="281" t="s">
        <v>599</v>
      </c>
      <c r="D63" s="271"/>
      <c r="E63" s="271"/>
      <c r="F63" s="124"/>
      <c r="G63" s="124"/>
      <c r="H63" s="124"/>
      <c r="I63" s="124"/>
      <c r="J63" s="124"/>
      <c r="K63" s="124"/>
      <c r="L63" s="124"/>
      <c r="M63" s="124"/>
      <c r="P63" s="135"/>
      <c r="Q63" s="135"/>
    </row>
    <row r="64" spans="1:18">
      <c r="A64" s="236" t="s">
        <v>398</v>
      </c>
      <c r="B64" s="281" t="s">
        <v>73</v>
      </c>
      <c r="C64" s="281" t="s">
        <v>587</v>
      </c>
      <c r="D64" s="124"/>
      <c r="E64" s="124"/>
      <c r="F64" s="124"/>
      <c r="G64" s="124"/>
      <c r="H64" s="124"/>
      <c r="I64" s="124"/>
      <c r="J64" s="124"/>
      <c r="K64" s="124"/>
      <c r="L64" s="124"/>
      <c r="M64" s="124"/>
    </row>
    <row r="65" spans="1:13">
      <c r="A65" s="236" t="s">
        <v>399</v>
      </c>
      <c r="B65" s="281" t="s">
        <v>588</v>
      </c>
      <c r="C65" s="281" t="s">
        <v>4</v>
      </c>
      <c r="D65" s="124"/>
      <c r="E65" s="124"/>
      <c r="F65" s="124"/>
      <c r="G65" s="228"/>
      <c r="H65" s="124"/>
      <c r="I65" s="124"/>
      <c r="J65" s="124"/>
      <c r="K65" s="124"/>
      <c r="L65" s="124"/>
      <c r="M65" s="124"/>
    </row>
    <row r="66" spans="1:13">
      <c r="A66" s="236" t="s">
        <v>400</v>
      </c>
      <c r="B66" s="281" t="s">
        <v>585</v>
      </c>
      <c r="C66" s="281" t="s">
        <v>26</v>
      </c>
      <c r="D66" s="271"/>
      <c r="E66" s="271"/>
      <c r="F66" s="124"/>
      <c r="G66" s="124"/>
      <c r="H66" s="124"/>
      <c r="I66" s="124"/>
      <c r="J66" s="124"/>
      <c r="K66" s="124"/>
      <c r="L66" s="124"/>
      <c r="M66" s="124"/>
    </row>
    <row r="67" spans="1:13">
      <c r="A67" s="236" t="s">
        <v>401</v>
      </c>
      <c r="B67" s="281" t="s">
        <v>252</v>
      </c>
      <c r="C67" s="281" t="s">
        <v>276</v>
      </c>
      <c r="D67" s="124"/>
      <c r="E67" s="124"/>
      <c r="F67" s="124"/>
      <c r="G67" s="124"/>
      <c r="H67" s="124"/>
      <c r="I67" s="124"/>
      <c r="J67" s="124"/>
      <c r="K67" s="124"/>
      <c r="L67" s="124"/>
      <c r="M67" s="124"/>
    </row>
    <row r="68" spans="1:13">
      <c r="A68" s="236" t="s">
        <v>402</v>
      </c>
      <c r="B68" s="281" t="s">
        <v>267</v>
      </c>
      <c r="C68" s="281" t="s">
        <v>262</v>
      </c>
      <c r="D68" s="124"/>
      <c r="E68" s="124"/>
      <c r="F68" s="124"/>
      <c r="G68" s="124"/>
      <c r="H68" s="124"/>
      <c r="I68" s="124"/>
      <c r="J68" s="124"/>
      <c r="K68" s="124"/>
      <c r="L68" s="124"/>
      <c r="M68" s="124"/>
    </row>
    <row r="69" spans="1:13">
      <c r="A69" s="236" t="s">
        <v>403</v>
      </c>
      <c r="B69" s="281" t="s">
        <v>274</v>
      </c>
      <c r="C69" s="281" t="s">
        <v>495</v>
      </c>
      <c r="D69" s="124"/>
      <c r="E69" s="124"/>
      <c r="F69" s="124"/>
      <c r="G69" s="124"/>
      <c r="H69" s="124"/>
      <c r="I69" s="124"/>
      <c r="J69" s="124"/>
      <c r="K69" s="124"/>
      <c r="L69" s="124"/>
      <c r="M69" s="124"/>
    </row>
    <row r="70" spans="1:13">
      <c r="A70" s="236" t="s">
        <v>404</v>
      </c>
      <c r="B70" s="281" t="s">
        <v>249</v>
      </c>
      <c r="C70" s="281" t="s">
        <v>263</v>
      </c>
      <c r="D70" s="124"/>
      <c r="E70" s="124"/>
      <c r="F70" s="124"/>
      <c r="G70" s="124"/>
      <c r="H70" s="124"/>
      <c r="I70" s="124"/>
      <c r="J70" s="124"/>
      <c r="K70" s="124"/>
      <c r="L70" s="124"/>
      <c r="M70" s="124"/>
    </row>
    <row r="71" spans="1:13">
      <c r="A71" s="236" t="s">
        <v>405</v>
      </c>
      <c r="B71" s="281" t="s">
        <v>261</v>
      </c>
      <c r="C71" s="281" t="s">
        <v>259</v>
      </c>
      <c r="D71" s="124"/>
      <c r="E71" s="124"/>
      <c r="F71" s="124"/>
      <c r="G71" s="124"/>
      <c r="H71" s="124"/>
      <c r="I71" s="124"/>
      <c r="J71" s="124"/>
      <c r="K71" s="124"/>
      <c r="L71" s="124"/>
      <c r="M71" s="124"/>
    </row>
    <row r="72" spans="1:13">
      <c r="A72" s="236" t="s">
        <v>406</v>
      </c>
      <c r="B72" s="281" t="s">
        <v>28</v>
      </c>
      <c r="C72" s="281" t="s">
        <v>586</v>
      </c>
      <c r="D72" s="124"/>
      <c r="E72" s="124"/>
      <c r="F72" s="124"/>
      <c r="G72" s="124"/>
      <c r="H72" s="124"/>
      <c r="I72" s="124"/>
      <c r="J72" s="124"/>
      <c r="K72" s="124"/>
      <c r="L72" s="124"/>
      <c r="M72" s="124"/>
    </row>
    <row r="74" spans="1:13">
      <c r="M74" s="232" t="s">
        <v>568</v>
      </c>
    </row>
    <row r="75" spans="1:13">
      <c r="D75" s="111">
        <v>0.5</v>
      </c>
      <c r="E75" s="111">
        <v>0.5</v>
      </c>
      <c r="M75" s="111">
        <v>2916</v>
      </c>
    </row>
  </sheetData>
  <pageMargins left="0.7" right="0.7" top="0.75" bottom="0.75" header="0.3" footer="0.3"/>
  <pageSetup paperSize="9" orientation="portrait" horizontalDpi="0" verticalDpi="0" r:id="rId1"/>
</worksheet>
</file>

<file path=xl/worksheets/sheet33.xml><?xml version="1.0" encoding="utf-8"?>
<worksheet xmlns="http://schemas.openxmlformats.org/spreadsheetml/2006/main" xmlns:r="http://schemas.openxmlformats.org/officeDocument/2006/relationships">
  <sheetPr codeName="Hoja26"/>
  <dimension ref="A1:H13"/>
  <sheetViews>
    <sheetView workbookViewId="0">
      <selection activeCell="N22" sqref="N22"/>
    </sheetView>
  </sheetViews>
  <sheetFormatPr baseColWidth="10" defaultRowHeight="15"/>
  <cols>
    <col min="4" max="4" width="16.42578125" bestFit="1" customWidth="1"/>
    <col min="5" max="5" width="11.42578125" style="230"/>
  </cols>
  <sheetData>
    <row r="1" spans="1:8" s="230" customFormat="1">
      <c r="C1" s="230" t="s">
        <v>615</v>
      </c>
      <c r="D1" s="230" t="s">
        <v>616</v>
      </c>
      <c r="E1" s="230" t="s">
        <v>294</v>
      </c>
      <c r="F1" s="230" t="s">
        <v>617</v>
      </c>
      <c r="G1" s="230" t="s">
        <v>383</v>
      </c>
    </row>
    <row r="2" spans="1:8">
      <c r="A2" s="230" t="s">
        <v>308</v>
      </c>
      <c r="B2" s="230" t="s">
        <v>181</v>
      </c>
      <c r="C2" s="230" t="s">
        <v>618</v>
      </c>
      <c r="D2" s="230" t="s">
        <v>619</v>
      </c>
      <c r="E2" s="86">
        <f>((38-1)*0.95)+1</f>
        <v>36.15</v>
      </c>
      <c r="F2">
        <v>0.1</v>
      </c>
      <c r="G2">
        <f>-F2</f>
        <v>-0.1</v>
      </c>
      <c r="H2" s="230" t="s">
        <v>614</v>
      </c>
    </row>
    <row r="3" spans="1:8">
      <c r="A3" s="230" t="s">
        <v>62</v>
      </c>
      <c r="B3" s="230" t="s">
        <v>0</v>
      </c>
      <c r="C3" s="230" t="s">
        <v>620</v>
      </c>
      <c r="D3" s="230" t="s">
        <v>621</v>
      </c>
      <c r="E3" s="230">
        <v>1.476</v>
      </c>
      <c r="F3">
        <v>0.5</v>
      </c>
      <c r="G3">
        <f>+(E3-1)*F3</f>
        <v>0.23799999999999999</v>
      </c>
      <c r="H3" t="s">
        <v>582</v>
      </c>
    </row>
    <row r="4" spans="1:8">
      <c r="A4" s="230" t="s">
        <v>62</v>
      </c>
      <c r="B4" s="230" t="s">
        <v>0</v>
      </c>
      <c r="C4" s="230" t="s">
        <v>618</v>
      </c>
      <c r="D4" s="230" t="s">
        <v>622</v>
      </c>
      <c r="E4" s="86">
        <f>((8.8-1)*0.95)+1</f>
        <v>8.41</v>
      </c>
      <c r="F4" s="235">
        <v>0.15</v>
      </c>
      <c r="G4">
        <f>-F4</f>
        <v>-0.15</v>
      </c>
      <c r="H4" t="s">
        <v>582</v>
      </c>
    </row>
    <row r="5" spans="1:8">
      <c r="A5" s="230" t="s">
        <v>26</v>
      </c>
      <c r="B5" s="230" t="s">
        <v>16</v>
      </c>
      <c r="C5" s="230" t="s">
        <v>618</v>
      </c>
      <c r="D5" s="230" t="s">
        <v>623</v>
      </c>
      <c r="E5" s="86">
        <f>((21-1)*0.95)+1</f>
        <v>20</v>
      </c>
      <c r="F5" s="235">
        <v>0.15</v>
      </c>
      <c r="G5">
        <f>-F5</f>
        <v>-0.15</v>
      </c>
      <c r="H5" s="230" t="s">
        <v>624</v>
      </c>
    </row>
    <row r="12" spans="1:8">
      <c r="A12" s="230"/>
      <c r="B12" s="230"/>
    </row>
    <row r="13" spans="1:8">
      <c r="A13" s="230"/>
      <c r="B13" s="230"/>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sheetPr codeName="Hoja27"/>
  <dimension ref="A1:J22"/>
  <sheetViews>
    <sheetView workbookViewId="0">
      <selection activeCell="A8" sqref="A8:D8"/>
    </sheetView>
  </sheetViews>
  <sheetFormatPr baseColWidth="10" defaultRowHeight="15"/>
  <cols>
    <col min="1" max="1" width="14.28515625" customWidth="1"/>
    <col min="2" max="2" width="23.5703125" bestFit="1" customWidth="1"/>
    <col min="3" max="4" width="14.28515625" customWidth="1"/>
    <col min="5" max="5" width="28" bestFit="1" customWidth="1"/>
    <col min="7" max="7" width="14.28515625" customWidth="1"/>
    <col min="8" max="8" width="27.85546875" bestFit="1" customWidth="1"/>
    <col min="9" max="10" width="14.28515625" customWidth="1"/>
  </cols>
  <sheetData>
    <row r="1" spans="1:10">
      <c r="A1" s="21" t="s">
        <v>27</v>
      </c>
      <c r="B1" s="21" t="s">
        <v>55</v>
      </c>
      <c r="C1" s="21" t="s">
        <v>56</v>
      </c>
      <c r="D1" s="21" t="s">
        <v>57</v>
      </c>
      <c r="G1" s="18" t="s">
        <v>74</v>
      </c>
    </row>
    <row r="2" spans="1:10">
      <c r="A2" t="s">
        <v>28</v>
      </c>
      <c r="B2" t="s">
        <v>58</v>
      </c>
      <c r="C2" s="21" t="s">
        <v>56</v>
      </c>
      <c r="D2" s="21" t="s">
        <v>57</v>
      </c>
      <c r="G2" s="25" t="s">
        <v>27</v>
      </c>
      <c r="H2" s="25" t="s">
        <v>75</v>
      </c>
      <c r="I2" s="25" t="s">
        <v>65</v>
      </c>
      <c r="J2" s="26" t="s">
        <v>70</v>
      </c>
    </row>
    <row r="3" spans="1:10">
      <c r="A3" t="s">
        <v>26</v>
      </c>
      <c r="B3" t="s">
        <v>59</v>
      </c>
      <c r="C3" s="21" t="s">
        <v>56</v>
      </c>
      <c r="D3" s="21" t="s">
        <v>57</v>
      </c>
    </row>
    <row r="4" spans="1:10">
      <c r="A4" t="s">
        <v>10</v>
      </c>
      <c r="B4" t="s">
        <v>60</v>
      </c>
      <c r="C4" s="21" t="s">
        <v>56</v>
      </c>
      <c r="D4" s="21" t="s">
        <v>57</v>
      </c>
    </row>
    <row r="5" spans="1:10">
      <c r="A5" t="s">
        <v>2</v>
      </c>
      <c r="B5" t="s">
        <v>59</v>
      </c>
      <c r="C5" s="21" t="s">
        <v>56</v>
      </c>
      <c r="D5" s="21" t="s">
        <v>57</v>
      </c>
      <c r="E5" t="s">
        <v>61</v>
      </c>
    </row>
    <row r="6" spans="1:10">
      <c r="A6" t="s">
        <v>62</v>
      </c>
      <c r="B6" t="s">
        <v>60</v>
      </c>
      <c r="C6" s="21" t="s">
        <v>56</v>
      </c>
      <c r="D6" s="21" t="s">
        <v>57</v>
      </c>
    </row>
    <row r="7" spans="1:10">
      <c r="A7" t="s">
        <v>5</v>
      </c>
      <c r="B7" t="s">
        <v>59</v>
      </c>
      <c r="C7" s="21" t="s">
        <v>56</v>
      </c>
      <c r="D7" s="21" t="s">
        <v>57</v>
      </c>
    </row>
    <row r="8" spans="1:10">
      <c r="A8" t="s">
        <v>4</v>
      </c>
      <c r="B8" t="s">
        <v>59</v>
      </c>
      <c r="C8" s="21" t="s">
        <v>56</v>
      </c>
      <c r="D8" s="21" t="s">
        <v>57</v>
      </c>
    </row>
    <row r="9" spans="1:10">
      <c r="A9" t="s">
        <v>3</v>
      </c>
      <c r="B9" t="s">
        <v>59</v>
      </c>
      <c r="C9" s="21" t="s">
        <v>64</v>
      </c>
      <c r="D9" s="21" t="s">
        <v>63</v>
      </c>
      <c r="E9" t="s">
        <v>72</v>
      </c>
    </row>
    <row r="10" spans="1:10">
      <c r="A10" t="s">
        <v>5</v>
      </c>
      <c r="B10" t="s">
        <v>60</v>
      </c>
      <c r="C10" s="21" t="s">
        <v>65</v>
      </c>
      <c r="D10" s="21" t="s">
        <v>57</v>
      </c>
    </row>
    <row r="11" spans="1:10">
      <c r="A11" t="s">
        <v>47</v>
      </c>
      <c r="B11" t="s">
        <v>69</v>
      </c>
      <c r="C11" t="s">
        <v>64</v>
      </c>
      <c r="D11" t="s">
        <v>68</v>
      </c>
    </row>
    <row r="12" spans="1:10">
      <c r="A12" t="s">
        <v>26</v>
      </c>
      <c r="B12" t="s">
        <v>59</v>
      </c>
      <c r="C12" t="s">
        <v>64</v>
      </c>
      <c r="D12" t="s">
        <v>70</v>
      </c>
    </row>
    <row r="13" spans="1:10">
      <c r="A13" t="s">
        <v>10</v>
      </c>
      <c r="B13" t="s">
        <v>59</v>
      </c>
      <c r="C13" t="s">
        <v>64</v>
      </c>
      <c r="D13" t="s">
        <v>70</v>
      </c>
      <c r="E13" t="s">
        <v>71</v>
      </c>
    </row>
    <row r="14" spans="1:10">
      <c r="A14" t="s">
        <v>73</v>
      </c>
      <c r="B14" t="s">
        <v>69</v>
      </c>
      <c r="C14" t="s">
        <v>64</v>
      </c>
      <c r="D14" t="s">
        <v>70</v>
      </c>
    </row>
    <row r="15" spans="1:10">
      <c r="A15" s="22" t="s">
        <v>16</v>
      </c>
      <c r="B15" s="22" t="s">
        <v>76</v>
      </c>
      <c r="C15" s="23" t="s">
        <v>65</v>
      </c>
      <c r="D15" s="22" t="s">
        <v>68</v>
      </c>
    </row>
    <row r="16" spans="1:10">
      <c r="A16" s="24" t="s">
        <v>67</v>
      </c>
      <c r="B16" s="24" t="s">
        <v>100</v>
      </c>
      <c r="C16" s="23" t="s">
        <v>65</v>
      </c>
      <c r="D16" s="22" t="s">
        <v>68</v>
      </c>
    </row>
    <row r="17" spans="1:5">
      <c r="A17" s="24" t="s">
        <v>2</v>
      </c>
      <c r="B17" s="24" t="s">
        <v>59</v>
      </c>
      <c r="C17" s="23" t="s">
        <v>65</v>
      </c>
      <c r="D17" s="24" t="s">
        <v>77</v>
      </c>
      <c r="E17" t="s">
        <v>78</v>
      </c>
    </row>
    <row r="18" spans="1:5">
      <c r="A18" s="24" t="s">
        <v>4</v>
      </c>
      <c r="B18" s="24" t="s">
        <v>79</v>
      </c>
      <c r="C18" s="23" t="s">
        <v>65</v>
      </c>
      <c r="D18" s="24" t="s">
        <v>70</v>
      </c>
    </row>
    <row r="20" spans="1:5">
      <c r="A20" s="18" t="s">
        <v>66</v>
      </c>
      <c r="B20" s="18"/>
    </row>
    <row r="21" spans="1:5">
      <c r="A21" t="s">
        <v>67</v>
      </c>
      <c r="B21" t="s">
        <v>59</v>
      </c>
      <c r="C21" t="s">
        <v>64</v>
      </c>
      <c r="D21" t="s">
        <v>68</v>
      </c>
    </row>
    <row r="22" spans="1:5">
      <c r="A22" t="s">
        <v>62</v>
      </c>
      <c r="B22" t="s">
        <v>59</v>
      </c>
      <c r="C22" t="s">
        <v>64</v>
      </c>
      <c r="D22" t="s">
        <v>70</v>
      </c>
    </row>
  </sheetData>
  <pageMargins left="0.7" right="0.7" top="0.75" bottom="0.75" header="0.3" footer="0.3"/>
  <pageSetup paperSize="9" orientation="portrait" horizontalDpi="0" verticalDpi="0" r:id="rId1"/>
</worksheet>
</file>

<file path=xl/worksheets/sheet35.xml><?xml version="1.0" encoding="utf-8"?>
<worksheet xmlns="http://schemas.openxmlformats.org/spreadsheetml/2006/main" xmlns:r="http://schemas.openxmlformats.org/officeDocument/2006/relationships">
  <sheetPr codeName="Hoja28"/>
  <dimension ref="A1:V6"/>
  <sheetViews>
    <sheetView workbookViewId="0">
      <pane ySplit="1" topLeftCell="A2" activePane="bottomLeft" state="frozen"/>
      <selection pane="bottomLeft" activeCell="H11" sqref="H11"/>
    </sheetView>
  </sheetViews>
  <sheetFormatPr baseColWidth="10" defaultRowHeight="15"/>
  <cols>
    <col min="2" max="2" width="6.42578125" customWidth="1"/>
    <col min="3" max="3" width="5.7109375" customWidth="1"/>
    <col min="6" max="6" width="2.7109375" customWidth="1"/>
    <col min="7" max="7" width="12.140625" customWidth="1"/>
    <col min="8" max="8" width="7.85546875" customWidth="1"/>
    <col min="9" max="9" width="2.85546875" customWidth="1"/>
    <col min="10" max="12" width="10" style="41" customWidth="1"/>
    <col min="13" max="13" width="2.28515625" style="41" customWidth="1"/>
    <col min="14" max="16" width="10" style="41" customWidth="1"/>
    <col min="17" max="17" width="2.28515625" style="41" customWidth="1"/>
    <col min="18" max="20" width="11.42578125" style="41"/>
    <col min="21" max="21" width="2.7109375" customWidth="1"/>
    <col min="22" max="22" width="11.42578125" style="28"/>
  </cols>
  <sheetData>
    <row r="1" spans="1:22" s="37" customFormat="1" ht="15" customHeight="1">
      <c r="A1" s="39" t="s">
        <v>140</v>
      </c>
      <c r="B1" s="39" t="s">
        <v>141</v>
      </c>
      <c r="C1" s="39" t="s">
        <v>144</v>
      </c>
      <c r="D1" s="39" t="s">
        <v>142</v>
      </c>
      <c r="E1" s="39" t="s">
        <v>143</v>
      </c>
      <c r="F1" s="39"/>
      <c r="G1" s="285" t="s">
        <v>130</v>
      </c>
      <c r="H1" s="285"/>
      <c r="J1" s="284" t="s">
        <v>129</v>
      </c>
      <c r="K1" s="284"/>
      <c r="L1" s="284"/>
      <c r="M1" s="40"/>
      <c r="N1" s="284" t="s">
        <v>132</v>
      </c>
      <c r="O1" s="284"/>
      <c r="P1" s="284"/>
      <c r="Q1" s="40"/>
      <c r="R1" s="284" t="s">
        <v>133</v>
      </c>
      <c r="S1" s="284"/>
      <c r="T1" s="284"/>
      <c r="V1" s="69" t="s">
        <v>139</v>
      </c>
    </row>
    <row r="2" spans="1:22">
      <c r="A2" s="35">
        <v>40939</v>
      </c>
      <c r="B2" s="36">
        <v>0.91666666666666663</v>
      </c>
      <c r="C2" t="s">
        <v>6</v>
      </c>
      <c r="D2" t="s">
        <v>127</v>
      </c>
      <c r="E2" t="s">
        <v>128</v>
      </c>
      <c r="G2" s="35">
        <v>40939</v>
      </c>
      <c r="H2" s="36">
        <v>0.91388888888888886</v>
      </c>
      <c r="I2" s="38"/>
      <c r="J2" s="41">
        <v>3.9</v>
      </c>
      <c r="K2" s="41">
        <v>3.4</v>
      </c>
      <c r="L2" s="41">
        <v>1.91</v>
      </c>
      <c r="N2" s="41">
        <v>5</v>
      </c>
      <c r="O2" s="41">
        <v>3.5</v>
      </c>
      <c r="P2" s="41">
        <v>1.7</v>
      </c>
      <c r="R2" s="41">
        <v>5</v>
      </c>
      <c r="S2" s="41">
        <v>3.5</v>
      </c>
      <c r="T2" s="41">
        <v>1.91</v>
      </c>
      <c r="V2" s="28" t="s">
        <v>39</v>
      </c>
    </row>
    <row r="3" spans="1:22">
      <c r="A3" s="35">
        <v>40940</v>
      </c>
      <c r="B3" s="36">
        <v>0.875</v>
      </c>
      <c r="C3" t="s">
        <v>6</v>
      </c>
      <c r="D3" t="s">
        <v>137</v>
      </c>
      <c r="E3" t="s">
        <v>138</v>
      </c>
      <c r="G3" s="35">
        <v>40940</v>
      </c>
      <c r="H3" s="36">
        <v>0.8534722222222223</v>
      </c>
      <c r="J3" s="41">
        <v>6</v>
      </c>
      <c r="K3" s="41">
        <v>4.3499999999999996</v>
      </c>
      <c r="L3" s="41">
        <v>1.48</v>
      </c>
      <c r="N3" s="41">
        <v>5</v>
      </c>
      <c r="O3" s="41">
        <v>3.8</v>
      </c>
      <c r="P3" s="41">
        <v>1.65</v>
      </c>
      <c r="R3" s="41">
        <v>5.28</v>
      </c>
      <c r="S3" s="41">
        <v>3.85</v>
      </c>
      <c r="T3" s="41">
        <v>1.7</v>
      </c>
      <c r="V3" s="28" t="s">
        <v>38</v>
      </c>
    </row>
    <row r="4" spans="1:22">
      <c r="H4" s="38"/>
    </row>
    <row r="5" spans="1:22">
      <c r="H5" s="36"/>
    </row>
    <row r="6" spans="1:22">
      <c r="H6" s="38"/>
    </row>
  </sheetData>
  <mergeCells count="4">
    <mergeCell ref="R1:T1"/>
    <mergeCell ref="J1:L1"/>
    <mergeCell ref="N1:P1"/>
    <mergeCell ref="G1:H1"/>
  </mergeCells>
  <pageMargins left="0.7" right="0.7" top="0.75" bottom="0.75" header="0.3" footer="0.3"/>
  <pageSetup paperSize="9" orientation="portrait" horizontalDpi="0" verticalDpi="0" r:id="rId1"/>
</worksheet>
</file>

<file path=xl/worksheets/sheet36.xml><?xml version="1.0" encoding="utf-8"?>
<worksheet xmlns="http://schemas.openxmlformats.org/spreadsheetml/2006/main" xmlns:r="http://schemas.openxmlformats.org/officeDocument/2006/relationships">
  <sheetPr codeName="Hoja29"/>
  <dimension ref="A1:J20"/>
  <sheetViews>
    <sheetView workbookViewId="0">
      <selection activeCell="J11" sqref="J11"/>
    </sheetView>
  </sheetViews>
  <sheetFormatPr baseColWidth="10" defaultRowHeight="15"/>
  <cols>
    <col min="8" max="8" width="4.5703125" bestFit="1" customWidth="1"/>
  </cols>
  <sheetData>
    <row r="1" spans="1:10">
      <c r="A1" s="4" t="s">
        <v>12</v>
      </c>
      <c r="B1" s="4" t="s">
        <v>0</v>
      </c>
      <c r="C1" s="4" t="s">
        <v>3</v>
      </c>
      <c r="D1" s="4" t="s">
        <v>49</v>
      </c>
      <c r="E1" s="5">
        <v>3</v>
      </c>
      <c r="F1" s="4">
        <v>1.95</v>
      </c>
      <c r="G1" s="10" t="s">
        <v>36</v>
      </c>
      <c r="H1">
        <v>1</v>
      </c>
      <c r="J1" s="62">
        <f>IF(H1=1,E1*(F1-1),-E1)</f>
        <v>2.8499999999999996</v>
      </c>
    </row>
    <row r="2" spans="1:10">
      <c r="A2" s="12" t="s">
        <v>6</v>
      </c>
      <c r="B2" s="12" t="s">
        <v>10</v>
      </c>
      <c r="C2" s="12" t="s">
        <v>13</v>
      </c>
      <c r="D2" s="12" t="s">
        <v>49</v>
      </c>
      <c r="E2" s="13">
        <v>2</v>
      </c>
      <c r="F2" s="14">
        <f>((2.16-1)*0.95)+1</f>
        <v>2.1020000000000003</v>
      </c>
      <c r="G2" s="15" t="s">
        <v>38</v>
      </c>
      <c r="H2">
        <v>0</v>
      </c>
      <c r="J2" s="62">
        <f t="shared" ref="J2:J16" si="0">IF(H2=1,E2*(F2-1),-E2)</f>
        <v>-2</v>
      </c>
    </row>
    <row r="3" spans="1:10">
      <c r="A3" s="4" t="s">
        <v>12</v>
      </c>
      <c r="B3" s="4" t="s">
        <v>15</v>
      </c>
      <c r="C3" s="4" t="s">
        <v>2</v>
      </c>
      <c r="D3" s="4" t="s">
        <v>48</v>
      </c>
      <c r="E3" s="5">
        <v>1.5</v>
      </c>
      <c r="F3" s="9">
        <f>((3.6-1)*0.95)+1</f>
        <v>3.4699999999999998</v>
      </c>
      <c r="G3" s="10" t="s">
        <v>39</v>
      </c>
      <c r="H3">
        <v>1</v>
      </c>
      <c r="J3" s="62">
        <f t="shared" si="0"/>
        <v>3.7049999999999996</v>
      </c>
    </row>
    <row r="4" spans="1:10">
      <c r="A4" s="12" t="s">
        <v>12</v>
      </c>
      <c r="B4" s="12" t="s">
        <v>5</v>
      </c>
      <c r="C4" s="12" t="s">
        <v>16</v>
      </c>
      <c r="D4" s="12" t="s">
        <v>48</v>
      </c>
      <c r="E4" s="13">
        <v>1</v>
      </c>
      <c r="F4" s="14">
        <f>((5.3-1)*0.95)+1</f>
        <v>5.085</v>
      </c>
      <c r="G4" s="15" t="s">
        <v>37</v>
      </c>
      <c r="H4">
        <v>0</v>
      </c>
      <c r="J4" s="62">
        <f t="shared" si="0"/>
        <v>-1</v>
      </c>
    </row>
    <row r="5" spans="1:10">
      <c r="A5" s="12" t="s">
        <v>12</v>
      </c>
      <c r="B5" s="12" t="s">
        <v>26</v>
      </c>
      <c r="C5" s="12" t="s">
        <v>10</v>
      </c>
      <c r="D5" s="13" t="s">
        <v>49</v>
      </c>
      <c r="E5" s="13">
        <v>3</v>
      </c>
      <c r="F5" s="12">
        <v>1.75</v>
      </c>
      <c r="G5" s="15" t="s">
        <v>82</v>
      </c>
      <c r="H5">
        <v>0</v>
      </c>
      <c r="J5" s="62">
        <f t="shared" si="0"/>
        <v>-3</v>
      </c>
    </row>
    <row r="6" spans="1:10">
      <c r="A6" s="4" t="s">
        <v>12</v>
      </c>
      <c r="B6" s="4" t="s">
        <v>27</v>
      </c>
      <c r="C6" s="4" t="s">
        <v>28</v>
      </c>
      <c r="D6" s="5" t="s">
        <v>49</v>
      </c>
      <c r="E6" s="5">
        <v>3</v>
      </c>
      <c r="F6" s="4">
        <v>1.6</v>
      </c>
      <c r="G6" s="10" t="s">
        <v>41</v>
      </c>
      <c r="H6">
        <v>1</v>
      </c>
      <c r="J6" s="62">
        <f t="shared" si="0"/>
        <v>1.8000000000000003</v>
      </c>
    </row>
    <row r="7" spans="1:10">
      <c r="A7" s="12" t="s">
        <v>12</v>
      </c>
      <c r="B7" s="12" t="s">
        <v>3</v>
      </c>
      <c r="C7" s="12" t="s">
        <v>67</v>
      </c>
      <c r="D7" s="12" t="s">
        <v>34</v>
      </c>
      <c r="E7" s="13">
        <v>0.6</v>
      </c>
      <c r="F7" s="14">
        <v>3.3</v>
      </c>
      <c r="G7" s="15" t="s">
        <v>42</v>
      </c>
      <c r="H7">
        <v>0</v>
      </c>
      <c r="J7" s="62">
        <f t="shared" si="0"/>
        <v>-0.6</v>
      </c>
    </row>
    <row r="8" spans="1:10">
      <c r="A8" s="4" t="s">
        <v>12</v>
      </c>
      <c r="B8" s="4" t="s">
        <v>134</v>
      </c>
      <c r="C8" s="4" t="s">
        <v>73</v>
      </c>
      <c r="D8" s="4" t="s">
        <v>49</v>
      </c>
      <c r="E8" s="5">
        <v>2</v>
      </c>
      <c r="F8" s="9">
        <f>((1.74-1)*0.95)+1</f>
        <v>1.7029999999999998</v>
      </c>
      <c r="G8" s="16" t="s">
        <v>41</v>
      </c>
      <c r="H8">
        <v>1</v>
      </c>
      <c r="J8" s="62">
        <f t="shared" si="0"/>
        <v>1.4059999999999997</v>
      </c>
    </row>
    <row r="9" spans="1:10">
      <c r="A9" s="42" t="s">
        <v>12</v>
      </c>
      <c r="B9" s="42" t="s">
        <v>2</v>
      </c>
      <c r="C9" s="42" t="s">
        <v>47</v>
      </c>
      <c r="D9" s="42" t="s">
        <v>48</v>
      </c>
      <c r="E9" s="43">
        <v>1.5</v>
      </c>
      <c r="F9" s="44">
        <f>((3.95-1)*0.95)+1</f>
        <v>3.8025000000000002</v>
      </c>
      <c r="G9" s="45" t="s">
        <v>43</v>
      </c>
      <c r="H9">
        <v>1</v>
      </c>
      <c r="J9" s="62">
        <f t="shared" si="0"/>
        <v>4.2037500000000003</v>
      </c>
    </row>
    <row r="10" spans="1:10">
      <c r="A10" s="46" t="s">
        <v>12</v>
      </c>
      <c r="B10" s="46" t="s">
        <v>28</v>
      </c>
      <c r="C10" s="46" t="s">
        <v>1</v>
      </c>
      <c r="D10" s="46" t="s">
        <v>49</v>
      </c>
      <c r="E10" s="47">
        <v>2</v>
      </c>
      <c r="F10" s="48">
        <f>((1.96-1)*0.95)+1</f>
        <v>1.9119999999999999</v>
      </c>
      <c r="G10" s="49" t="s">
        <v>37</v>
      </c>
      <c r="H10">
        <v>0</v>
      </c>
      <c r="J10" s="62">
        <f t="shared" si="0"/>
        <v>-2</v>
      </c>
    </row>
    <row r="11" spans="1:10">
      <c r="A11" s="46" t="s">
        <v>12</v>
      </c>
      <c r="B11" s="46" t="s">
        <v>26</v>
      </c>
      <c r="C11" s="46" t="s">
        <v>4</v>
      </c>
      <c r="D11" s="46" t="s">
        <v>48</v>
      </c>
      <c r="E11" s="47">
        <v>1.5</v>
      </c>
      <c r="F11" s="48">
        <v>2.2000000000000002</v>
      </c>
      <c r="G11" s="49" t="s">
        <v>38</v>
      </c>
      <c r="H11">
        <v>0</v>
      </c>
      <c r="J11" s="62">
        <f t="shared" si="0"/>
        <v>-1.5</v>
      </c>
    </row>
    <row r="12" spans="1:10">
      <c r="A12" s="50" t="s">
        <v>12</v>
      </c>
      <c r="B12" s="50" t="s">
        <v>2</v>
      </c>
      <c r="C12" s="50" t="s">
        <v>27</v>
      </c>
      <c r="D12" s="50" t="s">
        <v>49</v>
      </c>
      <c r="E12" s="51">
        <v>1.5</v>
      </c>
      <c r="F12" s="52">
        <v>2.9</v>
      </c>
      <c r="G12" s="53" t="s">
        <v>121</v>
      </c>
      <c r="H12">
        <v>0</v>
      </c>
      <c r="J12" s="62">
        <f t="shared" si="0"/>
        <v>-1.5</v>
      </c>
    </row>
    <row r="13" spans="1:10">
      <c r="A13" s="54" t="s">
        <v>12</v>
      </c>
      <c r="B13" s="54" t="s">
        <v>16</v>
      </c>
      <c r="C13" s="54" t="s">
        <v>47</v>
      </c>
      <c r="D13" s="54" t="s">
        <v>49</v>
      </c>
      <c r="E13" s="55">
        <v>2</v>
      </c>
      <c r="F13" s="56">
        <f>((2.1-1)*0.95)+1</f>
        <v>2.0449999999999999</v>
      </c>
      <c r="G13" s="57" t="s">
        <v>122</v>
      </c>
      <c r="H13">
        <v>1</v>
      </c>
      <c r="J13" s="62">
        <f t="shared" si="0"/>
        <v>2.09</v>
      </c>
    </row>
    <row r="14" spans="1:10">
      <c r="A14" s="54" t="s">
        <v>12</v>
      </c>
      <c r="B14" s="54" t="s">
        <v>0</v>
      </c>
      <c r="C14" s="54" t="s">
        <v>15</v>
      </c>
      <c r="D14" s="54" t="s">
        <v>48</v>
      </c>
      <c r="E14" s="55">
        <v>0.75</v>
      </c>
      <c r="F14" s="56">
        <f>((4.6-1)*0.95)+1</f>
        <v>4.42</v>
      </c>
      <c r="G14" s="57" t="s">
        <v>39</v>
      </c>
      <c r="H14">
        <v>1</v>
      </c>
      <c r="J14" s="62">
        <f t="shared" si="0"/>
        <v>2.5649999999999999</v>
      </c>
    </row>
    <row r="15" spans="1:10">
      <c r="A15" s="46" t="s">
        <v>12</v>
      </c>
      <c r="B15" s="46" t="s">
        <v>67</v>
      </c>
      <c r="C15" s="46" t="s">
        <v>5</v>
      </c>
      <c r="D15" s="46" t="s">
        <v>48</v>
      </c>
      <c r="E15" s="47">
        <v>1.5</v>
      </c>
      <c r="F15" s="48">
        <f>((3.65-1)*0.95)+1</f>
        <v>3.5174999999999996</v>
      </c>
      <c r="G15" s="49" t="s">
        <v>42</v>
      </c>
      <c r="H15">
        <v>0</v>
      </c>
      <c r="J15" s="62">
        <f t="shared" si="0"/>
        <v>-1.5</v>
      </c>
    </row>
    <row r="16" spans="1:10">
      <c r="A16" s="54" t="s">
        <v>12</v>
      </c>
      <c r="B16" s="54" t="s">
        <v>26</v>
      </c>
      <c r="C16" s="54" t="s">
        <v>119</v>
      </c>
      <c r="D16" s="54" t="s">
        <v>48</v>
      </c>
      <c r="E16" s="55">
        <v>1</v>
      </c>
      <c r="F16" s="56">
        <v>2.2999999999999998</v>
      </c>
      <c r="G16" s="57" t="s">
        <v>43</v>
      </c>
      <c r="H16">
        <v>1</v>
      </c>
      <c r="J16" s="62">
        <f t="shared" si="0"/>
        <v>1.2999999999999998</v>
      </c>
    </row>
    <row r="17" spans="1:10">
      <c r="A17" s="58"/>
      <c r="B17" s="58"/>
      <c r="C17" s="58"/>
      <c r="D17" s="58"/>
      <c r="E17" s="58"/>
      <c r="F17" s="59"/>
      <c r="G17" s="60"/>
    </row>
    <row r="18" spans="1:10">
      <c r="E18" s="61">
        <f>SUM(E1:E17)</f>
        <v>27.85</v>
      </c>
      <c r="H18">
        <f>SUM(H1:H17)</f>
        <v>8</v>
      </c>
      <c r="I18" s="21">
        <f>COUNTIF(E1:E17,"&gt;0")</f>
        <v>16</v>
      </c>
      <c r="J18" s="62">
        <f>SUM(J1:J17)</f>
        <v>6.81975</v>
      </c>
    </row>
    <row r="19" spans="1:10">
      <c r="H19" s="63">
        <f>+H18/COUNTIF(E1:E17,"&gt;0")</f>
        <v>0.5</v>
      </c>
      <c r="J19" s="65">
        <f>+J18/E18</f>
        <v>0.24487432675044882</v>
      </c>
    </row>
    <row r="20" spans="1:10">
      <c r="J20" s="64"/>
    </row>
  </sheetData>
  <pageMargins left="0.7" right="0.7" top="0.75" bottom="0.75" header="0.3" footer="0.3"/>
  <pageSetup paperSize="9" orientation="portrait" horizontalDpi="0" verticalDpi="0" r:id="rId1"/>
  <legacyDrawing r:id="rId2"/>
</worksheet>
</file>

<file path=xl/worksheets/sheet37.xml><?xml version="1.0" encoding="utf-8"?>
<worksheet xmlns="http://schemas.openxmlformats.org/spreadsheetml/2006/main" xmlns:r="http://schemas.openxmlformats.org/officeDocument/2006/relationships">
  <sheetPr codeName="Hoja30"/>
  <dimension ref="A1:N83"/>
  <sheetViews>
    <sheetView topLeftCell="A64" workbookViewId="0">
      <selection activeCell="E65" sqref="E65"/>
    </sheetView>
  </sheetViews>
  <sheetFormatPr baseColWidth="10" defaultRowHeight="15"/>
  <cols>
    <col min="8" max="8" width="4.5703125" bestFit="1" customWidth="1"/>
  </cols>
  <sheetData>
    <row r="1" spans="1:14">
      <c r="A1" s="4" t="s">
        <v>12</v>
      </c>
      <c r="B1" s="4" t="s">
        <v>0</v>
      </c>
      <c r="C1" s="4" t="s">
        <v>3</v>
      </c>
      <c r="D1" s="4" t="s">
        <v>49</v>
      </c>
      <c r="E1" s="5">
        <f>IF(L1&lt;0,0,(L1*4))</f>
        <v>0</v>
      </c>
      <c r="F1" s="4">
        <v>1.95</v>
      </c>
      <c r="G1" s="10" t="s">
        <v>36</v>
      </c>
      <c r="J1" s="62"/>
      <c r="L1" s="62">
        <f t="shared" ref="L1:L16" si="0">(F1*(1/F1)) -1 / (F1-1)</f>
        <v>-5.2631578947368363E-2</v>
      </c>
      <c r="M1" s="63">
        <f t="shared" ref="M1:M16" si="1">1/F1</f>
        <v>0.51282051282051289</v>
      </c>
      <c r="N1" s="41"/>
    </row>
    <row r="2" spans="1:14">
      <c r="A2" s="12" t="s">
        <v>6</v>
      </c>
      <c r="B2" s="12" t="s">
        <v>10</v>
      </c>
      <c r="C2" s="12" t="s">
        <v>13</v>
      </c>
      <c r="D2" s="12" t="s">
        <v>49</v>
      </c>
      <c r="E2" s="13">
        <f t="shared" ref="E2:E16" si="2">IF(L2&lt;0,0,(L2*4))</f>
        <v>0.37023593466424787</v>
      </c>
      <c r="F2" s="14">
        <f>((2.16-1)*0.95)+1</f>
        <v>2.1020000000000003</v>
      </c>
      <c r="G2" s="15" t="s">
        <v>38</v>
      </c>
      <c r="H2">
        <v>0</v>
      </c>
      <c r="J2" s="62">
        <f t="shared" ref="J2:J16" si="3">IF(H2=1,E2*(F2-1),-E2)</f>
        <v>-0.37023593466424787</v>
      </c>
      <c r="L2" s="62">
        <f t="shared" si="0"/>
        <v>9.2558983666061967E-2</v>
      </c>
      <c r="M2" s="63">
        <f t="shared" si="1"/>
        <v>0.47573739295908651</v>
      </c>
      <c r="N2" s="41"/>
    </row>
    <row r="3" spans="1:14">
      <c r="A3" s="4" t="s">
        <v>12</v>
      </c>
      <c r="B3" s="4" t="s">
        <v>15</v>
      </c>
      <c r="C3" s="4" t="s">
        <v>2</v>
      </c>
      <c r="D3" s="4" t="s">
        <v>48</v>
      </c>
      <c r="E3" s="5">
        <f t="shared" si="2"/>
        <v>2.3805668016194326</v>
      </c>
      <c r="F3" s="9">
        <f>((3.6-1)*0.95)+1</f>
        <v>3.4699999999999998</v>
      </c>
      <c r="G3" s="10" t="s">
        <v>39</v>
      </c>
      <c r="H3">
        <v>1</v>
      </c>
      <c r="J3" s="62">
        <f t="shared" si="3"/>
        <v>5.8799999999999981</v>
      </c>
      <c r="L3" s="62">
        <f t="shared" si="0"/>
        <v>0.59514170040485814</v>
      </c>
      <c r="M3" s="63">
        <f t="shared" si="1"/>
        <v>0.28818443804034583</v>
      </c>
      <c r="N3" s="41"/>
    </row>
    <row r="4" spans="1:14">
      <c r="A4" s="12" t="s">
        <v>12</v>
      </c>
      <c r="B4" s="12" t="s">
        <v>5</v>
      </c>
      <c r="C4" s="12" t="s">
        <v>16</v>
      </c>
      <c r="D4" s="12" t="s">
        <v>48</v>
      </c>
      <c r="E4" s="13">
        <f t="shared" si="2"/>
        <v>3.0208078335373316</v>
      </c>
      <c r="F4" s="14">
        <f>((5.3-1)*0.95)+1</f>
        <v>5.085</v>
      </c>
      <c r="G4" s="15" t="s">
        <v>37</v>
      </c>
      <c r="H4">
        <v>0</v>
      </c>
      <c r="J4" s="62">
        <f t="shared" si="3"/>
        <v>-3.0208078335373316</v>
      </c>
      <c r="L4" s="62">
        <f t="shared" si="0"/>
        <v>0.75520195838433291</v>
      </c>
      <c r="M4" s="63">
        <f t="shared" si="1"/>
        <v>0.19665683382497542</v>
      </c>
      <c r="N4" s="41"/>
    </row>
    <row r="5" spans="1:14">
      <c r="A5" s="12" t="s">
        <v>12</v>
      </c>
      <c r="B5" s="12" t="s">
        <v>26</v>
      </c>
      <c r="C5" s="12" t="s">
        <v>10</v>
      </c>
      <c r="D5" s="13" t="s">
        <v>49</v>
      </c>
      <c r="E5" s="13">
        <f t="shared" si="2"/>
        <v>0</v>
      </c>
      <c r="F5" s="12">
        <v>1.75</v>
      </c>
      <c r="G5" s="15" t="s">
        <v>82</v>
      </c>
      <c r="J5" s="62"/>
      <c r="L5" s="62">
        <f t="shared" si="0"/>
        <v>-0.33333333333333326</v>
      </c>
      <c r="M5" s="63">
        <f t="shared" si="1"/>
        <v>0.5714285714285714</v>
      </c>
      <c r="N5" s="41"/>
    </row>
    <row r="6" spans="1:14">
      <c r="A6" s="4" t="s">
        <v>12</v>
      </c>
      <c r="B6" s="4" t="s">
        <v>27</v>
      </c>
      <c r="C6" s="4" t="s">
        <v>28</v>
      </c>
      <c r="D6" s="5" t="s">
        <v>49</v>
      </c>
      <c r="E6" s="5">
        <f t="shared" si="2"/>
        <v>0</v>
      </c>
      <c r="F6" s="4">
        <v>1.6</v>
      </c>
      <c r="G6" s="10" t="s">
        <v>41</v>
      </c>
      <c r="J6" s="62"/>
      <c r="L6" s="62">
        <f t="shared" si="0"/>
        <v>-0.66666666666666652</v>
      </c>
      <c r="M6" s="63">
        <f t="shared" si="1"/>
        <v>0.625</v>
      </c>
      <c r="N6" s="41"/>
    </row>
    <row r="7" spans="1:14">
      <c r="A7" s="12" t="s">
        <v>12</v>
      </c>
      <c r="B7" s="12" t="s">
        <v>3</v>
      </c>
      <c r="C7" s="12" t="s">
        <v>67</v>
      </c>
      <c r="D7" s="12" t="s">
        <v>34</v>
      </c>
      <c r="E7" s="13">
        <f t="shared" si="2"/>
        <v>2.2608695652173911</v>
      </c>
      <c r="F7" s="14">
        <v>3.3</v>
      </c>
      <c r="G7" s="15" t="s">
        <v>42</v>
      </c>
      <c r="H7">
        <v>0</v>
      </c>
      <c r="J7" s="62">
        <f t="shared" si="3"/>
        <v>-2.2608695652173911</v>
      </c>
      <c r="L7" s="62">
        <f t="shared" si="0"/>
        <v>0.56521739130434778</v>
      </c>
      <c r="M7" s="63">
        <f t="shared" si="1"/>
        <v>0.30303030303030304</v>
      </c>
      <c r="N7" s="41"/>
    </row>
    <row r="8" spans="1:14">
      <c r="A8" s="4" t="s">
        <v>12</v>
      </c>
      <c r="B8" s="4" t="s">
        <v>134</v>
      </c>
      <c r="C8" s="4" t="s">
        <v>73</v>
      </c>
      <c r="D8" s="4" t="s">
        <v>49</v>
      </c>
      <c r="E8" s="5">
        <f t="shared" si="2"/>
        <v>0</v>
      </c>
      <c r="F8" s="9">
        <f>((1.74-1)*0.95)+1</f>
        <v>1.7029999999999998</v>
      </c>
      <c r="G8" s="16" t="s">
        <v>41</v>
      </c>
      <c r="J8" s="62"/>
      <c r="L8" s="62">
        <f t="shared" si="0"/>
        <v>-0.42247510668563337</v>
      </c>
      <c r="M8" s="63">
        <f t="shared" si="1"/>
        <v>0.58719906048150328</v>
      </c>
      <c r="N8" s="41"/>
    </row>
    <row r="9" spans="1:14">
      <c r="A9" s="42" t="s">
        <v>12</v>
      </c>
      <c r="B9" s="42" t="s">
        <v>2</v>
      </c>
      <c r="C9" s="42" t="s">
        <v>47</v>
      </c>
      <c r="D9" s="42" t="s">
        <v>48</v>
      </c>
      <c r="E9" s="43">
        <f t="shared" si="2"/>
        <v>2.5727029438001785</v>
      </c>
      <c r="F9" s="44">
        <f>((3.95-1)*0.95)+1</f>
        <v>3.8025000000000002</v>
      </c>
      <c r="G9" s="45" t="s">
        <v>43</v>
      </c>
      <c r="H9">
        <v>1</v>
      </c>
      <c r="J9" s="62">
        <f t="shared" si="3"/>
        <v>7.2100000000000009</v>
      </c>
      <c r="L9" s="62">
        <f t="shared" si="0"/>
        <v>0.64317573595004462</v>
      </c>
      <c r="M9" s="63">
        <f t="shared" si="1"/>
        <v>0.26298487836949375</v>
      </c>
      <c r="N9" s="41"/>
    </row>
    <row r="10" spans="1:14">
      <c r="A10" s="46" t="s">
        <v>12</v>
      </c>
      <c r="B10" s="46" t="s">
        <v>28</v>
      </c>
      <c r="C10" s="46" t="s">
        <v>1</v>
      </c>
      <c r="D10" s="46" t="s">
        <v>49</v>
      </c>
      <c r="E10" s="47">
        <f t="shared" si="2"/>
        <v>0</v>
      </c>
      <c r="F10" s="48">
        <f>((1.96-1)*0.95)+1</f>
        <v>1.9119999999999999</v>
      </c>
      <c r="G10" s="49" t="s">
        <v>37</v>
      </c>
      <c r="J10" s="62"/>
      <c r="L10" s="62">
        <f t="shared" si="0"/>
        <v>-9.6491228070175628E-2</v>
      </c>
      <c r="M10" s="63">
        <f t="shared" si="1"/>
        <v>0.52301255230125521</v>
      </c>
      <c r="N10" s="41"/>
    </row>
    <row r="11" spans="1:14">
      <c r="A11" s="46" t="s">
        <v>12</v>
      </c>
      <c r="B11" s="46" t="s">
        <v>26</v>
      </c>
      <c r="C11" s="46" t="s">
        <v>4</v>
      </c>
      <c r="D11" s="46" t="s">
        <v>48</v>
      </c>
      <c r="E11" s="47">
        <f t="shared" si="2"/>
        <v>0.66666666666666696</v>
      </c>
      <c r="F11" s="48">
        <v>2.2000000000000002</v>
      </c>
      <c r="G11" s="49" t="s">
        <v>38</v>
      </c>
      <c r="H11">
        <v>0</v>
      </c>
      <c r="J11" s="62">
        <f t="shared" si="3"/>
        <v>-0.66666666666666696</v>
      </c>
      <c r="L11" s="62">
        <f t="shared" si="0"/>
        <v>0.16666666666666674</v>
      </c>
      <c r="M11" s="63">
        <f t="shared" si="1"/>
        <v>0.45454545454545453</v>
      </c>
      <c r="N11" s="41"/>
    </row>
    <row r="12" spans="1:14">
      <c r="A12" s="50" t="s">
        <v>12</v>
      </c>
      <c r="B12" s="50" t="s">
        <v>2</v>
      </c>
      <c r="C12" s="50" t="s">
        <v>27</v>
      </c>
      <c r="D12" s="50" t="s">
        <v>49</v>
      </c>
      <c r="E12" s="51">
        <f t="shared" si="2"/>
        <v>1.8947368421052633</v>
      </c>
      <c r="F12" s="52">
        <v>2.9</v>
      </c>
      <c r="G12" s="53" t="s">
        <v>121</v>
      </c>
      <c r="H12">
        <v>0</v>
      </c>
      <c r="J12" s="62">
        <f t="shared" si="3"/>
        <v>-1.8947368421052633</v>
      </c>
      <c r="L12" s="62">
        <f t="shared" si="0"/>
        <v>0.47368421052631582</v>
      </c>
      <c r="M12" s="66">
        <f t="shared" si="1"/>
        <v>0.34482758620689657</v>
      </c>
      <c r="N12" s="41"/>
    </row>
    <row r="13" spans="1:14">
      <c r="A13" s="54" t="s">
        <v>12</v>
      </c>
      <c r="B13" s="54" t="s">
        <v>16</v>
      </c>
      <c r="C13" s="54" t="s">
        <v>47</v>
      </c>
      <c r="D13" s="54" t="s">
        <v>49</v>
      </c>
      <c r="E13" s="55">
        <f t="shared" si="2"/>
        <v>0.17224880382775076</v>
      </c>
      <c r="F13" s="56">
        <f>((2.1-1)*0.95)+1</f>
        <v>2.0449999999999999</v>
      </c>
      <c r="G13" s="57" t="s">
        <v>122</v>
      </c>
      <c r="H13">
        <v>1</v>
      </c>
      <c r="J13" s="62">
        <f t="shared" si="3"/>
        <v>0.17999999999999952</v>
      </c>
      <c r="L13" s="62">
        <f t="shared" si="0"/>
        <v>4.3062200956937691E-2</v>
      </c>
      <c r="M13" s="63">
        <f t="shared" si="1"/>
        <v>0.48899755501222497</v>
      </c>
      <c r="N13" s="41"/>
    </row>
    <row r="14" spans="1:14">
      <c r="A14" s="54" t="s">
        <v>12</v>
      </c>
      <c r="B14" s="54" t="s">
        <v>0</v>
      </c>
      <c r="C14" s="54" t="s">
        <v>15</v>
      </c>
      <c r="D14" s="54" t="s">
        <v>48</v>
      </c>
      <c r="E14" s="55">
        <f t="shared" si="2"/>
        <v>2.8304093567251463</v>
      </c>
      <c r="F14" s="56">
        <f>((4.6-1)*0.95)+1</f>
        <v>4.42</v>
      </c>
      <c r="G14" s="57" t="s">
        <v>39</v>
      </c>
      <c r="H14">
        <v>1</v>
      </c>
      <c r="J14" s="62">
        <f t="shared" si="3"/>
        <v>9.68</v>
      </c>
      <c r="L14" s="62">
        <f t="shared" si="0"/>
        <v>0.70760233918128657</v>
      </c>
      <c r="M14" s="63">
        <f t="shared" si="1"/>
        <v>0.22624434389140272</v>
      </c>
      <c r="N14" s="41"/>
    </row>
    <row r="15" spans="1:14">
      <c r="A15" s="46" t="s">
        <v>12</v>
      </c>
      <c r="B15" s="46" t="s">
        <v>67</v>
      </c>
      <c r="C15" s="46" t="s">
        <v>5</v>
      </c>
      <c r="D15" s="46" t="s">
        <v>48</v>
      </c>
      <c r="E15" s="47">
        <f t="shared" si="2"/>
        <v>2.4111221449851041</v>
      </c>
      <c r="F15" s="48">
        <f>((3.65-1)*0.95)+1</f>
        <v>3.5174999999999996</v>
      </c>
      <c r="G15" s="49" t="s">
        <v>42</v>
      </c>
      <c r="H15">
        <v>0</v>
      </c>
      <c r="J15" s="62">
        <f t="shared" si="3"/>
        <v>-2.4111221449851041</v>
      </c>
      <c r="L15" s="62">
        <f t="shared" si="0"/>
        <v>0.60278053624627603</v>
      </c>
      <c r="M15" s="63">
        <f t="shared" si="1"/>
        <v>0.28429282160625446</v>
      </c>
      <c r="N15" s="41"/>
    </row>
    <row r="16" spans="1:14">
      <c r="A16" s="54" t="s">
        <v>12</v>
      </c>
      <c r="B16" s="54" t="s">
        <v>26</v>
      </c>
      <c r="C16" s="54" t="s">
        <v>119</v>
      </c>
      <c r="D16" s="54" t="s">
        <v>48</v>
      </c>
      <c r="E16" s="55">
        <f t="shared" si="2"/>
        <v>0.92307692307692246</v>
      </c>
      <c r="F16" s="56">
        <v>2.2999999999999998</v>
      </c>
      <c r="G16" s="57" t="s">
        <v>43</v>
      </c>
      <c r="H16">
        <v>1</v>
      </c>
      <c r="J16" s="62">
        <f t="shared" si="3"/>
        <v>1.1999999999999991</v>
      </c>
      <c r="L16" s="62">
        <f t="shared" si="0"/>
        <v>0.23076923076923062</v>
      </c>
      <c r="M16" s="63">
        <f t="shared" si="1"/>
        <v>0.43478260869565222</v>
      </c>
      <c r="N16" s="41"/>
    </row>
    <row r="17" spans="1:14">
      <c r="A17" s="58"/>
      <c r="B17" s="58"/>
      <c r="C17" s="58"/>
      <c r="D17" s="58"/>
      <c r="E17" s="58"/>
      <c r="F17" s="59"/>
      <c r="G17" s="60"/>
      <c r="N17" s="41"/>
    </row>
    <row r="18" spans="1:14">
      <c r="E18" s="61">
        <f>SUM(E1:E17)</f>
        <v>19.503443816225438</v>
      </c>
      <c r="H18">
        <f>SUM(H1:H17)</f>
        <v>5</v>
      </c>
      <c r="I18" s="21">
        <f>COUNTIF(E1:E17,"&gt;0")</f>
        <v>11</v>
      </c>
      <c r="J18" s="62">
        <f>SUM(J1:J17)</f>
        <v>13.525561012823992</v>
      </c>
    </row>
    <row r="19" spans="1:14">
      <c r="H19" s="63">
        <f>+H18/COUNTIF(E1:E17,"&gt;0")</f>
        <v>0.45454545454545453</v>
      </c>
      <c r="J19" s="65">
        <f>+J18/E18</f>
        <v>0.69349603794442272</v>
      </c>
    </row>
    <row r="23" spans="1:14">
      <c r="A23" s="12" t="s">
        <v>12</v>
      </c>
      <c r="B23" s="12" t="s">
        <v>5</v>
      </c>
      <c r="C23" s="12" t="s">
        <v>16</v>
      </c>
      <c r="D23" s="12" t="s">
        <v>48</v>
      </c>
      <c r="E23" s="13">
        <v>1</v>
      </c>
      <c r="F23" s="14">
        <f>((5.3-1)*0.95)+1</f>
        <v>5.085</v>
      </c>
      <c r="G23" s="15" t="s">
        <v>37</v>
      </c>
      <c r="H23">
        <v>0</v>
      </c>
      <c r="J23" s="62">
        <f t="shared" ref="J23:J38" si="4">IF(H23=1,E23*(F23-1),-E23)</f>
        <v>-1</v>
      </c>
      <c r="L23" s="62">
        <f t="shared" ref="L23:L38" si="5">(F23*(1/F23)) -1 / (F23-1)</f>
        <v>0.75520195838433291</v>
      </c>
      <c r="M23" s="63">
        <f t="shared" ref="M23:M38" si="6">1/F23</f>
        <v>0.19665683382497542</v>
      </c>
    </row>
    <row r="24" spans="1:14">
      <c r="A24" s="54" t="s">
        <v>12</v>
      </c>
      <c r="B24" s="54" t="s">
        <v>0</v>
      </c>
      <c r="C24" s="54" t="s">
        <v>15</v>
      </c>
      <c r="D24" s="54" t="s">
        <v>48</v>
      </c>
      <c r="E24" s="55">
        <v>1</v>
      </c>
      <c r="F24" s="56">
        <f>((4.6-1)*0.95)+1</f>
        <v>4.42</v>
      </c>
      <c r="G24" s="57" t="s">
        <v>39</v>
      </c>
      <c r="H24">
        <v>1</v>
      </c>
      <c r="J24" s="62">
        <f t="shared" si="4"/>
        <v>3.42</v>
      </c>
      <c r="L24" s="62">
        <f t="shared" si="5"/>
        <v>0.70760233918128657</v>
      </c>
      <c r="M24" s="63">
        <f t="shared" si="6"/>
        <v>0.22624434389140272</v>
      </c>
    </row>
    <row r="25" spans="1:14">
      <c r="A25" s="54" t="s">
        <v>12</v>
      </c>
      <c r="B25" s="54" t="s">
        <v>2</v>
      </c>
      <c r="C25" s="54" t="s">
        <v>47</v>
      </c>
      <c r="D25" s="54" t="s">
        <v>48</v>
      </c>
      <c r="E25" s="55">
        <v>1</v>
      </c>
      <c r="F25" s="56">
        <f>((3.95-1)*0.95)+1</f>
        <v>3.8025000000000002</v>
      </c>
      <c r="G25" s="57" t="s">
        <v>43</v>
      </c>
      <c r="H25">
        <v>1</v>
      </c>
      <c r="J25" s="62">
        <f t="shared" si="4"/>
        <v>2.8025000000000002</v>
      </c>
      <c r="L25" s="62">
        <f t="shared" si="5"/>
        <v>0.64317573595004462</v>
      </c>
      <c r="M25" s="63">
        <f t="shared" si="6"/>
        <v>0.26298487836949375</v>
      </c>
    </row>
    <row r="26" spans="1:14">
      <c r="A26" s="12" t="s">
        <v>12</v>
      </c>
      <c r="B26" s="12" t="s">
        <v>3</v>
      </c>
      <c r="C26" s="12" t="s">
        <v>67</v>
      </c>
      <c r="D26" s="12" t="s">
        <v>34</v>
      </c>
      <c r="E26" s="13">
        <v>1</v>
      </c>
      <c r="F26" s="14">
        <v>3.3</v>
      </c>
      <c r="G26" s="15" t="s">
        <v>42</v>
      </c>
      <c r="H26">
        <v>0</v>
      </c>
      <c r="J26" s="62">
        <f t="shared" si="4"/>
        <v>-1</v>
      </c>
      <c r="L26" s="62">
        <f t="shared" si="5"/>
        <v>0.56521739130434778</v>
      </c>
      <c r="M26" s="63">
        <f t="shared" si="6"/>
        <v>0.30303030303030304</v>
      </c>
    </row>
    <row r="27" spans="1:14">
      <c r="A27" s="46" t="s">
        <v>12</v>
      </c>
      <c r="B27" s="46" t="s">
        <v>67</v>
      </c>
      <c r="C27" s="46" t="s">
        <v>5</v>
      </c>
      <c r="D27" s="46" t="s">
        <v>48</v>
      </c>
      <c r="E27" s="47">
        <v>1</v>
      </c>
      <c r="F27" s="48">
        <f>((3.65-1)*0.95)+1</f>
        <v>3.5174999999999996</v>
      </c>
      <c r="G27" s="49" t="s">
        <v>42</v>
      </c>
      <c r="H27">
        <v>0</v>
      </c>
      <c r="J27" s="62">
        <f t="shared" si="4"/>
        <v>-1</v>
      </c>
      <c r="L27" s="62">
        <f t="shared" si="5"/>
        <v>0.60278053624627603</v>
      </c>
      <c r="M27" s="63">
        <f t="shared" si="6"/>
        <v>0.28429282160625446</v>
      </c>
    </row>
    <row r="28" spans="1:14">
      <c r="A28" s="4" t="s">
        <v>12</v>
      </c>
      <c r="B28" s="4" t="s">
        <v>15</v>
      </c>
      <c r="C28" s="4" t="s">
        <v>2</v>
      </c>
      <c r="D28" s="4" t="s">
        <v>48</v>
      </c>
      <c r="E28" s="5">
        <v>1</v>
      </c>
      <c r="F28" s="9">
        <f>((3.6-1)*0.95)+1</f>
        <v>3.4699999999999998</v>
      </c>
      <c r="G28" s="10" t="s">
        <v>39</v>
      </c>
      <c r="H28">
        <v>1</v>
      </c>
      <c r="J28" s="62">
        <f t="shared" si="4"/>
        <v>2.4699999999999998</v>
      </c>
      <c r="L28" s="62">
        <f t="shared" si="5"/>
        <v>0.59514170040485814</v>
      </c>
      <c r="M28" s="63">
        <f t="shared" si="6"/>
        <v>0.28818443804034583</v>
      </c>
    </row>
    <row r="29" spans="1:14">
      <c r="A29" s="12" t="s">
        <v>12</v>
      </c>
      <c r="B29" s="12" t="s">
        <v>2</v>
      </c>
      <c r="C29" s="12" t="s">
        <v>27</v>
      </c>
      <c r="D29" s="12" t="s">
        <v>49</v>
      </c>
      <c r="E29" s="13">
        <v>1</v>
      </c>
      <c r="F29" s="14">
        <v>2.9</v>
      </c>
      <c r="G29" s="15" t="s">
        <v>121</v>
      </c>
      <c r="H29">
        <v>0</v>
      </c>
      <c r="J29" s="62">
        <f t="shared" si="4"/>
        <v>-1</v>
      </c>
      <c r="L29" s="62">
        <f t="shared" si="5"/>
        <v>0.47368421052631582</v>
      </c>
      <c r="M29" s="63">
        <f t="shared" si="6"/>
        <v>0.34482758620689657</v>
      </c>
    </row>
    <row r="30" spans="1:14">
      <c r="A30" s="54" t="s">
        <v>12</v>
      </c>
      <c r="B30" s="54" t="s">
        <v>26</v>
      </c>
      <c r="C30" s="54" t="s">
        <v>119</v>
      </c>
      <c r="D30" s="54" t="s">
        <v>48</v>
      </c>
      <c r="E30" s="55">
        <v>1</v>
      </c>
      <c r="F30" s="56">
        <v>2.2999999999999998</v>
      </c>
      <c r="G30" s="57" t="s">
        <v>43</v>
      </c>
      <c r="H30">
        <v>1</v>
      </c>
      <c r="J30" s="62">
        <f t="shared" si="4"/>
        <v>1.2999999999999998</v>
      </c>
      <c r="L30" s="62">
        <f t="shared" si="5"/>
        <v>0.23076923076923062</v>
      </c>
      <c r="M30" s="63">
        <f t="shared" si="6"/>
        <v>0.43478260869565222</v>
      </c>
    </row>
    <row r="31" spans="1:14">
      <c r="A31" s="50" t="s">
        <v>12</v>
      </c>
      <c r="B31" s="50" t="s">
        <v>26</v>
      </c>
      <c r="C31" s="50" t="s">
        <v>4</v>
      </c>
      <c r="D31" s="50" t="s">
        <v>48</v>
      </c>
      <c r="E31" s="51">
        <v>1</v>
      </c>
      <c r="F31" s="52">
        <v>2.2000000000000002</v>
      </c>
      <c r="G31" s="53" t="s">
        <v>38</v>
      </c>
      <c r="H31">
        <v>0</v>
      </c>
      <c r="J31" s="62">
        <f t="shared" si="4"/>
        <v>-1</v>
      </c>
      <c r="L31" s="62">
        <f t="shared" si="5"/>
        <v>0.16666666666666674</v>
      </c>
      <c r="M31" s="63">
        <f t="shared" si="6"/>
        <v>0.45454545454545453</v>
      </c>
    </row>
    <row r="32" spans="1:14">
      <c r="A32" s="12" t="s">
        <v>6</v>
      </c>
      <c r="B32" s="12" t="s">
        <v>10</v>
      </c>
      <c r="C32" s="12" t="s">
        <v>13</v>
      </c>
      <c r="D32" s="12" t="s">
        <v>49</v>
      </c>
      <c r="E32" s="13">
        <v>1</v>
      </c>
      <c r="F32" s="14">
        <f>((2.16-1)*0.95)+1</f>
        <v>2.1020000000000003</v>
      </c>
      <c r="G32" s="15" t="s">
        <v>38</v>
      </c>
      <c r="H32">
        <v>0</v>
      </c>
      <c r="J32" s="62">
        <f t="shared" si="4"/>
        <v>-1</v>
      </c>
      <c r="L32" s="62">
        <f t="shared" si="5"/>
        <v>9.2558983666061967E-2</v>
      </c>
      <c r="M32" s="63">
        <f t="shared" si="6"/>
        <v>0.47573739295908651</v>
      </c>
    </row>
    <row r="33" spans="1:13">
      <c r="A33" s="54" t="s">
        <v>12</v>
      </c>
      <c r="B33" s="54" t="s">
        <v>16</v>
      </c>
      <c r="C33" s="54" t="s">
        <v>47</v>
      </c>
      <c r="D33" s="54" t="s">
        <v>49</v>
      </c>
      <c r="E33" s="55">
        <v>1</v>
      </c>
      <c r="F33" s="56">
        <f>((2.1-1)*0.95)+1</f>
        <v>2.0449999999999999</v>
      </c>
      <c r="G33" s="57" t="s">
        <v>122</v>
      </c>
      <c r="H33">
        <v>1</v>
      </c>
      <c r="J33" s="62">
        <f t="shared" si="4"/>
        <v>1.0449999999999999</v>
      </c>
      <c r="L33" s="62">
        <f t="shared" si="5"/>
        <v>4.3062200956937691E-2</v>
      </c>
      <c r="M33" s="63">
        <f t="shared" si="6"/>
        <v>0.48899755501222497</v>
      </c>
    </row>
    <row r="34" spans="1:13">
      <c r="A34" s="42" t="s">
        <v>12</v>
      </c>
      <c r="B34" s="42" t="s">
        <v>0</v>
      </c>
      <c r="C34" s="42" t="s">
        <v>3</v>
      </c>
      <c r="D34" s="42" t="s">
        <v>49</v>
      </c>
      <c r="E34" s="43">
        <v>1</v>
      </c>
      <c r="F34" s="42">
        <v>1.95</v>
      </c>
      <c r="G34" s="45" t="s">
        <v>36</v>
      </c>
      <c r="H34">
        <v>1</v>
      </c>
      <c r="J34" s="62">
        <f t="shared" si="4"/>
        <v>0.95</v>
      </c>
      <c r="L34" s="62">
        <f t="shared" si="5"/>
        <v>-5.2631578947368363E-2</v>
      </c>
      <c r="M34" s="66">
        <f t="shared" si="6"/>
        <v>0.51282051282051289</v>
      </c>
    </row>
    <row r="35" spans="1:13">
      <c r="A35" s="46" t="s">
        <v>12</v>
      </c>
      <c r="B35" s="46" t="s">
        <v>28</v>
      </c>
      <c r="C35" s="46" t="s">
        <v>1</v>
      </c>
      <c r="D35" s="46" t="s">
        <v>49</v>
      </c>
      <c r="E35" s="47">
        <v>1</v>
      </c>
      <c r="F35" s="48">
        <f>((1.96-1)*0.95)+1</f>
        <v>1.9119999999999999</v>
      </c>
      <c r="G35" s="49" t="s">
        <v>37</v>
      </c>
      <c r="H35">
        <v>0</v>
      </c>
      <c r="J35" s="62">
        <f t="shared" si="4"/>
        <v>-1</v>
      </c>
      <c r="L35" s="62">
        <f t="shared" si="5"/>
        <v>-9.6491228070175628E-2</v>
      </c>
      <c r="M35" s="63">
        <f t="shared" si="6"/>
        <v>0.52301255230125521</v>
      </c>
    </row>
    <row r="36" spans="1:13">
      <c r="A36" s="12" t="s">
        <v>12</v>
      </c>
      <c r="B36" s="12" t="s">
        <v>26</v>
      </c>
      <c r="C36" s="12" t="s">
        <v>10</v>
      </c>
      <c r="D36" s="13" t="s">
        <v>49</v>
      </c>
      <c r="E36" s="13">
        <v>1</v>
      </c>
      <c r="F36" s="12">
        <v>1.75</v>
      </c>
      <c r="G36" s="15" t="s">
        <v>82</v>
      </c>
      <c r="H36">
        <v>0</v>
      </c>
      <c r="J36" s="62">
        <f t="shared" si="4"/>
        <v>-1</v>
      </c>
      <c r="L36" s="62">
        <f t="shared" si="5"/>
        <v>-0.33333333333333326</v>
      </c>
      <c r="M36" s="63">
        <f t="shared" si="6"/>
        <v>0.5714285714285714</v>
      </c>
    </row>
    <row r="37" spans="1:13">
      <c r="A37" s="4" t="s">
        <v>12</v>
      </c>
      <c r="B37" s="4" t="s">
        <v>134</v>
      </c>
      <c r="C37" s="4" t="s">
        <v>73</v>
      </c>
      <c r="D37" s="4" t="s">
        <v>49</v>
      </c>
      <c r="E37" s="5">
        <v>1</v>
      </c>
      <c r="F37" s="9">
        <f>((1.74-1)*0.95)+1</f>
        <v>1.7029999999999998</v>
      </c>
      <c r="G37" s="16" t="s">
        <v>41</v>
      </c>
      <c r="H37">
        <v>1</v>
      </c>
      <c r="J37" s="62">
        <f t="shared" si="4"/>
        <v>0.70299999999999985</v>
      </c>
      <c r="L37" s="62">
        <f t="shared" si="5"/>
        <v>-0.42247510668563337</v>
      </c>
      <c r="M37" s="63">
        <f t="shared" si="6"/>
        <v>0.58719906048150328</v>
      </c>
    </row>
    <row r="38" spans="1:13">
      <c r="A38" s="4" t="s">
        <v>12</v>
      </c>
      <c r="B38" s="4" t="s">
        <v>27</v>
      </c>
      <c r="C38" s="4" t="s">
        <v>28</v>
      </c>
      <c r="D38" s="5" t="s">
        <v>49</v>
      </c>
      <c r="E38" s="5">
        <v>1</v>
      </c>
      <c r="F38" s="4">
        <v>1.6</v>
      </c>
      <c r="G38" s="10" t="s">
        <v>41</v>
      </c>
      <c r="H38">
        <v>1</v>
      </c>
      <c r="J38" s="62">
        <f t="shared" si="4"/>
        <v>0.60000000000000009</v>
      </c>
      <c r="L38" s="62">
        <f t="shared" si="5"/>
        <v>-0.66666666666666652</v>
      </c>
      <c r="M38" s="63">
        <f t="shared" si="6"/>
        <v>0.625</v>
      </c>
    </row>
    <row r="39" spans="1:13">
      <c r="A39" s="58"/>
      <c r="B39" s="58"/>
      <c r="C39" s="58"/>
      <c r="D39" s="58"/>
      <c r="E39" s="58"/>
      <c r="F39" s="59"/>
      <c r="G39" s="60"/>
    </row>
    <row r="40" spans="1:13">
      <c r="E40" s="61">
        <f>SUM(E23:E39)</f>
        <v>16</v>
      </c>
      <c r="H40">
        <f>SUM(H23:H39)</f>
        <v>8</v>
      </c>
      <c r="I40" s="21">
        <f>COUNTIF(E23:E39,"&gt;0")</f>
        <v>16</v>
      </c>
      <c r="J40" s="62">
        <f>SUM(J23:J39)</f>
        <v>5.2904999999999998</v>
      </c>
    </row>
    <row r="41" spans="1:13">
      <c r="H41" s="63">
        <f>+H40/COUNTIF(E23:E39,"&gt;0")</f>
        <v>0.5</v>
      </c>
      <c r="J41" s="65">
        <f>+J40/E40</f>
        <v>0.33065624999999998</v>
      </c>
    </row>
    <row r="42" spans="1:13">
      <c r="J42" s="64"/>
    </row>
    <row r="44" spans="1:13">
      <c r="A44" s="4" t="s">
        <v>12</v>
      </c>
      <c r="B44" s="4" t="s">
        <v>0</v>
      </c>
      <c r="C44" s="4" t="s">
        <v>3</v>
      </c>
      <c r="D44" s="4" t="s">
        <v>49</v>
      </c>
      <c r="E44" s="5">
        <f>5/(F44-1)</f>
        <v>5.2631578947368425</v>
      </c>
      <c r="F44" s="4">
        <v>1.95</v>
      </c>
      <c r="G44" s="10" t="s">
        <v>36</v>
      </c>
      <c r="H44">
        <v>1</v>
      </c>
      <c r="J44" s="62">
        <f>IF(H44=1,E44*(F44-1),-E44)</f>
        <v>5</v>
      </c>
      <c r="L44" s="62">
        <f t="shared" ref="L44:L59" si="7">(F44*(1/F44)) -1 / (F44-1)</f>
        <v>-5.2631578947368363E-2</v>
      </c>
      <c r="M44" s="63">
        <f t="shared" ref="M44:M59" si="8">1/F44</f>
        <v>0.51282051282051289</v>
      </c>
    </row>
    <row r="45" spans="1:13">
      <c r="A45" s="12" t="s">
        <v>6</v>
      </c>
      <c r="B45" s="12" t="s">
        <v>10</v>
      </c>
      <c r="C45" s="12" t="s">
        <v>13</v>
      </c>
      <c r="D45" s="12" t="s">
        <v>49</v>
      </c>
      <c r="E45" s="13">
        <f t="shared" ref="E45:E59" si="9">5/(F45-1)</f>
        <v>4.5372050816696898</v>
      </c>
      <c r="F45" s="14">
        <f>((2.16-1)*0.95)+1</f>
        <v>2.1020000000000003</v>
      </c>
      <c r="G45" s="15" t="s">
        <v>38</v>
      </c>
      <c r="H45">
        <v>0</v>
      </c>
      <c r="J45" s="62">
        <f t="shared" ref="J45:J59" si="10">IF(H45=1,E45*(F45-1),-E45)</f>
        <v>-4.5372050816696898</v>
      </c>
      <c r="L45" s="62">
        <f t="shared" si="7"/>
        <v>9.2558983666061967E-2</v>
      </c>
      <c r="M45" s="63">
        <f t="shared" si="8"/>
        <v>0.47573739295908651</v>
      </c>
    </row>
    <row r="46" spans="1:13">
      <c r="A46" s="4" t="s">
        <v>12</v>
      </c>
      <c r="B46" s="4" t="s">
        <v>15</v>
      </c>
      <c r="C46" s="4" t="s">
        <v>2</v>
      </c>
      <c r="D46" s="4" t="s">
        <v>48</v>
      </c>
      <c r="E46" s="5">
        <f t="shared" si="9"/>
        <v>2.0242914979757085</v>
      </c>
      <c r="F46" s="9">
        <f>((3.6-1)*0.95)+1</f>
        <v>3.4699999999999998</v>
      </c>
      <c r="G46" s="10" t="s">
        <v>39</v>
      </c>
      <c r="H46">
        <v>1</v>
      </c>
      <c r="J46" s="62">
        <f t="shared" si="10"/>
        <v>4.9999999999999991</v>
      </c>
      <c r="L46" s="62">
        <f t="shared" si="7"/>
        <v>0.59514170040485814</v>
      </c>
      <c r="M46" s="63">
        <f t="shared" si="8"/>
        <v>0.28818443804034583</v>
      </c>
    </row>
    <row r="47" spans="1:13">
      <c r="A47" s="12" t="s">
        <v>12</v>
      </c>
      <c r="B47" s="12" t="s">
        <v>5</v>
      </c>
      <c r="C47" s="12" t="s">
        <v>16</v>
      </c>
      <c r="D47" s="12" t="s">
        <v>48</v>
      </c>
      <c r="E47" s="13">
        <f t="shared" si="9"/>
        <v>1.2239902080783354</v>
      </c>
      <c r="F47" s="14">
        <f>((5.3-1)*0.95)+1</f>
        <v>5.085</v>
      </c>
      <c r="G47" s="15" t="s">
        <v>37</v>
      </c>
      <c r="H47">
        <v>0</v>
      </c>
      <c r="J47" s="62">
        <f t="shared" si="10"/>
        <v>-1.2239902080783354</v>
      </c>
      <c r="L47" s="62">
        <f t="shared" si="7"/>
        <v>0.75520195838433291</v>
      </c>
      <c r="M47" s="63">
        <f t="shared" si="8"/>
        <v>0.19665683382497542</v>
      </c>
    </row>
    <row r="48" spans="1:13">
      <c r="A48" s="12" t="s">
        <v>12</v>
      </c>
      <c r="B48" s="12" t="s">
        <v>26</v>
      </c>
      <c r="C48" s="12" t="s">
        <v>10</v>
      </c>
      <c r="D48" s="13" t="s">
        <v>49</v>
      </c>
      <c r="E48" s="13">
        <f t="shared" si="9"/>
        <v>6.666666666666667</v>
      </c>
      <c r="F48" s="12">
        <v>1.75</v>
      </c>
      <c r="G48" s="15" t="s">
        <v>82</v>
      </c>
      <c r="H48">
        <v>0</v>
      </c>
      <c r="J48" s="62">
        <f t="shared" si="10"/>
        <v>-6.666666666666667</v>
      </c>
      <c r="L48" s="62">
        <f t="shared" si="7"/>
        <v>-0.33333333333333326</v>
      </c>
      <c r="M48" s="63">
        <f t="shared" si="8"/>
        <v>0.5714285714285714</v>
      </c>
    </row>
    <row r="49" spans="1:13">
      <c r="A49" s="4" t="s">
        <v>12</v>
      </c>
      <c r="B49" s="4" t="s">
        <v>27</v>
      </c>
      <c r="C49" s="4" t="s">
        <v>28</v>
      </c>
      <c r="D49" s="5" t="s">
        <v>49</v>
      </c>
      <c r="E49" s="5">
        <f t="shared" si="9"/>
        <v>8.3333333333333321</v>
      </c>
      <c r="F49" s="4">
        <v>1.6</v>
      </c>
      <c r="G49" s="10" t="s">
        <v>41</v>
      </c>
      <c r="H49">
        <v>1</v>
      </c>
      <c r="J49" s="62">
        <f t="shared" si="10"/>
        <v>5</v>
      </c>
      <c r="L49" s="62">
        <f t="shared" si="7"/>
        <v>-0.66666666666666652</v>
      </c>
      <c r="M49" s="63">
        <f t="shared" si="8"/>
        <v>0.625</v>
      </c>
    </row>
    <row r="50" spans="1:13">
      <c r="A50" s="12" t="s">
        <v>12</v>
      </c>
      <c r="B50" s="12" t="s">
        <v>3</v>
      </c>
      <c r="C50" s="12" t="s">
        <v>67</v>
      </c>
      <c r="D50" s="12" t="s">
        <v>34</v>
      </c>
      <c r="E50" s="13">
        <f t="shared" si="9"/>
        <v>2.1739130434782612</v>
      </c>
      <c r="F50" s="14">
        <v>3.3</v>
      </c>
      <c r="G50" s="15" t="s">
        <v>42</v>
      </c>
      <c r="H50">
        <v>0</v>
      </c>
      <c r="J50" s="62">
        <f t="shared" si="10"/>
        <v>-2.1739130434782612</v>
      </c>
      <c r="L50" s="62">
        <f t="shared" si="7"/>
        <v>0.56521739130434778</v>
      </c>
      <c r="M50" s="63">
        <f t="shared" si="8"/>
        <v>0.30303030303030304</v>
      </c>
    </row>
    <row r="51" spans="1:13">
      <c r="A51" s="4" t="s">
        <v>12</v>
      </c>
      <c r="B51" s="4" t="s">
        <v>134</v>
      </c>
      <c r="C51" s="4" t="s">
        <v>73</v>
      </c>
      <c r="D51" s="4" t="s">
        <v>49</v>
      </c>
      <c r="E51" s="5">
        <f t="shared" si="9"/>
        <v>7.1123755334281666</v>
      </c>
      <c r="F51" s="9">
        <f>((1.74-1)*0.95)+1</f>
        <v>1.7029999999999998</v>
      </c>
      <c r="G51" s="16" t="s">
        <v>41</v>
      </c>
      <c r="H51">
        <v>1</v>
      </c>
      <c r="J51" s="62">
        <f t="shared" si="10"/>
        <v>5</v>
      </c>
      <c r="L51" s="62">
        <f t="shared" si="7"/>
        <v>-0.42247510668563337</v>
      </c>
      <c r="M51" s="63">
        <f t="shared" si="8"/>
        <v>0.58719906048150328</v>
      </c>
    </row>
    <row r="52" spans="1:13">
      <c r="A52" s="42" t="s">
        <v>12</v>
      </c>
      <c r="B52" s="42" t="s">
        <v>2</v>
      </c>
      <c r="C52" s="42" t="s">
        <v>47</v>
      </c>
      <c r="D52" s="42" t="s">
        <v>48</v>
      </c>
      <c r="E52" s="43">
        <f t="shared" si="9"/>
        <v>1.7841213202497768</v>
      </c>
      <c r="F52" s="44">
        <f>((3.95-1)*0.95)+1</f>
        <v>3.8025000000000002</v>
      </c>
      <c r="G52" s="45" t="s">
        <v>43</v>
      </c>
      <c r="H52">
        <v>1</v>
      </c>
      <c r="J52" s="62">
        <f t="shared" si="10"/>
        <v>5</v>
      </c>
      <c r="L52" s="62">
        <f t="shared" si="7"/>
        <v>0.64317573595004462</v>
      </c>
      <c r="M52" s="63">
        <f t="shared" si="8"/>
        <v>0.26298487836949375</v>
      </c>
    </row>
    <row r="53" spans="1:13">
      <c r="A53" s="46" t="s">
        <v>12</v>
      </c>
      <c r="B53" s="46" t="s">
        <v>28</v>
      </c>
      <c r="C53" s="46" t="s">
        <v>1</v>
      </c>
      <c r="D53" s="46" t="s">
        <v>49</v>
      </c>
      <c r="E53" s="47">
        <f t="shared" si="9"/>
        <v>5.4824561403508776</v>
      </c>
      <c r="F53" s="48">
        <f>((1.96-1)*0.95)+1</f>
        <v>1.9119999999999999</v>
      </c>
      <c r="G53" s="49" t="s">
        <v>37</v>
      </c>
      <c r="H53">
        <v>0</v>
      </c>
      <c r="J53" s="62">
        <f t="shared" si="10"/>
        <v>-5.4824561403508776</v>
      </c>
      <c r="L53" s="62">
        <f t="shared" si="7"/>
        <v>-9.6491228070175628E-2</v>
      </c>
      <c r="M53" s="63">
        <f t="shared" si="8"/>
        <v>0.52301255230125521</v>
      </c>
    </row>
    <row r="54" spans="1:13">
      <c r="A54" s="46" t="s">
        <v>12</v>
      </c>
      <c r="B54" s="46" t="s">
        <v>26</v>
      </c>
      <c r="C54" s="46" t="s">
        <v>4</v>
      </c>
      <c r="D54" s="46" t="s">
        <v>48</v>
      </c>
      <c r="E54" s="47">
        <f t="shared" si="9"/>
        <v>4.1666666666666661</v>
      </c>
      <c r="F54" s="48">
        <v>2.2000000000000002</v>
      </c>
      <c r="G54" s="49" t="s">
        <v>38</v>
      </c>
      <c r="H54">
        <v>0</v>
      </c>
      <c r="J54" s="62">
        <f t="shared" si="10"/>
        <v>-4.1666666666666661</v>
      </c>
      <c r="L54" s="62">
        <f t="shared" si="7"/>
        <v>0.16666666666666674</v>
      </c>
      <c r="M54" s="63">
        <f t="shared" si="8"/>
        <v>0.45454545454545453</v>
      </c>
    </row>
    <row r="55" spans="1:13">
      <c r="A55" s="50" t="s">
        <v>12</v>
      </c>
      <c r="B55" s="50" t="s">
        <v>2</v>
      </c>
      <c r="C55" s="50" t="s">
        <v>27</v>
      </c>
      <c r="D55" s="50" t="s">
        <v>49</v>
      </c>
      <c r="E55" s="51">
        <f t="shared" si="9"/>
        <v>2.6315789473684212</v>
      </c>
      <c r="F55" s="52">
        <v>2.9</v>
      </c>
      <c r="G55" s="53" t="s">
        <v>121</v>
      </c>
      <c r="H55">
        <v>0</v>
      </c>
      <c r="J55" s="62">
        <f t="shared" si="10"/>
        <v>-2.6315789473684212</v>
      </c>
      <c r="L55" s="62">
        <f t="shared" si="7"/>
        <v>0.47368421052631582</v>
      </c>
      <c r="M55" s="66">
        <f t="shared" si="8"/>
        <v>0.34482758620689657</v>
      </c>
    </row>
    <row r="56" spans="1:13">
      <c r="A56" s="54" t="s">
        <v>12</v>
      </c>
      <c r="B56" s="54" t="s">
        <v>16</v>
      </c>
      <c r="C56" s="54" t="s">
        <v>47</v>
      </c>
      <c r="D56" s="54" t="s">
        <v>49</v>
      </c>
      <c r="E56" s="55">
        <f t="shared" si="9"/>
        <v>4.7846889952153111</v>
      </c>
      <c r="F56" s="56">
        <f>((2.1-1)*0.95)+1</f>
        <v>2.0449999999999999</v>
      </c>
      <c r="G56" s="57" t="s">
        <v>122</v>
      </c>
      <c r="H56">
        <v>1</v>
      </c>
      <c r="J56" s="62">
        <f t="shared" si="10"/>
        <v>5</v>
      </c>
      <c r="L56" s="62">
        <f t="shared" si="7"/>
        <v>4.3062200956937691E-2</v>
      </c>
      <c r="M56" s="63">
        <f t="shared" si="8"/>
        <v>0.48899755501222497</v>
      </c>
    </row>
    <row r="57" spans="1:13">
      <c r="A57" s="54" t="s">
        <v>12</v>
      </c>
      <c r="B57" s="54" t="s">
        <v>0</v>
      </c>
      <c r="C57" s="54" t="s">
        <v>15</v>
      </c>
      <c r="D57" s="54" t="s">
        <v>48</v>
      </c>
      <c r="E57" s="55">
        <f t="shared" si="9"/>
        <v>1.4619883040935673</v>
      </c>
      <c r="F57" s="56">
        <f>((4.6-1)*0.95)+1</f>
        <v>4.42</v>
      </c>
      <c r="G57" s="57" t="s">
        <v>39</v>
      </c>
      <c r="H57">
        <v>1</v>
      </c>
      <c r="J57" s="62">
        <f t="shared" si="10"/>
        <v>5</v>
      </c>
      <c r="L57" s="62">
        <f t="shared" si="7"/>
        <v>0.70760233918128657</v>
      </c>
      <c r="M57" s="63">
        <f t="shared" si="8"/>
        <v>0.22624434389140272</v>
      </c>
    </row>
    <row r="58" spans="1:13">
      <c r="A58" s="46" t="s">
        <v>12</v>
      </c>
      <c r="B58" s="46" t="s">
        <v>67</v>
      </c>
      <c r="C58" s="46" t="s">
        <v>5</v>
      </c>
      <c r="D58" s="46" t="s">
        <v>48</v>
      </c>
      <c r="E58" s="47">
        <f t="shared" si="9"/>
        <v>1.9860973187686199</v>
      </c>
      <c r="F58" s="48">
        <f>((3.65-1)*0.95)+1</f>
        <v>3.5174999999999996</v>
      </c>
      <c r="G58" s="49" t="s">
        <v>42</v>
      </c>
      <c r="H58">
        <v>0</v>
      </c>
      <c r="J58" s="62">
        <f t="shared" si="10"/>
        <v>-1.9860973187686199</v>
      </c>
      <c r="L58" s="62">
        <f t="shared" si="7"/>
        <v>0.60278053624627603</v>
      </c>
      <c r="M58" s="63">
        <f t="shared" si="8"/>
        <v>0.28429282160625446</v>
      </c>
    </row>
    <row r="59" spans="1:13">
      <c r="A59" s="54" t="s">
        <v>12</v>
      </c>
      <c r="B59" s="54" t="s">
        <v>26</v>
      </c>
      <c r="C59" s="54" t="s">
        <v>119</v>
      </c>
      <c r="D59" s="54" t="s">
        <v>48</v>
      </c>
      <c r="E59" s="55">
        <f t="shared" si="9"/>
        <v>3.8461538461538467</v>
      </c>
      <c r="F59" s="56">
        <v>2.2999999999999998</v>
      </c>
      <c r="G59" s="57" t="s">
        <v>43</v>
      </c>
      <c r="H59">
        <v>1</v>
      </c>
      <c r="J59" s="62">
        <f t="shared" si="10"/>
        <v>5</v>
      </c>
      <c r="L59" s="62">
        <f t="shared" si="7"/>
        <v>0.23076923076923062</v>
      </c>
      <c r="M59" s="63">
        <f t="shared" si="8"/>
        <v>0.43478260869565222</v>
      </c>
    </row>
    <row r="60" spans="1:13">
      <c r="A60" s="58"/>
      <c r="B60" s="58"/>
      <c r="C60" s="58"/>
      <c r="D60" s="58"/>
      <c r="E60" s="58"/>
      <c r="F60" s="59"/>
      <c r="G60" s="60"/>
    </row>
    <row r="61" spans="1:13">
      <c r="E61" s="61">
        <f>SUM(E44:E60)</f>
        <v>63.478684798234092</v>
      </c>
      <c r="H61">
        <f>SUM(H44:H60)</f>
        <v>8</v>
      </c>
      <c r="I61" s="21">
        <f>COUNTIF(E44:E60,"&gt;0")</f>
        <v>16</v>
      </c>
      <c r="J61" s="62">
        <f>SUM(J44:J60)</f>
        <v>11.131425926952462</v>
      </c>
    </row>
    <row r="62" spans="1:13">
      <c r="H62" s="63">
        <f>+H61/COUNTIF(E44:E60,"&gt;0")</f>
        <v>0.5</v>
      </c>
      <c r="J62" s="65">
        <f>+J61/E61</f>
        <v>0.17535690858015579</v>
      </c>
    </row>
    <row r="65" spans="1:13">
      <c r="A65" s="4" t="s">
        <v>12</v>
      </c>
      <c r="B65" s="4" t="s">
        <v>0</v>
      </c>
      <c r="C65" s="4" t="s">
        <v>3</v>
      </c>
      <c r="D65" s="4" t="s">
        <v>49</v>
      </c>
      <c r="E65" s="5">
        <f>5*(F65-1)</f>
        <v>4.75</v>
      </c>
      <c r="F65" s="4">
        <v>1.95</v>
      </c>
      <c r="G65" s="10" t="s">
        <v>36</v>
      </c>
      <c r="H65">
        <v>1</v>
      </c>
      <c r="J65" s="62">
        <f>IF(H65=1,E65*(F65-1),-E65)</f>
        <v>4.5125000000000002</v>
      </c>
      <c r="L65" s="62">
        <f t="shared" ref="L65:L80" si="11">(F65*(1/F65)) -1 / (F65-1)</f>
        <v>-5.2631578947368363E-2</v>
      </c>
      <c r="M65" s="63">
        <f t="shared" ref="M65:M80" si="12">1/F65</f>
        <v>0.51282051282051289</v>
      </c>
    </row>
    <row r="66" spans="1:13">
      <c r="A66" s="12" t="s">
        <v>6</v>
      </c>
      <c r="B66" s="12" t="s">
        <v>10</v>
      </c>
      <c r="C66" s="12" t="s">
        <v>13</v>
      </c>
      <c r="D66" s="12" t="s">
        <v>49</v>
      </c>
      <c r="E66" s="13">
        <f t="shared" ref="E66:E80" si="13">5*(F66-1)</f>
        <v>5.5100000000000016</v>
      </c>
      <c r="F66" s="14">
        <f>((2.16-1)*0.95)+1</f>
        <v>2.1020000000000003</v>
      </c>
      <c r="G66" s="15" t="s">
        <v>38</v>
      </c>
      <c r="H66">
        <v>0</v>
      </c>
      <c r="J66" s="62">
        <f t="shared" ref="J66:J80" si="14">IF(H66=1,E66*(F66-1),-E66)</f>
        <v>-5.5100000000000016</v>
      </c>
      <c r="L66" s="62">
        <f t="shared" si="11"/>
        <v>9.2558983666061967E-2</v>
      </c>
      <c r="M66" s="63">
        <f t="shared" si="12"/>
        <v>0.47573739295908651</v>
      </c>
    </row>
    <row r="67" spans="1:13">
      <c r="A67" s="4" t="s">
        <v>12</v>
      </c>
      <c r="B67" s="4" t="s">
        <v>15</v>
      </c>
      <c r="C67" s="4" t="s">
        <v>2</v>
      </c>
      <c r="D67" s="4" t="s">
        <v>48</v>
      </c>
      <c r="E67" s="5">
        <f t="shared" si="13"/>
        <v>12.349999999999998</v>
      </c>
      <c r="F67" s="9">
        <f>((3.6-1)*0.95)+1</f>
        <v>3.4699999999999998</v>
      </c>
      <c r="G67" s="10" t="s">
        <v>39</v>
      </c>
      <c r="H67">
        <v>1</v>
      </c>
      <c r="J67" s="62">
        <f t="shared" si="14"/>
        <v>30.504499999999993</v>
      </c>
      <c r="L67" s="62">
        <f t="shared" si="11"/>
        <v>0.59514170040485814</v>
      </c>
      <c r="M67" s="63">
        <f t="shared" si="12"/>
        <v>0.28818443804034583</v>
      </c>
    </row>
    <row r="68" spans="1:13">
      <c r="A68" s="12" t="s">
        <v>12</v>
      </c>
      <c r="B68" s="12" t="s">
        <v>5</v>
      </c>
      <c r="C68" s="12" t="s">
        <v>16</v>
      </c>
      <c r="D68" s="12" t="s">
        <v>48</v>
      </c>
      <c r="E68" s="13">
        <f t="shared" si="13"/>
        <v>20.425000000000001</v>
      </c>
      <c r="F68" s="14">
        <f>((5.3-1)*0.95)+1</f>
        <v>5.085</v>
      </c>
      <c r="G68" s="15" t="s">
        <v>37</v>
      </c>
      <c r="H68">
        <v>0</v>
      </c>
      <c r="J68" s="62">
        <f t="shared" si="14"/>
        <v>-20.425000000000001</v>
      </c>
      <c r="L68" s="62">
        <f t="shared" si="11"/>
        <v>0.75520195838433291</v>
      </c>
      <c r="M68" s="63">
        <f t="shared" si="12"/>
        <v>0.19665683382497542</v>
      </c>
    </row>
    <row r="69" spans="1:13">
      <c r="A69" s="12" t="s">
        <v>12</v>
      </c>
      <c r="B69" s="12" t="s">
        <v>26</v>
      </c>
      <c r="C69" s="12" t="s">
        <v>10</v>
      </c>
      <c r="D69" s="13" t="s">
        <v>49</v>
      </c>
      <c r="E69" s="13">
        <f t="shared" si="13"/>
        <v>3.75</v>
      </c>
      <c r="F69" s="12">
        <v>1.75</v>
      </c>
      <c r="G69" s="15" t="s">
        <v>82</v>
      </c>
      <c r="H69">
        <v>0</v>
      </c>
      <c r="J69" s="62">
        <f t="shared" si="14"/>
        <v>-3.75</v>
      </c>
      <c r="L69" s="62">
        <f t="shared" si="11"/>
        <v>-0.33333333333333326</v>
      </c>
      <c r="M69" s="63">
        <f t="shared" si="12"/>
        <v>0.5714285714285714</v>
      </c>
    </row>
    <row r="70" spans="1:13">
      <c r="A70" s="4" t="s">
        <v>12</v>
      </c>
      <c r="B70" s="4" t="s">
        <v>27</v>
      </c>
      <c r="C70" s="4" t="s">
        <v>28</v>
      </c>
      <c r="D70" s="5" t="s">
        <v>49</v>
      </c>
      <c r="E70" s="5">
        <f t="shared" si="13"/>
        <v>3.0000000000000004</v>
      </c>
      <c r="F70" s="4">
        <v>1.6</v>
      </c>
      <c r="G70" s="10" t="s">
        <v>41</v>
      </c>
      <c r="H70">
        <v>1</v>
      </c>
      <c r="J70" s="62">
        <f t="shared" si="14"/>
        <v>1.8000000000000005</v>
      </c>
      <c r="L70" s="62">
        <f t="shared" si="11"/>
        <v>-0.66666666666666652</v>
      </c>
      <c r="M70" s="63">
        <f t="shared" si="12"/>
        <v>0.625</v>
      </c>
    </row>
    <row r="71" spans="1:13">
      <c r="A71" s="12" t="s">
        <v>12</v>
      </c>
      <c r="B71" s="12" t="s">
        <v>3</v>
      </c>
      <c r="C71" s="12" t="s">
        <v>67</v>
      </c>
      <c r="D71" s="12" t="s">
        <v>34</v>
      </c>
      <c r="E71" s="13">
        <f t="shared" si="13"/>
        <v>13</v>
      </c>
      <c r="F71" s="14">
        <v>3.6</v>
      </c>
      <c r="G71" s="15" t="s">
        <v>42</v>
      </c>
      <c r="H71">
        <v>0</v>
      </c>
      <c r="J71" s="62">
        <f t="shared" si="14"/>
        <v>-13</v>
      </c>
      <c r="L71" s="62">
        <f t="shared" si="11"/>
        <v>0.61538461538461542</v>
      </c>
      <c r="M71" s="63">
        <f t="shared" si="12"/>
        <v>0.27777777777777779</v>
      </c>
    </row>
    <row r="72" spans="1:13">
      <c r="A72" s="4" t="s">
        <v>12</v>
      </c>
      <c r="B72" s="4" t="s">
        <v>134</v>
      </c>
      <c r="C72" s="4" t="s">
        <v>73</v>
      </c>
      <c r="D72" s="4" t="s">
        <v>49</v>
      </c>
      <c r="E72" s="5">
        <f t="shared" si="13"/>
        <v>3.5149999999999992</v>
      </c>
      <c r="F72" s="9">
        <f>((1.74-1)*0.95)+1</f>
        <v>1.7029999999999998</v>
      </c>
      <c r="G72" s="16" t="s">
        <v>41</v>
      </c>
      <c r="H72">
        <v>1</v>
      </c>
      <c r="J72" s="62">
        <f t="shared" si="14"/>
        <v>2.4710449999999988</v>
      </c>
      <c r="L72" s="62">
        <f t="shared" si="11"/>
        <v>-0.42247510668563337</v>
      </c>
      <c r="M72" s="63">
        <f t="shared" si="12"/>
        <v>0.58719906048150328</v>
      </c>
    </row>
    <row r="73" spans="1:13">
      <c r="A73" s="42" t="s">
        <v>12</v>
      </c>
      <c r="B73" s="42" t="s">
        <v>2</v>
      </c>
      <c r="C73" s="42" t="s">
        <v>47</v>
      </c>
      <c r="D73" s="42" t="s">
        <v>48</v>
      </c>
      <c r="E73" s="43">
        <f t="shared" si="13"/>
        <v>14.012500000000001</v>
      </c>
      <c r="F73" s="44">
        <f>((3.95-1)*0.95)+1</f>
        <v>3.8025000000000002</v>
      </c>
      <c r="G73" s="45" t="s">
        <v>43</v>
      </c>
      <c r="H73">
        <v>1</v>
      </c>
      <c r="J73" s="62">
        <f t="shared" si="14"/>
        <v>39.270031250000009</v>
      </c>
      <c r="L73" s="62">
        <f t="shared" si="11"/>
        <v>0.64317573595004462</v>
      </c>
      <c r="M73" s="63">
        <f t="shared" si="12"/>
        <v>0.26298487836949375</v>
      </c>
    </row>
    <row r="74" spans="1:13">
      <c r="A74" s="46" t="s">
        <v>12</v>
      </c>
      <c r="B74" s="46" t="s">
        <v>28</v>
      </c>
      <c r="C74" s="46" t="s">
        <v>1</v>
      </c>
      <c r="D74" s="46" t="s">
        <v>49</v>
      </c>
      <c r="E74" s="47">
        <f t="shared" si="13"/>
        <v>4.5599999999999996</v>
      </c>
      <c r="F74" s="48">
        <f>((1.96-1)*0.95)+1</f>
        <v>1.9119999999999999</v>
      </c>
      <c r="G74" s="49" t="s">
        <v>37</v>
      </c>
      <c r="H74">
        <v>0</v>
      </c>
      <c r="J74" s="62">
        <f t="shared" si="14"/>
        <v>-4.5599999999999996</v>
      </c>
      <c r="L74" s="62">
        <f t="shared" si="11"/>
        <v>-9.6491228070175628E-2</v>
      </c>
      <c r="M74" s="63">
        <f t="shared" si="12"/>
        <v>0.52301255230125521</v>
      </c>
    </row>
    <row r="75" spans="1:13">
      <c r="A75" s="46" t="s">
        <v>12</v>
      </c>
      <c r="B75" s="46" t="s">
        <v>26</v>
      </c>
      <c r="C75" s="46" t="s">
        <v>4</v>
      </c>
      <c r="D75" s="46" t="s">
        <v>48</v>
      </c>
      <c r="E75" s="47">
        <f t="shared" si="13"/>
        <v>6.0000000000000009</v>
      </c>
      <c r="F75" s="48">
        <v>2.2000000000000002</v>
      </c>
      <c r="G75" s="49" t="s">
        <v>38</v>
      </c>
      <c r="H75">
        <v>0</v>
      </c>
      <c r="J75" s="62">
        <f t="shared" si="14"/>
        <v>-6.0000000000000009</v>
      </c>
      <c r="L75" s="62">
        <f t="shared" si="11"/>
        <v>0.16666666666666674</v>
      </c>
      <c r="M75" s="63">
        <f t="shared" si="12"/>
        <v>0.45454545454545453</v>
      </c>
    </row>
    <row r="76" spans="1:13">
      <c r="A76" s="50" t="s">
        <v>12</v>
      </c>
      <c r="B76" s="50" t="s">
        <v>2</v>
      </c>
      <c r="C76" s="50" t="s">
        <v>27</v>
      </c>
      <c r="D76" s="50" t="s">
        <v>49</v>
      </c>
      <c r="E76" s="51">
        <f t="shared" si="13"/>
        <v>9.5</v>
      </c>
      <c r="F76" s="52">
        <v>2.9</v>
      </c>
      <c r="G76" s="53" t="s">
        <v>121</v>
      </c>
      <c r="H76">
        <v>0</v>
      </c>
      <c r="J76" s="62">
        <f t="shared" si="14"/>
        <v>-9.5</v>
      </c>
      <c r="L76" s="62">
        <f t="shared" si="11"/>
        <v>0.47368421052631582</v>
      </c>
      <c r="M76" s="66">
        <f t="shared" si="12"/>
        <v>0.34482758620689657</v>
      </c>
    </row>
    <row r="77" spans="1:13">
      <c r="A77" s="54" t="s">
        <v>12</v>
      </c>
      <c r="B77" s="54" t="s">
        <v>16</v>
      </c>
      <c r="C77" s="54" t="s">
        <v>47</v>
      </c>
      <c r="D77" s="54" t="s">
        <v>49</v>
      </c>
      <c r="E77" s="55">
        <f t="shared" si="13"/>
        <v>5.2249999999999996</v>
      </c>
      <c r="F77" s="56">
        <f>((2.1-1)*0.95)+1</f>
        <v>2.0449999999999999</v>
      </c>
      <c r="G77" s="57" t="s">
        <v>122</v>
      </c>
      <c r="H77">
        <v>1</v>
      </c>
      <c r="J77" s="62">
        <f t="shared" si="14"/>
        <v>5.4601249999999997</v>
      </c>
      <c r="L77" s="62">
        <f t="shared" si="11"/>
        <v>4.3062200956937691E-2</v>
      </c>
      <c r="M77" s="63">
        <f t="shared" si="12"/>
        <v>0.48899755501222497</v>
      </c>
    </row>
    <row r="78" spans="1:13">
      <c r="A78" s="54" t="s">
        <v>12</v>
      </c>
      <c r="B78" s="54" t="s">
        <v>0</v>
      </c>
      <c r="C78" s="54" t="s">
        <v>15</v>
      </c>
      <c r="D78" s="54" t="s">
        <v>48</v>
      </c>
      <c r="E78" s="55">
        <f t="shared" si="13"/>
        <v>17.100000000000001</v>
      </c>
      <c r="F78" s="56">
        <f>((4.6-1)*0.95)+1</f>
        <v>4.42</v>
      </c>
      <c r="G78" s="57" t="s">
        <v>39</v>
      </c>
      <c r="H78">
        <v>1</v>
      </c>
      <c r="J78" s="62">
        <f t="shared" si="14"/>
        <v>58.482000000000006</v>
      </c>
      <c r="L78" s="62">
        <f t="shared" si="11"/>
        <v>0.70760233918128657</v>
      </c>
      <c r="M78" s="63">
        <f t="shared" si="12"/>
        <v>0.22624434389140272</v>
      </c>
    </row>
    <row r="79" spans="1:13">
      <c r="A79" s="46" t="s">
        <v>12</v>
      </c>
      <c r="B79" s="46" t="s">
        <v>67</v>
      </c>
      <c r="C79" s="46" t="s">
        <v>5</v>
      </c>
      <c r="D79" s="46" t="s">
        <v>48</v>
      </c>
      <c r="E79" s="47">
        <f t="shared" si="13"/>
        <v>12.587499999999999</v>
      </c>
      <c r="F79" s="48">
        <f>((3.65-1)*0.95)+1</f>
        <v>3.5174999999999996</v>
      </c>
      <c r="G79" s="49" t="s">
        <v>42</v>
      </c>
      <c r="H79">
        <v>0</v>
      </c>
      <c r="J79" s="62">
        <f t="shared" si="14"/>
        <v>-12.587499999999999</v>
      </c>
      <c r="L79" s="62">
        <f t="shared" si="11"/>
        <v>0.60278053624627603</v>
      </c>
      <c r="M79" s="63">
        <f t="shared" si="12"/>
        <v>0.28429282160625446</v>
      </c>
    </row>
    <row r="80" spans="1:13">
      <c r="A80" s="54" t="s">
        <v>12</v>
      </c>
      <c r="B80" s="54" t="s">
        <v>26</v>
      </c>
      <c r="C80" s="54" t="s">
        <v>119</v>
      </c>
      <c r="D80" s="54" t="s">
        <v>48</v>
      </c>
      <c r="E80" s="55">
        <f t="shared" si="13"/>
        <v>6.4999999999999991</v>
      </c>
      <c r="F80" s="56">
        <v>2.2999999999999998</v>
      </c>
      <c r="G80" s="57" t="s">
        <v>43</v>
      </c>
      <c r="H80">
        <v>1</v>
      </c>
      <c r="J80" s="62">
        <f t="shared" si="14"/>
        <v>8.4499999999999975</v>
      </c>
      <c r="L80" s="62">
        <f t="shared" si="11"/>
        <v>0.23076923076923062</v>
      </c>
      <c r="M80" s="63">
        <f t="shared" si="12"/>
        <v>0.43478260869565222</v>
      </c>
    </row>
    <row r="81" spans="1:10">
      <c r="A81" s="58"/>
      <c r="B81" s="58"/>
      <c r="C81" s="58"/>
      <c r="D81" s="58"/>
      <c r="E81" s="58"/>
      <c r="F81" s="59"/>
      <c r="G81" s="60"/>
    </row>
    <row r="82" spans="1:10">
      <c r="E82" s="61">
        <f>SUM(E65:E81)</f>
        <v>141.785</v>
      </c>
      <c r="H82">
        <f>SUM(H65:H81)</f>
        <v>8</v>
      </c>
      <c r="I82" s="21">
        <f>COUNTIF(E65:E81,"&gt;0")</f>
        <v>16</v>
      </c>
      <c r="J82" s="62">
        <f>SUM(J65:J81)</f>
        <v>75.617701249999996</v>
      </c>
    </row>
    <row r="83" spans="1:10">
      <c r="H83" s="63">
        <f>+H82/COUNTIF(E65:E81,"&gt;0")</f>
        <v>0.5</v>
      </c>
      <c r="J83" s="65">
        <f>+J82/E82</f>
        <v>0.53332652431498395</v>
      </c>
    </row>
  </sheetData>
  <conditionalFormatting sqref="M23:M38">
    <cfRule type="colorScale" priority="7">
      <colorScale>
        <cfvo type="min" val="0"/>
        <cfvo type="percentile" val="50"/>
        <cfvo type="max" val="0"/>
        <color rgb="FFF8696B"/>
        <color rgb="FFFFEB84"/>
        <color rgb="FF63BE7B"/>
      </colorScale>
    </cfRule>
  </conditionalFormatting>
  <conditionalFormatting sqref="M1:M16">
    <cfRule type="colorScale" priority="6">
      <colorScale>
        <cfvo type="min" val="0"/>
        <cfvo type="percentile" val="50"/>
        <cfvo type="max" val="0"/>
        <color rgb="FFF8696B"/>
        <color rgb="FFFFEB84"/>
        <color rgb="FF63BE7B"/>
      </colorScale>
    </cfRule>
  </conditionalFormatting>
  <conditionalFormatting sqref="M44:M59">
    <cfRule type="colorScale" priority="4">
      <colorScale>
        <cfvo type="min" val="0"/>
        <cfvo type="percentile" val="50"/>
        <cfvo type="max" val="0"/>
        <color rgb="FFF8696B"/>
        <color rgb="FFFFEB84"/>
        <color rgb="FF63BE7B"/>
      </colorScale>
    </cfRule>
  </conditionalFormatting>
  <conditionalFormatting sqref="M44:M59">
    <cfRule type="colorScale" priority="3">
      <colorScale>
        <cfvo type="min" val="0"/>
        <cfvo type="percentile" val="50"/>
        <cfvo type="max" val="0"/>
        <color rgb="FFF8696B"/>
        <color rgb="FFFFEB84"/>
        <color rgb="FF63BE7B"/>
      </colorScale>
    </cfRule>
  </conditionalFormatting>
  <conditionalFormatting sqref="M65:M80">
    <cfRule type="colorScale" priority="2">
      <colorScale>
        <cfvo type="min" val="0"/>
        <cfvo type="percentile" val="50"/>
        <cfvo type="max" val="0"/>
        <color rgb="FFF8696B"/>
        <color rgb="FFFFEB84"/>
        <color rgb="FF63BE7B"/>
      </colorScale>
    </cfRule>
  </conditionalFormatting>
  <conditionalFormatting sqref="M65:M80">
    <cfRule type="colorScale" priority="1">
      <colorScale>
        <cfvo type="min" val="0"/>
        <cfvo type="percentile" val="50"/>
        <cfvo type="max" val="0"/>
        <color rgb="FFF8696B"/>
        <color rgb="FFFFEB84"/>
        <color rgb="FF63BE7B"/>
      </colorScale>
    </cfRule>
  </conditionalFormatting>
  <pageMargins left="0.7" right="0.7" top="0.75" bottom="0.75" header="0.3" footer="0.3"/>
  <pageSetup paperSize="9" orientation="portrait" horizontalDpi="0" verticalDpi="0" r:id="rId1"/>
  <legacyDrawing r:id="rId2"/>
</worksheet>
</file>

<file path=xl/worksheets/sheet38.xml><?xml version="1.0" encoding="utf-8"?>
<worksheet xmlns="http://schemas.openxmlformats.org/spreadsheetml/2006/main" xmlns:r="http://schemas.openxmlformats.org/officeDocument/2006/relationships">
  <sheetPr codeName="Hoja31"/>
  <dimension ref="A1:P20"/>
  <sheetViews>
    <sheetView workbookViewId="0">
      <selection activeCell="N9" sqref="N9"/>
    </sheetView>
  </sheetViews>
  <sheetFormatPr baseColWidth="10" defaultRowHeight="15"/>
  <cols>
    <col min="8" max="8" width="4.5703125" bestFit="1" customWidth="1"/>
    <col min="13" max="13" width="11.42578125" style="67"/>
  </cols>
  <sheetData>
    <row r="1" spans="1:14">
      <c r="A1" s="4" t="s">
        <v>12</v>
      </c>
      <c r="B1" s="4" t="s">
        <v>0</v>
      </c>
      <c r="C1" s="4" t="s">
        <v>3</v>
      </c>
      <c r="D1" s="4" t="s">
        <v>49</v>
      </c>
      <c r="E1" s="5">
        <f t="shared" ref="E1:E16" si="0">IF(N1&gt;0,N1,0)</f>
        <v>4.715789473684211</v>
      </c>
      <c r="F1" s="4">
        <v>1.95</v>
      </c>
      <c r="G1" s="10" t="s">
        <v>36</v>
      </c>
      <c r="H1">
        <v>1</v>
      </c>
      <c r="J1" s="62">
        <f t="shared" ref="J1:J11" si="1">IF(H1=1,E1*(F1-1),-E1)</f>
        <v>4.4800000000000004</v>
      </c>
      <c r="L1">
        <v>3</v>
      </c>
      <c r="M1" s="67">
        <f t="shared" ref="M1:M16" si="2">L1*80/3</f>
        <v>80</v>
      </c>
      <c r="N1" s="41">
        <f t="shared" ref="N1:N16" si="3">((F1*(M1/100)-1)/(F1 -1))*40/5</f>
        <v>4.715789473684211</v>
      </c>
    </row>
    <row r="2" spans="1:14">
      <c r="A2" s="12" t="s">
        <v>12</v>
      </c>
      <c r="B2" s="12" t="s">
        <v>26</v>
      </c>
      <c r="C2" s="12" t="s">
        <v>10</v>
      </c>
      <c r="D2" s="13" t="s">
        <v>49</v>
      </c>
      <c r="E2" s="13">
        <f t="shared" si="0"/>
        <v>4.2666666666666684</v>
      </c>
      <c r="F2" s="12">
        <v>1.75</v>
      </c>
      <c r="G2" s="15" t="s">
        <v>82</v>
      </c>
      <c r="H2">
        <v>0</v>
      </c>
      <c r="J2" s="62">
        <f t="shared" si="1"/>
        <v>-4.2666666666666684</v>
      </c>
      <c r="L2">
        <v>3</v>
      </c>
      <c r="M2" s="67">
        <f t="shared" si="2"/>
        <v>80</v>
      </c>
      <c r="N2" s="41">
        <f t="shared" si="3"/>
        <v>4.2666666666666684</v>
      </c>
    </row>
    <row r="3" spans="1:14">
      <c r="A3" s="4" t="s">
        <v>12</v>
      </c>
      <c r="B3" s="4" t="s">
        <v>27</v>
      </c>
      <c r="C3" s="4" t="s">
        <v>28</v>
      </c>
      <c r="D3" s="5" t="s">
        <v>49</v>
      </c>
      <c r="E3" s="5">
        <f t="shared" si="0"/>
        <v>3.7333333333333356</v>
      </c>
      <c r="F3" s="4">
        <v>1.6</v>
      </c>
      <c r="G3" s="10" t="s">
        <v>41</v>
      </c>
      <c r="H3">
        <v>1</v>
      </c>
      <c r="J3" s="62">
        <f t="shared" si="1"/>
        <v>2.2400000000000015</v>
      </c>
      <c r="L3">
        <v>3</v>
      </c>
      <c r="M3" s="67">
        <f t="shared" si="2"/>
        <v>80</v>
      </c>
      <c r="N3" s="41">
        <f t="shared" si="3"/>
        <v>3.7333333333333356</v>
      </c>
    </row>
    <row r="4" spans="1:14">
      <c r="A4" s="54" t="s">
        <v>12</v>
      </c>
      <c r="B4" s="54" t="s">
        <v>2</v>
      </c>
      <c r="C4" s="54" t="s">
        <v>47</v>
      </c>
      <c r="D4" s="54" t="s">
        <v>48</v>
      </c>
      <c r="E4" s="55">
        <f t="shared" si="0"/>
        <v>1.4872435325602142</v>
      </c>
      <c r="F4" s="56">
        <f>((3.95-1)*0.95)+1</f>
        <v>3.8025000000000002</v>
      </c>
      <c r="G4" s="57" t="s">
        <v>43</v>
      </c>
      <c r="H4">
        <v>1</v>
      </c>
      <c r="J4" s="62">
        <f t="shared" si="1"/>
        <v>4.168000000000001</v>
      </c>
      <c r="L4">
        <v>1.5</v>
      </c>
      <c r="M4" s="67">
        <f t="shared" si="2"/>
        <v>40</v>
      </c>
      <c r="N4" s="41">
        <f t="shared" si="3"/>
        <v>1.4872435325602142</v>
      </c>
    </row>
    <row r="5" spans="1:14">
      <c r="A5" s="46" t="s">
        <v>12</v>
      </c>
      <c r="B5" s="46" t="s">
        <v>67</v>
      </c>
      <c r="C5" s="46" t="s">
        <v>5</v>
      </c>
      <c r="D5" s="46" t="s">
        <v>48</v>
      </c>
      <c r="E5" s="47">
        <f t="shared" si="0"/>
        <v>1.2933465739821255</v>
      </c>
      <c r="F5" s="48">
        <f>((3.65-1)*0.95)+1</f>
        <v>3.5174999999999996</v>
      </c>
      <c r="G5" s="49" t="s">
        <v>42</v>
      </c>
      <c r="H5">
        <v>0</v>
      </c>
      <c r="J5" s="62">
        <f t="shared" si="1"/>
        <v>-1.2933465739821255</v>
      </c>
      <c r="L5">
        <v>1.5</v>
      </c>
      <c r="M5" s="67">
        <f t="shared" si="2"/>
        <v>40</v>
      </c>
      <c r="N5" s="41">
        <f t="shared" si="3"/>
        <v>1.2933465739821255</v>
      </c>
    </row>
    <row r="6" spans="1:14">
      <c r="A6" s="4" t="s">
        <v>12</v>
      </c>
      <c r="B6" s="4" t="s">
        <v>15</v>
      </c>
      <c r="C6" s="4" t="s">
        <v>2</v>
      </c>
      <c r="D6" s="4" t="s">
        <v>48</v>
      </c>
      <c r="E6" s="5">
        <f t="shared" si="0"/>
        <v>1.2566801619433197</v>
      </c>
      <c r="F6" s="9">
        <f>((3.6-1)*0.95)+1</f>
        <v>3.4699999999999998</v>
      </c>
      <c r="G6" s="10" t="s">
        <v>39</v>
      </c>
      <c r="H6">
        <v>1</v>
      </c>
      <c r="J6" s="62">
        <f t="shared" si="1"/>
        <v>3.1039999999999992</v>
      </c>
      <c r="K6" s="68" t="s">
        <v>136</v>
      </c>
      <c r="L6">
        <v>1.5</v>
      </c>
      <c r="M6" s="67">
        <f t="shared" si="2"/>
        <v>40</v>
      </c>
      <c r="N6" s="41">
        <f t="shared" si="3"/>
        <v>1.2566801619433197</v>
      </c>
    </row>
    <row r="7" spans="1:14">
      <c r="A7" s="12" t="s">
        <v>6</v>
      </c>
      <c r="B7" s="12" t="s">
        <v>10</v>
      </c>
      <c r="C7" s="12" t="s">
        <v>13</v>
      </c>
      <c r="D7" s="12" t="s">
        <v>49</v>
      </c>
      <c r="E7" s="13">
        <f t="shared" si="0"/>
        <v>0.87888687235329832</v>
      </c>
      <c r="F7" s="14">
        <f>((2.16-1)*0.95)+1</f>
        <v>2.1020000000000003</v>
      </c>
      <c r="G7" s="15" t="s">
        <v>38</v>
      </c>
      <c r="H7">
        <v>0</v>
      </c>
      <c r="J7" s="62">
        <f t="shared" si="1"/>
        <v>-0.87888687235329832</v>
      </c>
      <c r="L7">
        <v>2</v>
      </c>
      <c r="M7" s="67">
        <f t="shared" si="2"/>
        <v>53.333333333333336</v>
      </c>
      <c r="N7" s="41">
        <f t="shared" si="3"/>
        <v>0.87888687235329832</v>
      </c>
    </row>
    <row r="8" spans="1:14">
      <c r="A8" s="12" t="s">
        <v>12</v>
      </c>
      <c r="B8" s="12" t="s">
        <v>5</v>
      </c>
      <c r="C8" s="12" t="s">
        <v>16</v>
      </c>
      <c r="D8" s="12" t="s">
        <v>48</v>
      </c>
      <c r="E8" s="13">
        <f t="shared" si="0"/>
        <v>0.69718482252141956</v>
      </c>
      <c r="F8" s="14">
        <f>((5.3-1)*0.95)+1</f>
        <v>5.085</v>
      </c>
      <c r="G8" s="15" t="s">
        <v>37</v>
      </c>
      <c r="H8">
        <v>0</v>
      </c>
      <c r="J8" s="62">
        <f t="shared" si="1"/>
        <v>-0.69718482252141956</v>
      </c>
      <c r="L8">
        <v>1</v>
      </c>
      <c r="M8" s="67">
        <f t="shared" si="2"/>
        <v>26.666666666666668</v>
      </c>
      <c r="N8" s="41">
        <f t="shared" si="3"/>
        <v>0.69718482252141956</v>
      </c>
    </row>
    <row r="9" spans="1:14">
      <c r="A9" s="42" t="s">
        <v>12</v>
      </c>
      <c r="B9" s="42" t="s">
        <v>16</v>
      </c>
      <c r="C9" s="42" t="s">
        <v>47</v>
      </c>
      <c r="D9" s="42" t="s">
        <v>49</v>
      </c>
      <c r="E9" s="43">
        <f t="shared" si="0"/>
        <v>0.69409888357256788</v>
      </c>
      <c r="F9" s="44">
        <f>((2.1-1)*0.95)+1</f>
        <v>2.0449999999999999</v>
      </c>
      <c r="G9" s="45" t="s">
        <v>122</v>
      </c>
      <c r="H9">
        <v>1</v>
      </c>
      <c r="J9" s="62">
        <f t="shared" si="1"/>
        <v>0.72533333333333339</v>
      </c>
      <c r="L9">
        <v>2</v>
      </c>
      <c r="M9" s="67">
        <f t="shared" si="2"/>
        <v>53.333333333333336</v>
      </c>
      <c r="N9" s="41">
        <f t="shared" si="3"/>
        <v>0.69409888357256788</v>
      </c>
    </row>
    <row r="10" spans="1:14">
      <c r="A10" s="12" t="s">
        <v>12</v>
      </c>
      <c r="B10" s="12" t="s">
        <v>2</v>
      </c>
      <c r="C10" s="12" t="s">
        <v>27</v>
      </c>
      <c r="D10" s="12" t="s">
        <v>49</v>
      </c>
      <c r="E10" s="13">
        <f t="shared" si="0"/>
        <v>0.67368421052631544</v>
      </c>
      <c r="F10" s="14">
        <v>2.9</v>
      </c>
      <c r="G10" s="15" t="s">
        <v>121</v>
      </c>
      <c r="H10">
        <v>0</v>
      </c>
      <c r="J10" s="62">
        <f t="shared" si="1"/>
        <v>-0.67368421052631544</v>
      </c>
      <c r="L10">
        <v>1.5</v>
      </c>
      <c r="M10" s="67">
        <f t="shared" si="2"/>
        <v>40</v>
      </c>
      <c r="N10" s="41">
        <f t="shared" si="3"/>
        <v>0.67368421052631544</v>
      </c>
    </row>
    <row r="11" spans="1:14">
      <c r="A11" s="46" t="s">
        <v>12</v>
      </c>
      <c r="B11" s="46" t="s">
        <v>28</v>
      </c>
      <c r="C11" s="46" t="s">
        <v>1</v>
      </c>
      <c r="D11" s="46" t="s">
        <v>49</v>
      </c>
      <c r="E11" s="47">
        <f t="shared" si="0"/>
        <v>0.17309941520467878</v>
      </c>
      <c r="F11" s="48">
        <f>((1.96-1)*0.95)+1</f>
        <v>1.9119999999999999</v>
      </c>
      <c r="G11" s="49" t="s">
        <v>37</v>
      </c>
      <c r="H11">
        <v>0</v>
      </c>
      <c r="J11" s="62">
        <f t="shared" si="1"/>
        <v>-0.17309941520467878</v>
      </c>
      <c r="L11">
        <v>2</v>
      </c>
      <c r="M11" s="67">
        <f t="shared" si="2"/>
        <v>53.333333333333336</v>
      </c>
      <c r="N11" s="41">
        <f t="shared" si="3"/>
        <v>0.17309941520467878</v>
      </c>
    </row>
    <row r="12" spans="1:14">
      <c r="A12" s="50" t="s">
        <v>12</v>
      </c>
      <c r="B12" s="50" t="s">
        <v>3</v>
      </c>
      <c r="C12" s="50" t="s">
        <v>67</v>
      </c>
      <c r="D12" s="50" t="s">
        <v>34</v>
      </c>
      <c r="E12" s="51">
        <f t="shared" si="0"/>
        <v>0</v>
      </c>
      <c r="F12" s="52">
        <v>3.3</v>
      </c>
      <c r="G12" s="53" t="s">
        <v>42</v>
      </c>
      <c r="J12" s="62"/>
      <c r="L12">
        <v>0.6</v>
      </c>
      <c r="M12" s="67">
        <f t="shared" si="2"/>
        <v>16</v>
      </c>
      <c r="N12" s="41">
        <f t="shared" si="3"/>
        <v>-1.6417391304347828</v>
      </c>
    </row>
    <row r="13" spans="1:14">
      <c r="A13" s="4" t="s">
        <v>12</v>
      </c>
      <c r="B13" s="4" t="s">
        <v>134</v>
      </c>
      <c r="C13" s="4" t="s">
        <v>73</v>
      </c>
      <c r="D13" s="4" t="s">
        <v>49</v>
      </c>
      <c r="E13" s="5">
        <f t="shared" si="0"/>
        <v>0</v>
      </c>
      <c r="F13" s="9">
        <f>((1.74-1)*0.95)+1</f>
        <v>1.7029999999999998</v>
      </c>
      <c r="G13" s="16" t="s">
        <v>41</v>
      </c>
      <c r="J13" s="62"/>
      <c r="L13">
        <v>2</v>
      </c>
      <c r="M13" s="67">
        <f t="shared" si="2"/>
        <v>53.333333333333336</v>
      </c>
      <c r="N13" s="41">
        <f t="shared" si="3"/>
        <v>-1.043907064959698</v>
      </c>
    </row>
    <row r="14" spans="1:14">
      <c r="A14" s="46" t="s">
        <v>12</v>
      </c>
      <c r="B14" s="46" t="s">
        <v>26</v>
      </c>
      <c r="C14" s="46" t="s">
        <v>4</v>
      </c>
      <c r="D14" s="46" t="s">
        <v>48</v>
      </c>
      <c r="E14" s="47">
        <f t="shared" si="0"/>
        <v>0</v>
      </c>
      <c r="F14" s="48">
        <v>2.2000000000000002</v>
      </c>
      <c r="G14" s="49" t="s">
        <v>38</v>
      </c>
      <c r="J14" s="62"/>
      <c r="L14">
        <v>1.5</v>
      </c>
      <c r="M14" s="67">
        <f t="shared" si="2"/>
        <v>40</v>
      </c>
      <c r="N14" s="41">
        <f t="shared" si="3"/>
        <v>-0.79999999999999916</v>
      </c>
    </row>
    <row r="15" spans="1:14">
      <c r="A15" s="54" t="s">
        <v>12</v>
      </c>
      <c r="B15" s="54" t="s">
        <v>0</v>
      </c>
      <c r="C15" s="54" t="s">
        <v>15</v>
      </c>
      <c r="D15" s="54" t="s">
        <v>48</v>
      </c>
      <c r="E15" s="55">
        <f t="shared" si="0"/>
        <v>0</v>
      </c>
      <c r="F15" s="56">
        <f>((4.6-1)*0.95)+1</f>
        <v>4.42</v>
      </c>
      <c r="G15" s="57" t="s">
        <v>39</v>
      </c>
      <c r="H15" t="s">
        <v>135</v>
      </c>
      <c r="J15" s="62"/>
      <c r="L15">
        <v>0.75</v>
      </c>
      <c r="M15" s="67">
        <f t="shared" si="2"/>
        <v>20</v>
      </c>
      <c r="N15" s="41">
        <f t="shared" si="3"/>
        <v>-0.27134502923976606</v>
      </c>
    </row>
    <row r="16" spans="1:14">
      <c r="A16" s="54" t="s">
        <v>12</v>
      </c>
      <c r="B16" s="54" t="s">
        <v>26</v>
      </c>
      <c r="C16" s="54" t="s">
        <v>119</v>
      </c>
      <c r="D16" s="54" t="s">
        <v>48</v>
      </c>
      <c r="E16" s="55">
        <f t="shared" si="0"/>
        <v>0</v>
      </c>
      <c r="F16" s="56">
        <v>2.2999999999999998</v>
      </c>
      <c r="G16" s="57" t="s">
        <v>43</v>
      </c>
      <c r="J16" s="62"/>
      <c r="L16">
        <v>1</v>
      </c>
      <c r="M16" s="67">
        <f t="shared" si="2"/>
        <v>26.666666666666668</v>
      </c>
      <c r="N16" s="41">
        <f t="shared" si="3"/>
        <v>-2.3794871794871799</v>
      </c>
    </row>
    <row r="17" spans="1:16">
      <c r="A17" s="58"/>
      <c r="B17" s="58"/>
      <c r="C17" s="58"/>
      <c r="D17" s="58"/>
      <c r="E17" s="58"/>
      <c r="F17" s="59"/>
      <c r="G17" s="60"/>
    </row>
    <row r="18" spans="1:16">
      <c r="E18" s="61">
        <f>SUM(E1:E17)</f>
        <v>19.870013946348152</v>
      </c>
      <c r="H18">
        <f>SUM(H1:H17)</f>
        <v>5</v>
      </c>
      <c r="I18" s="21">
        <f>COUNTIF(E1:E17,"&gt;0")</f>
        <v>11</v>
      </c>
      <c r="J18" s="62">
        <f>SUM(J1:J17)</f>
        <v>6.7344647720788284</v>
      </c>
      <c r="K18" s="68" t="s">
        <v>230</v>
      </c>
      <c r="L18" s="68"/>
      <c r="M18" s="95"/>
      <c r="N18" s="68"/>
      <c r="O18" s="68"/>
      <c r="P18" s="68"/>
    </row>
    <row r="19" spans="1:16">
      <c r="H19" s="63">
        <f>+H18/COUNTIF(E1:E17,"&gt;0")</f>
        <v>0.45454545454545453</v>
      </c>
      <c r="J19" s="65">
        <f>+J18/E18</f>
        <v>0.33892602140405315</v>
      </c>
    </row>
    <row r="20" spans="1:16">
      <c r="J20" s="64"/>
    </row>
  </sheetData>
  <sortState ref="A1:N16">
    <sortCondition descending="1" ref="E1:E16"/>
  </sortState>
  <pageMargins left="0.7" right="0.7" top="0.75" bottom="0.75" header="0.3" footer="0.3"/>
  <pageSetup paperSize="9" orientation="portrait" horizontalDpi="0" verticalDpi="0" r:id="rId1"/>
  <legacyDrawing r:id="rId2"/>
</worksheet>
</file>

<file path=xl/worksheets/sheet39.xml><?xml version="1.0" encoding="utf-8"?>
<worksheet xmlns="http://schemas.openxmlformats.org/spreadsheetml/2006/main" xmlns:r="http://schemas.openxmlformats.org/officeDocument/2006/relationships">
  <sheetPr codeName="Hoja32"/>
  <dimension ref="A1:J40"/>
  <sheetViews>
    <sheetView topLeftCell="A28" workbookViewId="0">
      <selection activeCell="E38" sqref="E38:J40"/>
    </sheetView>
  </sheetViews>
  <sheetFormatPr baseColWidth="10" defaultRowHeight="15"/>
  <cols>
    <col min="8" max="8" width="4.5703125" bestFit="1" customWidth="1"/>
  </cols>
  <sheetData>
    <row r="1" spans="1:10">
      <c r="A1" s="4" t="s">
        <v>12</v>
      </c>
      <c r="B1" s="4" t="s">
        <v>0</v>
      </c>
      <c r="C1" s="4" t="s">
        <v>3</v>
      </c>
      <c r="D1" s="4" t="s">
        <v>49</v>
      </c>
      <c r="E1" s="5">
        <v>3</v>
      </c>
      <c r="F1" s="4">
        <v>1.95</v>
      </c>
      <c r="G1" s="10" t="s">
        <v>36</v>
      </c>
      <c r="H1">
        <v>1</v>
      </c>
      <c r="J1" s="62">
        <f>IF(H1=1,E1*(F1-1),-E1)</f>
        <v>2.8499999999999996</v>
      </c>
    </row>
    <row r="2" spans="1:10">
      <c r="A2" s="12" t="s">
        <v>6</v>
      </c>
      <c r="B2" s="12" t="s">
        <v>10</v>
      </c>
      <c r="C2" s="12" t="s">
        <v>13</v>
      </c>
      <c r="D2" s="12" t="s">
        <v>49</v>
      </c>
      <c r="E2" s="13">
        <v>2</v>
      </c>
      <c r="F2" s="14">
        <f>((2.16-1)*0.95)+1</f>
        <v>2.1020000000000003</v>
      </c>
      <c r="G2" s="15" t="s">
        <v>38</v>
      </c>
      <c r="H2">
        <v>0</v>
      </c>
      <c r="J2" s="62">
        <f t="shared" ref="J2:J36" si="0">IF(H2=1,E2*(F2-1),-E2)</f>
        <v>-2</v>
      </c>
    </row>
    <row r="3" spans="1:10">
      <c r="A3" s="4" t="s">
        <v>12</v>
      </c>
      <c r="B3" s="4" t="s">
        <v>15</v>
      </c>
      <c r="C3" s="4" t="s">
        <v>2</v>
      </c>
      <c r="D3" s="4" t="s">
        <v>48</v>
      </c>
      <c r="E3" s="5">
        <v>1.5</v>
      </c>
      <c r="F3" s="9">
        <f>((3.6-1)*0.95)+1</f>
        <v>3.4699999999999998</v>
      </c>
      <c r="G3" s="10" t="s">
        <v>39</v>
      </c>
      <c r="H3">
        <v>1</v>
      </c>
      <c r="J3" s="62">
        <f t="shared" si="0"/>
        <v>3.7049999999999996</v>
      </c>
    </row>
    <row r="4" spans="1:10">
      <c r="A4" s="12" t="s">
        <v>12</v>
      </c>
      <c r="B4" s="12" t="s">
        <v>5</v>
      </c>
      <c r="C4" s="12" t="s">
        <v>16</v>
      </c>
      <c r="D4" s="12" t="s">
        <v>48</v>
      </c>
      <c r="E4" s="13">
        <v>1</v>
      </c>
      <c r="F4" s="14">
        <f>((5.3-1)*0.95)+1</f>
        <v>5.085</v>
      </c>
      <c r="G4" s="15" t="s">
        <v>37</v>
      </c>
      <c r="H4">
        <v>0</v>
      </c>
      <c r="J4" s="62">
        <f t="shared" si="0"/>
        <v>-1</v>
      </c>
    </row>
    <row r="5" spans="1:10">
      <c r="A5" s="12" t="s">
        <v>12</v>
      </c>
      <c r="B5" s="12" t="s">
        <v>26</v>
      </c>
      <c r="C5" s="12" t="s">
        <v>10</v>
      </c>
      <c r="D5" s="13" t="s">
        <v>49</v>
      </c>
      <c r="E5" s="13">
        <v>3</v>
      </c>
      <c r="F5" s="12">
        <v>1.75</v>
      </c>
      <c r="G5" s="15" t="s">
        <v>82</v>
      </c>
      <c r="H5">
        <v>0</v>
      </c>
      <c r="J5" s="62">
        <f t="shared" si="0"/>
        <v>-3</v>
      </c>
    </row>
    <row r="6" spans="1:10">
      <c r="A6" s="4" t="s">
        <v>12</v>
      </c>
      <c r="B6" s="4" t="s">
        <v>27</v>
      </c>
      <c r="C6" s="4" t="s">
        <v>28</v>
      </c>
      <c r="D6" s="5" t="s">
        <v>49</v>
      </c>
      <c r="E6" s="5">
        <v>3</v>
      </c>
      <c r="F6" s="4">
        <v>1.6</v>
      </c>
      <c r="G6" s="10" t="s">
        <v>41</v>
      </c>
      <c r="H6">
        <v>1</v>
      </c>
      <c r="J6" s="62">
        <f t="shared" si="0"/>
        <v>1.8000000000000003</v>
      </c>
    </row>
    <row r="7" spans="1:10">
      <c r="A7" s="12" t="s">
        <v>12</v>
      </c>
      <c r="B7" s="12" t="s">
        <v>3</v>
      </c>
      <c r="C7" s="12" t="s">
        <v>67</v>
      </c>
      <c r="D7" s="12" t="s">
        <v>34</v>
      </c>
      <c r="E7" s="13">
        <v>0.6</v>
      </c>
      <c r="F7" s="14">
        <v>3.3</v>
      </c>
      <c r="G7" s="15" t="s">
        <v>42</v>
      </c>
      <c r="H7">
        <v>0</v>
      </c>
      <c r="J7" s="62">
        <f t="shared" si="0"/>
        <v>-0.6</v>
      </c>
    </row>
    <row r="8" spans="1:10">
      <c r="A8" s="4" t="s">
        <v>12</v>
      </c>
      <c r="B8" s="4" t="s">
        <v>134</v>
      </c>
      <c r="C8" s="4" t="s">
        <v>73</v>
      </c>
      <c r="D8" s="4" t="s">
        <v>49</v>
      </c>
      <c r="E8" s="5">
        <v>2</v>
      </c>
      <c r="F8" s="9">
        <f>((1.74-1)*0.95)+1</f>
        <v>1.7029999999999998</v>
      </c>
      <c r="G8" s="16" t="s">
        <v>41</v>
      </c>
      <c r="H8">
        <v>1</v>
      </c>
      <c r="J8" s="62">
        <f t="shared" si="0"/>
        <v>1.4059999999999997</v>
      </c>
    </row>
    <row r="9" spans="1:10">
      <c r="A9" s="42" t="s">
        <v>12</v>
      </c>
      <c r="B9" s="42" t="s">
        <v>2</v>
      </c>
      <c r="C9" s="42" t="s">
        <v>47</v>
      </c>
      <c r="D9" s="42" t="s">
        <v>48</v>
      </c>
      <c r="E9" s="43">
        <v>1.5</v>
      </c>
      <c r="F9" s="44">
        <f>((3.95-1)*0.95)+1</f>
        <v>3.8025000000000002</v>
      </c>
      <c r="G9" s="45" t="s">
        <v>43</v>
      </c>
      <c r="H9">
        <v>1</v>
      </c>
      <c r="J9" s="62">
        <f t="shared" si="0"/>
        <v>4.2037500000000003</v>
      </c>
    </row>
    <row r="10" spans="1:10">
      <c r="A10" s="46" t="s">
        <v>12</v>
      </c>
      <c r="B10" s="46" t="s">
        <v>28</v>
      </c>
      <c r="C10" s="46" t="s">
        <v>1</v>
      </c>
      <c r="D10" s="46" t="s">
        <v>49</v>
      </c>
      <c r="E10" s="47">
        <v>2</v>
      </c>
      <c r="F10" s="48">
        <f>((1.96-1)*0.95)+1</f>
        <v>1.9119999999999999</v>
      </c>
      <c r="G10" s="49" t="s">
        <v>37</v>
      </c>
      <c r="H10">
        <v>0</v>
      </c>
      <c r="J10" s="62">
        <f t="shared" si="0"/>
        <v>-2</v>
      </c>
    </row>
    <row r="11" spans="1:10">
      <c r="A11" s="46" t="s">
        <v>12</v>
      </c>
      <c r="B11" s="46" t="s">
        <v>26</v>
      </c>
      <c r="C11" s="46" t="s">
        <v>4</v>
      </c>
      <c r="D11" s="46" t="s">
        <v>48</v>
      </c>
      <c r="E11" s="47">
        <v>1.5</v>
      </c>
      <c r="F11" s="48">
        <v>2.2000000000000002</v>
      </c>
      <c r="G11" s="49" t="s">
        <v>38</v>
      </c>
      <c r="H11">
        <v>0</v>
      </c>
      <c r="J11" s="62">
        <f t="shared" si="0"/>
        <v>-1.5</v>
      </c>
    </row>
    <row r="12" spans="1:10">
      <c r="A12" s="50" t="s">
        <v>12</v>
      </c>
      <c r="B12" s="50" t="s">
        <v>2</v>
      </c>
      <c r="C12" s="50" t="s">
        <v>27</v>
      </c>
      <c r="D12" s="50" t="s">
        <v>49</v>
      </c>
      <c r="E12" s="51">
        <v>1.5</v>
      </c>
      <c r="F12" s="52">
        <v>2.9</v>
      </c>
      <c r="G12" s="53" t="s">
        <v>121</v>
      </c>
      <c r="H12">
        <v>0</v>
      </c>
      <c r="J12" s="62">
        <f t="shared" si="0"/>
        <v>-1.5</v>
      </c>
    </row>
    <row r="13" spans="1:10">
      <c r="A13" s="54" t="s">
        <v>12</v>
      </c>
      <c r="B13" s="54" t="s">
        <v>16</v>
      </c>
      <c r="C13" s="54" t="s">
        <v>47</v>
      </c>
      <c r="D13" s="54" t="s">
        <v>49</v>
      </c>
      <c r="E13" s="55">
        <v>2</v>
      </c>
      <c r="F13" s="56">
        <f>((2.1-1)*0.95)+1</f>
        <v>2.0449999999999999</v>
      </c>
      <c r="G13" s="57" t="s">
        <v>122</v>
      </c>
      <c r="H13">
        <v>1</v>
      </c>
      <c r="J13" s="62">
        <f t="shared" si="0"/>
        <v>2.09</v>
      </c>
    </row>
    <row r="14" spans="1:10">
      <c r="A14" s="54" t="s">
        <v>12</v>
      </c>
      <c r="B14" s="54" t="s">
        <v>0</v>
      </c>
      <c r="C14" s="54" t="s">
        <v>15</v>
      </c>
      <c r="D14" s="54" t="s">
        <v>48</v>
      </c>
      <c r="E14" s="55">
        <v>0.75</v>
      </c>
      <c r="F14" s="56">
        <v>6.2</v>
      </c>
      <c r="G14" s="57" t="s">
        <v>39</v>
      </c>
      <c r="H14">
        <v>1</v>
      </c>
      <c r="J14" s="62">
        <f t="shared" si="0"/>
        <v>3.9000000000000004</v>
      </c>
    </row>
    <row r="15" spans="1:10">
      <c r="A15" s="46" t="s">
        <v>12</v>
      </c>
      <c r="B15" s="46" t="s">
        <v>67</v>
      </c>
      <c r="C15" s="46" t="s">
        <v>5</v>
      </c>
      <c r="D15" s="46" t="s">
        <v>48</v>
      </c>
      <c r="E15" s="47">
        <v>1.5</v>
      </c>
      <c r="F15" s="48">
        <f>((3.65-1)*0.95)+1</f>
        <v>3.5174999999999996</v>
      </c>
      <c r="G15" s="49" t="s">
        <v>42</v>
      </c>
      <c r="H15">
        <v>0</v>
      </c>
      <c r="J15" s="62">
        <f t="shared" si="0"/>
        <v>-1.5</v>
      </c>
    </row>
    <row r="16" spans="1:10">
      <c r="A16" s="91" t="s">
        <v>12</v>
      </c>
      <c r="B16" s="91" t="s">
        <v>26</v>
      </c>
      <c r="C16" s="91" t="s">
        <v>119</v>
      </c>
      <c r="D16" s="91" t="s">
        <v>48</v>
      </c>
      <c r="E16" s="92">
        <v>1</v>
      </c>
      <c r="F16" s="93">
        <v>2.2999999999999998</v>
      </c>
      <c r="G16" s="94" t="s">
        <v>43</v>
      </c>
      <c r="H16">
        <v>1</v>
      </c>
      <c r="J16" s="62">
        <f t="shared" si="0"/>
        <v>1.2999999999999998</v>
      </c>
    </row>
    <row r="17" spans="1:10" s="2" customFormat="1">
      <c r="A17" s="12" t="s">
        <v>12</v>
      </c>
      <c r="B17" s="12" t="s">
        <v>28</v>
      </c>
      <c r="C17" s="12" t="s">
        <v>10</v>
      </c>
      <c r="D17" s="12" t="s">
        <v>49</v>
      </c>
      <c r="E17" s="13">
        <v>1</v>
      </c>
      <c r="F17" s="14">
        <f>((2.28-1)*0.95)+1</f>
        <v>2.2159999999999997</v>
      </c>
      <c r="G17" s="15" t="s">
        <v>38</v>
      </c>
      <c r="H17" s="2">
        <v>0</v>
      </c>
      <c r="J17" s="62">
        <f t="shared" si="0"/>
        <v>-1</v>
      </c>
    </row>
    <row r="18" spans="1:10" s="2" customFormat="1">
      <c r="A18" s="4" t="s">
        <v>12</v>
      </c>
      <c r="B18" s="4" t="s">
        <v>47</v>
      </c>
      <c r="C18" s="4" t="s">
        <v>0</v>
      </c>
      <c r="D18" s="4" t="s">
        <v>49</v>
      </c>
      <c r="E18" s="5">
        <v>1</v>
      </c>
      <c r="F18" s="9">
        <f>((2.32-1)*0.95)+1</f>
        <v>2.2539999999999996</v>
      </c>
      <c r="G18" s="10" t="s">
        <v>122</v>
      </c>
      <c r="H18" s="2">
        <v>1</v>
      </c>
      <c r="J18" s="62">
        <f t="shared" si="0"/>
        <v>1.2539999999999996</v>
      </c>
    </row>
    <row r="19" spans="1:10" s="2" customFormat="1">
      <c r="A19" s="12" t="s">
        <v>12</v>
      </c>
      <c r="B19" s="12" t="s">
        <v>5</v>
      </c>
      <c r="C19" s="12" t="s">
        <v>73</v>
      </c>
      <c r="D19" s="12" t="s">
        <v>49</v>
      </c>
      <c r="E19" s="13">
        <v>2</v>
      </c>
      <c r="F19" s="14">
        <f>((1.86-1)*0.95)+1</f>
        <v>1.8170000000000002</v>
      </c>
      <c r="G19" s="15" t="s">
        <v>39</v>
      </c>
      <c r="H19" s="2">
        <v>0</v>
      </c>
      <c r="J19" s="62">
        <f t="shared" si="0"/>
        <v>-2</v>
      </c>
    </row>
    <row r="20" spans="1:10" s="2" customFormat="1">
      <c r="A20" s="12" t="s">
        <v>12</v>
      </c>
      <c r="B20" s="12" t="s">
        <v>175</v>
      </c>
      <c r="C20" s="12" t="s">
        <v>4</v>
      </c>
      <c r="D20" s="12" t="s">
        <v>49</v>
      </c>
      <c r="E20" s="13">
        <v>1.5</v>
      </c>
      <c r="F20" s="14">
        <v>2</v>
      </c>
      <c r="G20" s="15" t="s">
        <v>37</v>
      </c>
      <c r="H20" s="2">
        <v>0</v>
      </c>
      <c r="J20" s="62">
        <f t="shared" si="0"/>
        <v>-1.5</v>
      </c>
    </row>
    <row r="21" spans="1:10" s="2" customFormat="1">
      <c r="A21" s="87" t="s">
        <v>12</v>
      </c>
      <c r="B21" s="87" t="s">
        <v>27</v>
      </c>
      <c r="C21" s="87" t="s">
        <v>16</v>
      </c>
      <c r="D21" s="87" t="s">
        <v>49</v>
      </c>
      <c r="E21" s="88">
        <v>1.5</v>
      </c>
      <c r="F21" s="89">
        <v>1.75</v>
      </c>
      <c r="G21" s="90" t="s">
        <v>179</v>
      </c>
      <c r="H21" s="2">
        <v>0</v>
      </c>
      <c r="J21" s="62">
        <f t="shared" si="0"/>
        <v>-1.5</v>
      </c>
    </row>
    <row r="22" spans="1:10" s="2" customFormat="1">
      <c r="A22" s="12" t="s">
        <v>12</v>
      </c>
      <c r="B22" s="12" t="s">
        <v>2</v>
      </c>
      <c r="C22" s="12" t="s">
        <v>181</v>
      </c>
      <c r="D22" s="12" t="s">
        <v>48</v>
      </c>
      <c r="E22" s="13">
        <v>1.5</v>
      </c>
      <c r="F22" s="14">
        <v>2.9</v>
      </c>
      <c r="G22" s="15" t="s">
        <v>36</v>
      </c>
      <c r="H22" s="2">
        <v>0</v>
      </c>
      <c r="J22" s="62">
        <f t="shared" si="0"/>
        <v>-1.5</v>
      </c>
    </row>
    <row r="23" spans="1:10" s="2" customFormat="1">
      <c r="A23" s="4" t="s">
        <v>12</v>
      </c>
      <c r="B23" s="4" t="s">
        <v>67</v>
      </c>
      <c r="C23" s="4" t="s">
        <v>47</v>
      </c>
      <c r="D23" s="4" t="s">
        <v>49</v>
      </c>
      <c r="E23" s="5">
        <v>1.5</v>
      </c>
      <c r="F23" s="9">
        <f>((1.8-1)*0.95)+1</f>
        <v>1.76</v>
      </c>
      <c r="G23" s="10" t="s">
        <v>187</v>
      </c>
      <c r="H23" s="2">
        <v>1</v>
      </c>
      <c r="J23" s="62">
        <f t="shared" si="0"/>
        <v>1.1400000000000001</v>
      </c>
    </row>
    <row r="24" spans="1:10" s="2" customFormat="1">
      <c r="A24" s="4" t="s">
        <v>12</v>
      </c>
      <c r="B24" s="4" t="s">
        <v>182</v>
      </c>
      <c r="C24" s="4" t="s">
        <v>5</v>
      </c>
      <c r="D24" s="4" t="s">
        <v>49</v>
      </c>
      <c r="E24" s="5">
        <v>1.5</v>
      </c>
      <c r="F24" s="9">
        <f>((2.86-1)*0.95)+1</f>
        <v>2.7669999999999999</v>
      </c>
      <c r="G24" s="10" t="s">
        <v>36</v>
      </c>
      <c r="H24" s="2">
        <v>1</v>
      </c>
      <c r="J24" s="62">
        <f t="shared" si="0"/>
        <v>2.6505000000000001</v>
      </c>
    </row>
    <row r="25" spans="1:10" s="2" customFormat="1">
      <c r="A25" s="4" t="s">
        <v>12</v>
      </c>
      <c r="B25" s="4" t="s">
        <v>0</v>
      </c>
      <c r="C25" s="4" t="s">
        <v>27</v>
      </c>
      <c r="D25" s="4" t="s">
        <v>49</v>
      </c>
      <c r="E25" s="5">
        <v>2</v>
      </c>
      <c r="F25" s="9">
        <v>2.8</v>
      </c>
      <c r="G25" s="10" t="s">
        <v>42</v>
      </c>
      <c r="H25" s="2">
        <v>1</v>
      </c>
      <c r="J25" s="62">
        <f t="shared" si="0"/>
        <v>3.5999999999999996</v>
      </c>
    </row>
    <row r="26" spans="1:10" s="2" customFormat="1">
      <c r="A26" s="87" t="s">
        <v>12</v>
      </c>
      <c r="B26" s="87" t="s">
        <v>10</v>
      </c>
      <c r="C26" s="87" t="s">
        <v>134</v>
      </c>
      <c r="D26" s="87" t="s">
        <v>49</v>
      </c>
      <c r="E26" s="88">
        <v>0.75</v>
      </c>
      <c r="F26" s="89">
        <f>((4.2-1)*0.95)+1</f>
        <v>4.04</v>
      </c>
      <c r="G26" s="90" t="s">
        <v>37</v>
      </c>
      <c r="H26" s="2">
        <v>0</v>
      </c>
      <c r="J26" s="62">
        <f t="shared" si="0"/>
        <v>-0.75</v>
      </c>
    </row>
    <row r="27" spans="1:10" s="2" customFormat="1">
      <c r="A27" s="4" t="s">
        <v>12</v>
      </c>
      <c r="B27" s="4" t="s">
        <v>5</v>
      </c>
      <c r="C27" s="4" t="s">
        <v>26</v>
      </c>
      <c r="D27" s="4" t="s">
        <v>49</v>
      </c>
      <c r="E27" s="5">
        <v>3</v>
      </c>
      <c r="F27" s="9">
        <f>((1.73-1)*0.95)+1</f>
        <v>1.6935</v>
      </c>
      <c r="G27" s="10" t="s">
        <v>36</v>
      </c>
      <c r="H27" s="2">
        <v>1</v>
      </c>
      <c r="J27" s="62">
        <f t="shared" si="0"/>
        <v>2.0804999999999998</v>
      </c>
    </row>
    <row r="28" spans="1:10" s="2" customFormat="1">
      <c r="A28" s="4" t="s">
        <v>12</v>
      </c>
      <c r="B28" s="4" t="s">
        <v>15</v>
      </c>
      <c r="C28" s="4" t="s">
        <v>182</v>
      </c>
      <c r="D28" s="4" t="s">
        <v>49</v>
      </c>
      <c r="E28" s="5">
        <v>2</v>
      </c>
      <c r="F28" s="9">
        <f>((2.46-1)*0.95)+1</f>
        <v>2.387</v>
      </c>
      <c r="G28" s="10" t="s">
        <v>201</v>
      </c>
      <c r="H28" s="2">
        <v>1</v>
      </c>
      <c r="J28" s="62">
        <f t="shared" si="0"/>
        <v>2.774</v>
      </c>
    </row>
    <row r="29" spans="1:10" s="2" customFormat="1">
      <c r="A29" s="4" t="s">
        <v>12</v>
      </c>
      <c r="B29" s="4" t="s">
        <v>27</v>
      </c>
      <c r="C29" s="4" t="s">
        <v>67</v>
      </c>
      <c r="D29" s="4" t="s">
        <v>49</v>
      </c>
      <c r="E29" s="5">
        <v>1.25</v>
      </c>
      <c r="F29" s="9">
        <f>((1.97-1)*0.95)+1</f>
        <v>1.9215</v>
      </c>
      <c r="G29" s="10" t="s">
        <v>41</v>
      </c>
      <c r="H29" s="2">
        <v>1</v>
      </c>
      <c r="J29" s="62">
        <f t="shared" si="0"/>
        <v>1.151875</v>
      </c>
    </row>
    <row r="30" spans="1:10" s="2" customFormat="1">
      <c r="A30" s="87" t="s">
        <v>12</v>
      </c>
      <c r="B30" s="87" t="s">
        <v>28</v>
      </c>
      <c r="C30" s="87" t="s">
        <v>2</v>
      </c>
      <c r="D30" s="87" t="s">
        <v>49</v>
      </c>
      <c r="E30" s="88">
        <v>1</v>
      </c>
      <c r="F30" s="89">
        <v>2.2999999999999998</v>
      </c>
      <c r="G30" s="90" t="s">
        <v>206</v>
      </c>
      <c r="H30" s="2">
        <v>0</v>
      </c>
      <c r="J30" s="62">
        <f t="shared" si="0"/>
        <v>-1</v>
      </c>
    </row>
    <row r="31" spans="1:10" s="2" customFormat="1">
      <c r="A31" s="50" t="s">
        <v>12</v>
      </c>
      <c r="B31" s="50" t="s">
        <v>10</v>
      </c>
      <c r="C31" s="50" t="s">
        <v>3</v>
      </c>
      <c r="D31" s="50" t="s">
        <v>49</v>
      </c>
      <c r="E31" s="51">
        <v>2</v>
      </c>
      <c r="F31" s="52">
        <f>((2.14-1)*0.95)+1</f>
        <v>2.0830000000000002</v>
      </c>
      <c r="G31" s="53" t="s">
        <v>38</v>
      </c>
      <c r="H31" s="2">
        <v>0</v>
      </c>
      <c r="J31" s="62">
        <f t="shared" si="0"/>
        <v>-2</v>
      </c>
    </row>
    <row r="32" spans="1:10" s="2" customFormat="1">
      <c r="A32" s="54" t="s">
        <v>12</v>
      </c>
      <c r="B32" s="54" t="s">
        <v>67</v>
      </c>
      <c r="C32" s="54" t="s">
        <v>1</v>
      </c>
      <c r="D32" s="54" t="s">
        <v>49</v>
      </c>
      <c r="E32" s="55">
        <v>3</v>
      </c>
      <c r="F32" s="56">
        <f>((1.49-1)*0.95)+1</f>
        <v>1.4655</v>
      </c>
      <c r="G32" s="57" t="s">
        <v>146</v>
      </c>
      <c r="H32" s="2">
        <v>1</v>
      </c>
      <c r="J32" s="62">
        <f t="shared" si="0"/>
        <v>1.3965000000000001</v>
      </c>
    </row>
    <row r="33" spans="1:10" s="2" customFormat="1">
      <c r="A33" s="54" t="s">
        <v>12</v>
      </c>
      <c r="B33" s="54" t="s">
        <v>26</v>
      </c>
      <c r="C33" s="54" t="s">
        <v>15</v>
      </c>
      <c r="D33" s="54" t="s">
        <v>49</v>
      </c>
      <c r="E33" s="55">
        <v>1</v>
      </c>
      <c r="F33" s="56">
        <f>((2-1)*0.95)+1</f>
        <v>1.95</v>
      </c>
      <c r="G33" s="57" t="s">
        <v>42</v>
      </c>
      <c r="H33" s="2">
        <v>1</v>
      </c>
      <c r="J33" s="62">
        <f t="shared" si="0"/>
        <v>0.95</v>
      </c>
    </row>
    <row r="34" spans="1:10" s="2" customFormat="1">
      <c r="A34" s="54" t="s">
        <v>12</v>
      </c>
      <c r="B34" s="54" t="s">
        <v>182</v>
      </c>
      <c r="C34" s="54" t="s">
        <v>47</v>
      </c>
      <c r="D34" s="54" t="s">
        <v>49</v>
      </c>
      <c r="E34" s="55">
        <v>2.5</v>
      </c>
      <c r="F34" s="56">
        <f>((2.26-1)*0.95)+1</f>
        <v>2.1970000000000001</v>
      </c>
      <c r="G34" s="57" t="s">
        <v>122</v>
      </c>
      <c r="H34" s="2">
        <v>1</v>
      </c>
      <c r="J34" s="62">
        <f t="shared" si="0"/>
        <v>2.9925000000000002</v>
      </c>
    </row>
    <row r="35" spans="1:10" s="2" customFormat="1">
      <c r="A35" s="46" t="s">
        <v>12</v>
      </c>
      <c r="B35" s="46" t="s">
        <v>4</v>
      </c>
      <c r="C35" s="46" t="s">
        <v>5</v>
      </c>
      <c r="D35" s="46" t="s">
        <v>49</v>
      </c>
      <c r="E35" s="47">
        <v>1</v>
      </c>
      <c r="F35" s="48">
        <f>((1.88-1)*0.95)+1</f>
        <v>1.8359999999999999</v>
      </c>
      <c r="G35" s="49" t="s">
        <v>39</v>
      </c>
      <c r="H35" s="2">
        <v>0</v>
      </c>
      <c r="J35" s="62">
        <f t="shared" si="0"/>
        <v>-1</v>
      </c>
    </row>
    <row r="36" spans="1:10" s="2" customFormat="1">
      <c r="A36" s="87" t="s">
        <v>12</v>
      </c>
      <c r="B36" s="87" t="s">
        <v>16</v>
      </c>
      <c r="C36" s="87" t="s">
        <v>28</v>
      </c>
      <c r="D36" s="87" t="s">
        <v>34</v>
      </c>
      <c r="E36" s="88">
        <v>0.5</v>
      </c>
      <c r="F36" s="89">
        <f>((3.75-1)*0.95)+1</f>
        <v>3.6124999999999998</v>
      </c>
      <c r="G36" s="90" t="s">
        <v>39</v>
      </c>
      <c r="H36" s="2">
        <v>0</v>
      </c>
      <c r="J36" s="62">
        <f t="shared" si="0"/>
        <v>-0.5</v>
      </c>
    </row>
    <row r="37" spans="1:10">
      <c r="A37" s="58"/>
      <c r="B37" s="58"/>
      <c r="C37" s="58"/>
      <c r="D37" s="58"/>
      <c r="E37" s="58"/>
      <c r="F37" s="59"/>
      <c r="G37" s="60"/>
    </row>
    <row r="38" spans="1:10">
      <c r="E38" s="61">
        <f>SUM(E1:E37)</f>
        <v>59.35</v>
      </c>
      <c r="H38">
        <f>SUM(H1:H37)</f>
        <v>18</v>
      </c>
      <c r="I38" s="21">
        <f>COUNTIF(E1:E37,"&gt;0")</f>
        <v>36</v>
      </c>
      <c r="J38" s="62">
        <f>SUM(J1:J37)</f>
        <v>15.394624999999998</v>
      </c>
    </row>
    <row r="39" spans="1:10">
      <c r="H39" s="63">
        <f>+H38/COUNTIF(E1:E37,"&gt;0")</f>
        <v>0.5</v>
      </c>
      <c r="J39" s="65">
        <f>+J38/E38</f>
        <v>0.25938711036225776</v>
      </c>
    </row>
    <row r="40" spans="1:10">
      <c r="J40" s="64"/>
    </row>
  </sheetData>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sheetPr codeName="Hoja5"/>
  <dimension ref="A1:R26"/>
  <sheetViews>
    <sheetView workbookViewId="0">
      <selection activeCell="A23" sqref="A23"/>
    </sheetView>
  </sheetViews>
  <sheetFormatPr baseColWidth="10" defaultRowHeight="15"/>
  <cols>
    <col min="1" max="1" width="4.28515625" customWidth="1"/>
    <col min="2" max="3" width="13.5703125" customWidth="1"/>
    <col min="5" max="6" width="7.85546875" customWidth="1"/>
    <col min="7" max="7" width="7.85546875" style="28" customWidth="1"/>
  </cols>
  <sheetData>
    <row r="1" spans="1:18">
      <c r="A1" s="12" t="s">
        <v>12</v>
      </c>
      <c r="B1" s="12" t="s">
        <v>2</v>
      </c>
      <c r="C1" s="12" t="s">
        <v>181</v>
      </c>
      <c r="D1" s="12" t="s">
        <v>48</v>
      </c>
      <c r="E1" s="13">
        <v>1.5</v>
      </c>
      <c r="F1" s="14">
        <v>2.9</v>
      </c>
      <c r="G1" s="15" t="s">
        <v>36</v>
      </c>
      <c r="H1" s="2" t="s">
        <v>190</v>
      </c>
      <c r="I1" s="2"/>
    </row>
    <row r="2" spans="1:18">
      <c r="A2" s="4" t="s">
        <v>12</v>
      </c>
      <c r="B2" s="4" t="s">
        <v>67</v>
      </c>
      <c r="C2" s="4" t="s">
        <v>47</v>
      </c>
      <c r="D2" s="4" t="s">
        <v>49</v>
      </c>
      <c r="E2" s="5">
        <v>1.5</v>
      </c>
      <c r="F2" s="9">
        <f>((1.8-1)*0.95)+1</f>
        <v>1.76</v>
      </c>
      <c r="G2" s="10" t="s">
        <v>187</v>
      </c>
      <c r="H2" s="2" t="s">
        <v>183</v>
      </c>
      <c r="I2" s="2"/>
    </row>
    <row r="3" spans="1:18">
      <c r="A3" s="4" t="s">
        <v>12</v>
      </c>
      <c r="B3" s="4" t="s">
        <v>182</v>
      </c>
      <c r="C3" s="4" t="s">
        <v>5</v>
      </c>
      <c r="D3" s="4" t="s">
        <v>49</v>
      </c>
      <c r="E3" s="5">
        <v>1.5</v>
      </c>
      <c r="F3" s="9">
        <f>((2.86-1)*0.95)+1</f>
        <v>2.7669999999999999</v>
      </c>
      <c r="G3" s="10" t="s">
        <v>36</v>
      </c>
      <c r="H3" s="2" t="s">
        <v>184</v>
      </c>
      <c r="I3" s="2"/>
    </row>
    <row r="4" spans="1:18">
      <c r="A4" s="4" t="s">
        <v>12</v>
      </c>
      <c r="B4" s="4" t="s">
        <v>0</v>
      </c>
      <c r="C4" s="4" t="s">
        <v>27</v>
      </c>
      <c r="D4" s="4" t="s">
        <v>49</v>
      </c>
      <c r="E4" s="5">
        <v>2</v>
      </c>
      <c r="F4" s="9">
        <v>2.8</v>
      </c>
      <c r="G4" s="10" t="s">
        <v>42</v>
      </c>
      <c r="H4" s="2" t="s">
        <v>185</v>
      </c>
      <c r="I4" s="2"/>
      <c r="J4" s="2"/>
      <c r="K4" s="2"/>
      <c r="L4" s="2"/>
      <c r="M4" s="2"/>
      <c r="N4" s="2"/>
      <c r="O4" s="2"/>
      <c r="P4" s="2"/>
      <c r="Q4" s="2"/>
      <c r="R4" s="2"/>
    </row>
    <row r="5" spans="1:18">
      <c r="A5" s="12" t="s">
        <v>12</v>
      </c>
      <c r="B5" s="12" t="s">
        <v>10</v>
      </c>
      <c r="C5" s="12" t="s">
        <v>134</v>
      </c>
      <c r="D5" s="12" t="s">
        <v>49</v>
      </c>
      <c r="E5" s="13">
        <v>0.75</v>
      </c>
      <c r="F5" s="14">
        <f>((4.2-1)*0.95)+1</f>
        <v>4.04</v>
      </c>
      <c r="G5" s="15" t="s">
        <v>37</v>
      </c>
      <c r="H5" s="2" t="s">
        <v>186</v>
      </c>
      <c r="I5" s="2"/>
      <c r="J5" s="2"/>
      <c r="K5" s="2"/>
      <c r="L5" s="2"/>
      <c r="M5" s="2"/>
      <c r="N5" s="2"/>
      <c r="O5" s="2"/>
      <c r="P5" s="2"/>
      <c r="Q5" s="2"/>
      <c r="R5" s="2"/>
    </row>
    <row r="6" spans="1:18">
      <c r="A6" s="2"/>
      <c r="B6" s="2"/>
      <c r="C6" s="2"/>
      <c r="D6" s="2"/>
      <c r="E6" s="3"/>
      <c r="F6" s="2"/>
      <c r="G6" s="30"/>
      <c r="H6" s="2"/>
      <c r="I6" s="2"/>
      <c r="J6" s="2"/>
      <c r="K6" s="2"/>
      <c r="L6" s="2"/>
      <c r="M6" s="2"/>
      <c r="N6" s="2"/>
      <c r="O6" s="2"/>
      <c r="P6" s="2"/>
      <c r="Q6" s="2"/>
      <c r="R6" s="2"/>
    </row>
    <row r="7" spans="1:18">
      <c r="A7" s="4" t="s">
        <v>12</v>
      </c>
      <c r="B7" s="4" t="s">
        <v>5</v>
      </c>
      <c r="C7" s="4" t="s">
        <v>26</v>
      </c>
      <c r="D7" s="4" t="s">
        <v>49</v>
      </c>
      <c r="E7" s="5">
        <v>3</v>
      </c>
      <c r="F7" s="9">
        <f>((1.73-1)*0.95)+1</f>
        <v>1.6935</v>
      </c>
      <c r="G7" s="10" t="s">
        <v>36</v>
      </c>
      <c r="H7" s="2" t="s">
        <v>188</v>
      </c>
      <c r="I7" s="2"/>
      <c r="J7" s="2"/>
      <c r="K7" s="2"/>
      <c r="L7" s="2"/>
      <c r="M7" s="2"/>
      <c r="N7" s="2"/>
      <c r="O7" s="2"/>
      <c r="P7" s="2"/>
      <c r="Q7" s="2"/>
      <c r="R7" s="2"/>
    </row>
    <row r="8" spans="1:18">
      <c r="A8" s="4" t="s">
        <v>12</v>
      </c>
      <c r="B8" s="4" t="s">
        <v>15</v>
      </c>
      <c r="C8" s="4" t="s">
        <v>182</v>
      </c>
      <c r="D8" s="4" t="s">
        <v>49</v>
      </c>
      <c r="E8" s="5">
        <v>2</v>
      </c>
      <c r="F8" s="9">
        <f>((2.46-1)*0.95)+1</f>
        <v>2.387</v>
      </c>
      <c r="G8" s="10" t="s">
        <v>201</v>
      </c>
      <c r="H8" s="2" t="s">
        <v>189</v>
      </c>
      <c r="I8" s="2"/>
      <c r="J8" s="2"/>
      <c r="K8" s="2"/>
      <c r="L8" s="2"/>
      <c r="M8" s="2"/>
      <c r="N8" s="2"/>
      <c r="O8" s="2"/>
      <c r="P8" s="2"/>
      <c r="Q8" s="2"/>
      <c r="R8" s="2"/>
    </row>
    <row r="9" spans="1:18">
      <c r="A9" s="4" t="s">
        <v>12</v>
      </c>
      <c r="B9" s="4" t="s">
        <v>27</v>
      </c>
      <c r="C9" s="4" t="s">
        <v>67</v>
      </c>
      <c r="D9" s="4" t="s">
        <v>49</v>
      </c>
      <c r="E9" s="5">
        <v>1.25</v>
      </c>
      <c r="F9" s="9">
        <f>((1.97-1)*0.95)+1</f>
        <v>1.9215</v>
      </c>
      <c r="G9" s="10" t="s">
        <v>41</v>
      </c>
      <c r="H9" s="2" t="s">
        <v>191</v>
      </c>
      <c r="I9" s="2"/>
      <c r="J9" s="2"/>
      <c r="K9" s="2"/>
      <c r="L9" s="2"/>
      <c r="M9" s="2"/>
      <c r="N9" s="2"/>
      <c r="O9" s="2"/>
      <c r="P9" s="2"/>
      <c r="Q9" s="2"/>
      <c r="R9" s="2"/>
    </row>
    <row r="10" spans="1:18">
      <c r="A10" s="12" t="s">
        <v>12</v>
      </c>
      <c r="B10" s="12" t="s">
        <v>28</v>
      </c>
      <c r="C10" s="12" t="s">
        <v>2</v>
      </c>
      <c r="D10" s="12" t="s">
        <v>49</v>
      </c>
      <c r="E10" s="13">
        <v>1</v>
      </c>
      <c r="F10" s="14">
        <v>2.2999999999999998</v>
      </c>
      <c r="G10" s="15" t="s">
        <v>206</v>
      </c>
      <c r="H10" s="2" t="s">
        <v>194</v>
      </c>
      <c r="I10" s="2"/>
      <c r="J10" s="2"/>
      <c r="K10" s="2"/>
      <c r="L10" s="2"/>
      <c r="M10" s="2"/>
      <c r="N10" s="2"/>
      <c r="O10" s="2"/>
      <c r="P10" s="2"/>
      <c r="Q10" s="2"/>
      <c r="R10" s="2"/>
    </row>
    <row r="11" spans="1:18" s="31" customFormat="1">
      <c r="A11" s="76" t="s">
        <v>12</v>
      </c>
      <c r="B11" s="76" t="s">
        <v>47</v>
      </c>
      <c r="C11" s="76" t="s">
        <v>198</v>
      </c>
      <c r="D11" s="76" t="s">
        <v>49</v>
      </c>
      <c r="E11" s="32">
        <v>0.75</v>
      </c>
      <c r="F11" s="77">
        <f>((2.42-1)*0.95)+1</f>
        <v>2.3490000000000002</v>
      </c>
      <c r="G11" s="78" t="s">
        <v>204</v>
      </c>
      <c r="H11" s="76" t="s">
        <v>199</v>
      </c>
      <c r="I11" s="76"/>
      <c r="J11" s="76"/>
      <c r="K11" s="76"/>
      <c r="L11" s="76"/>
      <c r="M11" s="76"/>
      <c r="N11" s="76"/>
      <c r="O11" s="76"/>
      <c r="P11" s="76"/>
      <c r="Q11" s="76"/>
      <c r="R11" s="76"/>
    </row>
    <row r="12" spans="1:18" s="82" customFormat="1">
      <c r="A12" s="75"/>
      <c r="B12" s="75"/>
      <c r="C12" s="75"/>
      <c r="D12" s="75"/>
      <c r="E12" s="79"/>
      <c r="F12" s="80"/>
      <c r="G12" s="81"/>
      <c r="H12" s="75"/>
      <c r="I12" s="75"/>
      <c r="J12" s="75"/>
      <c r="K12" s="75"/>
      <c r="L12" s="75"/>
      <c r="M12" s="75"/>
      <c r="N12" s="75"/>
      <c r="O12" s="75"/>
      <c r="P12" s="75"/>
      <c r="Q12" s="75"/>
      <c r="R12" s="75"/>
    </row>
    <row r="13" spans="1:18" s="18" customFormat="1">
      <c r="A13" s="17" t="s">
        <v>202</v>
      </c>
      <c r="B13" s="17"/>
      <c r="C13" s="17"/>
      <c r="D13" s="17"/>
      <c r="E13" s="83"/>
      <c r="F13" s="84"/>
      <c r="G13" s="85"/>
      <c r="H13" s="17"/>
      <c r="I13" s="17"/>
      <c r="J13" s="17"/>
      <c r="K13" s="17"/>
      <c r="L13" s="17"/>
      <c r="M13" s="17"/>
      <c r="N13" s="17"/>
      <c r="O13" s="17"/>
      <c r="P13" s="17"/>
      <c r="Q13" s="17"/>
      <c r="R13" s="17"/>
    </row>
    <row r="14" spans="1:18" s="82" customFormat="1">
      <c r="A14" s="75"/>
      <c r="B14" s="75"/>
      <c r="C14" s="75"/>
      <c r="D14" s="75"/>
      <c r="E14" s="79"/>
      <c r="F14" s="80"/>
      <c r="G14" s="81"/>
      <c r="H14" s="75"/>
      <c r="I14" s="75"/>
      <c r="J14" s="75"/>
      <c r="K14" s="75"/>
      <c r="L14" s="75"/>
      <c r="M14" s="75"/>
      <c r="N14" s="75"/>
      <c r="O14" s="75"/>
      <c r="P14" s="75"/>
      <c r="Q14" s="75"/>
      <c r="R14" s="75"/>
    </row>
    <row r="15" spans="1:18">
      <c r="A15" s="2"/>
      <c r="B15" s="2" t="s">
        <v>192</v>
      </c>
      <c r="C15" s="2"/>
      <c r="D15" s="2"/>
      <c r="E15" s="2"/>
      <c r="F15" s="2"/>
      <c r="G15" s="74"/>
      <c r="H15" s="2"/>
      <c r="I15" s="2"/>
      <c r="J15" s="2"/>
      <c r="K15" s="2"/>
      <c r="L15" s="2"/>
      <c r="M15" s="2"/>
      <c r="N15" s="2"/>
      <c r="O15" s="2"/>
      <c r="P15" s="2"/>
      <c r="Q15" s="2"/>
      <c r="R15" s="2"/>
    </row>
    <row r="16" spans="1:18">
      <c r="A16" s="2"/>
      <c r="B16" s="2" t="s">
        <v>193</v>
      </c>
      <c r="C16" s="2"/>
      <c r="D16" s="2"/>
      <c r="E16" s="2"/>
      <c r="F16" s="2"/>
      <c r="G16" s="74"/>
      <c r="H16" s="2"/>
      <c r="I16" s="2"/>
      <c r="J16" s="2"/>
      <c r="K16" s="2"/>
      <c r="L16" s="2"/>
      <c r="M16" s="2"/>
      <c r="N16" s="2"/>
      <c r="O16" s="2"/>
      <c r="P16" s="2"/>
      <c r="Q16" s="2"/>
      <c r="R16" s="2"/>
    </row>
    <row r="17" spans="1:18">
      <c r="A17" s="2"/>
      <c r="B17" s="2"/>
      <c r="C17" s="2"/>
      <c r="D17" s="2"/>
      <c r="E17" s="2"/>
      <c r="F17" s="2"/>
      <c r="G17" s="74"/>
      <c r="H17" s="2"/>
      <c r="I17" s="2"/>
      <c r="J17" s="2"/>
      <c r="K17" s="2"/>
      <c r="L17" s="2"/>
      <c r="M17" s="2"/>
      <c r="N17" s="2"/>
      <c r="O17" s="2"/>
      <c r="P17" s="2"/>
      <c r="Q17" s="2"/>
      <c r="R17" s="2"/>
    </row>
    <row r="18" spans="1:18">
      <c r="A18" s="2"/>
      <c r="B18" s="2" t="s">
        <v>195</v>
      </c>
      <c r="C18" s="2"/>
      <c r="D18" s="2"/>
      <c r="E18" s="2"/>
      <c r="F18" s="2"/>
      <c r="G18" s="30"/>
      <c r="H18" s="2"/>
      <c r="I18" s="2"/>
      <c r="J18" s="2"/>
      <c r="K18" s="2"/>
      <c r="L18" s="2"/>
      <c r="M18" s="2"/>
      <c r="N18" s="2"/>
      <c r="O18" s="2"/>
      <c r="P18" s="2"/>
      <c r="Q18" s="2"/>
      <c r="R18" s="2"/>
    </row>
    <row r="19" spans="1:18">
      <c r="A19" s="17"/>
      <c r="B19" s="75" t="s">
        <v>196</v>
      </c>
      <c r="C19" s="17"/>
      <c r="D19" s="17"/>
      <c r="E19" s="17"/>
      <c r="F19" s="17"/>
      <c r="G19" s="30"/>
      <c r="H19" s="2"/>
      <c r="I19" s="2"/>
      <c r="J19" s="2"/>
      <c r="K19" s="2"/>
      <c r="L19" s="2"/>
      <c r="M19" s="2"/>
      <c r="N19" s="2"/>
      <c r="O19" s="2"/>
      <c r="P19" s="2"/>
      <c r="Q19" s="2"/>
      <c r="R19" s="2"/>
    </row>
    <row r="20" spans="1:18">
      <c r="A20" s="2"/>
      <c r="B20" s="2" t="s">
        <v>197</v>
      </c>
      <c r="C20" s="2"/>
      <c r="D20" s="2"/>
      <c r="E20" s="2"/>
      <c r="F20" s="2"/>
      <c r="G20" s="30"/>
      <c r="H20" s="2"/>
      <c r="I20" s="2"/>
      <c r="J20" s="2"/>
      <c r="K20" s="2"/>
      <c r="L20" s="2"/>
      <c r="M20" s="2"/>
      <c r="N20" s="2"/>
      <c r="O20" s="2"/>
      <c r="P20" s="2"/>
      <c r="Q20" s="2"/>
      <c r="R20" s="2"/>
    </row>
    <row r="21" spans="1:18">
      <c r="A21" s="2"/>
      <c r="B21" s="2"/>
      <c r="C21" s="2"/>
      <c r="D21" s="2"/>
      <c r="E21" s="2"/>
      <c r="F21" s="2"/>
      <c r="G21" s="30"/>
      <c r="H21" s="2"/>
      <c r="I21" s="2"/>
      <c r="J21" s="2"/>
      <c r="K21" s="2"/>
      <c r="L21" s="2"/>
      <c r="M21" s="2"/>
      <c r="N21" s="2"/>
      <c r="O21" s="2"/>
      <c r="P21" s="2"/>
      <c r="Q21" s="2"/>
      <c r="R21" s="2"/>
    </row>
    <row r="22" spans="1:18">
      <c r="A22" s="17" t="s">
        <v>200</v>
      </c>
      <c r="B22" s="2"/>
      <c r="C22" s="2"/>
      <c r="D22" s="2"/>
      <c r="E22" s="2"/>
      <c r="F22" s="2"/>
      <c r="G22" s="30"/>
      <c r="H22" s="2"/>
      <c r="I22" s="2"/>
      <c r="J22" s="2"/>
      <c r="K22" s="2"/>
      <c r="L22" s="2"/>
      <c r="M22" s="2"/>
      <c r="N22" s="2"/>
      <c r="O22" s="2"/>
      <c r="P22" s="2"/>
      <c r="Q22" s="2"/>
      <c r="R22" s="2"/>
    </row>
    <row r="23" spans="1:18">
      <c r="A23" s="17" t="s">
        <v>203</v>
      </c>
      <c r="B23" s="2"/>
      <c r="C23" s="2"/>
      <c r="D23" s="2"/>
      <c r="E23" s="2"/>
      <c r="F23" s="2"/>
      <c r="G23" s="30"/>
      <c r="H23" s="2"/>
      <c r="I23" s="2"/>
      <c r="J23" s="2"/>
      <c r="K23" s="2"/>
      <c r="L23" s="2"/>
      <c r="M23" s="2"/>
      <c r="N23" s="2"/>
      <c r="O23" s="2"/>
      <c r="P23" s="2"/>
      <c r="Q23" s="2"/>
      <c r="R23" s="2"/>
    </row>
    <row r="24" spans="1:18">
      <c r="A24" s="18" t="s">
        <v>205</v>
      </c>
      <c r="I24" s="2"/>
      <c r="J24" s="2"/>
      <c r="K24" s="2"/>
      <c r="L24" s="2"/>
      <c r="M24" s="2"/>
      <c r="N24" s="2"/>
      <c r="O24" s="2"/>
      <c r="P24" s="2"/>
      <c r="Q24" s="2"/>
      <c r="R24" s="2"/>
    </row>
    <row r="25" spans="1:18">
      <c r="I25" s="2"/>
      <c r="J25" s="2"/>
      <c r="K25" s="2"/>
      <c r="L25" s="2"/>
      <c r="M25" s="2"/>
      <c r="N25" s="2"/>
      <c r="O25" s="2"/>
      <c r="P25" s="2"/>
      <c r="Q25" s="2"/>
      <c r="R25" s="2"/>
    </row>
    <row r="26" spans="1:18">
      <c r="I26" s="2"/>
      <c r="J26" s="2"/>
      <c r="K26" s="2"/>
      <c r="L26" s="2"/>
      <c r="M26" s="2"/>
      <c r="N26" s="2"/>
      <c r="O26" s="2"/>
      <c r="P26" s="2"/>
      <c r="Q26" s="2"/>
      <c r="R26" s="2"/>
    </row>
  </sheetData>
  <pageMargins left="0.7" right="0.7" top="0.75" bottom="0.75" header="0.3" footer="0.3"/>
  <pageSetup paperSize="9" orientation="portrait" horizontalDpi="0" verticalDpi="0" r:id="rId1"/>
  <legacyDrawing r:id="rId2"/>
</worksheet>
</file>

<file path=xl/worksheets/sheet40.xml><?xml version="1.0" encoding="utf-8"?>
<worksheet xmlns="http://schemas.openxmlformats.org/spreadsheetml/2006/main" xmlns:r="http://schemas.openxmlformats.org/officeDocument/2006/relationships">
  <sheetPr codeName="Hoja33"/>
  <dimension ref="A1:M40"/>
  <sheetViews>
    <sheetView workbookViewId="0">
      <selection activeCell="L1" sqref="L1:M40"/>
    </sheetView>
  </sheetViews>
  <sheetFormatPr baseColWidth="10" defaultRowHeight="15"/>
  <cols>
    <col min="8" max="8" width="4.5703125" bestFit="1" customWidth="1"/>
  </cols>
  <sheetData>
    <row r="1" spans="1:13">
      <c r="A1" s="4" t="s">
        <v>12</v>
      </c>
      <c r="B1" s="4" t="s">
        <v>0</v>
      </c>
      <c r="C1" s="4" t="s">
        <v>3</v>
      </c>
      <c r="D1" s="4" t="s">
        <v>49</v>
      </c>
      <c r="E1" s="5">
        <v>3</v>
      </c>
      <c r="F1" s="4">
        <v>1.95</v>
      </c>
      <c r="G1" s="10" t="s">
        <v>36</v>
      </c>
      <c r="H1">
        <v>1</v>
      </c>
      <c r="J1" s="62">
        <f>IF(H1=1,E1*(F1-1),-E1)</f>
        <v>2.8499999999999996</v>
      </c>
      <c r="L1">
        <f>IF(M1=0,0,E1)</f>
        <v>0</v>
      </c>
      <c r="M1">
        <f>IF(F1&gt;2,J1,0)</f>
        <v>0</v>
      </c>
    </row>
    <row r="2" spans="1:13">
      <c r="A2" s="12" t="s">
        <v>6</v>
      </c>
      <c r="B2" s="12" t="s">
        <v>10</v>
      </c>
      <c r="C2" s="12" t="s">
        <v>13</v>
      </c>
      <c r="D2" s="12" t="s">
        <v>49</v>
      </c>
      <c r="E2" s="13">
        <v>2</v>
      </c>
      <c r="F2" s="14">
        <f>((2.16-1)*0.95)+1</f>
        <v>2.1020000000000003</v>
      </c>
      <c r="G2" s="15" t="s">
        <v>38</v>
      </c>
      <c r="H2">
        <v>0</v>
      </c>
      <c r="J2" s="62">
        <f t="shared" ref="J2:J36" si="0">IF(H2=1,E2*(F2-1),-E2)</f>
        <v>-2</v>
      </c>
      <c r="L2">
        <f t="shared" ref="L2:L36" si="1">IF(M2=0,0,E2)</f>
        <v>2</v>
      </c>
      <c r="M2">
        <f t="shared" ref="M2:M36" si="2">IF(F2&gt;2,J2,0)</f>
        <v>-2</v>
      </c>
    </row>
    <row r="3" spans="1:13">
      <c r="A3" s="4" t="s">
        <v>12</v>
      </c>
      <c r="B3" s="4" t="s">
        <v>15</v>
      </c>
      <c r="C3" s="4" t="s">
        <v>2</v>
      </c>
      <c r="D3" s="4" t="s">
        <v>48</v>
      </c>
      <c r="E3" s="5">
        <v>1.5</v>
      </c>
      <c r="F3" s="9">
        <f>((3.6-1)*0.95)+1</f>
        <v>3.4699999999999998</v>
      </c>
      <c r="G3" s="10" t="s">
        <v>39</v>
      </c>
      <c r="H3">
        <v>1</v>
      </c>
      <c r="J3" s="62">
        <f t="shared" si="0"/>
        <v>3.7049999999999996</v>
      </c>
      <c r="L3">
        <f t="shared" si="1"/>
        <v>1.5</v>
      </c>
      <c r="M3">
        <f t="shared" si="2"/>
        <v>3.7049999999999996</v>
      </c>
    </row>
    <row r="4" spans="1:13">
      <c r="A4" s="12" t="s">
        <v>12</v>
      </c>
      <c r="B4" s="12" t="s">
        <v>5</v>
      </c>
      <c r="C4" s="12" t="s">
        <v>16</v>
      </c>
      <c r="D4" s="12" t="s">
        <v>48</v>
      </c>
      <c r="E4" s="13">
        <v>1</v>
      </c>
      <c r="F4" s="14">
        <f>((5.3-1)*0.95)+1</f>
        <v>5.085</v>
      </c>
      <c r="G4" s="15" t="s">
        <v>37</v>
      </c>
      <c r="H4">
        <v>0</v>
      </c>
      <c r="J4" s="62">
        <f t="shared" si="0"/>
        <v>-1</v>
      </c>
      <c r="L4">
        <f t="shared" si="1"/>
        <v>1</v>
      </c>
      <c r="M4">
        <f t="shared" si="2"/>
        <v>-1</v>
      </c>
    </row>
    <row r="5" spans="1:13">
      <c r="A5" s="12" t="s">
        <v>12</v>
      </c>
      <c r="B5" s="12" t="s">
        <v>26</v>
      </c>
      <c r="C5" s="12" t="s">
        <v>10</v>
      </c>
      <c r="D5" s="13" t="s">
        <v>49</v>
      </c>
      <c r="E5" s="13">
        <v>3</v>
      </c>
      <c r="F5" s="12">
        <v>1.75</v>
      </c>
      <c r="G5" s="15" t="s">
        <v>82</v>
      </c>
      <c r="H5">
        <v>0</v>
      </c>
      <c r="J5" s="62">
        <f t="shared" si="0"/>
        <v>-3</v>
      </c>
      <c r="L5">
        <f t="shared" si="1"/>
        <v>0</v>
      </c>
      <c r="M5">
        <f t="shared" si="2"/>
        <v>0</v>
      </c>
    </row>
    <row r="6" spans="1:13">
      <c r="A6" s="4" t="s">
        <v>12</v>
      </c>
      <c r="B6" s="4" t="s">
        <v>27</v>
      </c>
      <c r="C6" s="4" t="s">
        <v>28</v>
      </c>
      <c r="D6" s="5" t="s">
        <v>49</v>
      </c>
      <c r="E6" s="5">
        <v>3</v>
      </c>
      <c r="F6" s="4">
        <v>1.6</v>
      </c>
      <c r="G6" s="10" t="s">
        <v>41</v>
      </c>
      <c r="H6">
        <v>1</v>
      </c>
      <c r="J6" s="62">
        <f t="shared" si="0"/>
        <v>1.8000000000000003</v>
      </c>
      <c r="L6">
        <f t="shared" si="1"/>
        <v>0</v>
      </c>
      <c r="M6">
        <f t="shared" si="2"/>
        <v>0</v>
      </c>
    </row>
    <row r="7" spans="1:13">
      <c r="A7" s="12" t="s">
        <v>12</v>
      </c>
      <c r="B7" s="12" t="s">
        <v>3</v>
      </c>
      <c r="C7" s="12" t="s">
        <v>67</v>
      </c>
      <c r="D7" s="12" t="s">
        <v>34</v>
      </c>
      <c r="E7" s="13">
        <v>0.6</v>
      </c>
      <c r="F7" s="14">
        <v>3.3</v>
      </c>
      <c r="G7" s="15" t="s">
        <v>42</v>
      </c>
      <c r="H7">
        <v>0</v>
      </c>
      <c r="J7" s="62">
        <f t="shared" si="0"/>
        <v>-0.6</v>
      </c>
      <c r="L7">
        <f t="shared" si="1"/>
        <v>0.6</v>
      </c>
      <c r="M7">
        <f t="shared" si="2"/>
        <v>-0.6</v>
      </c>
    </row>
    <row r="8" spans="1:13">
      <c r="A8" s="4" t="s">
        <v>12</v>
      </c>
      <c r="B8" s="4" t="s">
        <v>134</v>
      </c>
      <c r="C8" s="4" t="s">
        <v>73</v>
      </c>
      <c r="D8" s="4" t="s">
        <v>49</v>
      </c>
      <c r="E8" s="5">
        <v>2</v>
      </c>
      <c r="F8" s="9">
        <f>((1.74-1)*0.95)+1</f>
        <v>1.7029999999999998</v>
      </c>
      <c r="G8" s="16" t="s">
        <v>41</v>
      </c>
      <c r="H8">
        <v>1</v>
      </c>
      <c r="J8" s="62">
        <f t="shared" si="0"/>
        <v>1.4059999999999997</v>
      </c>
      <c r="L8">
        <f t="shared" si="1"/>
        <v>0</v>
      </c>
      <c r="M8">
        <f t="shared" si="2"/>
        <v>0</v>
      </c>
    </row>
    <row r="9" spans="1:13">
      <c r="A9" s="42" t="s">
        <v>12</v>
      </c>
      <c r="B9" s="42" t="s">
        <v>2</v>
      </c>
      <c r="C9" s="42" t="s">
        <v>47</v>
      </c>
      <c r="D9" s="42" t="s">
        <v>48</v>
      </c>
      <c r="E9" s="43">
        <v>1.5</v>
      </c>
      <c r="F9" s="44">
        <f>((3.95-1)*0.95)+1</f>
        <v>3.8025000000000002</v>
      </c>
      <c r="G9" s="45" t="s">
        <v>43</v>
      </c>
      <c r="H9">
        <v>1</v>
      </c>
      <c r="J9" s="62">
        <f t="shared" si="0"/>
        <v>4.2037500000000003</v>
      </c>
      <c r="L9">
        <f t="shared" si="1"/>
        <v>1.5</v>
      </c>
      <c r="M9">
        <f t="shared" si="2"/>
        <v>4.2037500000000003</v>
      </c>
    </row>
    <row r="10" spans="1:13">
      <c r="A10" s="46" t="s">
        <v>12</v>
      </c>
      <c r="B10" s="46" t="s">
        <v>28</v>
      </c>
      <c r="C10" s="46" t="s">
        <v>1</v>
      </c>
      <c r="D10" s="46" t="s">
        <v>49</v>
      </c>
      <c r="E10" s="47">
        <v>2</v>
      </c>
      <c r="F10" s="48">
        <f>((1.96-1)*0.95)+1</f>
        <v>1.9119999999999999</v>
      </c>
      <c r="G10" s="49" t="s">
        <v>37</v>
      </c>
      <c r="H10">
        <v>0</v>
      </c>
      <c r="J10" s="62">
        <f t="shared" si="0"/>
        <v>-2</v>
      </c>
      <c r="L10">
        <f t="shared" si="1"/>
        <v>0</v>
      </c>
      <c r="M10">
        <f t="shared" si="2"/>
        <v>0</v>
      </c>
    </row>
    <row r="11" spans="1:13">
      <c r="A11" s="46" t="s">
        <v>12</v>
      </c>
      <c r="B11" s="46" t="s">
        <v>26</v>
      </c>
      <c r="C11" s="46" t="s">
        <v>4</v>
      </c>
      <c r="D11" s="46" t="s">
        <v>48</v>
      </c>
      <c r="E11" s="47">
        <v>1.5</v>
      </c>
      <c r="F11" s="48">
        <v>2.2000000000000002</v>
      </c>
      <c r="G11" s="49" t="s">
        <v>38</v>
      </c>
      <c r="H11">
        <v>0</v>
      </c>
      <c r="J11" s="62">
        <f t="shared" si="0"/>
        <v>-1.5</v>
      </c>
      <c r="L11">
        <f t="shared" si="1"/>
        <v>1.5</v>
      </c>
      <c r="M11">
        <f t="shared" si="2"/>
        <v>-1.5</v>
      </c>
    </row>
    <row r="12" spans="1:13">
      <c r="A12" s="50" t="s">
        <v>12</v>
      </c>
      <c r="B12" s="50" t="s">
        <v>2</v>
      </c>
      <c r="C12" s="50" t="s">
        <v>27</v>
      </c>
      <c r="D12" s="50" t="s">
        <v>49</v>
      </c>
      <c r="E12" s="51">
        <v>1.5</v>
      </c>
      <c r="F12" s="52">
        <v>2.9</v>
      </c>
      <c r="G12" s="53" t="s">
        <v>121</v>
      </c>
      <c r="H12">
        <v>0</v>
      </c>
      <c r="J12" s="62">
        <f t="shared" si="0"/>
        <v>-1.5</v>
      </c>
      <c r="L12">
        <f t="shared" si="1"/>
        <v>1.5</v>
      </c>
      <c r="M12">
        <f t="shared" si="2"/>
        <v>-1.5</v>
      </c>
    </row>
    <row r="13" spans="1:13">
      <c r="A13" s="54" t="s">
        <v>12</v>
      </c>
      <c r="B13" s="54" t="s">
        <v>16</v>
      </c>
      <c r="C13" s="54" t="s">
        <v>47</v>
      </c>
      <c r="D13" s="54" t="s">
        <v>49</v>
      </c>
      <c r="E13" s="55">
        <v>2</v>
      </c>
      <c r="F13" s="56">
        <f>((2.1-1)*0.95)+1</f>
        <v>2.0449999999999999</v>
      </c>
      <c r="G13" s="57" t="s">
        <v>122</v>
      </c>
      <c r="H13">
        <v>1</v>
      </c>
      <c r="J13" s="62">
        <f t="shared" si="0"/>
        <v>2.09</v>
      </c>
      <c r="L13">
        <f t="shared" si="1"/>
        <v>2</v>
      </c>
      <c r="M13">
        <f t="shared" si="2"/>
        <v>2.09</v>
      </c>
    </row>
    <row r="14" spans="1:13">
      <c r="A14" s="54" t="s">
        <v>12</v>
      </c>
      <c r="B14" s="54" t="s">
        <v>0</v>
      </c>
      <c r="C14" s="54" t="s">
        <v>15</v>
      </c>
      <c r="D14" s="54" t="s">
        <v>48</v>
      </c>
      <c r="E14" s="55">
        <v>0.75</v>
      </c>
      <c r="F14" s="56">
        <v>6.2</v>
      </c>
      <c r="G14" s="57" t="s">
        <v>39</v>
      </c>
      <c r="H14">
        <v>1</v>
      </c>
      <c r="J14" s="62">
        <f t="shared" si="0"/>
        <v>3.9000000000000004</v>
      </c>
      <c r="L14">
        <f t="shared" si="1"/>
        <v>0.75</v>
      </c>
      <c r="M14">
        <f t="shared" si="2"/>
        <v>3.9000000000000004</v>
      </c>
    </row>
    <row r="15" spans="1:13">
      <c r="A15" s="46" t="s">
        <v>12</v>
      </c>
      <c r="B15" s="46" t="s">
        <v>67</v>
      </c>
      <c r="C15" s="46" t="s">
        <v>5</v>
      </c>
      <c r="D15" s="46" t="s">
        <v>48</v>
      </c>
      <c r="E15" s="47">
        <v>1.5</v>
      </c>
      <c r="F15" s="48">
        <f>((3.65-1)*0.95)+1</f>
        <v>3.5174999999999996</v>
      </c>
      <c r="G15" s="49" t="s">
        <v>42</v>
      </c>
      <c r="H15">
        <v>0</v>
      </c>
      <c r="J15" s="62">
        <f t="shared" si="0"/>
        <v>-1.5</v>
      </c>
      <c r="L15">
        <f t="shared" si="1"/>
        <v>1.5</v>
      </c>
      <c r="M15">
        <f t="shared" si="2"/>
        <v>-1.5</v>
      </c>
    </row>
    <row r="16" spans="1:13">
      <c r="A16" s="91" t="s">
        <v>12</v>
      </c>
      <c r="B16" s="91" t="s">
        <v>26</v>
      </c>
      <c r="C16" s="91" t="s">
        <v>119</v>
      </c>
      <c r="D16" s="91" t="s">
        <v>48</v>
      </c>
      <c r="E16" s="92">
        <v>1</v>
      </c>
      <c r="F16" s="93">
        <v>2.2999999999999998</v>
      </c>
      <c r="G16" s="94" t="s">
        <v>43</v>
      </c>
      <c r="H16">
        <v>1</v>
      </c>
      <c r="J16" s="62">
        <f t="shared" si="0"/>
        <v>1.2999999999999998</v>
      </c>
      <c r="L16">
        <f t="shared" si="1"/>
        <v>1</v>
      </c>
      <c r="M16">
        <f t="shared" si="2"/>
        <v>1.2999999999999998</v>
      </c>
    </row>
    <row r="17" spans="1:13" s="2" customFormat="1">
      <c r="A17" s="12" t="s">
        <v>12</v>
      </c>
      <c r="B17" s="12" t="s">
        <v>28</v>
      </c>
      <c r="C17" s="12" t="s">
        <v>10</v>
      </c>
      <c r="D17" s="12" t="s">
        <v>49</v>
      </c>
      <c r="E17" s="13">
        <v>1</v>
      </c>
      <c r="F17" s="14">
        <f>((2.28-1)*0.95)+1</f>
        <v>2.2159999999999997</v>
      </c>
      <c r="G17" s="15" t="s">
        <v>38</v>
      </c>
      <c r="H17" s="2">
        <v>0</v>
      </c>
      <c r="J17" s="62">
        <f t="shared" si="0"/>
        <v>-1</v>
      </c>
      <c r="L17">
        <f t="shared" si="1"/>
        <v>1</v>
      </c>
      <c r="M17">
        <f t="shared" si="2"/>
        <v>-1</v>
      </c>
    </row>
    <row r="18" spans="1:13" s="2" customFormat="1">
      <c r="A18" s="4" t="s">
        <v>12</v>
      </c>
      <c r="B18" s="4" t="s">
        <v>47</v>
      </c>
      <c r="C18" s="4" t="s">
        <v>0</v>
      </c>
      <c r="D18" s="4" t="s">
        <v>49</v>
      </c>
      <c r="E18" s="5">
        <v>1</v>
      </c>
      <c r="F18" s="9">
        <f>((2.32-1)*0.95)+1</f>
        <v>2.2539999999999996</v>
      </c>
      <c r="G18" s="10" t="s">
        <v>122</v>
      </c>
      <c r="H18" s="2">
        <v>1</v>
      </c>
      <c r="J18" s="62">
        <f t="shared" si="0"/>
        <v>1.2539999999999996</v>
      </c>
      <c r="L18">
        <f t="shared" si="1"/>
        <v>1</v>
      </c>
      <c r="M18">
        <f t="shared" si="2"/>
        <v>1.2539999999999996</v>
      </c>
    </row>
    <row r="19" spans="1:13" s="2" customFormat="1">
      <c r="A19" s="12" t="s">
        <v>12</v>
      </c>
      <c r="B19" s="12" t="s">
        <v>5</v>
      </c>
      <c r="C19" s="12" t="s">
        <v>73</v>
      </c>
      <c r="D19" s="12" t="s">
        <v>49</v>
      </c>
      <c r="E19" s="13">
        <v>2</v>
      </c>
      <c r="F19" s="14">
        <f>((1.86-1)*0.95)+1</f>
        <v>1.8170000000000002</v>
      </c>
      <c r="G19" s="15" t="s">
        <v>39</v>
      </c>
      <c r="H19" s="2">
        <v>0</v>
      </c>
      <c r="J19" s="62">
        <f t="shared" si="0"/>
        <v>-2</v>
      </c>
      <c r="L19">
        <f t="shared" si="1"/>
        <v>0</v>
      </c>
      <c r="M19">
        <f t="shared" si="2"/>
        <v>0</v>
      </c>
    </row>
    <row r="20" spans="1:13" s="2" customFormat="1">
      <c r="A20" s="12" t="s">
        <v>12</v>
      </c>
      <c r="B20" s="12" t="s">
        <v>175</v>
      </c>
      <c r="C20" s="12" t="s">
        <v>4</v>
      </c>
      <c r="D20" s="12" t="s">
        <v>49</v>
      </c>
      <c r="E20" s="13">
        <v>1.5</v>
      </c>
      <c r="F20" s="14">
        <v>2</v>
      </c>
      <c r="G20" s="15" t="s">
        <v>37</v>
      </c>
      <c r="H20" s="2">
        <v>0</v>
      </c>
      <c r="J20" s="62">
        <f t="shared" si="0"/>
        <v>-1.5</v>
      </c>
      <c r="L20">
        <f t="shared" si="1"/>
        <v>0</v>
      </c>
      <c r="M20">
        <f t="shared" si="2"/>
        <v>0</v>
      </c>
    </row>
    <row r="21" spans="1:13" s="2" customFormat="1">
      <c r="A21" s="87" t="s">
        <v>12</v>
      </c>
      <c r="B21" s="87" t="s">
        <v>27</v>
      </c>
      <c r="C21" s="87" t="s">
        <v>16</v>
      </c>
      <c r="D21" s="87" t="s">
        <v>49</v>
      </c>
      <c r="E21" s="88">
        <v>1.5</v>
      </c>
      <c r="F21" s="89">
        <v>1.75</v>
      </c>
      <c r="G21" s="90" t="s">
        <v>179</v>
      </c>
      <c r="H21" s="2">
        <v>0</v>
      </c>
      <c r="J21" s="62">
        <f t="shared" si="0"/>
        <v>-1.5</v>
      </c>
      <c r="L21">
        <f t="shared" si="1"/>
        <v>0</v>
      </c>
      <c r="M21">
        <f t="shared" si="2"/>
        <v>0</v>
      </c>
    </row>
    <row r="22" spans="1:13" s="2" customFormat="1">
      <c r="A22" s="12" t="s">
        <v>12</v>
      </c>
      <c r="B22" s="12" t="s">
        <v>2</v>
      </c>
      <c r="C22" s="12" t="s">
        <v>181</v>
      </c>
      <c r="D22" s="12" t="s">
        <v>48</v>
      </c>
      <c r="E22" s="13">
        <v>1.5</v>
      </c>
      <c r="F22" s="14">
        <v>2.9</v>
      </c>
      <c r="G22" s="15" t="s">
        <v>36</v>
      </c>
      <c r="H22" s="2">
        <v>0</v>
      </c>
      <c r="J22" s="62">
        <f t="shared" si="0"/>
        <v>-1.5</v>
      </c>
      <c r="L22">
        <f t="shared" si="1"/>
        <v>1.5</v>
      </c>
      <c r="M22">
        <f t="shared" si="2"/>
        <v>-1.5</v>
      </c>
    </row>
    <row r="23" spans="1:13" s="2" customFormat="1">
      <c r="A23" s="4" t="s">
        <v>12</v>
      </c>
      <c r="B23" s="4" t="s">
        <v>67</v>
      </c>
      <c r="C23" s="4" t="s">
        <v>47</v>
      </c>
      <c r="D23" s="4" t="s">
        <v>49</v>
      </c>
      <c r="E23" s="5">
        <v>1.5</v>
      </c>
      <c r="F23" s="9">
        <f>((1.8-1)*0.95)+1</f>
        <v>1.76</v>
      </c>
      <c r="G23" s="10" t="s">
        <v>187</v>
      </c>
      <c r="H23" s="2">
        <v>1</v>
      </c>
      <c r="J23" s="62">
        <f t="shared" si="0"/>
        <v>1.1400000000000001</v>
      </c>
      <c r="L23">
        <f t="shared" si="1"/>
        <v>0</v>
      </c>
      <c r="M23">
        <f t="shared" si="2"/>
        <v>0</v>
      </c>
    </row>
    <row r="24" spans="1:13" s="2" customFormat="1">
      <c r="A24" s="4" t="s">
        <v>12</v>
      </c>
      <c r="B24" s="4" t="s">
        <v>182</v>
      </c>
      <c r="C24" s="4" t="s">
        <v>5</v>
      </c>
      <c r="D24" s="4" t="s">
        <v>49</v>
      </c>
      <c r="E24" s="5">
        <v>1.5</v>
      </c>
      <c r="F24" s="9">
        <f>((2.86-1)*0.95)+1</f>
        <v>2.7669999999999999</v>
      </c>
      <c r="G24" s="10" t="s">
        <v>36</v>
      </c>
      <c r="H24" s="2">
        <v>1</v>
      </c>
      <c r="J24" s="62">
        <f t="shared" si="0"/>
        <v>2.6505000000000001</v>
      </c>
      <c r="L24">
        <f t="shared" si="1"/>
        <v>1.5</v>
      </c>
      <c r="M24">
        <f t="shared" si="2"/>
        <v>2.6505000000000001</v>
      </c>
    </row>
    <row r="25" spans="1:13" s="2" customFormat="1">
      <c r="A25" s="4" t="s">
        <v>12</v>
      </c>
      <c r="B25" s="4" t="s">
        <v>0</v>
      </c>
      <c r="C25" s="4" t="s">
        <v>27</v>
      </c>
      <c r="D25" s="4" t="s">
        <v>49</v>
      </c>
      <c r="E25" s="5">
        <v>2</v>
      </c>
      <c r="F25" s="9">
        <v>2.8</v>
      </c>
      <c r="G25" s="10" t="s">
        <v>42</v>
      </c>
      <c r="H25" s="2">
        <v>1</v>
      </c>
      <c r="J25" s="62">
        <f t="shared" si="0"/>
        <v>3.5999999999999996</v>
      </c>
      <c r="L25">
        <f t="shared" si="1"/>
        <v>2</v>
      </c>
      <c r="M25">
        <f t="shared" si="2"/>
        <v>3.5999999999999996</v>
      </c>
    </row>
    <row r="26" spans="1:13" s="2" customFormat="1">
      <c r="A26" s="87" t="s">
        <v>12</v>
      </c>
      <c r="B26" s="87" t="s">
        <v>10</v>
      </c>
      <c r="C26" s="87" t="s">
        <v>134</v>
      </c>
      <c r="D26" s="87" t="s">
        <v>49</v>
      </c>
      <c r="E26" s="88">
        <v>0.75</v>
      </c>
      <c r="F26" s="89">
        <f>((4.2-1)*0.95)+1</f>
        <v>4.04</v>
      </c>
      <c r="G26" s="90" t="s">
        <v>37</v>
      </c>
      <c r="H26" s="2">
        <v>0</v>
      </c>
      <c r="J26" s="62">
        <f t="shared" si="0"/>
        <v>-0.75</v>
      </c>
      <c r="L26">
        <f t="shared" si="1"/>
        <v>0.75</v>
      </c>
      <c r="M26">
        <f t="shared" si="2"/>
        <v>-0.75</v>
      </c>
    </row>
    <row r="27" spans="1:13" s="2" customFormat="1">
      <c r="A27" s="4" t="s">
        <v>12</v>
      </c>
      <c r="B27" s="4" t="s">
        <v>5</v>
      </c>
      <c r="C27" s="4" t="s">
        <v>26</v>
      </c>
      <c r="D27" s="4" t="s">
        <v>49</v>
      </c>
      <c r="E27" s="5">
        <v>3</v>
      </c>
      <c r="F27" s="9">
        <f>((1.73-1)*0.95)+1</f>
        <v>1.6935</v>
      </c>
      <c r="G27" s="10" t="s">
        <v>36</v>
      </c>
      <c r="H27" s="2">
        <v>1</v>
      </c>
      <c r="J27" s="62">
        <f t="shared" si="0"/>
        <v>2.0804999999999998</v>
      </c>
      <c r="L27">
        <f t="shared" si="1"/>
        <v>0</v>
      </c>
      <c r="M27">
        <f t="shared" si="2"/>
        <v>0</v>
      </c>
    </row>
    <row r="28" spans="1:13" s="2" customFormat="1">
      <c r="A28" s="4" t="s">
        <v>12</v>
      </c>
      <c r="B28" s="4" t="s">
        <v>15</v>
      </c>
      <c r="C28" s="4" t="s">
        <v>182</v>
      </c>
      <c r="D28" s="4" t="s">
        <v>49</v>
      </c>
      <c r="E28" s="5">
        <v>2</v>
      </c>
      <c r="F28" s="9">
        <f>((2.46-1)*0.95)+1</f>
        <v>2.387</v>
      </c>
      <c r="G28" s="10" t="s">
        <v>201</v>
      </c>
      <c r="H28" s="2">
        <v>1</v>
      </c>
      <c r="J28" s="62">
        <f t="shared" si="0"/>
        <v>2.774</v>
      </c>
      <c r="L28">
        <f t="shared" si="1"/>
        <v>2</v>
      </c>
      <c r="M28">
        <f t="shared" si="2"/>
        <v>2.774</v>
      </c>
    </row>
    <row r="29" spans="1:13" s="2" customFormat="1">
      <c r="A29" s="4" t="s">
        <v>12</v>
      </c>
      <c r="B29" s="4" t="s">
        <v>27</v>
      </c>
      <c r="C29" s="4" t="s">
        <v>67</v>
      </c>
      <c r="D29" s="4" t="s">
        <v>49</v>
      </c>
      <c r="E29" s="5">
        <v>1.25</v>
      </c>
      <c r="F29" s="9">
        <f>((1.97-1)*0.95)+1</f>
        <v>1.9215</v>
      </c>
      <c r="G29" s="10" t="s">
        <v>41</v>
      </c>
      <c r="H29" s="2">
        <v>1</v>
      </c>
      <c r="J29" s="62">
        <f t="shared" si="0"/>
        <v>1.151875</v>
      </c>
      <c r="L29">
        <f t="shared" si="1"/>
        <v>0</v>
      </c>
      <c r="M29">
        <f t="shared" si="2"/>
        <v>0</v>
      </c>
    </row>
    <row r="30" spans="1:13" s="2" customFormat="1">
      <c r="A30" s="87" t="s">
        <v>12</v>
      </c>
      <c r="B30" s="87" t="s">
        <v>28</v>
      </c>
      <c r="C30" s="87" t="s">
        <v>2</v>
      </c>
      <c r="D30" s="87" t="s">
        <v>49</v>
      </c>
      <c r="E30" s="88">
        <v>1</v>
      </c>
      <c r="F30" s="89">
        <v>2.2999999999999998</v>
      </c>
      <c r="G30" s="90" t="s">
        <v>206</v>
      </c>
      <c r="H30" s="2">
        <v>0</v>
      </c>
      <c r="J30" s="62">
        <f t="shared" si="0"/>
        <v>-1</v>
      </c>
      <c r="L30">
        <f t="shared" si="1"/>
        <v>1</v>
      </c>
      <c r="M30">
        <f t="shared" si="2"/>
        <v>-1</v>
      </c>
    </row>
    <row r="31" spans="1:13" s="2" customFormat="1">
      <c r="A31" s="50" t="s">
        <v>12</v>
      </c>
      <c r="B31" s="50" t="s">
        <v>10</v>
      </c>
      <c r="C31" s="50" t="s">
        <v>3</v>
      </c>
      <c r="D31" s="50" t="s">
        <v>49</v>
      </c>
      <c r="E31" s="51">
        <v>2</v>
      </c>
      <c r="F31" s="52">
        <f>((2.14-1)*0.95)+1</f>
        <v>2.0830000000000002</v>
      </c>
      <c r="G31" s="53" t="s">
        <v>38</v>
      </c>
      <c r="H31" s="2">
        <v>0</v>
      </c>
      <c r="J31" s="62">
        <f t="shared" si="0"/>
        <v>-2</v>
      </c>
      <c r="L31">
        <f t="shared" si="1"/>
        <v>2</v>
      </c>
      <c r="M31">
        <f t="shared" si="2"/>
        <v>-2</v>
      </c>
    </row>
    <row r="32" spans="1:13" s="2" customFormat="1">
      <c r="A32" s="54" t="s">
        <v>12</v>
      </c>
      <c r="B32" s="54" t="s">
        <v>67</v>
      </c>
      <c r="C32" s="54" t="s">
        <v>1</v>
      </c>
      <c r="D32" s="54" t="s">
        <v>49</v>
      </c>
      <c r="E32" s="55">
        <v>3</v>
      </c>
      <c r="F32" s="56">
        <f>((1.49-1)*0.95)+1</f>
        <v>1.4655</v>
      </c>
      <c r="G32" s="57" t="s">
        <v>146</v>
      </c>
      <c r="H32" s="2">
        <v>1</v>
      </c>
      <c r="J32" s="62">
        <f t="shared" si="0"/>
        <v>1.3965000000000001</v>
      </c>
      <c r="L32">
        <f t="shared" si="1"/>
        <v>0</v>
      </c>
      <c r="M32">
        <f t="shared" si="2"/>
        <v>0</v>
      </c>
    </row>
    <row r="33" spans="1:13" s="2" customFormat="1">
      <c r="A33" s="54" t="s">
        <v>12</v>
      </c>
      <c r="B33" s="54" t="s">
        <v>26</v>
      </c>
      <c r="C33" s="54" t="s">
        <v>15</v>
      </c>
      <c r="D33" s="54" t="s">
        <v>49</v>
      </c>
      <c r="E33" s="55">
        <v>1</v>
      </c>
      <c r="F33" s="56">
        <f>((2-1)*0.95)+1</f>
        <v>1.95</v>
      </c>
      <c r="G33" s="57" t="s">
        <v>42</v>
      </c>
      <c r="H33" s="2">
        <v>1</v>
      </c>
      <c r="J33" s="62">
        <f t="shared" si="0"/>
        <v>0.95</v>
      </c>
      <c r="L33">
        <f t="shared" si="1"/>
        <v>0</v>
      </c>
      <c r="M33">
        <f t="shared" si="2"/>
        <v>0</v>
      </c>
    </row>
    <row r="34" spans="1:13" s="2" customFormat="1">
      <c r="A34" s="54" t="s">
        <v>12</v>
      </c>
      <c r="B34" s="54" t="s">
        <v>182</v>
      </c>
      <c r="C34" s="54" t="s">
        <v>47</v>
      </c>
      <c r="D34" s="54" t="s">
        <v>49</v>
      </c>
      <c r="E34" s="55">
        <v>2.5</v>
      </c>
      <c r="F34" s="56">
        <f>((2.26-1)*0.95)+1</f>
        <v>2.1970000000000001</v>
      </c>
      <c r="G34" s="57" t="s">
        <v>122</v>
      </c>
      <c r="H34" s="2">
        <v>1</v>
      </c>
      <c r="J34" s="62">
        <f t="shared" si="0"/>
        <v>2.9925000000000002</v>
      </c>
      <c r="L34">
        <f t="shared" si="1"/>
        <v>2.5</v>
      </c>
      <c r="M34">
        <f t="shared" si="2"/>
        <v>2.9925000000000002</v>
      </c>
    </row>
    <row r="35" spans="1:13" s="2" customFormat="1">
      <c r="A35" s="46" t="s">
        <v>12</v>
      </c>
      <c r="B35" s="46" t="s">
        <v>4</v>
      </c>
      <c r="C35" s="46" t="s">
        <v>5</v>
      </c>
      <c r="D35" s="46" t="s">
        <v>49</v>
      </c>
      <c r="E35" s="47">
        <v>1</v>
      </c>
      <c r="F35" s="48">
        <f>((1.88-1)*0.95)+1</f>
        <v>1.8359999999999999</v>
      </c>
      <c r="G35" s="49" t="s">
        <v>39</v>
      </c>
      <c r="H35" s="2">
        <v>0</v>
      </c>
      <c r="J35" s="62">
        <f t="shared" si="0"/>
        <v>-1</v>
      </c>
      <c r="L35">
        <f t="shared" si="1"/>
        <v>0</v>
      </c>
      <c r="M35">
        <f t="shared" si="2"/>
        <v>0</v>
      </c>
    </row>
    <row r="36" spans="1:13" s="2" customFormat="1">
      <c r="A36" s="87" t="s">
        <v>12</v>
      </c>
      <c r="B36" s="87" t="s">
        <v>16</v>
      </c>
      <c r="C36" s="87" t="s">
        <v>28</v>
      </c>
      <c r="D36" s="87" t="s">
        <v>34</v>
      </c>
      <c r="E36" s="88">
        <v>0.5</v>
      </c>
      <c r="F36" s="89">
        <f>((3.75-1)*0.95)+1</f>
        <v>3.6124999999999998</v>
      </c>
      <c r="G36" s="90" t="s">
        <v>39</v>
      </c>
      <c r="H36" s="2">
        <v>0</v>
      </c>
      <c r="J36" s="62">
        <f t="shared" si="0"/>
        <v>-0.5</v>
      </c>
      <c r="L36">
        <f t="shared" si="1"/>
        <v>0.5</v>
      </c>
      <c r="M36">
        <f t="shared" si="2"/>
        <v>-0.5</v>
      </c>
    </row>
    <row r="37" spans="1:13">
      <c r="A37" s="58"/>
      <c r="B37" s="58"/>
      <c r="C37" s="58"/>
      <c r="D37" s="58"/>
      <c r="E37" s="58"/>
      <c r="F37" s="59"/>
      <c r="G37" s="60"/>
    </row>
    <row r="38" spans="1:13">
      <c r="E38" s="61">
        <f>SUM(E1:E37)</f>
        <v>59.35</v>
      </c>
      <c r="H38">
        <f>SUM(H1:H37)</f>
        <v>18</v>
      </c>
      <c r="I38" s="21">
        <f>COUNTIF(E1:E37,"&gt;0")</f>
        <v>36</v>
      </c>
      <c r="J38" s="62">
        <f>SUM(J1:J37)</f>
        <v>15.394624999999998</v>
      </c>
      <c r="L38" s="62">
        <f>SUM(L1:L37)</f>
        <v>30.6</v>
      </c>
      <c r="M38" s="62">
        <f>SUM(M1:M37)</f>
        <v>13.61975</v>
      </c>
    </row>
    <row r="39" spans="1:13">
      <c r="H39" s="63">
        <f>+H38/COUNTIF(E1:E37,"&gt;0")</f>
        <v>0.5</v>
      </c>
      <c r="J39" s="65">
        <f>+J38/E38</f>
        <v>0.25938711036225776</v>
      </c>
      <c r="M39" s="65">
        <f>+M38/L38</f>
        <v>0.44508986928104571</v>
      </c>
    </row>
    <row r="40" spans="1:13">
      <c r="J40" s="64"/>
    </row>
  </sheetData>
  <pageMargins left="0.7" right="0.7" top="0.75" bottom="0.75" header="0.3" footer="0.3"/>
  <pageSetup paperSize="9" orientation="portrait" horizontalDpi="0" verticalDpi="0" r:id="rId1"/>
  <legacyDrawing r:id="rId2"/>
</worksheet>
</file>

<file path=xl/worksheets/sheet41.xml><?xml version="1.0" encoding="utf-8"?>
<worksheet xmlns="http://schemas.openxmlformats.org/spreadsheetml/2006/main" xmlns:r="http://schemas.openxmlformats.org/officeDocument/2006/relationships">
  <sheetPr codeName="Hoja34"/>
  <dimension ref="A1:J40"/>
  <sheetViews>
    <sheetView topLeftCell="A4" workbookViewId="0">
      <selection activeCell="J14" sqref="E7:J14"/>
    </sheetView>
  </sheetViews>
  <sheetFormatPr baseColWidth="10" defaultRowHeight="15"/>
  <cols>
    <col min="8" max="8" width="4.5703125" bestFit="1" customWidth="1"/>
  </cols>
  <sheetData>
    <row r="1" spans="1:10">
      <c r="A1" s="4" t="s">
        <v>12</v>
      </c>
      <c r="B1" s="4" t="s">
        <v>0</v>
      </c>
      <c r="C1" s="4" t="s">
        <v>3</v>
      </c>
      <c r="D1" s="4" t="s">
        <v>49</v>
      </c>
      <c r="E1" s="5">
        <v>3</v>
      </c>
      <c r="F1" s="4">
        <v>1.95</v>
      </c>
      <c r="G1" s="10" t="s">
        <v>36</v>
      </c>
      <c r="H1">
        <v>1</v>
      </c>
      <c r="J1" s="62">
        <f t="shared" ref="J1:J14" si="0">IF(H1=1,E1*(F1-1),-E1)</f>
        <v>2.8499999999999996</v>
      </c>
    </row>
    <row r="2" spans="1:10">
      <c r="A2" s="12" t="s">
        <v>12</v>
      </c>
      <c r="B2" s="12" t="s">
        <v>26</v>
      </c>
      <c r="C2" s="12" t="s">
        <v>10</v>
      </c>
      <c r="D2" s="13" t="s">
        <v>49</v>
      </c>
      <c r="E2" s="13">
        <v>3</v>
      </c>
      <c r="F2" s="12">
        <v>1.75</v>
      </c>
      <c r="G2" s="15" t="s">
        <v>82</v>
      </c>
      <c r="H2">
        <v>0</v>
      </c>
      <c r="J2" s="62">
        <f t="shared" si="0"/>
        <v>-3</v>
      </c>
    </row>
    <row r="3" spans="1:10">
      <c r="A3" s="4" t="s">
        <v>12</v>
      </c>
      <c r="B3" s="4" t="s">
        <v>27</v>
      </c>
      <c r="C3" s="4" t="s">
        <v>28</v>
      </c>
      <c r="D3" s="5" t="s">
        <v>49</v>
      </c>
      <c r="E3" s="5">
        <v>3</v>
      </c>
      <c r="F3" s="4">
        <v>1.6</v>
      </c>
      <c r="G3" s="10" t="s">
        <v>41</v>
      </c>
      <c r="H3">
        <v>1</v>
      </c>
      <c r="J3" s="62">
        <f t="shared" si="0"/>
        <v>1.8000000000000003</v>
      </c>
    </row>
    <row r="4" spans="1:10">
      <c r="A4" s="4" t="s">
        <v>12</v>
      </c>
      <c r="B4" s="4" t="s">
        <v>5</v>
      </c>
      <c r="C4" s="4" t="s">
        <v>26</v>
      </c>
      <c r="D4" s="4" t="s">
        <v>49</v>
      </c>
      <c r="E4" s="5">
        <v>3</v>
      </c>
      <c r="F4" s="9">
        <f>((1.73-1)*0.95)+1</f>
        <v>1.6935</v>
      </c>
      <c r="G4" s="10" t="s">
        <v>36</v>
      </c>
      <c r="H4" s="2">
        <v>1</v>
      </c>
      <c r="I4" s="2"/>
      <c r="J4" s="62">
        <f t="shared" si="0"/>
        <v>2.0804999999999998</v>
      </c>
    </row>
    <row r="5" spans="1:10">
      <c r="A5" s="54" t="s">
        <v>12</v>
      </c>
      <c r="B5" s="54" t="s">
        <v>67</v>
      </c>
      <c r="C5" s="54" t="s">
        <v>1</v>
      </c>
      <c r="D5" s="54" t="s">
        <v>49</v>
      </c>
      <c r="E5" s="55">
        <v>3</v>
      </c>
      <c r="F5" s="56">
        <f>((1.49-1)*0.95)+1</f>
        <v>1.4655</v>
      </c>
      <c r="G5" s="57" t="s">
        <v>146</v>
      </c>
      <c r="H5" s="2">
        <v>1</v>
      </c>
      <c r="I5" s="2"/>
      <c r="J5" s="62">
        <f t="shared" si="0"/>
        <v>1.3965000000000001</v>
      </c>
    </row>
    <row r="6" spans="1:10">
      <c r="A6" s="54" t="s">
        <v>12</v>
      </c>
      <c r="B6" s="54" t="s">
        <v>182</v>
      </c>
      <c r="C6" s="54" t="s">
        <v>47</v>
      </c>
      <c r="D6" s="54" t="s">
        <v>49</v>
      </c>
      <c r="E6" s="55">
        <v>2.5</v>
      </c>
      <c r="F6" s="56">
        <f>((2.26-1)*0.95)+1</f>
        <v>2.1970000000000001</v>
      </c>
      <c r="G6" s="57" t="s">
        <v>122</v>
      </c>
      <c r="H6" s="2">
        <v>1</v>
      </c>
      <c r="I6" s="2"/>
      <c r="J6" s="62">
        <f t="shared" si="0"/>
        <v>2.9925000000000002</v>
      </c>
    </row>
    <row r="7" spans="1:10">
      <c r="A7" s="12" t="s">
        <v>6</v>
      </c>
      <c r="B7" s="12" t="s">
        <v>10</v>
      </c>
      <c r="C7" s="12" t="s">
        <v>13</v>
      </c>
      <c r="D7" s="12" t="s">
        <v>49</v>
      </c>
      <c r="E7" s="13">
        <v>2</v>
      </c>
      <c r="F7" s="14">
        <f>((2.16-1)*0.95)+1</f>
        <v>2.1020000000000003</v>
      </c>
      <c r="G7" s="15" t="s">
        <v>38</v>
      </c>
      <c r="H7">
        <v>0</v>
      </c>
      <c r="J7" s="62">
        <f t="shared" si="0"/>
        <v>-2</v>
      </c>
    </row>
    <row r="8" spans="1:10">
      <c r="A8" s="4" t="s">
        <v>12</v>
      </c>
      <c r="B8" s="4" t="s">
        <v>134</v>
      </c>
      <c r="C8" s="4" t="s">
        <v>73</v>
      </c>
      <c r="D8" s="4" t="s">
        <v>49</v>
      </c>
      <c r="E8" s="5">
        <v>2</v>
      </c>
      <c r="F8" s="9">
        <f>((1.74-1)*0.95)+1</f>
        <v>1.7029999999999998</v>
      </c>
      <c r="G8" s="16" t="s">
        <v>41</v>
      </c>
      <c r="H8">
        <v>1</v>
      </c>
      <c r="J8" s="62">
        <f t="shared" si="0"/>
        <v>1.4059999999999997</v>
      </c>
    </row>
    <row r="9" spans="1:10">
      <c r="A9" s="50" t="s">
        <v>12</v>
      </c>
      <c r="B9" s="50" t="s">
        <v>28</v>
      </c>
      <c r="C9" s="50" t="s">
        <v>1</v>
      </c>
      <c r="D9" s="50" t="s">
        <v>49</v>
      </c>
      <c r="E9" s="51">
        <v>2</v>
      </c>
      <c r="F9" s="52">
        <f>((1.96-1)*0.95)+1</f>
        <v>1.9119999999999999</v>
      </c>
      <c r="G9" s="53" t="s">
        <v>37</v>
      </c>
      <c r="H9">
        <v>0</v>
      </c>
      <c r="J9" s="62">
        <f t="shared" si="0"/>
        <v>-2</v>
      </c>
    </row>
    <row r="10" spans="1:10">
      <c r="A10" s="54" t="s">
        <v>12</v>
      </c>
      <c r="B10" s="54" t="s">
        <v>16</v>
      </c>
      <c r="C10" s="54" t="s">
        <v>47</v>
      </c>
      <c r="D10" s="54" t="s">
        <v>49</v>
      </c>
      <c r="E10" s="55">
        <v>2</v>
      </c>
      <c r="F10" s="56">
        <f>((2.1-1)*0.95)+1</f>
        <v>2.0449999999999999</v>
      </c>
      <c r="G10" s="57" t="s">
        <v>122</v>
      </c>
      <c r="H10">
        <v>1</v>
      </c>
      <c r="J10" s="62">
        <f t="shared" si="0"/>
        <v>2.09</v>
      </c>
    </row>
    <row r="11" spans="1:10">
      <c r="A11" s="12" t="s">
        <v>12</v>
      </c>
      <c r="B11" s="12" t="s">
        <v>5</v>
      </c>
      <c r="C11" s="12" t="s">
        <v>73</v>
      </c>
      <c r="D11" s="12" t="s">
        <v>49</v>
      </c>
      <c r="E11" s="13">
        <v>2</v>
      </c>
      <c r="F11" s="14">
        <f>((1.86-1)*0.95)+1</f>
        <v>1.8170000000000002</v>
      </c>
      <c r="G11" s="15" t="s">
        <v>39</v>
      </c>
      <c r="H11" s="2">
        <v>0</v>
      </c>
      <c r="I11" s="2"/>
      <c r="J11" s="62">
        <f t="shared" si="0"/>
        <v>-2</v>
      </c>
    </row>
    <row r="12" spans="1:10">
      <c r="A12" s="42" t="s">
        <v>12</v>
      </c>
      <c r="B12" s="42" t="s">
        <v>0</v>
      </c>
      <c r="C12" s="42" t="s">
        <v>27</v>
      </c>
      <c r="D12" s="42" t="s">
        <v>49</v>
      </c>
      <c r="E12" s="43">
        <v>2</v>
      </c>
      <c r="F12" s="44">
        <v>2.8</v>
      </c>
      <c r="G12" s="45" t="s">
        <v>42</v>
      </c>
      <c r="H12" s="2">
        <v>1</v>
      </c>
      <c r="I12" s="2"/>
      <c r="J12" s="62">
        <f t="shared" si="0"/>
        <v>3.5999999999999996</v>
      </c>
    </row>
    <row r="13" spans="1:10">
      <c r="A13" s="4" t="s">
        <v>12</v>
      </c>
      <c r="B13" s="4" t="s">
        <v>15</v>
      </c>
      <c r="C13" s="4" t="s">
        <v>182</v>
      </c>
      <c r="D13" s="4" t="s">
        <v>49</v>
      </c>
      <c r="E13" s="5">
        <v>2</v>
      </c>
      <c r="F13" s="9">
        <f>((2.46-1)*0.95)+1</f>
        <v>2.387</v>
      </c>
      <c r="G13" s="10" t="s">
        <v>201</v>
      </c>
      <c r="H13" s="2">
        <v>1</v>
      </c>
      <c r="I13" s="2"/>
      <c r="J13" s="62">
        <f t="shared" si="0"/>
        <v>2.774</v>
      </c>
    </row>
    <row r="14" spans="1:10">
      <c r="A14" s="12" t="s">
        <v>12</v>
      </c>
      <c r="B14" s="12" t="s">
        <v>10</v>
      </c>
      <c r="C14" s="12" t="s">
        <v>3</v>
      </c>
      <c r="D14" s="12" t="s">
        <v>49</v>
      </c>
      <c r="E14" s="13">
        <v>2</v>
      </c>
      <c r="F14" s="14">
        <f>((2.14-1)*0.95)+1</f>
        <v>2.0830000000000002</v>
      </c>
      <c r="G14" s="15" t="s">
        <v>38</v>
      </c>
      <c r="H14" s="2">
        <v>0</v>
      </c>
      <c r="I14" s="2"/>
      <c r="J14" s="62">
        <f t="shared" si="0"/>
        <v>-2</v>
      </c>
    </row>
    <row r="15" spans="1:10">
      <c r="A15" s="4" t="s">
        <v>12</v>
      </c>
      <c r="B15" s="4" t="s">
        <v>15</v>
      </c>
      <c r="C15" s="4" t="s">
        <v>2</v>
      </c>
      <c r="D15" s="4" t="s">
        <v>48</v>
      </c>
      <c r="E15" s="5"/>
      <c r="F15" s="9"/>
      <c r="G15" s="10"/>
      <c r="J15" s="62"/>
    </row>
    <row r="16" spans="1:10">
      <c r="A16" s="91" t="s">
        <v>12</v>
      </c>
      <c r="B16" s="91" t="s">
        <v>2</v>
      </c>
      <c r="C16" s="91" t="s">
        <v>47</v>
      </c>
      <c r="D16" s="91" t="s">
        <v>48</v>
      </c>
      <c r="E16" s="92"/>
      <c r="F16" s="93"/>
      <c r="G16" s="94"/>
      <c r="J16" s="62"/>
    </row>
    <row r="17" spans="1:10" s="2" customFormat="1">
      <c r="A17" s="46" t="s">
        <v>12</v>
      </c>
      <c r="B17" s="46" t="s">
        <v>26</v>
      </c>
      <c r="C17" s="46" t="s">
        <v>4</v>
      </c>
      <c r="D17" s="46" t="s">
        <v>48</v>
      </c>
      <c r="E17" s="47"/>
      <c r="F17" s="48"/>
      <c r="G17" s="49"/>
      <c r="H17"/>
      <c r="I17"/>
      <c r="J17" s="62"/>
    </row>
    <row r="18" spans="1:10" s="2" customFormat="1">
      <c r="A18" s="46" t="s">
        <v>12</v>
      </c>
      <c r="B18" s="46" t="s">
        <v>2</v>
      </c>
      <c r="C18" s="46" t="s">
        <v>27</v>
      </c>
      <c r="D18" s="46" t="s">
        <v>49</v>
      </c>
      <c r="E18" s="47"/>
      <c r="F18" s="48"/>
      <c r="G18" s="49"/>
      <c r="H18"/>
      <c r="I18"/>
      <c r="J18" s="62"/>
    </row>
    <row r="19" spans="1:10" s="2" customFormat="1">
      <c r="A19" s="46" t="s">
        <v>12</v>
      </c>
      <c r="B19" s="46" t="s">
        <v>67</v>
      </c>
      <c r="C19" s="46" t="s">
        <v>5</v>
      </c>
      <c r="D19" s="46" t="s">
        <v>48</v>
      </c>
      <c r="E19" s="47"/>
      <c r="F19" s="48"/>
      <c r="G19" s="49"/>
      <c r="H19"/>
      <c r="I19"/>
      <c r="J19" s="62"/>
    </row>
    <row r="20" spans="1:10" s="2" customFormat="1">
      <c r="A20" s="12" t="s">
        <v>12</v>
      </c>
      <c r="B20" s="12" t="s">
        <v>5</v>
      </c>
      <c r="C20" s="12" t="s">
        <v>16</v>
      </c>
      <c r="D20" s="12" t="s">
        <v>48</v>
      </c>
      <c r="E20" s="13"/>
      <c r="F20" s="14"/>
      <c r="G20" s="15"/>
      <c r="H20"/>
      <c r="I20"/>
      <c r="J20" s="62"/>
    </row>
    <row r="21" spans="1:10" s="2" customFormat="1">
      <c r="A21" s="91" t="s">
        <v>12</v>
      </c>
      <c r="B21" s="91" t="s">
        <v>26</v>
      </c>
      <c r="C21" s="91" t="s">
        <v>119</v>
      </c>
      <c r="D21" s="91" t="s">
        <v>48</v>
      </c>
      <c r="E21" s="92"/>
      <c r="F21" s="93"/>
      <c r="G21" s="94"/>
      <c r="H21"/>
      <c r="I21"/>
      <c r="J21" s="62"/>
    </row>
    <row r="22" spans="1:10" s="2" customFormat="1">
      <c r="A22" s="54" t="s">
        <v>12</v>
      </c>
      <c r="B22" s="54" t="s">
        <v>0</v>
      </c>
      <c r="C22" s="54" t="s">
        <v>15</v>
      </c>
      <c r="D22" s="54" t="s">
        <v>48</v>
      </c>
      <c r="E22" s="55"/>
      <c r="F22" s="56"/>
      <c r="G22" s="57"/>
      <c r="H22"/>
      <c r="I22"/>
      <c r="J22" s="62"/>
    </row>
    <row r="23" spans="1:10" s="2" customFormat="1">
      <c r="A23" s="12" t="s">
        <v>12</v>
      </c>
      <c r="B23" s="12" t="s">
        <v>3</v>
      </c>
      <c r="C23" s="12" t="s">
        <v>67</v>
      </c>
      <c r="D23" s="12" t="s">
        <v>34</v>
      </c>
      <c r="E23" s="13"/>
      <c r="F23" s="14"/>
      <c r="G23" s="15"/>
      <c r="H23"/>
      <c r="I23"/>
      <c r="J23" s="62"/>
    </row>
    <row r="24" spans="1:10" s="2" customFormat="1">
      <c r="A24" s="12" t="s">
        <v>12</v>
      </c>
      <c r="B24" s="12" t="s">
        <v>175</v>
      </c>
      <c r="C24" s="12" t="s">
        <v>4</v>
      </c>
      <c r="D24" s="12" t="s">
        <v>49</v>
      </c>
      <c r="E24" s="13"/>
      <c r="F24" s="14"/>
      <c r="G24" s="15"/>
      <c r="J24" s="62"/>
    </row>
    <row r="25" spans="1:10" s="2" customFormat="1">
      <c r="A25" s="12" t="s">
        <v>12</v>
      </c>
      <c r="B25" s="12" t="s">
        <v>27</v>
      </c>
      <c r="C25" s="12" t="s">
        <v>16</v>
      </c>
      <c r="D25" s="12" t="s">
        <v>49</v>
      </c>
      <c r="E25" s="13"/>
      <c r="F25" s="14"/>
      <c r="G25" s="15"/>
      <c r="J25" s="62"/>
    </row>
    <row r="26" spans="1:10" s="2" customFormat="1">
      <c r="A26" s="87" t="s">
        <v>12</v>
      </c>
      <c r="B26" s="87" t="s">
        <v>2</v>
      </c>
      <c r="C26" s="87" t="s">
        <v>181</v>
      </c>
      <c r="D26" s="87" t="s">
        <v>48</v>
      </c>
      <c r="E26" s="88"/>
      <c r="F26" s="89"/>
      <c r="G26" s="90"/>
      <c r="J26" s="62"/>
    </row>
    <row r="27" spans="1:10" s="2" customFormat="1">
      <c r="A27" s="4" t="s">
        <v>12</v>
      </c>
      <c r="B27" s="4" t="s">
        <v>67</v>
      </c>
      <c r="C27" s="4" t="s">
        <v>47</v>
      </c>
      <c r="D27" s="4" t="s">
        <v>49</v>
      </c>
      <c r="E27" s="5"/>
      <c r="F27" s="9"/>
      <c r="G27" s="10"/>
      <c r="J27" s="62"/>
    </row>
    <row r="28" spans="1:10" s="2" customFormat="1">
      <c r="A28" s="4" t="s">
        <v>12</v>
      </c>
      <c r="B28" s="4" t="s">
        <v>182</v>
      </c>
      <c r="C28" s="4" t="s">
        <v>5</v>
      </c>
      <c r="D28" s="4" t="s">
        <v>49</v>
      </c>
      <c r="E28" s="5"/>
      <c r="F28" s="9"/>
      <c r="G28" s="10"/>
      <c r="J28" s="62"/>
    </row>
    <row r="29" spans="1:10" s="2" customFormat="1">
      <c r="A29" s="4" t="s">
        <v>12</v>
      </c>
      <c r="B29" s="4" t="s">
        <v>27</v>
      </c>
      <c r="C29" s="4" t="s">
        <v>67</v>
      </c>
      <c r="D29" s="4" t="s">
        <v>49</v>
      </c>
      <c r="E29" s="5"/>
      <c r="F29" s="9"/>
      <c r="G29" s="10"/>
      <c r="J29" s="62"/>
    </row>
    <row r="30" spans="1:10" s="2" customFormat="1">
      <c r="A30" s="87" t="s">
        <v>12</v>
      </c>
      <c r="B30" s="87" t="s">
        <v>28</v>
      </c>
      <c r="C30" s="87" t="s">
        <v>10</v>
      </c>
      <c r="D30" s="87" t="s">
        <v>49</v>
      </c>
      <c r="E30" s="88"/>
      <c r="F30" s="89"/>
      <c r="G30" s="90"/>
      <c r="J30" s="62"/>
    </row>
    <row r="31" spans="1:10" s="2" customFormat="1">
      <c r="A31" s="42" t="s">
        <v>12</v>
      </c>
      <c r="B31" s="42" t="s">
        <v>47</v>
      </c>
      <c r="C31" s="42" t="s">
        <v>0</v>
      </c>
      <c r="D31" s="42" t="s">
        <v>49</v>
      </c>
      <c r="E31" s="43"/>
      <c r="F31" s="44"/>
      <c r="G31" s="45"/>
      <c r="J31" s="62"/>
    </row>
    <row r="32" spans="1:10" s="2" customFormat="1">
      <c r="A32" s="12" t="s">
        <v>12</v>
      </c>
      <c r="B32" s="12" t="s">
        <v>28</v>
      </c>
      <c r="C32" s="12" t="s">
        <v>2</v>
      </c>
      <c r="D32" s="12" t="s">
        <v>49</v>
      </c>
      <c r="E32" s="13"/>
      <c r="F32" s="14"/>
      <c r="G32" s="15"/>
      <c r="J32" s="62"/>
    </row>
    <row r="33" spans="1:10" s="2" customFormat="1">
      <c r="A33" s="54" t="s">
        <v>12</v>
      </c>
      <c r="B33" s="54" t="s">
        <v>26</v>
      </c>
      <c r="C33" s="54" t="s">
        <v>15</v>
      </c>
      <c r="D33" s="54" t="s">
        <v>49</v>
      </c>
      <c r="E33" s="55"/>
      <c r="F33" s="56"/>
      <c r="G33" s="57"/>
      <c r="J33" s="62"/>
    </row>
    <row r="34" spans="1:10" s="2" customFormat="1">
      <c r="A34" s="46" t="s">
        <v>12</v>
      </c>
      <c r="B34" s="46" t="s">
        <v>4</v>
      </c>
      <c r="C34" s="46" t="s">
        <v>5</v>
      </c>
      <c r="D34" s="46" t="s">
        <v>49</v>
      </c>
      <c r="E34" s="47"/>
      <c r="F34" s="48"/>
      <c r="G34" s="49"/>
      <c r="J34" s="62"/>
    </row>
    <row r="35" spans="1:10" s="2" customFormat="1">
      <c r="A35" s="12" t="s">
        <v>12</v>
      </c>
      <c r="B35" s="12" t="s">
        <v>10</v>
      </c>
      <c r="C35" s="12" t="s">
        <v>134</v>
      </c>
      <c r="D35" s="12" t="s">
        <v>49</v>
      </c>
      <c r="E35" s="13"/>
      <c r="F35" s="14"/>
      <c r="G35" s="15"/>
      <c r="J35" s="62"/>
    </row>
    <row r="36" spans="1:10" s="2" customFormat="1">
      <c r="A36" s="87" t="s">
        <v>12</v>
      </c>
      <c r="B36" s="87" t="s">
        <v>16</v>
      </c>
      <c r="C36" s="87" t="s">
        <v>28</v>
      </c>
      <c r="D36" s="87" t="s">
        <v>34</v>
      </c>
      <c r="E36" s="88"/>
      <c r="F36" s="89"/>
      <c r="G36" s="90"/>
      <c r="J36" s="62"/>
    </row>
    <row r="37" spans="1:10">
      <c r="A37" s="58"/>
      <c r="B37" s="58"/>
      <c r="C37" s="58"/>
      <c r="D37" s="58"/>
      <c r="E37" s="58"/>
      <c r="F37" s="59"/>
      <c r="G37" s="60"/>
    </row>
    <row r="38" spans="1:10">
      <c r="E38" s="61">
        <f>SUM(E1:E37)</f>
        <v>33.5</v>
      </c>
      <c r="H38">
        <f>SUM(H1:H37)</f>
        <v>9</v>
      </c>
      <c r="I38" s="21">
        <f>COUNTIF(E1:E37,"&gt;0")</f>
        <v>14</v>
      </c>
      <c r="J38" s="62">
        <f>SUM(J1:J37)</f>
        <v>9.9894999999999996</v>
      </c>
    </row>
    <row r="39" spans="1:10">
      <c r="H39" s="63">
        <f>+H38/COUNTIF(E1:E37,"&gt;0")</f>
        <v>0.6428571428571429</v>
      </c>
      <c r="J39" s="65">
        <f>+J38/E38</f>
        <v>0.29819402985074628</v>
      </c>
    </row>
    <row r="40" spans="1:10">
      <c r="J40" s="64"/>
    </row>
  </sheetData>
  <sortState ref="A1:J23">
    <sortCondition descending="1" ref="E1:E23"/>
  </sortState>
  <pageMargins left="0.7" right="0.7" top="0.75" bottom="0.75" header="0.3" footer="0.3"/>
  <pageSetup paperSize="9" orientation="portrait" horizontalDpi="0" verticalDpi="0" r:id="rId1"/>
  <legacyDrawing r:id="rId2"/>
</worksheet>
</file>

<file path=xl/worksheets/sheet42.xml><?xml version="1.0" encoding="utf-8"?>
<worksheet xmlns="http://schemas.openxmlformats.org/spreadsheetml/2006/main" xmlns:r="http://schemas.openxmlformats.org/officeDocument/2006/relationships">
  <sheetPr codeName="Hoja35"/>
  <dimension ref="A1:J40"/>
  <sheetViews>
    <sheetView topLeftCell="A19" workbookViewId="0">
      <selection activeCell="J16" sqref="E1:J16"/>
    </sheetView>
  </sheetViews>
  <sheetFormatPr baseColWidth="10" defaultRowHeight="15"/>
  <cols>
    <col min="8" max="8" width="4.5703125" bestFit="1" customWidth="1"/>
  </cols>
  <sheetData>
    <row r="1" spans="1:10">
      <c r="A1" s="4" t="s">
        <v>12</v>
      </c>
      <c r="B1" s="4" t="s">
        <v>0</v>
      </c>
      <c r="C1" s="4" t="s">
        <v>3</v>
      </c>
      <c r="D1" s="4" t="s">
        <v>49</v>
      </c>
      <c r="E1" s="5">
        <v>1</v>
      </c>
      <c r="F1" s="4">
        <v>1.95</v>
      </c>
      <c r="G1" s="10" t="s">
        <v>36</v>
      </c>
      <c r="H1">
        <v>1</v>
      </c>
      <c r="J1" s="62">
        <f>IF(H1=1,E1*(F1-1),-E1)</f>
        <v>0.95</v>
      </c>
    </row>
    <row r="2" spans="1:10">
      <c r="A2" s="12" t="s">
        <v>6</v>
      </c>
      <c r="B2" s="12" t="s">
        <v>10</v>
      </c>
      <c r="C2" s="12" t="s">
        <v>13</v>
      </c>
      <c r="D2" s="12" t="s">
        <v>49</v>
      </c>
      <c r="E2" s="13">
        <v>1</v>
      </c>
      <c r="F2" s="14">
        <f>((2.16-1)*0.95)+1</f>
        <v>2.1020000000000003</v>
      </c>
      <c r="G2" s="15" t="s">
        <v>38</v>
      </c>
      <c r="H2">
        <v>0</v>
      </c>
      <c r="J2" s="62">
        <f t="shared" ref="J2:J36" si="0">IF(H2=1,E2*(F2-1),-E2)</f>
        <v>-1</v>
      </c>
    </row>
    <row r="3" spans="1:10">
      <c r="A3" s="4" t="s">
        <v>12</v>
      </c>
      <c r="B3" s="4" t="s">
        <v>15</v>
      </c>
      <c r="C3" s="4" t="s">
        <v>2</v>
      </c>
      <c r="D3" s="4" t="s">
        <v>48</v>
      </c>
      <c r="E3" s="5">
        <v>1</v>
      </c>
      <c r="F3" s="9">
        <f>((3.6-1)*0.95)+1</f>
        <v>3.4699999999999998</v>
      </c>
      <c r="G3" s="10" t="s">
        <v>39</v>
      </c>
      <c r="H3">
        <v>1</v>
      </c>
      <c r="J3" s="62">
        <f t="shared" si="0"/>
        <v>2.4699999999999998</v>
      </c>
    </row>
    <row r="4" spans="1:10">
      <c r="A4" s="12" t="s">
        <v>12</v>
      </c>
      <c r="B4" s="12" t="s">
        <v>5</v>
      </c>
      <c r="C4" s="12" t="s">
        <v>16</v>
      </c>
      <c r="D4" s="12" t="s">
        <v>48</v>
      </c>
      <c r="E4" s="13">
        <v>1</v>
      </c>
      <c r="F4" s="14">
        <f>((5.3-1)*0.95)+1</f>
        <v>5.085</v>
      </c>
      <c r="G4" s="15" t="s">
        <v>37</v>
      </c>
      <c r="H4">
        <v>0</v>
      </c>
      <c r="J4" s="62">
        <f t="shared" si="0"/>
        <v>-1</v>
      </c>
    </row>
    <row r="5" spans="1:10">
      <c r="A5" s="12" t="s">
        <v>12</v>
      </c>
      <c r="B5" s="12" t="s">
        <v>26</v>
      </c>
      <c r="C5" s="12" t="s">
        <v>10</v>
      </c>
      <c r="D5" s="13" t="s">
        <v>49</v>
      </c>
      <c r="E5" s="13">
        <v>1</v>
      </c>
      <c r="F5" s="12">
        <v>1.75</v>
      </c>
      <c r="G5" s="15" t="s">
        <v>82</v>
      </c>
      <c r="H5">
        <v>0</v>
      </c>
      <c r="J5" s="62">
        <f t="shared" si="0"/>
        <v>-1</v>
      </c>
    </row>
    <row r="6" spans="1:10">
      <c r="A6" s="4" t="s">
        <v>12</v>
      </c>
      <c r="B6" s="4" t="s">
        <v>27</v>
      </c>
      <c r="C6" s="4" t="s">
        <v>28</v>
      </c>
      <c r="D6" s="5" t="s">
        <v>49</v>
      </c>
      <c r="E6" s="5">
        <v>1</v>
      </c>
      <c r="F6" s="4">
        <v>1.6</v>
      </c>
      <c r="G6" s="10" t="s">
        <v>41</v>
      </c>
      <c r="H6">
        <v>1</v>
      </c>
      <c r="J6" s="62">
        <f t="shared" si="0"/>
        <v>0.60000000000000009</v>
      </c>
    </row>
    <row r="7" spans="1:10">
      <c r="A7" s="12" t="s">
        <v>12</v>
      </c>
      <c r="B7" s="12" t="s">
        <v>3</v>
      </c>
      <c r="C7" s="12" t="s">
        <v>67</v>
      </c>
      <c r="D7" s="12" t="s">
        <v>34</v>
      </c>
      <c r="E7" s="13">
        <v>1</v>
      </c>
      <c r="F7" s="14">
        <v>3.3</v>
      </c>
      <c r="G7" s="15" t="s">
        <v>42</v>
      </c>
      <c r="H7">
        <v>0</v>
      </c>
      <c r="J7" s="62">
        <f t="shared" si="0"/>
        <v>-1</v>
      </c>
    </row>
    <row r="8" spans="1:10">
      <c r="A8" s="4" t="s">
        <v>12</v>
      </c>
      <c r="B8" s="4" t="s">
        <v>134</v>
      </c>
      <c r="C8" s="4" t="s">
        <v>73</v>
      </c>
      <c r="D8" s="4" t="s">
        <v>49</v>
      </c>
      <c r="E8" s="5">
        <v>1</v>
      </c>
      <c r="F8" s="9">
        <f>((1.74-1)*0.95)+1</f>
        <v>1.7029999999999998</v>
      </c>
      <c r="G8" s="16" t="s">
        <v>41</v>
      </c>
      <c r="H8">
        <v>1</v>
      </c>
      <c r="J8" s="62">
        <f t="shared" si="0"/>
        <v>0.70299999999999985</v>
      </c>
    </row>
    <row r="9" spans="1:10">
      <c r="A9" s="42" t="s">
        <v>12</v>
      </c>
      <c r="B9" s="42" t="s">
        <v>2</v>
      </c>
      <c r="C9" s="42" t="s">
        <v>47</v>
      </c>
      <c r="D9" s="42" t="s">
        <v>48</v>
      </c>
      <c r="E9" s="43">
        <v>1</v>
      </c>
      <c r="F9" s="44">
        <f>((3.95-1)*0.95)+1</f>
        <v>3.8025000000000002</v>
      </c>
      <c r="G9" s="45" t="s">
        <v>43</v>
      </c>
      <c r="H9">
        <v>1</v>
      </c>
      <c r="J9" s="62">
        <f t="shared" si="0"/>
        <v>2.8025000000000002</v>
      </c>
    </row>
    <row r="10" spans="1:10">
      <c r="A10" s="46" t="s">
        <v>12</v>
      </c>
      <c r="B10" s="46" t="s">
        <v>28</v>
      </c>
      <c r="C10" s="46" t="s">
        <v>1</v>
      </c>
      <c r="D10" s="46" t="s">
        <v>49</v>
      </c>
      <c r="E10" s="47">
        <v>1</v>
      </c>
      <c r="F10" s="48">
        <f>((1.96-1)*0.95)+1</f>
        <v>1.9119999999999999</v>
      </c>
      <c r="G10" s="49" t="s">
        <v>37</v>
      </c>
      <c r="H10">
        <v>0</v>
      </c>
      <c r="J10" s="62">
        <f t="shared" si="0"/>
        <v>-1</v>
      </c>
    </row>
    <row r="11" spans="1:10">
      <c r="A11" s="46" t="s">
        <v>12</v>
      </c>
      <c r="B11" s="46" t="s">
        <v>26</v>
      </c>
      <c r="C11" s="46" t="s">
        <v>4</v>
      </c>
      <c r="D11" s="46" t="s">
        <v>48</v>
      </c>
      <c r="E11" s="47">
        <v>1</v>
      </c>
      <c r="F11" s="48">
        <v>2.2000000000000002</v>
      </c>
      <c r="G11" s="49" t="s">
        <v>38</v>
      </c>
      <c r="H11">
        <v>0</v>
      </c>
      <c r="J11" s="62">
        <f t="shared" si="0"/>
        <v>-1</v>
      </c>
    </row>
    <row r="12" spans="1:10">
      <c r="A12" s="50" t="s">
        <v>12</v>
      </c>
      <c r="B12" s="50" t="s">
        <v>2</v>
      </c>
      <c r="C12" s="50" t="s">
        <v>27</v>
      </c>
      <c r="D12" s="50" t="s">
        <v>49</v>
      </c>
      <c r="E12" s="51">
        <v>1</v>
      </c>
      <c r="F12" s="52">
        <v>2.9</v>
      </c>
      <c r="G12" s="53" t="s">
        <v>121</v>
      </c>
      <c r="H12">
        <v>0</v>
      </c>
      <c r="J12" s="62">
        <f t="shared" si="0"/>
        <v>-1</v>
      </c>
    </row>
    <row r="13" spans="1:10">
      <c r="A13" s="54" t="s">
        <v>12</v>
      </c>
      <c r="B13" s="54" t="s">
        <v>16</v>
      </c>
      <c r="C13" s="54" t="s">
        <v>47</v>
      </c>
      <c r="D13" s="54" t="s">
        <v>49</v>
      </c>
      <c r="E13" s="55">
        <v>1</v>
      </c>
      <c r="F13" s="56">
        <f>((2.1-1)*0.95)+1</f>
        <v>2.0449999999999999</v>
      </c>
      <c r="G13" s="57" t="s">
        <v>122</v>
      </c>
      <c r="H13">
        <v>1</v>
      </c>
      <c r="J13" s="62">
        <f t="shared" si="0"/>
        <v>1.0449999999999999</v>
      </c>
    </row>
    <row r="14" spans="1:10">
      <c r="A14" s="54" t="s">
        <v>12</v>
      </c>
      <c r="B14" s="54" t="s">
        <v>0</v>
      </c>
      <c r="C14" s="54" t="s">
        <v>15</v>
      </c>
      <c r="D14" s="54" t="s">
        <v>48</v>
      </c>
      <c r="E14" s="55">
        <v>1</v>
      </c>
      <c r="F14" s="56">
        <v>6.2</v>
      </c>
      <c r="G14" s="57" t="s">
        <v>39</v>
      </c>
      <c r="H14">
        <v>1</v>
      </c>
      <c r="J14" s="62">
        <f t="shared" si="0"/>
        <v>5.2</v>
      </c>
    </row>
    <row r="15" spans="1:10">
      <c r="A15" s="46" t="s">
        <v>12</v>
      </c>
      <c r="B15" s="46" t="s">
        <v>67</v>
      </c>
      <c r="C15" s="46" t="s">
        <v>5</v>
      </c>
      <c r="D15" s="46" t="s">
        <v>48</v>
      </c>
      <c r="E15" s="47">
        <v>1</v>
      </c>
      <c r="F15" s="48">
        <f>((3.65-1)*0.95)+1</f>
        <v>3.5174999999999996</v>
      </c>
      <c r="G15" s="49" t="s">
        <v>42</v>
      </c>
      <c r="H15">
        <v>0</v>
      </c>
      <c r="J15" s="62">
        <f t="shared" si="0"/>
        <v>-1</v>
      </c>
    </row>
    <row r="16" spans="1:10">
      <c r="A16" s="91" t="s">
        <v>12</v>
      </c>
      <c r="B16" s="91" t="s">
        <v>26</v>
      </c>
      <c r="C16" s="91" t="s">
        <v>119</v>
      </c>
      <c r="D16" s="91" t="s">
        <v>48</v>
      </c>
      <c r="E16" s="92">
        <v>1</v>
      </c>
      <c r="F16" s="93">
        <v>2.2999999999999998</v>
      </c>
      <c r="G16" s="94" t="s">
        <v>43</v>
      </c>
      <c r="H16">
        <v>1</v>
      </c>
      <c r="J16" s="62">
        <f t="shared" si="0"/>
        <v>1.2999999999999998</v>
      </c>
    </row>
    <row r="17" spans="1:10" s="2" customFormat="1">
      <c r="A17" s="12" t="s">
        <v>12</v>
      </c>
      <c r="B17" s="12" t="s">
        <v>28</v>
      </c>
      <c r="C17" s="12" t="s">
        <v>10</v>
      </c>
      <c r="D17" s="12" t="s">
        <v>49</v>
      </c>
      <c r="E17" s="13">
        <v>1</v>
      </c>
      <c r="F17" s="14">
        <f>((2.28-1)*0.95)+1</f>
        <v>2.2159999999999997</v>
      </c>
      <c r="G17" s="15" t="s">
        <v>38</v>
      </c>
      <c r="H17" s="2">
        <v>0</v>
      </c>
      <c r="J17" s="62">
        <f t="shared" si="0"/>
        <v>-1</v>
      </c>
    </row>
    <row r="18" spans="1:10" s="2" customFormat="1">
      <c r="A18" s="4" t="s">
        <v>12</v>
      </c>
      <c r="B18" s="4" t="s">
        <v>47</v>
      </c>
      <c r="C18" s="4" t="s">
        <v>0</v>
      </c>
      <c r="D18" s="4" t="s">
        <v>49</v>
      </c>
      <c r="E18" s="5">
        <v>1</v>
      </c>
      <c r="F18" s="9">
        <f>((2.32-1)*0.95)+1</f>
        <v>2.2539999999999996</v>
      </c>
      <c r="G18" s="10" t="s">
        <v>122</v>
      </c>
      <c r="H18" s="2">
        <v>1</v>
      </c>
      <c r="J18" s="62">
        <f t="shared" si="0"/>
        <v>1.2539999999999996</v>
      </c>
    </row>
    <row r="19" spans="1:10" s="2" customFormat="1">
      <c r="A19" s="12" t="s">
        <v>12</v>
      </c>
      <c r="B19" s="12" t="s">
        <v>5</v>
      </c>
      <c r="C19" s="12" t="s">
        <v>73</v>
      </c>
      <c r="D19" s="12" t="s">
        <v>49</v>
      </c>
      <c r="E19" s="13">
        <v>1</v>
      </c>
      <c r="F19" s="14">
        <f>((1.86-1)*0.95)+1</f>
        <v>1.8170000000000002</v>
      </c>
      <c r="G19" s="15" t="s">
        <v>39</v>
      </c>
      <c r="H19" s="2">
        <v>0</v>
      </c>
      <c r="J19" s="62">
        <f t="shared" si="0"/>
        <v>-1</v>
      </c>
    </row>
    <row r="20" spans="1:10" s="2" customFormat="1">
      <c r="A20" s="12" t="s">
        <v>12</v>
      </c>
      <c r="B20" s="12" t="s">
        <v>175</v>
      </c>
      <c r="C20" s="12" t="s">
        <v>4</v>
      </c>
      <c r="D20" s="12" t="s">
        <v>49</v>
      </c>
      <c r="E20" s="13">
        <v>1</v>
      </c>
      <c r="F20" s="14">
        <v>2</v>
      </c>
      <c r="G20" s="15" t="s">
        <v>37</v>
      </c>
      <c r="H20" s="2">
        <v>0</v>
      </c>
      <c r="J20" s="62">
        <f t="shared" si="0"/>
        <v>-1</v>
      </c>
    </row>
    <row r="21" spans="1:10" s="2" customFormat="1">
      <c r="A21" s="87" t="s">
        <v>12</v>
      </c>
      <c r="B21" s="87" t="s">
        <v>27</v>
      </c>
      <c r="C21" s="87" t="s">
        <v>16</v>
      </c>
      <c r="D21" s="87" t="s">
        <v>49</v>
      </c>
      <c r="E21" s="88">
        <v>1</v>
      </c>
      <c r="F21" s="89">
        <v>1.75</v>
      </c>
      <c r="G21" s="90" t="s">
        <v>179</v>
      </c>
      <c r="H21" s="2">
        <v>0</v>
      </c>
      <c r="J21" s="62">
        <f t="shared" si="0"/>
        <v>-1</v>
      </c>
    </row>
    <row r="22" spans="1:10" s="2" customFormat="1">
      <c r="A22" s="12" t="s">
        <v>12</v>
      </c>
      <c r="B22" s="12" t="s">
        <v>2</v>
      </c>
      <c r="C22" s="12" t="s">
        <v>181</v>
      </c>
      <c r="D22" s="12" t="s">
        <v>48</v>
      </c>
      <c r="E22" s="13">
        <v>1</v>
      </c>
      <c r="F22" s="14">
        <v>2.9</v>
      </c>
      <c r="G22" s="15" t="s">
        <v>36</v>
      </c>
      <c r="H22" s="2">
        <v>0</v>
      </c>
      <c r="J22" s="62">
        <f t="shared" si="0"/>
        <v>-1</v>
      </c>
    </row>
    <row r="23" spans="1:10" s="2" customFormat="1">
      <c r="A23" s="4" t="s">
        <v>12</v>
      </c>
      <c r="B23" s="4" t="s">
        <v>67</v>
      </c>
      <c r="C23" s="4" t="s">
        <v>47</v>
      </c>
      <c r="D23" s="4" t="s">
        <v>49</v>
      </c>
      <c r="E23" s="5">
        <v>1</v>
      </c>
      <c r="F23" s="9">
        <f>((1.8-1)*0.95)+1</f>
        <v>1.76</v>
      </c>
      <c r="G23" s="10" t="s">
        <v>187</v>
      </c>
      <c r="H23" s="2">
        <v>1</v>
      </c>
      <c r="J23" s="62">
        <f t="shared" si="0"/>
        <v>0.76</v>
      </c>
    </row>
    <row r="24" spans="1:10" s="2" customFormat="1">
      <c r="A24" s="4" t="s">
        <v>12</v>
      </c>
      <c r="B24" s="4" t="s">
        <v>182</v>
      </c>
      <c r="C24" s="4" t="s">
        <v>5</v>
      </c>
      <c r="D24" s="4" t="s">
        <v>49</v>
      </c>
      <c r="E24" s="5">
        <v>1</v>
      </c>
      <c r="F24" s="9">
        <f>((2.86-1)*0.95)+1</f>
        <v>2.7669999999999999</v>
      </c>
      <c r="G24" s="10" t="s">
        <v>36</v>
      </c>
      <c r="H24" s="2">
        <v>1</v>
      </c>
      <c r="J24" s="62">
        <f t="shared" si="0"/>
        <v>1.7669999999999999</v>
      </c>
    </row>
    <row r="25" spans="1:10" s="2" customFormat="1">
      <c r="A25" s="4" t="s">
        <v>12</v>
      </c>
      <c r="B25" s="4" t="s">
        <v>0</v>
      </c>
      <c r="C25" s="4" t="s">
        <v>27</v>
      </c>
      <c r="D25" s="4" t="s">
        <v>49</v>
      </c>
      <c r="E25" s="5">
        <v>1</v>
      </c>
      <c r="F25" s="9">
        <v>2.8</v>
      </c>
      <c r="G25" s="10" t="s">
        <v>42</v>
      </c>
      <c r="H25" s="2">
        <v>1</v>
      </c>
      <c r="J25" s="62">
        <f t="shared" si="0"/>
        <v>1.7999999999999998</v>
      </c>
    </row>
    <row r="26" spans="1:10" s="2" customFormat="1">
      <c r="A26" s="87" t="s">
        <v>12</v>
      </c>
      <c r="B26" s="87" t="s">
        <v>10</v>
      </c>
      <c r="C26" s="87" t="s">
        <v>134</v>
      </c>
      <c r="D26" s="87" t="s">
        <v>49</v>
      </c>
      <c r="E26" s="88">
        <v>1</v>
      </c>
      <c r="F26" s="89">
        <f>((4.2-1)*0.95)+1</f>
        <v>4.04</v>
      </c>
      <c r="G26" s="90" t="s">
        <v>37</v>
      </c>
      <c r="H26" s="2">
        <v>0</v>
      </c>
      <c r="J26" s="62">
        <f t="shared" si="0"/>
        <v>-1</v>
      </c>
    </row>
    <row r="27" spans="1:10" s="2" customFormat="1">
      <c r="A27" s="4" t="s">
        <v>12</v>
      </c>
      <c r="B27" s="4" t="s">
        <v>5</v>
      </c>
      <c r="C27" s="4" t="s">
        <v>26</v>
      </c>
      <c r="D27" s="4" t="s">
        <v>49</v>
      </c>
      <c r="E27" s="5">
        <v>1</v>
      </c>
      <c r="F27" s="9">
        <f>((1.73-1)*0.95)+1</f>
        <v>1.6935</v>
      </c>
      <c r="G27" s="10" t="s">
        <v>36</v>
      </c>
      <c r="H27" s="2">
        <v>1</v>
      </c>
      <c r="J27" s="62">
        <f t="shared" si="0"/>
        <v>0.69350000000000001</v>
      </c>
    </row>
    <row r="28" spans="1:10" s="2" customFormat="1">
      <c r="A28" s="4" t="s">
        <v>12</v>
      </c>
      <c r="B28" s="4" t="s">
        <v>15</v>
      </c>
      <c r="C28" s="4" t="s">
        <v>182</v>
      </c>
      <c r="D28" s="4" t="s">
        <v>49</v>
      </c>
      <c r="E28" s="5">
        <v>1</v>
      </c>
      <c r="F28" s="9">
        <f>((2.46-1)*0.95)+1</f>
        <v>2.387</v>
      </c>
      <c r="G28" s="10" t="s">
        <v>201</v>
      </c>
      <c r="H28" s="2">
        <v>1</v>
      </c>
      <c r="J28" s="62">
        <f t="shared" si="0"/>
        <v>1.387</v>
      </c>
    </row>
    <row r="29" spans="1:10" s="2" customFormat="1">
      <c r="A29" s="4" t="s">
        <v>12</v>
      </c>
      <c r="B29" s="4" t="s">
        <v>27</v>
      </c>
      <c r="C29" s="4" t="s">
        <v>67</v>
      </c>
      <c r="D29" s="4" t="s">
        <v>49</v>
      </c>
      <c r="E29" s="5">
        <v>1</v>
      </c>
      <c r="F29" s="9">
        <f>((1.97-1)*0.95)+1</f>
        <v>1.9215</v>
      </c>
      <c r="G29" s="10" t="s">
        <v>41</v>
      </c>
      <c r="H29" s="2">
        <v>1</v>
      </c>
      <c r="J29" s="62">
        <f t="shared" si="0"/>
        <v>0.92149999999999999</v>
      </c>
    </row>
    <row r="30" spans="1:10" s="2" customFormat="1">
      <c r="A30" s="87" t="s">
        <v>12</v>
      </c>
      <c r="B30" s="87" t="s">
        <v>28</v>
      </c>
      <c r="C30" s="87" t="s">
        <v>2</v>
      </c>
      <c r="D30" s="87" t="s">
        <v>49</v>
      </c>
      <c r="E30" s="88">
        <v>1</v>
      </c>
      <c r="F30" s="89">
        <v>2.2999999999999998</v>
      </c>
      <c r="G30" s="90" t="s">
        <v>206</v>
      </c>
      <c r="H30" s="2">
        <v>0</v>
      </c>
      <c r="J30" s="62">
        <f t="shared" si="0"/>
        <v>-1</v>
      </c>
    </row>
    <row r="31" spans="1:10" s="2" customFormat="1">
      <c r="A31" s="50" t="s">
        <v>12</v>
      </c>
      <c r="B31" s="50" t="s">
        <v>10</v>
      </c>
      <c r="C31" s="50" t="s">
        <v>3</v>
      </c>
      <c r="D31" s="50" t="s">
        <v>49</v>
      </c>
      <c r="E31" s="51">
        <v>1</v>
      </c>
      <c r="F31" s="52">
        <f>((2.14-1)*0.95)+1</f>
        <v>2.0830000000000002</v>
      </c>
      <c r="G31" s="53" t="s">
        <v>38</v>
      </c>
      <c r="H31" s="2">
        <v>0</v>
      </c>
      <c r="J31" s="62">
        <f t="shared" si="0"/>
        <v>-1</v>
      </c>
    </row>
    <row r="32" spans="1:10" s="2" customFormat="1">
      <c r="A32" s="54" t="s">
        <v>12</v>
      </c>
      <c r="B32" s="54" t="s">
        <v>67</v>
      </c>
      <c r="C32" s="54" t="s">
        <v>1</v>
      </c>
      <c r="D32" s="54" t="s">
        <v>49</v>
      </c>
      <c r="E32" s="55">
        <v>1</v>
      </c>
      <c r="F32" s="56">
        <f>((1.49-1)*0.95)+1</f>
        <v>1.4655</v>
      </c>
      <c r="G32" s="57" t="s">
        <v>146</v>
      </c>
      <c r="H32" s="2">
        <v>1</v>
      </c>
      <c r="J32" s="62">
        <f t="shared" si="0"/>
        <v>0.46550000000000002</v>
      </c>
    </row>
    <row r="33" spans="1:10" s="2" customFormat="1">
      <c r="A33" s="54" t="s">
        <v>12</v>
      </c>
      <c r="B33" s="54" t="s">
        <v>26</v>
      </c>
      <c r="C33" s="54" t="s">
        <v>15</v>
      </c>
      <c r="D33" s="54" t="s">
        <v>49</v>
      </c>
      <c r="E33" s="55">
        <v>1</v>
      </c>
      <c r="F33" s="56">
        <f>((2-1)*0.95)+1</f>
        <v>1.95</v>
      </c>
      <c r="G33" s="57" t="s">
        <v>42</v>
      </c>
      <c r="H33" s="2">
        <v>1</v>
      </c>
      <c r="J33" s="62">
        <f t="shared" si="0"/>
        <v>0.95</v>
      </c>
    </row>
    <row r="34" spans="1:10" s="2" customFormat="1">
      <c r="A34" s="54" t="s">
        <v>12</v>
      </c>
      <c r="B34" s="54" t="s">
        <v>182</v>
      </c>
      <c r="C34" s="54" t="s">
        <v>47</v>
      </c>
      <c r="D34" s="54" t="s">
        <v>49</v>
      </c>
      <c r="E34" s="55">
        <v>1</v>
      </c>
      <c r="F34" s="56">
        <f>((2.26-1)*0.95)+1</f>
        <v>2.1970000000000001</v>
      </c>
      <c r="G34" s="57" t="s">
        <v>122</v>
      </c>
      <c r="H34" s="2">
        <v>1</v>
      </c>
      <c r="J34" s="62">
        <f t="shared" si="0"/>
        <v>1.1970000000000001</v>
      </c>
    </row>
    <row r="35" spans="1:10" s="2" customFormat="1">
      <c r="A35" s="46" t="s">
        <v>12</v>
      </c>
      <c r="B35" s="46" t="s">
        <v>4</v>
      </c>
      <c r="C35" s="46" t="s">
        <v>5</v>
      </c>
      <c r="D35" s="46" t="s">
        <v>49</v>
      </c>
      <c r="E35" s="47">
        <v>1</v>
      </c>
      <c r="F35" s="48">
        <f>((1.88-1)*0.95)+1</f>
        <v>1.8359999999999999</v>
      </c>
      <c r="G35" s="49" t="s">
        <v>39</v>
      </c>
      <c r="H35" s="2">
        <v>0</v>
      </c>
      <c r="J35" s="62">
        <f t="shared" si="0"/>
        <v>-1</v>
      </c>
    </row>
    <row r="36" spans="1:10" s="2" customFormat="1">
      <c r="A36" s="87" t="s">
        <v>12</v>
      </c>
      <c r="B36" s="87" t="s">
        <v>16</v>
      </c>
      <c r="C36" s="87" t="s">
        <v>28</v>
      </c>
      <c r="D36" s="87" t="s">
        <v>34</v>
      </c>
      <c r="E36" s="88">
        <v>1</v>
      </c>
      <c r="F36" s="89">
        <f>((3.75-1)*0.95)+1</f>
        <v>3.6124999999999998</v>
      </c>
      <c r="G36" s="90" t="s">
        <v>39</v>
      </c>
      <c r="H36" s="2">
        <v>0</v>
      </c>
      <c r="J36" s="62">
        <f t="shared" si="0"/>
        <v>-1</v>
      </c>
    </row>
    <row r="37" spans="1:10">
      <c r="A37" s="58"/>
      <c r="B37" s="58"/>
      <c r="C37" s="58"/>
      <c r="D37" s="58"/>
      <c r="E37" s="58"/>
      <c r="F37" s="59"/>
      <c r="G37" s="60"/>
    </row>
    <row r="38" spans="1:10">
      <c r="E38" s="61">
        <f>SUM(E1:E37)</f>
        <v>36</v>
      </c>
      <c r="H38">
        <f>SUM(H1:H37)</f>
        <v>18</v>
      </c>
      <c r="I38" s="21">
        <f>COUNTIF(E1:E37,"&gt;0")</f>
        <v>36</v>
      </c>
      <c r="J38" s="62">
        <f>SUM(J1:J37)</f>
        <v>8.2659999999999982</v>
      </c>
    </row>
    <row r="39" spans="1:10">
      <c r="H39" s="63">
        <f>+H38/COUNTIF(E1:E37,"&gt;0")</f>
        <v>0.5</v>
      </c>
      <c r="J39" s="65">
        <f>+J38/E38</f>
        <v>0.22961111111111107</v>
      </c>
    </row>
    <row r="40" spans="1:10">
      <c r="J40" s="64"/>
    </row>
  </sheetData>
  <pageMargins left="0.7" right="0.7" top="0.75" bottom="0.75" header="0.3" footer="0.3"/>
  <pageSetup paperSize="9" orientation="portrait" horizontalDpi="0" verticalDpi="0" r:id="rId1"/>
  <legacyDrawing r:id="rId2"/>
</worksheet>
</file>

<file path=xl/worksheets/sheet43.xml><?xml version="1.0" encoding="utf-8"?>
<worksheet xmlns="http://schemas.openxmlformats.org/spreadsheetml/2006/main" xmlns:r="http://schemas.openxmlformats.org/officeDocument/2006/relationships">
  <sheetPr codeName="Hoja36"/>
  <dimension ref="A1:M40"/>
  <sheetViews>
    <sheetView topLeftCell="A19" workbookViewId="0">
      <selection activeCell="M25" sqref="M25"/>
    </sheetView>
  </sheetViews>
  <sheetFormatPr baseColWidth="10" defaultRowHeight="15"/>
  <cols>
    <col min="8" max="8" width="4.5703125" bestFit="1" customWidth="1"/>
  </cols>
  <sheetData>
    <row r="1" spans="1:13">
      <c r="A1" s="4" t="s">
        <v>12</v>
      </c>
      <c r="B1" s="4" t="s">
        <v>0</v>
      </c>
      <c r="C1" s="4" t="s">
        <v>3</v>
      </c>
      <c r="D1" s="4" t="s">
        <v>49</v>
      </c>
      <c r="E1" s="5">
        <v>1</v>
      </c>
      <c r="F1" s="4">
        <v>1.95</v>
      </c>
      <c r="G1" s="10" t="s">
        <v>36</v>
      </c>
      <c r="H1">
        <v>1</v>
      </c>
      <c r="J1" s="62">
        <f>IF(H1=1,E1*(F1-1),-E1)</f>
        <v>0.95</v>
      </c>
      <c r="L1">
        <f>IF(M1=0,0,E1)</f>
        <v>0</v>
      </c>
      <c r="M1">
        <f>IF(F1&gt;2,J1,0)</f>
        <v>0</v>
      </c>
    </row>
    <row r="2" spans="1:13">
      <c r="A2" s="12" t="s">
        <v>6</v>
      </c>
      <c r="B2" s="12" t="s">
        <v>10</v>
      </c>
      <c r="C2" s="12" t="s">
        <v>13</v>
      </c>
      <c r="D2" s="12" t="s">
        <v>49</v>
      </c>
      <c r="E2" s="13">
        <v>1</v>
      </c>
      <c r="F2" s="14">
        <f>((2.16-1)*0.95)+1</f>
        <v>2.1020000000000003</v>
      </c>
      <c r="G2" s="15" t="s">
        <v>38</v>
      </c>
      <c r="H2">
        <v>0</v>
      </c>
      <c r="J2" s="62">
        <f t="shared" ref="J2:J36" si="0">IF(H2=1,E2*(F2-1),-E2)</f>
        <v>-1</v>
      </c>
      <c r="L2">
        <f t="shared" ref="L2:L36" si="1">IF(M2=0,0,E2)</f>
        <v>1</v>
      </c>
      <c r="M2">
        <f t="shared" ref="M2:M36" si="2">IF(F2&gt;2,J2,0)</f>
        <v>-1</v>
      </c>
    </row>
    <row r="3" spans="1:13">
      <c r="A3" s="4" t="s">
        <v>12</v>
      </c>
      <c r="B3" s="4" t="s">
        <v>15</v>
      </c>
      <c r="C3" s="4" t="s">
        <v>2</v>
      </c>
      <c r="D3" s="4" t="s">
        <v>48</v>
      </c>
      <c r="E3" s="5">
        <v>1</v>
      </c>
      <c r="F3" s="9">
        <f>((3.6-1)*0.95)+1</f>
        <v>3.4699999999999998</v>
      </c>
      <c r="G3" s="10" t="s">
        <v>39</v>
      </c>
      <c r="H3">
        <v>1</v>
      </c>
      <c r="J3" s="62">
        <f t="shared" si="0"/>
        <v>2.4699999999999998</v>
      </c>
      <c r="L3">
        <f t="shared" si="1"/>
        <v>1</v>
      </c>
      <c r="M3">
        <f t="shared" si="2"/>
        <v>2.4699999999999998</v>
      </c>
    </row>
    <row r="4" spans="1:13">
      <c r="A4" s="12" t="s">
        <v>12</v>
      </c>
      <c r="B4" s="12" t="s">
        <v>5</v>
      </c>
      <c r="C4" s="12" t="s">
        <v>16</v>
      </c>
      <c r="D4" s="12" t="s">
        <v>48</v>
      </c>
      <c r="E4" s="13">
        <v>1</v>
      </c>
      <c r="F4" s="14">
        <f>((5.3-1)*0.95)+1</f>
        <v>5.085</v>
      </c>
      <c r="G4" s="15" t="s">
        <v>37</v>
      </c>
      <c r="H4">
        <v>0</v>
      </c>
      <c r="J4" s="62">
        <f t="shared" si="0"/>
        <v>-1</v>
      </c>
      <c r="L4">
        <f t="shared" si="1"/>
        <v>1</v>
      </c>
      <c r="M4">
        <f t="shared" si="2"/>
        <v>-1</v>
      </c>
    </row>
    <row r="5" spans="1:13">
      <c r="A5" s="12" t="s">
        <v>12</v>
      </c>
      <c r="B5" s="12" t="s">
        <v>26</v>
      </c>
      <c r="C5" s="12" t="s">
        <v>10</v>
      </c>
      <c r="D5" s="13" t="s">
        <v>49</v>
      </c>
      <c r="E5" s="13">
        <v>1</v>
      </c>
      <c r="F5" s="12">
        <v>1.75</v>
      </c>
      <c r="G5" s="15" t="s">
        <v>82</v>
      </c>
      <c r="H5">
        <v>0</v>
      </c>
      <c r="J5" s="62">
        <f t="shared" si="0"/>
        <v>-1</v>
      </c>
      <c r="L5">
        <f t="shared" si="1"/>
        <v>0</v>
      </c>
      <c r="M5">
        <f t="shared" si="2"/>
        <v>0</v>
      </c>
    </row>
    <row r="6" spans="1:13">
      <c r="A6" s="4" t="s">
        <v>12</v>
      </c>
      <c r="B6" s="4" t="s">
        <v>27</v>
      </c>
      <c r="C6" s="4" t="s">
        <v>28</v>
      </c>
      <c r="D6" s="5" t="s">
        <v>49</v>
      </c>
      <c r="E6" s="5">
        <v>1</v>
      </c>
      <c r="F6" s="4">
        <v>1.6</v>
      </c>
      <c r="G6" s="10" t="s">
        <v>41</v>
      </c>
      <c r="H6">
        <v>1</v>
      </c>
      <c r="J6" s="62">
        <f t="shared" si="0"/>
        <v>0.60000000000000009</v>
      </c>
      <c r="L6">
        <f t="shared" si="1"/>
        <v>0</v>
      </c>
      <c r="M6">
        <f t="shared" si="2"/>
        <v>0</v>
      </c>
    </row>
    <row r="7" spans="1:13">
      <c r="A7" s="12" t="s">
        <v>12</v>
      </c>
      <c r="B7" s="12" t="s">
        <v>3</v>
      </c>
      <c r="C7" s="12" t="s">
        <v>67</v>
      </c>
      <c r="D7" s="12" t="s">
        <v>34</v>
      </c>
      <c r="E7" s="13">
        <v>1</v>
      </c>
      <c r="F7" s="14">
        <v>3.3</v>
      </c>
      <c r="G7" s="15" t="s">
        <v>42</v>
      </c>
      <c r="H7">
        <v>0</v>
      </c>
      <c r="J7" s="62">
        <f t="shared" si="0"/>
        <v>-1</v>
      </c>
      <c r="L7">
        <f t="shared" si="1"/>
        <v>1</v>
      </c>
      <c r="M7">
        <f t="shared" si="2"/>
        <v>-1</v>
      </c>
    </row>
    <row r="8" spans="1:13">
      <c r="A8" s="4" t="s">
        <v>12</v>
      </c>
      <c r="B8" s="4" t="s">
        <v>134</v>
      </c>
      <c r="C8" s="4" t="s">
        <v>73</v>
      </c>
      <c r="D8" s="4" t="s">
        <v>49</v>
      </c>
      <c r="E8" s="5">
        <v>1</v>
      </c>
      <c r="F8" s="9">
        <f>((1.74-1)*0.95)+1</f>
        <v>1.7029999999999998</v>
      </c>
      <c r="G8" s="16" t="s">
        <v>41</v>
      </c>
      <c r="H8">
        <v>1</v>
      </c>
      <c r="J8" s="62">
        <f t="shared" si="0"/>
        <v>0.70299999999999985</v>
      </c>
      <c r="L8">
        <f t="shared" si="1"/>
        <v>0</v>
      </c>
      <c r="M8">
        <f t="shared" si="2"/>
        <v>0</v>
      </c>
    </row>
    <row r="9" spans="1:13">
      <c r="A9" s="42" t="s">
        <v>12</v>
      </c>
      <c r="B9" s="42" t="s">
        <v>2</v>
      </c>
      <c r="C9" s="42" t="s">
        <v>47</v>
      </c>
      <c r="D9" s="42" t="s">
        <v>48</v>
      </c>
      <c r="E9" s="43">
        <v>1</v>
      </c>
      <c r="F9" s="44">
        <f>((3.95-1)*0.95)+1</f>
        <v>3.8025000000000002</v>
      </c>
      <c r="G9" s="45" t="s">
        <v>43</v>
      </c>
      <c r="H9">
        <v>1</v>
      </c>
      <c r="J9" s="62">
        <f t="shared" si="0"/>
        <v>2.8025000000000002</v>
      </c>
      <c r="L9">
        <f t="shared" si="1"/>
        <v>1</v>
      </c>
      <c r="M9">
        <f t="shared" si="2"/>
        <v>2.8025000000000002</v>
      </c>
    </row>
    <row r="10" spans="1:13">
      <c r="A10" s="46" t="s">
        <v>12</v>
      </c>
      <c r="B10" s="46" t="s">
        <v>28</v>
      </c>
      <c r="C10" s="46" t="s">
        <v>1</v>
      </c>
      <c r="D10" s="46" t="s">
        <v>49</v>
      </c>
      <c r="E10" s="47">
        <v>1</v>
      </c>
      <c r="F10" s="48">
        <f>((1.96-1)*0.95)+1</f>
        <v>1.9119999999999999</v>
      </c>
      <c r="G10" s="49" t="s">
        <v>37</v>
      </c>
      <c r="H10">
        <v>0</v>
      </c>
      <c r="J10" s="62">
        <f t="shared" si="0"/>
        <v>-1</v>
      </c>
      <c r="L10">
        <f t="shared" si="1"/>
        <v>0</v>
      </c>
      <c r="M10">
        <f t="shared" si="2"/>
        <v>0</v>
      </c>
    </row>
    <row r="11" spans="1:13">
      <c r="A11" s="46" t="s">
        <v>12</v>
      </c>
      <c r="B11" s="46" t="s">
        <v>26</v>
      </c>
      <c r="C11" s="46" t="s">
        <v>4</v>
      </c>
      <c r="D11" s="46" t="s">
        <v>48</v>
      </c>
      <c r="E11" s="47">
        <v>1</v>
      </c>
      <c r="F11" s="48">
        <v>2.2000000000000002</v>
      </c>
      <c r="G11" s="49" t="s">
        <v>38</v>
      </c>
      <c r="H11">
        <v>0</v>
      </c>
      <c r="J11" s="62">
        <f t="shared" si="0"/>
        <v>-1</v>
      </c>
      <c r="L11">
        <f t="shared" si="1"/>
        <v>1</v>
      </c>
      <c r="M11">
        <f t="shared" si="2"/>
        <v>-1</v>
      </c>
    </row>
    <row r="12" spans="1:13">
      <c r="A12" s="50" t="s">
        <v>12</v>
      </c>
      <c r="B12" s="50" t="s">
        <v>2</v>
      </c>
      <c r="C12" s="50" t="s">
        <v>27</v>
      </c>
      <c r="D12" s="50" t="s">
        <v>49</v>
      </c>
      <c r="E12" s="51">
        <v>1</v>
      </c>
      <c r="F12" s="52">
        <v>2.9</v>
      </c>
      <c r="G12" s="53" t="s">
        <v>121</v>
      </c>
      <c r="H12">
        <v>0</v>
      </c>
      <c r="J12" s="62">
        <f t="shared" si="0"/>
        <v>-1</v>
      </c>
      <c r="L12">
        <f t="shared" si="1"/>
        <v>1</v>
      </c>
      <c r="M12">
        <f t="shared" si="2"/>
        <v>-1</v>
      </c>
    </row>
    <row r="13" spans="1:13">
      <c r="A13" s="54" t="s">
        <v>12</v>
      </c>
      <c r="B13" s="54" t="s">
        <v>16</v>
      </c>
      <c r="C13" s="54" t="s">
        <v>47</v>
      </c>
      <c r="D13" s="54" t="s">
        <v>49</v>
      </c>
      <c r="E13" s="55">
        <v>1</v>
      </c>
      <c r="F13" s="56">
        <f>((2.1-1)*0.95)+1</f>
        <v>2.0449999999999999</v>
      </c>
      <c r="G13" s="57" t="s">
        <v>122</v>
      </c>
      <c r="H13">
        <v>1</v>
      </c>
      <c r="J13" s="62">
        <f t="shared" si="0"/>
        <v>1.0449999999999999</v>
      </c>
      <c r="L13">
        <f t="shared" si="1"/>
        <v>1</v>
      </c>
      <c r="M13">
        <f t="shared" si="2"/>
        <v>1.0449999999999999</v>
      </c>
    </row>
    <row r="14" spans="1:13">
      <c r="A14" s="54" t="s">
        <v>12</v>
      </c>
      <c r="B14" s="54" t="s">
        <v>0</v>
      </c>
      <c r="C14" s="54" t="s">
        <v>15</v>
      </c>
      <c r="D14" s="54" t="s">
        <v>48</v>
      </c>
      <c r="E14" s="55">
        <v>1</v>
      </c>
      <c r="F14" s="56">
        <v>6.2</v>
      </c>
      <c r="G14" s="57" t="s">
        <v>39</v>
      </c>
      <c r="H14">
        <v>1</v>
      </c>
      <c r="J14" s="62">
        <f t="shared" si="0"/>
        <v>5.2</v>
      </c>
      <c r="L14">
        <f t="shared" si="1"/>
        <v>1</v>
      </c>
      <c r="M14">
        <f t="shared" si="2"/>
        <v>5.2</v>
      </c>
    </row>
    <row r="15" spans="1:13">
      <c r="A15" s="46" t="s">
        <v>12</v>
      </c>
      <c r="B15" s="46" t="s">
        <v>67</v>
      </c>
      <c r="C15" s="46" t="s">
        <v>5</v>
      </c>
      <c r="D15" s="46" t="s">
        <v>48</v>
      </c>
      <c r="E15" s="47">
        <v>1</v>
      </c>
      <c r="F15" s="48">
        <f>((3.65-1)*0.95)+1</f>
        <v>3.5174999999999996</v>
      </c>
      <c r="G15" s="49" t="s">
        <v>42</v>
      </c>
      <c r="H15">
        <v>0</v>
      </c>
      <c r="J15" s="62">
        <f t="shared" si="0"/>
        <v>-1</v>
      </c>
      <c r="L15">
        <f t="shared" si="1"/>
        <v>1</v>
      </c>
      <c r="M15">
        <f t="shared" si="2"/>
        <v>-1</v>
      </c>
    </row>
    <row r="16" spans="1:13">
      <c r="A16" s="91" t="s">
        <v>12</v>
      </c>
      <c r="B16" s="91" t="s">
        <v>26</v>
      </c>
      <c r="C16" s="91" t="s">
        <v>119</v>
      </c>
      <c r="D16" s="91" t="s">
        <v>48</v>
      </c>
      <c r="E16" s="92">
        <v>1</v>
      </c>
      <c r="F16" s="93">
        <v>2.2999999999999998</v>
      </c>
      <c r="G16" s="94" t="s">
        <v>43</v>
      </c>
      <c r="H16">
        <v>1</v>
      </c>
      <c r="J16" s="62">
        <f t="shared" si="0"/>
        <v>1.2999999999999998</v>
      </c>
      <c r="L16">
        <f t="shared" si="1"/>
        <v>1</v>
      </c>
      <c r="M16">
        <f t="shared" si="2"/>
        <v>1.2999999999999998</v>
      </c>
    </row>
    <row r="17" spans="1:13" s="2" customFormat="1">
      <c r="A17" s="12" t="s">
        <v>12</v>
      </c>
      <c r="B17" s="12" t="s">
        <v>28</v>
      </c>
      <c r="C17" s="12" t="s">
        <v>10</v>
      </c>
      <c r="D17" s="12" t="s">
        <v>49</v>
      </c>
      <c r="E17" s="13">
        <v>1</v>
      </c>
      <c r="F17" s="14">
        <f>((2.28-1)*0.95)+1</f>
        <v>2.2159999999999997</v>
      </c>
      <c r="G17" s="15" t="s">
        <v>38</v>
      </c>
      <c r="H17" s="2">
        <v>0</v>
      </c>
      <c r="J17" s="62">
        <f t="shared" si="0"/>
        <v>-1</v>
      </c>
      <c r="L17">
        <f t="shared" si="1"/>
        <v>1</v>
      </c>
      <c r="M17">
        <f t="shared" si="2"/>
        <v>-1</v>
      </c>
    </row>
    <row r="18" spans="1:13" s="2" customFormat="1">
      <c r="A18" s="4" t="s">
        <v>12</v>
      </c>
      <c r="B18" s="4" t="s">
        <v>47</v>
      </c>
      <c r="C18" s="4" t="s">
        <v>0</v>
      </c>
      <c r="D18" s="4" t="s">
        <v>49</v>
      </c>
      <c r="E18" s="5">
        <v>1</v>
      </c>
      <c r="F18" s="9">
        <f>((2.32-1)*0.95)+1</f>
        <v>2.2539999999999996</v>
      </c>
      <c r="G18" s="10" t="s">
        <v>122</v>
      </c>
      <c r="H18" s="2">
        <v>1</v>
      </c>
      <c r="J18" s="62">
        <f t="shared" si="0"/>
        <v>1.2539999999999996</v>
      </c>
      <c r="L18">
        <f t="shared" si="1"/>
        <v>1</v>
      </c>
      <c r="M18">
        <f t="shared" si="2"/>
        <v>1.2539999999999996</v>
      </c>
    </row>
    <row r="19" spans="1:13" s="2" customFormat="1">
      <c r="A19" s="12" t="s">
        <v>12</v>
      </c>
      <c r="B19" s="12" t="s">
        <v>5</v>
      </c>
      <c r="C19" s="12" t="s">
        <v>73</v>
      </c>
      <c r="D19" s="12" t="s">
        <v>49</v>
      </c>
      <c r="E19" s="13">
        <v>1</v>
      </c>
      <c r="F19" s="14">
        <f>((1.86-1)*0.95)+1</f>
        <v>1.8170000000000002</v>
      </c>
      <c r="G19" s="15" t="s">
        <v>39</v>
      </c>
      <c r="H19" s="2">
        <v>0</v>
      </c>
      <c r="J19" s="62">
        <f t="shared" si="0"/>
        <v>-1</v>
      </c>
      <c r="L19">
        <f t="shared" si="1"/>
        <v>0</v>
      </c>
      <c r="M19">
        <f t="shared" si="2"/>
        <v>0</v>
      </c>
    </row>
    <row r="20" spans="1:13" s="2" customFormat="1">
      <c r="A20" s="12" t="s">
        <v>12</v>
      </c>
      <c r="B20" s="12" t="s">
        <v>175</v>
      </c>
      <c r="C20" s="12" t="s">
        <v>4</v>
      </c>
      <c r="D20" s="12" t="s">
        <v>49</v>
      </c>
      <c r="E20" s="13">
        <v>1</v>
      </c>
      <c r="F20" s="14">
        <v>2</v>
      </c>
      <c r="G20" s="15" t="s">
        <v>37</v>
      </c>
      <c r="H20" s="2">
        <v>0</v>
      </c>
      <c r="J20" s="62">
        <f t="shared" si="0"/>
        <v>-1</v>
      </c>
      <c r="L20">
        <f t="shared" si="1"/>
        <v>0</v>
      </c>
      <c r="M20">
        <f t="shared" si="2"/>
        <v>0</v>
      </c>
    </row>
    <row r="21" spans="1:13" s="2" customFormat="1">
      <c r="A21" s="87" t="s">
        <v>12</v>
      </c>
      <c r="B21" s="87" t="s">
        <v>27</v>
      </c>
      <c r="C21" s="87" t="s">
        <v>16</v>
      </c>
      <c r="D21" s="87" t="s">
        <v>49</v>
      </c>
      <c r="E21" s="88">
        <v>1</v>
      </c>
      <c r="F21" s="89">
        <v>1.75</v>
      </c>
      <c r="G21" s="90" t="s">
        <v>179</v>
      </c>
      <c r="H21" s="2">
        <v>0</v>
      </c>
      <c r="J21" s="62">
        <f t="shared" si="0"/>
        <v>-1</v>
      </c>
      <c r="L21">
        <f t="shared" si="1"/>
        <v>0</v>
      </c>
      <c r="M21">
        <f t="shared" si="2"/>
        <v>0</v>
      </c>
    </row>
    <row r="22" spans="1:13" s="2" customFormat="1">
      <c r="A22" s="12" t="s">
        <v>12</v>
      </c>
      <c r="B22" s="12" t="s">
        <v>2</v>
      </c>
      <c r="C22" s="12" t="s">
        <v>181</v>
      </c>
      <c r="D22" s="12" t="s">
        <v>48</v>
      </c>
      <c r="E22" s="13">
        <v>1</v>
      </c>
      <c r="F22" s="14">
        <v>2.9</v>
      </c>
      <c r="G22" s="15" t="s">
        <v>36</v>
      </c>
      <c r="H22" s="2">
        <v>0</v>
      </c>
      <c r="J22" s="62">
        <f t="shared" si="0"/>
        <v>-1</v>
      </c>
      <c r="L22">
        <f t="shared" si="1"/>
        <v>1</v>
      </c>
      <c r="M22">
        <f t="shared" si="2"/>
        <v>-1</v>
      </c>
    </row>
    <row r="23" spans="1:13" s="2" customFormat="1">
      <c r="A23" s="4" t="s">
        <v>12</v>
      </c>
      <c r="B23" s="4" t="s">
        <v>67</v>
      </c>
      <c r="C23" s="4" t="s">
        <v>47</v>
      </c>
      <c r="D23" s="4" t="s">
        <v>49</v>
      </c>
      <c r="E23" s="5">
        <v>1</v>
      </c>
      <c r="F23" s="9">
        <f>((1.8-1)*0.95)+1</f>
        <v>1.76</v>
      </c>
      <c r="G23" s="10" t="s">
        <v>187</v>
      </c>
      <c r="H23" s="2">
        <v>1</v>
      </c>
      <c r="J23" s="62">
        <f t="shared" si="0"/>
        <v>0.76</v>
      </c>
      <c r="L23">
        <f t="shared" si="1"/>
        <v>0</v>
      </c>
      <c r="M23">
        <f t="shared" si="2"/>
        <v>0</v>
      </c>
    </row>
    <row r="24" spans="1:13" s="2" customFormat="1">
      <c r="A24" s="4" t="s">
        <v>12</v>
      </c>
      <c r="B24" s="4" t="s">
        <v>182</v>
      </c>
      <c r="C24" s="4" t="s">
        <v>5</v>
      </c>
      <c r="D24" s="4" t="s">
        <v>49</v>
      </c>
      <c r="E24" s="5">
        <v>1</v>
      </c>
      <c r="F24" s="9">
        <f>((2.86-1)*0.95)+1</f>
        <v>2.7669999999999999</v>
      </c>
      <c r="G24" s="10" t="s">
        <v>36</v>
      </c>
      <c r="H24" s="2">
        <v>1</v>
      </c>
      <c r="J24" s="62">
        <f t="shared" si="0"/>
        <v>1.7669999999999999</v>
      </c>
      <c r="L24">
        <f t="shared" si="1"/>
        <v>1</v>
      </c>
      <c r="M24">
        <f t="shared" si="2"/>
        <v>1.7669999999999999</v>
      </c>
    </row>
    <row r="25" spans="1:13" s="2" customFormat="1">
      <c r="A25" s="4" t="s">
        <v>12</v>
      </c>
      <c r="B25" s="4" t="s">
        <v>0</v>
      </c>
      <c r="C25" s="4" t="s">
        <v>27</v>
      </c>
      <c r="D25" s="4" t="s">
        <v>49</v>
      </c>
      <c r="E25" s="5">
        <v>1</v>
      </c>
      <c r="F25" s="9">
        <v>2.8</v>
      </c>
      <c r="G25" s="10" t="s">
        <v>42</v>
      </c>
      <c r="H25" s="2">
        <v>1</v>
      </c>
      <c r="J25" s="62">
        <f t="shared" si="0"/>
        <v>1.7999999999999998</v>
      </c>
      <c r="L25">
        <f t="shared" si="1"/>
        <v>1</v>
      </c>
      <c r="M25">
        <f t="shared" si="2"/>
        <v>1.7999999999999998</v>
      </c>
    </row>
    <row r="26" spans="1:13" s="2" customFormat="1">
      <c r="A26" s="87" t="s">
        <v>12</v>
      </c>
      <c r="B26" s="87" t="s">
        <v>10</v>
      </c>
      <c r="C26" s="87" t="s">
        <v>134</v>
      </c>
      <c r="D26" s="87" t="s">
        <v>49</v>
      </c>
      <c r="E26" s="88">
        <v>1</v>
      </c>
      <c r="F26" s="89">
        <f>((4.2-1)*0.95)+1</f>
        <v>4.04</v>
      </c>
      <c r="G26" s="90" t="s">
        <v>37</v>
      </c>
      <c r="H26" s="2">
        <v>0</v>
      </c>
      <c r="J26" s="62">
        <f t="shared" si="0"/>
        <v>-1</v>
      </c>
      <c r="L26">
        <f t="shared" si="1"/>
        <v>1</v>
      </c>
      <c r="M26">
        <f t="shared" si="2"/>
        <v>-1</v>
      </c>
    </row>
    <row r="27" spans="1:13" s="2" customFormat="1">
      <c r="A27" s="4" t="s">
        <v>12</v>
      </c>
      <c r="B27" s="4" t="s">
        <v>5</v>
      </c>
      <c r="C27" s="4" t="s">
        <v>26</v>
      </c>
      <c r="D27" s="4" t="s">
        <v>49</v>
      </c>
      <c r="E27" s="5">
        <v>1</v>
      </c>
      <c r="F27" s="9">
        <f>((1.73-1)*0.95)+1</f>
        <v>1.6935</v>
      </c>
      <c r="G27" s="10" t="s">
        <v>36</v>
      </c>
      <c r="H27" s="2">
        <v>1</v>
      </c>
      <c r="J27" s="62">
        <f t="shared" si="0"/>
        <v>0.69350000000000001</v>
      </c>
      <c r="L27">
        <f t="shared" si="1"/>
        <v>0</v>
      </c>
      <c r="M27">
        <f t="shared" si="2"/>
        <v>0</v>
      </c>
    </row>
    <row r="28" spans="1:13" s="2" customFormat="1">
      <c r="A28" s="4" t="s">
        <v>12</v>
      </c>
      <c r="B28" s="4" t="s">
        <v>15</v>
      </c>
      <c r="C28" s="4" t="s">
        <v>182</v>
      </c>
      <c r="D28" s="4" t="s">
        <v>49</v>
      </c>
      <c r="E28" s="5">
        <v>1</v>
      </c>
      <c r="F28" s="9">
        <f>((2.46-1)*0.95)+1</f>
        <v>2.387</v>
      </c>
      <c r="G28" s="10" t="s">
        <v>201</v>
      </c>
      <c r="H28" s="2">
        <v>1</v>
      </c>
      <c r="J28" s="62">
        <f t="shared" si="0"/>
        <v>1.387</v>
      </c>
      <c r="L28">
        <f t="shared" si="1"/>
        <v>1</v>
      </c>
      <c r="M28">
        <f t="shared" si="2"/>
        <v>1.387</v>
      </c>
    </row>
    <row r="29" spans="1:13" s="2" customFormat="1">
      <c r="A29" s="4" t="s">
        <v>12</v>
      </c>
      <c r="B29" s="4" t="s">
        <v>27</v>
      </c>
      <c r="C29" s="4" t="s">
        <v>67</v>
      </c>
      <c r="D29" s="4" t="s">
        <v>49</v>
      </c>
      <c r="E29" s="5">
        <v>1</v>
      </c>
      <c r="F29" s="9">
        <f>((1.97-1)*0.95)+1</f>
        <v>1.9215</v>
      </c>
      <c r="G29" s="10" t="s">
        <v>41</v>
      </c>
      <c r="H29" s="2">
        <v>1</v>
      </c>
      <c r="J29" s="62">
        <f t="shared" si="0"/>
        <v>0.92149999999999999</v>
      </c>
      <c r="L29">
        <f t="shared" si="1"/>
        <v>0</v>
      </c>
      <c r="M29">
        <f t="shared" si="2"/>
        <v>0</v>
      </c>
    </row>
    <row r="30" spans="1:13" s="2" customFormat="1">
      <c r="A30" s="87" t="s">
        <v>12</v>
      </c>
      <c r="B30" s="87" t="s">
        <v>28</v>
      </c>
      <c r="C30" s="87" t="s">
        <v>2</v>
      </c>
      <c r="D30" s="87" t="s">
        <v>49</v>
      </c>
      <c r="E30" s="88">
        <v>1</v>
      </c>
      <c r="F30" s="89">
        <v>2.2999999999999998</v>
      </c>
      <c r="G30" s="90" t="s">
        <v>206</v>
      </c>
      <c r="H30" s="2">
        <v>0</v>
      </c>
      <c r="J30" s="62">
        <f t="shared" si="0"/>
        <v>-1</v>
      </c>
      <c r="L30">
        <f t="shared" si="1"/>
        <v>1</v>
      </c>
      <c r="M30">
        <f t="shared" si="2"/>
        <v>-1</v>
      </c>
    </row>
    <row r="31" spans="1:13" s="2" customFormat="1">
      <c r="A31" s="50" t="s">
        <v>12</v>
      </c>
      <c r="B31" s="50" t="s">
        <v>10</v>
      </c>
      <c r="C31" s="50" t="s">
        <v>3</v>
      </c>
      <c r="D31" s="50" t="s">
        <v>49</v>
      </c>
      <c r="E31" s="51">
        <v>1</v>
      </c>
      <c r="F31" s="52">
        <f>((2.14-1)*0.95)+1</f>
        <v>2.0830000000000002</v>
      </c>
      <c r="G31" s="53" t="s">
        <v>38</v>
      </c>
      <c r="H31" s="2">
        <v>0</v>
      </c>
      <c r="J31" s="62">
        <f t="shared" si="0"/>
        <v>-1</v>
      </c>
      <c r="L31">
        <f t="shared" si="1"/>
        <v>1</v>
      </c>
      <c r="M31">
        <f t="shared" si="2"/>
        <v>-1</v>
      </c>
    </row>
    <row r="32" spans="1:13" s="2" customFormat="1">
      <c r="A32" s="54" t="s">
        <v>12</v>
      </c>
      <c r="B32" s="54" t="s">
        <v>67</v>
      </c>
      <c r="C32" s="54" t="s">
        <v>1</v>
      </c>
      <c r="D32" s="54" t="s">
        <v>49</v>
      </c>
      <c r="E32" s="55">
        <v>1</v>
      </c>
      <c r="F32" s="56">
        <f>((1.49-1)*0.95)+1</f>
        <v>1.4655</v>
      </c>
      <c r="G32" s="57" t="s">
        <v>146</v>
      </c>
      <c r="H32" s="2">
        <v>1</v>
      </c>
      <c r="J32" s="62">
        <f t="shared" si="0"/>
        <v>0.46550000000000002</v>
      </c>
      <c r="L32">
        <f t="shared" si="1"/>
        <v>0</v>
      </c>
      <c r="M32">
        <f t="shared" si="2"/>
        <v>0</v>
      </c>
    </row>
    <row r="33" spans="1:13" s="2" customFormat="1">
      <c r="A33" s="54" t="s">
        <v>12</v>
      </c>
      <c r="B33" s="54" t="s">
        <v>26</v>
      </c>
      <c r="C33" s="54" t="s">
        <v>15</v>
      </c>
      <c r="D33" s="54" t="s">
        <v>49</v>
      </c>
      <c r="E33" s="55">
        <v>1</v>
      </c>
      <c r="F33" s="56">
        <f>((2-1)*0.95)+1</f>
        <v>1.95</v>
      </c>
      <c r="G33" s="57" t="s">
        <v>42</v>
      </c>
      <c r="H33" s="2">
        <v>1</v>
      </c>
      <c r="J33" s="62">
        <f t="shared" si="0"/>
        <v>0.95</v>
      </c>
      <c r="L33">
        <f t="shared" si="1"/>
        <v>0</v>
      </c>
      <c r="M33">
        <f t="shared" si="2"/>
        <v>0</v>
      </c>
    </row>
    <row r="34" spans="1:13" s="2" customFormat="1">
      <c r="A34" s="54" t="s">
        <v>12</v>
      </c>
      <c r="B34" s="54" t="s">
        <v>182</v>
      </c>
      <c r="C34" s="54" t="s">
        <v>47</v>
      </c>
      <c r="D34" s="54" t="s">
        <v>49</v>
      </c>
      <c r="E34" s="55">
        <v>1</v>
      </c>
      <c r="F34" s="56">
        <f>((2.26-1)*0.95)+1</f>
        <v>2.1970000000000001</v>
      </c>
      <c r="G34" s="57" t="s">
        <v>122</v>
      </c>
      <c r="H34" s="2">
        <v>1</v>
      </c>
      <c r="J34" s="62">
        <f t="shared" si="0"/>
        <v>1.1970000000000001</v>
      </c>
      <c r="L34">
        <f t="shared" si="1"/>
        <v>1</v>
      </c>
      <c r="M34">
        <f t="shared" si="2"/>
        <v>1.1970000000000001</v>
      </c>
    </row>
    <row r="35" spans="1:13" s="2" customFormat="1">
      <c r="A35" s="46" t="s">
        <v>12</v>
      </c>
      <c r="B35" s="46" t="s">
        <v>4</v>
      </c>
      <c r="C35" s="46" t="s">
        <v>5</v>
      </c>
      <c r="D35" s="46" t="s">
        <v>49</v>
      </c>
      <c r="E35" s="47">
        <v>1</v>
      </c>
      <c r="F35" s="48">
        <f>((1.88-1)*0.95)+1</f>
        <v>1.8359999999999999</v>
      </c>
      <c r="G35" s="49" t="s">
        <v>39</v>
      </c>
      <c r="H35" s="2">
        <v>0</v>
      </c>
      <c r="J35" s="62">
        <f t="shared" si="0"/>
        <v>-1</v>
      </c>
      <c r="L35">
        <f t="shared" si="1"/>
        <v>0</v>
      </c>
      <c r="M35">
        <f t="shared" si="2"/>
        <v>0</v>
      </c>
    </row>
    <row r="36" spans="1:13" s="2" customFormat="1">
      <c r="A36" s="87" t="s">
        <v>12</v>
      </c>
      <c r="B36" s="87" t="s">
        <v>16</v>
      </c>
      <c r="C36" s="87" t="s">
        <v>28</v>
      </c>
      <c r="D36" s="87" t="s">
        <v>34</v>
      </c>
      <c r="E36" s="88">
        <v>1</v>
      </c>
      <c r="F36" s="89">
        <f>((3.75-1)*0.95)+1</f>
        <v>3.6124999999999998</v>
      </c>
      <c r="G36" s="90" t="s">
        <v>39</v>
      </c>
      <c r="H36" s="2">
        <v>0</v>
      </c>
      <c r="J36" s="62">
        <f t="shared" si="0"/>
        <v>-1</v>
      </c>
      <c r="L36">
        <f t="shared" si="1"/>
        <v>1</v>
      </c>
      <c r="M36">
        <f t="shared" si="2"/>
        <v>-1</v>
      </c>
    </row>
    <row r="37" spans="1:13">
      <c r="A37" s="58"/>
      <c r="B37" s="58"/>
      <c r="C37" s="58"/>
      <c r="D37" s="58"/>
      <c r="E37" s="58"/>
      <c r="F37" s="59"/>
      <c r="G37" s="60"/>
    </row>
    <row r="38" spans="1:13">
      <c r="E38" s="61">
        <f>SUM(E1:E37)</f>
        <v>36</v>
      </c>
      <c r="H38">
        <f>SUM(H1:H37)</f>
        <v>18</v>
      </c>
      <c r="I38" s="21">
        <f>COUNTIF(E1:E37,"&gt;0")</f>
        <v>36</v>
      </c>
      <c r="J38" s="62">
        <f>SUM(J1:J37)</f>
        <v>8.2659999999999982</v>
      </c>
      <c r="K38" s="62"/>
      <c r="L38" s="62">
        <f t="shared" ref="L38:M38" si="3">SUM(L1:L37)</f>
        <v>22</v>
      </c>
      <c r="M38" s="62">
        <f t="shared" si="3"/>
        <v>8.2225000000000001</v>
      </c>
    </row>
    <row r="39" spans="1:13">
      <c r="H39" s="63">
        <f>+H38/COUNTIF(E1:E37,"&gt;0")</f>
        <v>0.5</v>
      </c>
      <c r="J39" s="65">
        <f>+J38/E38</f>
        <v>0.22961111111111107</v>
      </c>
      <c r="M39" s="65">
        <f>+M38/L38</f>
        <v>0.37375000000000003</v>
      </c>
    </row>
    <row r="40" spans="1:13">
      <c r="J40" s="64"/>
    </row>
  </sheetData>
  <pageMargins left="0.7" right="0.7" top="0.75" bottom="0.75" header="0.3" footer="0.3"/>
  <pageSetup paperSize="9" orientation="portrait" horizontalDpi="0" verticalDpi="0" r:id="rId1"/>
  <legacyDrawing r:id="rId2"/>
</worksheet>
</file>

<file path=xl/worksheets/sheet44.xml><?xml version="1.0" encoding="utf-8"?>
<worksheet xmlns="http://schemas.openxmlformats.org/spreadsheetml/2006/main" xmlns:r="http://schemas.openxmlformats.org/officeDocument/2006/relationships">
  <sheetPr codeName="Hoja37"/>
  <dimension ref="A1:P66"/>
  <sheetViews>
    <sheetView topLeftCell="A16" workbookViewId="0">
      <selection activeCell="E1" sqref="E1"/>
    </sheetView>
  </sheetViews>
  <sheetFormatPr baseColWidth="10" defaultRowHeight="15"/>
  <cols>
    <col min="8" max="8" width="4.5703125" bestFit="1" customWidth="1"/>
  </cols>
  <sheetData>
    <row r="1" spans="1:16">
      <c r="A1" s="4" t="s">
        <v>12</v>
      </c>
      <c r="B1" s="4" t="s">
        <v>0</v>
      </c>
      <c r="C1" s="4" t="s">
        <v>3</v>
      </c>
      <c r="D1" s="4" t="s">
        <v>49</v>
      </c>
      <c r="E1" s="5">
        <f t="shared" ref="E1:E36" si="0">IF(N1&gt;0,N1,0)</f>
        <v>4.715789473684211</v>
      </c>
      <c r="F1" s="4">
        <v>1.95</v>
      </c>
      <c r="G1" s="10" t="s">
        <v>36</v>
      </c>
      <c r="H1">
        <v>1</v>
      </c>
      <c r="J1" s="62">
        <f t="shared" ref="J1:J36" si="1">IF(H1=1,E1*(F1-1),-E1)</f>
        <v>4.4800000000000004</v>
      </c>
      <c r="L1">
        <v>3</v>
      </c>
      <c r="M1" s="67">
        <f t="shared" ref="M1:M36" si="2">L1*80/3</f>
        <v>80</v>
      </c>
      <c r="N1" s="41">
        <f t="shared" ref="N1:N36" si="3">((F1*(M1/100)-1)/(F1 -1))*40/5</f>
        <v>4.715789473684211</v>
      </c>
      <c r="P1" s="62">
        <f>IF(E1&gt;0,IF(H1=1,(F1-1),-1),0)</f>
        <v>0.95</v>
      </c>
    </row>
    <row r="2" spans="1:16">
      <c r="A2" s="12" t="s">
        <v>12</v>
      </c>
      <c r="B2" s="12" t="s">
        <v>26</v>
      </c>
      <c r="C2" s="12" t="s">
        <v>10</v>
      </c>
      <c r="D2" s="13" t="s">
        <v>49</v>
      </c>
      <c r="E2" s="13">
        <f t="shared" si="0"/>
        <v>4.2666666666666684</v>
      </c>
      <c r="F2" s="12">
        <v>1.75</v>
      </c>
      <c r="G2" s="15" t="s">
        <v>82</v>
      </c>
      <c r="H2">
        <v>0</v>
      </c>
      <c r="J2" s="62">
        <f t="shared" si="1"/>
        <v>-4.2666666666666684</v>
      </c>
      <c r="L2">
        <v>3</v>
      </c>
      <c r="M2" s="67">
        <f t="shared" si="2"/>
        <v>80</v>
      </c>
      <c r="N2" s="41">
        <f t="shared" si="3"/>
        <v>4.2666666666666684</v>
      </c>
      <c r="P2" s="62">
        <f t="shared" ref="P2:P36" si="4">IF(E2&gt;0,IF(H2=1,(F2-1),-1),0)</f>
        <v>-1</v>
      </c>
    </row>
    <row r="3" spans="1:16">
      <c r="A3" s="4" t="s">
        <v>12</v>
      </c>
      <c r="B3" s="4" t="s">
        <v>5</v>
      </c>
      <c r="C3" s="4" t="s">
        <v>26</v>
      </c>
      <c r="D3" s="4" t="s">
        <v>49</v>
      </c>
      <c r="E3" s="5">
        <f t="shared" si="0"/>
        <v>4.0928622927180962</v>
      </c>
      <c r="F3" s="9">
        <f>((1.73-1)*0.95)+1</f>
        <v>1.6935</v>
      </c>
      <c r="G3" s="10" t="s">
        <v>36</v>
      </c>
      <c r="H3" s="2">
        <v>1</v>
      </c>
      <c r="I3" s="2"/>
      <c r="J3" s="62">
        <f t="shared" si="1"/>
        <v>2.8383999999999996</v>
      </c>
      <c r="K3" s="2"/>
      <c r="L3" s="2">
        <v>3</v>
      </c>
      <c r="M3" s="67">
        <f t="shared" si="2"/>
        <v>80</v>
      </c>
      <c r="N3" s="41">
        <f t="shared" si="3"/>
        <v>4.0928622927180962</v>
      </c>
      <c r="P3" s="62">
        <f t="shared" si="4"/>
        <v>0.69350000000000001</v>
      </c>
    </row>
    <row r="4" spans="1:16">
      <c r="A4" s="4" t="s">
        <v>12</v>
      </c>
      <c r="B4" s="4" t="s">
        <v>27</v>
      </c>
      <c r="C4" s="4" t="s">
        <v>28</v>
      </c>
      <c r="D4" s="5" t="s">
        <v>49</v>
      </c>
      <c r="E4" s="5">
        <f t="shared" si="0"/>
        <v>3.7333333333333356</v>
      </c>
      <c r="F4" s="4">
        <v>1.6</v>
      </c>
      <c r="G4" s="10" t="s">
        <v>41</v>
      </c>
      <c r="H4">
        <v>1</v>
      </c>
      <c r="J4" s="62">
        <f t="shared" si="1"/>
        <v>2.2400000000000015</v>
      </c>
      <c r="L4">
        <v>3</v>
      </c>
      <c r="M4" s="67">
        <f t="shared" si="2"/>
        <v>80</v>
      </c>
      <c r="N4" s="41">
        <f t="shared" si="3"/>
        <v>3.7333333333333356</v>
      </c>
      <c r="P4" s="62">
        <f t="shared" si="4"/>
        <v>0.60000000000000009</v>
      </c>
    </row>
    <row r="5" spans="1:16">
      <c r="A5" s="54" t="s">
        <v>12</v>
      </c>
      <c r="B5" s="54" t="s">
        <v>182</v>
      </c>
      <c r="C5" s="54" t="s">
        <v>47</v>
      </c>
      <c r="D5" s="54" t="s">
        <v>49</v>
      </c>
      <c r="E5" s="55">
        <f t="shared" si="0"/>
        <v>3.105541631857422</v>
      </c>
      <c r="F5" s="56">
        <f>((2.26-1)*0.95)+1</f>
        <v>2.1970000000000001</v>
      </c>
      <c r="G5" s="57" t="s">
        <v>122</v>
      </c>
      <c r="H5" s="2">
        <v>1</v>
      </c>
      <c r="I5" s="2"/>
      <c r="J5" s="62">
        <f t="shared" si="1"/>
        <v>3.7173333333333343</v>
      </c>
      <c r="K5" s="2"/>
      <c r="L5" s="2">
        <v>2.5</v>
      </c>
      <c r="M5" s="67">
        <f t="shared" si="2"/>
        <v>66.666666666666671</v>
      </c>
      <c r="N5" s="41">
        <f t="shared" si="3"/>
        <v>3.105541631857422</v>
      </c>
      <c r="P5" s="62">
        <f t="shared" si="4"/>
        <v>1.1970000000000001</v>
      </c>
    </row>
    <row r="6" spans="1:16">
      <c r="A6" s="54" t="s">
        <v>12</v>
      </c>
      <c r="B6" s="54" t="s">
        <v>67</v>
      </c>
      <c r="C6" s="54" t="s">
        <v>1</v>
      </c>
      <c r="D6" s="54" t="s">
        <v>49</v>
      </c>
      <c r="E6" s="55">
        <f t="shared" si="0"/>
        <v>2.9628356605800232</v>
      </c>
      <c r="F6" s="56">
        <f>((1.49-1)*0.95)+1</f>
        <v>1.4655</v>
      </c>
      <c r="G6" s="57" t="s">
        <v>146</v>
      </c>
      <c r="H6" s="2">
        <v>1</v>
      </c>
      <c r="I6" s="2"/>
      <c r="J6" s="62">
        <f t="shared" si="1"/>
        <v>1.3792000000000009</v>
      </c>
      <c r="K6" s="2"/>
      <c r="L6" s="2">
        <v>3</v>
      </c>
      <c r="M6" s="67">
        <f t="shared" si="2"/>
        <v>80</v>
      </c>
      <c r="N6" s="41">
        <f t="shared" si="3"/>
        <v>2.9628356605800232</v>
      </c>
      <c r="P6" s="62">
        <f t="shared" si="4"/>
        <v>0.46550000000000002</v>
      </c>
    </row>
    <row r="7" spans="1:16">
      <c r="A7" s="4" t="s">
        <v>12</v>
      </c>
      <c r="B7" s="4" t="s">
        <v>0</v>
      </c>
      <c r="C7" s="4" t="s">
        <v>27</v>
      </c>
      <c r="D7" s="4" t="s">
        <v>49</v>
      </c>
      <c r="E7" s="5">
        <f t="shared" si="0"/>
        <v>2.1925925925925922</v>
      </c>
      <c r="F7" s="9">
        <v>2.8</v>
      </c>
      <c r="G7" s="10" t="s">
        <v>42</v>
      </c>
      <c r="H7" s="2">
        <v>1</v>
      </c>
      <c r="I7" s="2"/>
      <c r="J7" s="62">
        <f t="shared" si="1"/>
        <v>3.9466666666666654</v>
      </c>
      <c r="K7" s="2"/>
      <c r="L7" s="2">
        <v>2</v>
      </c>
      <c r="M7" s="67">
        <f t="shared" si="2"/>
        <v>53.333333333333336</v>
      </c>
      <c r="N7" s="41">
        <f t="shared" si="3"/>
        <v>2.1925925925925922</v>
      </c>
      <c r="P7" s="62">
        <f t="shared" si="4"/>
        <v>1.7999999999999998</v>
      </c>
    </row>
    <row r="8" spans="1:16">
      <c r="A8" s="4" t="s">
        <v>12</v>
      </c>
      <c r="B8" s="4" t="s">
        <v>15</v>
      </c>
      <c r="C8" s="4" t="s">
        <v>182</v>
      </c>
      <c r="D8" s="4" t="s">
        <v>49</v>
      </c>
      <c r="E8" s="5">
        <f t="shared" si="0"/>
        <v>1.5750060081711121</v>
      </c>
      <c r="F8" s="9">
        <f>((2.46-1)*0.95)+1</f>
        <v>2.387</v>
      </c>
      <c r="G8" s="10" t="s">
        <v>201</v>
      </c>
      <c r="H8" s="2">
        <v>1</v>
      </c>
      <c r="I8" s="2"/>
      <c r="J8" s="62">
        <f t="shared" si="1"/>
        <v>2.1845333333333325</v>
      </c>
      <c r="K8" s="2"/>
      <c r="L8" s="2">
        <v>2</v>
      </c>
      <c r="M8" s="67">
        <f t="shared" si="2"/>
        <v>53.333333333333336</v>
      </c>
      <c r="N8" s="41">
        <f t="shared" si="3"/>
        <v>1.5750060081711121</v>
      </c>
      <c r="P8" s="62">
        <f t="shared" si="4"/>
        <v>1.387</v>
      </c>
    </row>
    <row r="9" spans="1:16">
      <c r="A9" s="42" t="s">
        <v>12</v>
      </c>
      <c r="B9" s="42" t="s">
        <v>2</v>
      </c>
      <c r="C9" s="42" t="s">
        <v>47</v>
      </c>
      <c r="D9" s="42" t="s">
        <v>48</v>
      </c>
      <c r="E9" s="43">
        <f t="shared" si="0"/>
        <v>1.4872435325602142</v>
      </c>
      <c r="F9" s="44">
        <f>((3.95-1)*0.95)+1</f>
        <v>3.8025000000000002</v>
      </c>
      <c r="G9" s="45" t="s">
        <v>43</v>
      </c>
      <c r="H9">
        <v>1</v>
      </c>
      <c r="J9" s="62">
        <f t="shared" si="1"/>
        <v>4.168000000000001</v>
      </c>
      <c r="L9">
        <v>1.5</v>
      </c>
      <c r="M9" s="67">
        <f t="shared" si="2"/>
        <v>40</v>
      </c>
      <c r="N9" s="41">
        <f t="shared" si="3"/>
        <v>1.4872435325602142</v>
      </c>
      <c r="P9" s="62">
        <f t="shared" si="4"/>
        <v>2.8025000000000002</v>
      </c>
    </row>
    <row r="10" spans="1:16">
      <c r="A10" s="46" t="s">
        <v>12</v>
      </c>
      <c r="B10" s="46" t="s">
        <v>67</v>
      </c>
      <c r="C10" s="46" t="s">
        <v>5</v>
      </c>
      <c r="D10" s="46" t="s">
        <v>48</v>
      </c>
      <c r="E10" s="47">
        <f t="shared" si="0"/>
        <v>1.2933465739821255</v>
      </c>
      <c r="F10" s="48">
        <f>((3.65-1)*0.95)+1</f>
        <v>3.5174999999999996</v>
      </c>
      <c r="G10" s="49" t="s">
        <v>42</v>
      </c>
      <c r="H10">
        <v>0</v>
      </c>
      <c r="J10" s="62">
        <f t="shared" si="1"/>
        <v>-1.2933465739821255</v>
      </c>
      <c r="L10">
        <v>1.5</v>
      </c>
      <c r="M10" s="67">
        <f t="shared" si="2"/>
        <v>40</v>
      </c>
      <c r="N10" s="41">
        <f t="shared" si="3"/>
        <v>1.2933465739821255</v>
      </c>
      <c r="P10" s="62">
        <f t="shared" si="4"/>
        <v>-1</v>
      </c>
    </row>
    <row r="11" spans="1:16">
      <c r="A11" s="4" t="s">
        <v>12</v>
      </c>
      <c r="B11" s="4" t="s">
        <v>15</v>
      </c>
      <c r="C11" s="4" t="s">
        <v>2</v>
      </c>
      <c r="D11" s="4" t="s">
        <v>48</v>
      </c>
      <c r="E11" s="5">
        <f t="shared" si="0"/>
        <v>1.2566801619433197</v>
      </c>
      <c r="F11" s="9">
        <f>((3.6-1)*0.95)+1</f>
        <v>3.4699999999999998</v>
      </c>
      <c r="G11" s="10" t="s">
        <v>39</v>
      </c>
      <c r="H11">
        <v>1</v>
      </c>
      <c r="J11" s="62">
        <f t="shared" si="1"/>
        <v>3.1039999999999992</v>
      </c>
      <c r="K11" s="68" t="s">
        <v>136</v>
      </c>
      <c r="L11">
        <v>1.5</v>
      </c>
      <c r="M11" s="67">
        <f t="shared" si="2"/>
        <v>40</v>
      </c>
      <c r="N11" s="41">
        <f t="shared" si="3"/>
        <v>1.2566801619433197</v>
      </c>
      <c r="P11" s="62">
        <f t="shared" si="4"/>
        <v>2.4699999999999998</v>
      </c>
    </row>
    <row r="12" spans="1:16">
      <c r="A12" s="50" t="s">
        <v>6</v>
      </c>
      <c r="B12" s="50" t="s">
        <v>10</v>
      </c>
      <c r="C12" s="50" t="s">
        <v>13</v>
      </c>
      <c r="D12" s="50" t="s">
        <v>49</v>
      </c>
      <c r="E12" s="51">
        <f t="shared" si="0"/>
        <v>0.87888687235329832</v>
      </c>
      <c r="F12" s="52">
        <f>((2.16-1)*0.95)+1</f>
        <v>2.1020000000000003</v>
      </c>
      <c r="G12" s="53" t="s">
        <v>38</v>
      </c>
      <c r="H12">
        <v>0</v>
      </c>
      <c r="J12" s="62">
        <f t="shared" si="1"/>
        <v>-0.87888687235329832</v>
      </c>
      <c r="L12">
        <v>2</v>
      </c>
      <c r="M12" s="67">
        <f t="shared" si="2"/>
        <v>53.333333333333336</v>
      </c>
      <c r="N12" s="41">
        <f t="shared" si="3"/>
        <v>0.87888687235329832</v>
      </c>
      <c r="P12" s="62">
        <f t="shared" si="4"/>
        <v>-1</v>
      </c>
    </row>
    <row r="13" spans="1:16">
      <c r="A13" s="12" t="s">
        <v>12</v>
      </c>
      <c r="B13" s="12" t="s">
        <v>10</v>
      </c>
      <c r="C13" s="12" t="s">
        <v>3</v>
      </c>
      <c r="D13" s="12" t="s">
        <v>49</v>
      </c>
      <c r="E13" s="13">
        <f t="shared" si="0"/>
        <v>0.81945213911972892</v>
      </c>
      <c r="F13" s="14">
        <f>((2.14-1)*0.95)+1</f>
        <v>2.0830000000000002</v>
      </c>
      <c r="G13" s="15" t="s">
        <v>38</v>
      </c>
      <c r="H13" s="2">
        <v>0</v>
      </c>
      <c r="I13" s="2"/>
      <c r="J13" s="62">
        <f t="shared" si="1"/>
        <v>-0.81945213911972892</v>
      </c>
      <c r="K13" s="2"/>
      <c r="L13" s="2">
        <v>2</v>
      </c>
      <c r="M13" s="67">
        <f t="shared" si="2"/>
        <v>53.333333333333336</v>
      </c>
      <c r="N13" s="41">
        <f t="shared" si="3"/>
        <v>0.81945213911972892</v>
      </c>
      <c r="P13" s="62">
        <f t="shared" si="4"/>
        <v>-1</v>
      </c>
    </row>
    <row r="14" spans="1:16">
      <c r="A14" s="12" t="s">
        <v>12</v>
      </c>
      <c r="B14" s="12" t="s">
        <v>5</v>
      </c>
      <c r="C14" s="12" t="s">
        <v>16</v>
      </c>
      <c r="D14" s="12" t="s">
        <v>48</v>
      </c>
      <c r="E14" s="13">
        <f t="shared" si="0"/>
        <v>0.69718482252141956</v>
      </c>
      <c r="F14" s="14">
        <f>((5.3-1)*0.95)+1</f>
        <v>5.085</v>
      </c>
      <c r="G14" s="15" t="s">
        <v>37</v>
      </c>
      <c r="H14">
        <v>0</v>
      </c>
      <c r="J14" s="62">
        <f t="shared" si="1"/>
        <v>-0.69718482252141956</v>
      </c>
      <c r="L14">
        <v>1</v>
      </c>
      <c r="M14" s="67">
        <f t="shared" si="2"/>
        <v>26.666666666666668</v>
      </c>
      <c r="N14" s="41">
        <f t="shared" si="3"/>
        <v>0.69718482252141956</v>
      </c>
      <c r="P14" s="62">
        <f t="shared" si="4"/>
        <v>-1</v>
      </c>
    </row>
    <row r="15" spans="1:16">
      <c r="A15" s="54" t="s">
        <v>12</v>
      </c>
      <c r="B15" s="54" t="s">
        <v>16</v>
      </c>
      <c r="C15" s="54" t="s">
        <v>47</v>
      </c>
      <c r="D15" s="54" t="s">
        <v>49</v>
      </c>
      <c r="E15" s="55">
        <f t="shared" si="0"/>
        <v>0.69409888357256788</v>
      </c>
      <c r="F15" s="56">
        <f>((2.1-1)*0.95)+1</f>
        <v>2.0449999999999999</v>
      </c>
      <c r="G15" s="57" t="s">
        <v>122</v>
      </c>
      <c r="H15">
        <v>1</v>
      </c>
      <c r="J15" s="62">
        <f t="shared" si="1"/>
        <v>0.72533333333333339</v>
      </c>
      <c r="L15">
        <v>2</v>
      </c>
      <c r="M15" s="67">
        <f t="shared" si="2"/>
        <v>53.333333333333336</v>
      </c>
      <c r="N15" s="41">
        <f t="shared" si="3"/>
        <v>0.69409888357256788</v>
      </c>
      <c r="P15" s="62">
        <f t="shared" si="4"/>
        <v>1.0449999999999999</v>
      </c>
    </row>
    <row r="16" spans="1:16">
      <c r="A16" s="87" t="s">
        <v>12</v>
      </c>
      <c r="B16" s="87" t="s">
        <v>2</v>
      </c>
      <c r="C16" s="87" t="s">
        <v>27</v>
      </c>
      <c r="D16" s="87" t="s">
        <v>49</v>
      </c>
      <c r="E16" s="88">
        <f t="shared" si="0"/>
        <v>0.67368421052631544</v>
      </c>
      <c r="F16" s="89">
        <v>2.9</v>
      </c>
      <c r="G16" s="90" t="s">
        <v>121</v>
      </c>
      <c r="H16">
        <v>0</v>
      </c>
      <c r="J16" s="62">
        <f t="shared" si="1"/>
        <v>-0.67368421052631544</v>
      </c>
      <c r="L16">
        <v>1.5</v>
      </c>
      <c r="M16" s="67">
        <f t="shared" si="2"/>
        <v>40</v>
      </c>
      <c r="N16" s="41">
        <f t="shared" si="3"/>
        <v>0.67368421052631544</v>
      </c>
      <c r="P16" s="62">
        <f t="shared" si="4"/>
        <v>-1</v>
      </c>
    </row>
    <row r="17" spans="1:16" s="2" customFormat="1">
      <c r="A17" s="12" t="s">
        <v>12</v>
      </c>
      <c r="B17" s="12" t="s">
        <v>2</v>
      </c>
      <c r="C17" s="12" t="s">
        <v>181</v>
      </c>
      <c r="D17" s="12" t="s">
        <v>48</v>
      </c>
      <c r="E17" s="13">
        <f t="shared" si="0"/>
        <v>0.67368421052631544</v>
      </c>
      <c r="F17" s="14">
        <v>2.9</v>
      </c>
      <c r="G17" s="15" t="s">
        <v>36</v>
      </c>
      <c r="H17" s="2">
        <v>0</v>
      </c>
      <c r="J17" s="62">
        <f t="shared" si="1"/>
        <v>-0.67368421052631544</v>
      </c>
      <c r="L17" s="2">
        <v>1.5</v>
      </c>
      <c r="M17" s="67">
        <f t="shared" si="2"/>
        <v>40</v>
      </c>
      <c r="N17" s="41">
        <f t="shared" si="3"/>
        <v>0.67368421052631544</v>
      </c>
      <c r="P17" s="62">
        <f t="shared" si="4"/>
        <v>-1</v>
      </c>
    </row>
    <row r="18" spans="1:16" s="2" customFormat="1">
      <c r="A18" s="4" t="s">
        <v>12</v>
      </c>
      <c r="B18" s="4" t="s">
        <v>182</v>
      </c>
      <c r="C18" s="4" t="s">
        <v>5</v>
      </c>
      <c r="D18" s="4" t="s">
        <v>49</v>
      </c>
      <c r="E18" s="5">
        <f t="shared" si="0"/>
        <v>0.48353140916808163</v>
      </c>
      <c r="F18" s="9">
        <f>((2.86-1)*0.95)+1</f>
        <v>2.7669999999999999</v>
      </c>
      <c r="G18" s="10" t="s">
        <v>36</v>
      </c>
      <c r="H18" s="2">
        <v>1</v>
      </c>
      <c r="J18" s="62">
        <f t="shared" si="1"/>
        <v>0.85440000000000016</v>
      </c>
      <c r="L18" s="2">
        <v>1.5</v>
      </c>
      <c r="M18" s="67">
        <f t="shared" si="2"/>
        <v>40</v>
      </c>
      <c r="N18" s="41">
        <f t="shared" si="3"/>
        <v>0.48353140916808163</v>
      </c>
      <c r="P18" s="62">
        <f t="shared" si="4"/>
        <v>1.7669999999999999</v>
      </c>
    </row>
    <row r="19" spans="1:16" s="2" customFormat="1">
      <c r="A19" s="54" t="s">
        <v>12</v>
      </c>
      <c r="B19" s="54" t="s">
        <v>0</v>
      </c>
      <c r="C19" s="54" t="s">
        <v>15</v>
      </c>
      <c r="D19" s="54" t="s">
        <v>48</v>
      </c>
      <c r="E19" s="55">
        <f t="shared" si="0"/>
        <v>0.36923076923076953</v>
      </c>
      <c r="F19" s="56">
        <v>6.2</v>
      </c>
      <c r="G19" s="57" t="s">
        <v>39</v>
      </c>
      <c r="H19">
        <v>1</v>
      </c>
      <c r="I19"/>
      <c r="J19" s="62">
        <f t="shared" si="1"/>
        <v>1.9200000000000017</v>
      </c>
      <c r="K19"/>
      <c r="L19">
        <v>0.75</v>
      </c>
      <c r="M19" s="67">
        <f t="shared" si="2"/>
        <v>20</v>
      </c>
      <c r="N19" s="41">
        <f t="shared" si="3"/>
        <v>0.36923076923076953</v>
      </c>
      <c r="P19" s="62">
        <f t="shared" si="4"/>
        <v>5.2</v>
      </c>
    </row>
    <row r="20" spans="1:16" s="2" customFormat="1">
      <c r="A20" s="46" t="s">
        <v>12</v>
      </c>
      <c r="B20" s="46" t="s">
        <v>28</v>
      </c>
      <c r="C20" s="46" t="s">
        <v>1</v>
      </c>
      <c r="D20" s="46" t="s">
        <v>49</v>
      </c>
      <c r="E20" s="47">
        <f t="shared" si="0"/>
        <v>0.17309941520467878</v>
      </c>
      <c r="F20" s="48">
        <f>((1.96-1)*0.95)+1</f>
        <v>1.9119999999999999</v>
      </c>
      <c r="G20" s="49" t="s">
        <v>37</v>
      </c>
      <c r="H20">
        <v>0</v>
      </c>
      <c r="I20"/>
      <c r="J20" s="62">
        <f t="shared" si="1"/>
        <v>-0.17309941520467878</v>
      </c>
      <c r="K20"/>
      <c r="L20">
        <v>2</v>
      </c>
      <c r="M20" s="67">
        <f t="shared" si="2"/>
        <v>53.333333333333336</v>
      </c>
      <c r="N20" s="41">
        <f t="shared" si="3"/>
        <v>0.17309941520467878</v>
      </c>
      <c r="P20" s="62">
        <f t="shared" si="4"/>
        <v>-1</v>
      </c>
    </row>
    <row r="21" spans="1:16" s="2" customFormat="1">
      <c r="A21" s="87" t="s">
        <v>12</v>
      </c>
      <c r="B21" s="87" t="s">
        <v>3</v>
      </c>
      <c r="C21" s="87" t="s">
        <v>67</v>
      </c>
      <c r="D21" s="87" t="s">
        <v>34</v>
      </c>
      <c r="E21" s="88">
        <f t="shared" si="0"/>
        <v>0</v>
      </c>
      <c r="F21" s="89">
        <v>3.3</v>
      </c>
      <c r="G21" s="90" t="s">
        <v>42</v>
      </c>
      <c r="H21">
        <v>0</v>
      </c>
      <c r="I21"/>
      <c r="J21" s="62">
        <f t="shared" si="1"/>
        <v>0</v>
      </c>
      <c r="K21"/>
      <c r="L21">
        <v>0.6</v>
      </c>
      <c r="M21" s="67">
        <f t="shared" si="2"/>
        <v>16</v>
      </c>
      <c r="N21" s="41">
        <f t="shared" si="3"/>
        <v>-1.6417391304347828</v>
      </c>
      <c r="P21" s="62">
        <f t="shared" si="4"/>
        <v>0</v>
      </c>
    </row>
    <row r="22" spans="1:16" s="2" customFormat="1">
      <c r="A22" s="4" t="s">
        <v>12</v>
      </c>
      <c r="B22" s="4" t="s">
        <v>134</v>
      </c>
      <c r="C22" s="4" t="s">
        <v>73</v>
      </c>
      <c r="D22" s="4" t="s">
        <v>49</v>
      </c>
      <c r="E22" s="5">
        <f t="shared" si="0"/>
        <v>0</v>
      </c>
      <c r="F22" s="9">
        <f>((1.74-1)*0.95)+1</f>
        <v>1.7029999999999998</v>
      </c>
      <c r="G22" s="16" t="s">
        <v>41</v>
      </c>
      <c r="H22">
        <v>1</v>
      </c>
      <c r="I22"/>
      <c r="J22" s="62">
        <f t="shared" si="1"/>
        <v>0</v>
      </c>
      <c r="K22"/>
      <c r="L22">
        <v>2</v>
      </c>
      <c r="M22" s="67">
        <f t="shared" si="2"/>
        <v>53.333333333333336</v>
      </c>
      <c r="N22" s="41">
        <f t="shared" si="3"/>
        <v>-1.043907064959698</v>
      </c>
      <c r="P22" s="62">
        <f t="shared" si="4"/>
        <v>0</v>
      </c>
    </row>
    <row r="23" spans="1:16" s="2" customFormat="1">
      <c r="A23" s="46" t="s">
        <v>12</v>
      </c>
      <c r="B23" s="46" t="s">
        <v>26</v>
      </c>
      <c r="C23" s="46" t="s">
        <v>4</v>
      </c>
      <c r="D23" s="46" t="s">
        <v>48</v>
      </c>
      <c r="E23" s="47">
        <f t="shared" si="0"/>
        <v>0</v>
      </c>
      <c r="F23" s="48">
        <v>2.2000000000000002</v>
      </c>
      <c r="G23" s="49" t="s">
        <v>38</v>
      </c>
      <c r="H23">
        <v>0</v>
      </c>
      <c r="I23"/>
      <c r="J23" s="62">
        <f t="shared" si="1"/>
        <v>0</v>
      </c>
      <c r="K23"/>
      <c r="L23">
        <v>1.5</v>
      </c>
      <c r="M23" s="67">
        <f t="shared" si="2"/>
        <v>40</v>
      </c>
      <c r="N23" s="41">
        <f t="shared" si="3"/>
        <v>-0.79999999999999916</v>
      </c>
      <c r="P23" s="62">
        <f t="shared" si="4"/>
        <v>0</v>
      </c>
    </row>
    <row r="24" spans="1:16" s="2" customFormat="1">
      <c r="A24" s="4" t="s">
        <v>12</v>
      </c>
      <c r="B24" s="4" t="s">
        <v>26</v>
      </c>
      <c r="C24" s="4" t="s">
        <v>119</v>
      </c>
      <c r="D24" s="4" t="s">
        <v>48</v>
      </c>
      <c r="E24" s="5">
        <f t="shared" si="0"/>
        <v>0</v>
      </c>
      <c r="F24" s="9">
        <v>2.2999999999999998</v>
      </c>
      <c r="G24" s="10" t="s">
        <v>43</v>
      </c>
      <c r="H24">
        <v>1</v>
      </c>
      <c r="I24"/>
      <c r="J24" s="62">
        <f t="shared" si="1"/>
        <v>0</v>
      </c>
      <c r="K24"/>
      <c r="L24">
        <v>1</v>
      </c>
      <c r="M24" s="67">
        <f t="shared" si="2"/>
        <v>26.666666666666668</v>
      </c>
      <c r="N24" s="41">
        <f t="shared" si="3"/>
        <v>-2.3794871794871799</v>
      </c>
      <c r="P24" s="62">
        <f t="shared" si="4"/>
        <v>0</v>
      </c>
    </row>
    <row r="25" spans="1:16" s="2" customFormat="1">
      <c r="A25" s="12" t="s">
        <v>12</v>
      </c>
      <c r="B25" s="12" t="s">
        <v>28</v>
      </c>
      <c r="C25" s="12" t="s">
        <v>10</v>
      </c>
      <c r="D25" s="12" t="s">
        <v>49</v>
      </c>
      <c r="E25" s="13">
        <f t="shared" si="0"/>
        <v>0</v>
      </c>
      <c r="F25" s="14">
        <f>((2.28-1)*0.95)+1</f>
        <v>2.2159999999999997</v>
      </c>
      <c r="G25" s="15" t="s">
        <v>38</v>
      </c>
      <c r="H25" s="2">
        <v>0</v>
      </c>
      <c r="J25" s="62">
        <f t="shared" si="1"/>
        <v>0</v>
      </c>
      <c r="L25" s="2">
        <v>1</v>
      </c>
      <c r="M25" s="67">
        <f t="shared" si="2"/>
        <v>26.666666666666668</v>
      </c>
      <c r="N25" s="41">
        <f t="shared" si="3"/>
        <v>-2.6912280701754394</v>
      </c>
      <c r="P25" s="62">
        <f t="shared" si="4"/>
        <v>0</v>
      </c>
    </row>
    <row r="26" spans="1:16" s="2" customFormat="1">
      <c r="A26" s="91" t="s">
        <v>12</v>
      </c>
      <c r="B26" s="91" t="s">
        <v>47</v>
      </c>
      <c r="C26" s="91" t="s">
        <v>0</v>
      </c>
      <c r="D26" s="91" t="s">
        <v>49</v>
      </c>
      <c r="E26" s="92">
        <f t="shared" si="0"/>
        <v>0</v>
      </c>
      <c r="F26" s="93">
        <f>((2.32-1)*0.95)+1</f>
        <v>2.2539999999999996</v>
      </c>
      <c r="G26" s="94" t="s">
        <v>122</v>
      </c>
      <c r="H26" s="2">
        <v>1</v>
      </c>
      <c r="J26" s="62">
        <f t="shared" si="1"/>
        <v>0</v>
      </c>
      <c r="L26" s="2">
        <v>1</v>
      </c>
      <c r="M26" s="67">
        <f t="shared" si="2"/>
        <v>26.666666666666668</v>
      </c>
      <c r="N26" s="41">
        <f t="shared" si="3"/>
        <v>-2.5450292397660839</v>
      </c>
      <c r="P26" s="62">
        <f t="shared" si="4"/>
        <v>0</v>
      </c>
    </row>
    <row r="27" spans="1:16" s="2" customFormat="1">
      <c r="A27" s="12" t="s">
        <v>12</v>
      </c>
      <c r="B27" s="12" t="s">
        <v>5</v>
      </c>
      <c r="C27" s="12" t="s">
        <v>73</v>
      </c>
      <c r="D27" s="12" t="s">
        <v>49</v>
      </c>
      <c r="E27" s="13">
        <f t="shared" si="0"/>
        <v>0</v>
      </c>
      <c r="F27" s="14">
        <f>((1.86-1)*0.95)+1</f>
        <v>1.8170000000000002</v>
      </c>
      <c r="G27" s="15" t="s">
        <v>39</v>
      </c>
      <c r="H27" s="2">
        <v>0</v>
      </c>
      <c r="J27" s="62">
        <f t="shared" si="1"/>
        <v>0</v>
      </c>
      <c r="L27" s="2">
        <v>2</v>
      </c>
      <c r="M27" s="67">
        <f t="shared" si="2"/>
        <v>53.333333333333336</v>
      </c>
      <c r="N27" s="41">
        <f t="shared" si="3"/>
        <v>-0.30289677682578459</v>
      </c>
      <c r="P27" s="62">
        <f t="shared" si="4"/>
        <v>0</v>
      </c>
    </row>
    <row r="28" spans="1:16" s="2" customFormat="1">
      <c r="A28" s="12" t="s">
        <v>12</v>
      </c>
      <c r="B28" s="12" t="s">
        <v>175</v>
      </c>
      <c r="C28" s="12" t="s">
        <v>4</v>
      </c>
      <c r="D28" s="12" t="s">
        <v>49</v>
      </c>
      <c r="E28" s="13">
        <f t="shared" si="0"/>
        <v>0</v>
      </c>
      <c r="F28" s="14">
        <v>2</v>
      </c>
      <c r="G28" s="15" t="s">
        <v>37</v>
      </c>
      <c r="H28" s="2">
        <v>0</v>
      </c>
      <c r="J28" s="62">
        <f t="shared" si="1"/>
        <v>0</v>
      </c>
      <c r="L28" s="2">
        <v>1.5</v>
      </c>
      <c r="M28" s="67">
        <f t="shared" si="2"/>
        <v>40</v>
      </c>
      <c r="N28" s="41">
        <f t="shared" si="3"/>
        <v>-1.5999999999999996</v>
      </c>
      <c r="P28" s="62">
        <f t="shared" si="4"/>
        <v>0</v>
      </c>
    </row>
    <row r="29" spans="1:16" s="2" customFormat="1">
      <c r="A29" s="12" t="s">
        <v>12</v>
      </c>
      <c r="B29" s="12" t="s">
        <v>27</v>
      </c>
      <c r="C29" s="12" t="s">
        <v>16</v>
      </c>
      <c r="D29" s="12" t="s">
        <v>49</v>
      </c>
      <c r="E29" s="13">
        <f t="shared" si="0"/>
        <v>0</v>
      </c>
      <c r="F29" s="14">
        <v>1.75</v>
      </c>
      <c r="G29" s="15" t="s">
        <v>179</v>
      </c>
      <c r="H29" s="2">
        <v>0</v>
      </c>
      <c r="J29" s="62">
        <f t="shared" si="1"/>
        <v>0</v>
      </c>
      <c r="L29" s="2">
        <v>1.5</v>
      </c>
      <c r="M29" s="67">
        <f t="shared" si="2"/>
        <v>40</v>
      </c>
      <c r="N29" s="41">
        <f t="shared" si="3"/>
        <v>-3.1999999999999993</v>
      </c>
      <c r="P29" s="62">
        <f t="shared" si="4"/>
        <v>0</v>
      </c>
    </row>
    <row r="30" spans="1:16" s="2" customFormat="1">
      <c r="A30" s="91" t="s">
        <v>12</v>
      </c>
      <c r="B30" s="91" t="s">
        <v>67</v>
      </c>
      <c r="C30" s="91" t="s">
        <v>47</v>
      </c>
      <c r="D30" s="91" t="s">
        <v>49</v>
      </c>
      <c r="E30" s="92">
        <f t="shared" si="0"/>
        <v>0</v>
      </c>
      <c r="F30" s="93">
        <f>((1.8-1)*0.95)+1</f>
        <v>1.76</v>
      </c>
      <c r="G30" s="94" t="s">
        <v>187</v>
      </c>
      <c r="H30" s="2">
        <v>1</v>
      </c>
      <c r="J30" s="62">
        <f t="shared" si="1"/>
        <v>0</v>
      </c>
      <c r="L30" s="2">
        <v>1.5</v>
      </c>
      <c r="M30" s="67">
        <f t="shared" si="2"/>
        <v>40</v>
      </c>
      <c r="N30" s="41">
        <f t="shared" si="3"/>
        <v>-3.1157894736842096</v>
      </c>
      <c r="P30" s="62">
        <f t="shared" si="4"/>
        <v>0</v>
      </c>
    </row>
    <row r="31" spans="1:16" s="2" customFormat="1">
      <c r="A31" s="50" t="s">
        <v>12</v>
      </c>
      <c r="B31" s="50" t="s">
        <v>10</v>
      </c>
      <c r="C31" s="50" t="s">
        <v>134</v>
      </c>
      <c r="D31" s="50" t="s">
        <v>49</v>
      </c>
      <c r="E31" s="51">
        <f t="shared" si="0"/>
        <v>0</v>
      </c>
      <c r="F31" s="52">
        <f>((4.2-1)*0.95)+1</f>
        <v>4.04</v>
      </c>
      <c r="G31" s="53" t="s">
        <v>37</v>
      </c>
      <c r="H31" s="2">
        <v>0</v>
      </c>
      <c r="J31" s="62">
        <f t="shared" si="1"/>
        <v>0</v>
      </c>
      <c r="L31" s="2">
        <v>0.75</v>
      </c>
      <c r="M31" s="67">
        <f t="shared" si="2"/>
        <v>20</v>
      </c>
      <c r="N31" s="41">
        <f t="shared" si="3"/>
        <v>-0.50526315789473675</v>
      </c>
      <c r="P31" s="62">
        <f t="shared" si="4"/>
        <v>0</v>
      </c>
    </row>
    <row r="32" spans="1:16" s="2" customFormat="1">
      <c r="A32" s="4" t="s">
        <v>12</v>
      </c>
      <c r="B32" s="4" t="s">
        <v>27</v>
      </c>
      <c r="C32" s="4" t="s">
        <v>67</v>
      </c>
      <c r="D32" s="4" t="s">
        <v>49</v>
      </c>
      <c r="E32" s="5">
        <f t="shared" si="0"/>
        <v>0</v>
      </c>
      <c r="F32" s="9">
        <f>((1.97-1)*0.95)+1</f>
        <v>1.9215</v>
      </c>
      <c r="G32" s="10" t="s">
        <v>41</v>
      </c>
      <c r="H32" s="2">
        <v>1</v>
      </c>
      <c r="J32" s="62">
        <f t="shared" si="1"/>
        <v>0</v>
      </c>
      <c r="L32" s="2">
        <v>1.25</v>
      </c>
      <c r="M32" s="67">
        <f t="shared" si="2"/>
        <v>33.333333333333336</v>
      </c>
      <c r="N32" s="41">
        <f t="shared" si="3"/>
        <v>-3.1209983722192072</v>
      </c>
      <c r="P32" s="62">
        <f t="shared" si="4"/>
        <v>0</v>
      </c>
    </row>
    <row r="33" spans="1:16" s="2" customFormat="1">
      <c r="A33" s="12" t="s">
        <v>12</v>
      </c>
      <c r="B33" s="12" t="s">
        <v>28</v>
      </c>
      <c r="C33" s="12" t="s">
        <v>2</v>
      </c>
      <c r="D33" s="12" t="s">
        <v>49</v>
      </c>
      <c r="E33" s="13">
        <f t="shared" si="0"/>
        <v>0</v>
      </c>
      <c r="F33" s="14">
        <v>2.2999999999999998</v>
      </c>
      <c r="G33" s="15" t="s">
        <v>206</v>
      </c>
      <c r="H33" s="2">
        <v>0</v>
      </c>
      <c r="J33" s="62">
        <f t="shared" si="1"/>
        <v>0</v>
      </c>
      <c r="L33" s="2">
        <v>1</v>
      </c>
      <c r="M33" s="67">
        <f t="shared" si="2"/>
        <v>26.666666666666668</v>
      </c>
      <c r="N33" s="41">
        <f t="shared" si="3"/>
        <v>-2.3794871794871799</v>
      </c>
      <c r="P33" s="62">
        <f t="shared" si="4"/>
        <v>0</v>
      </c>
    </row>
    <row r="34" spans="1:16" s="2" customFormat="1">
      <c r="A34" s="54" t="s">
        <v>12</v>
      </c>
      <c r="B34" s="54" t="s">
        <v>26</v>
      </c>
      <c r="C34" s="54" t="s">
        <v>15</v>
      </c>
      <c r="D34" s="54" t="s">
        <v>49</v>
      </c>
      <c r="E34" s="55">
        <f t="shared" si="0"/>
        <v>0</v>
      </c>
      <c r="F34" s="56">
        <f>((2-1)*0.95)+1</f>
        <v>1.95</v>
      </c>
      <c r="G34" s="57" t="s">
        <v>42</v>
      </c>
      <c r="H34" s="2">
        <v>1</v>
      </c>
      <c r="J34" s="62">
        <f t="shared" si="1"/>
        <v>0</v>
      </c>
      <c r="L34" s="2">
        <v>1</v>
      </c>
      <c r="M34" s="67">
        <f t="shared" si="2"/>
        <v>26.666666666666668</v>
      </c>
      <c r="N34" s="41">
        <f t="shared" si="3"/>
        <v>-4.0421052631578949</v>
      </c>
      <c r="P34" s="62">
        <f t="shared" si="4"/>
        <v>0</v>
      </c>
    </row>
    <row r="35" spans="1:16" s="2" customFormat="1">
      <c r="A35" s="46" t="s">
        <v>12</v>
      </c>
      <c r="B35" s="46" t="s">
        <v>4</v>
      </c>
      <c r="C35" s="46" t="s">
        <v>5</v>
      </c>
      <c r="D35" s="46" t="s">
        <v>49</v>
      </c>
      <c r="E35" s="47">
        <f t="shared" si="0"/>
        <v>0</v>
      </c>
      <c r="F35" s="48">
        <f>((1.88-1)*0.95)+1</f>
        <v>1.8359999999999999</v>
      </c>
      <c r="G35" s="49" t="s">
        <v>39</v>
      </c>
      <c r="H35" s="2">
        <v>0</v>
      </c>
      <c r="J35" s="62">
        <f t="shared" si="1"/>
        <v>0</v>
      </c>
      <c r="L35" s="2">
        <v>1</v>
      </c>
      <c r="M35" s="67">
        <f t="shared" si="2"/>
        <v>26.666666666666668</v>
      </c>
      <c r="N35" s="41">
        <f t="shared" si="3"/>
        <v>-4.8842105263157896</v>
      </c>
      <c r="P35" s="62">
        <f t="shared" si="4"/>
        <v>0</v>
      </c>
    </row>
    <row r="36" spans="1:16" s="2" customFormat="1">
      <c r="A36" s="87" t="s">
        <v>12</v>
      </c>
      <c r="B36" s="87" t="s">
        <v>16</v>
      </c>
      <c r="C36" s="87" t="s">
        <v>28</v>
      </c>
      <c r="D36" s="87" t="s">
        <v>34</v>
      </c>
      <c r="E36" s="88">
        <f t="shared" si="0"/>
        <v>0</v>
      </c>
      <c r="F36" s="89">
        <f>((3.75-1)*0.95)+1</f>
        <v>3.6124999999999998</v>
      </c>
      <c r="G36" s="90" t="s">
        <v>39</v>
      </c>
      <c r="H36" s="2">
        <v>0</v>
      </c>
      <c r="J36" s="62">
        <f t="shared" si="1"/>
        <v>0</v>
      </c>
      <c r="L36" s="2">
        <v>0.5</v>
      </c>
      <c r="M36" s="67">
        <f t="shared" si="2"/>
        <v>13.333333333333334</v>
      </c>
      <c r="N36" s="41">
        <f t="shared" si="3"/>
        <v>-1.5872408293460925</v>
      </c>
      <c r="P36" s="62">
        <f t="shared" si="4"/>
        <v>0</v>
      </c>
    </row>
    <row r="37" spans="1:16">
      <c r="A37" s="58"/>
      <c r="B37" s="58"/>
      <c r="C37" s="58"/>
      <c r="D37" s="58"/>
      <c r="E37" s="58"/>
      <c r="F37" s="59"/>
      <c r="G37" s="60"/>
    </row>
    <row r="38" spans="1:16">
      <c r="E38" s="61">
        <f>SUM(E1:E37)</f>
        <v>36.144750660312297</v>
      </c>
      <c r="H38">
        <f>SUM(H1:H37)</f>
        <v>18</v>
      </c>
      <c r="I38" s="21">
        <f>COUNTIF(E1:E37,"&gt;0")</f>
        <v>20</v>
      </c>
      <c r="J38" s="62">
        <f>SUM(J1:J37)</f>
        <v>22.08186175576612</v>
      </c>
      <c r="P38" s="62">
        <f>SUM(P1:P37)</f>
        <v>12.377500000000001</v>
      </c>
    </row>
    <row r="39" spans="1:16">
      <c r="H39" s="63">
        <f>+H38/COUNTIF(E1:E37,"&gt;0")</f>
        <v>0.9</v>
      </c>
      <c r="J39" s="65">
        <f>+J38/E38</f>
        <v>0.6109285955045326</v>
      </c>
      <c r="K39" s="68" t="s">
        <v>230</v>
      </c>
      <c r="L39" s="68"/>
      <c r="M39" s="68"/>
      <c r="N39" s="68"/>
      <c r="O39" s="68"/>
      <c r="P39" s="65">
        <f>+P38/COUNTIF(P1:P36,"&lt;&gt;0")</f>
        <v>0.61887500000000006</v>
      </c>
    </row>
    <row r="40" spans="1:16">
      <c r="J40" s="64"/>
      <c r="P40" s="65"/>
    </row>
    <row r="44" spans="1:16">
      <c r="A44" s="12" t="s">
        <v>12</v>
      </c>
      <c r="B44" s="12" t="s">
        <v>181</v>
      </c>
      <c r="C44" s="12" t="s">
        <v>67</v>
      </c>
      <c r="D44" s="12" t="s">
        <v>49</v>
      </c>
      <c r="E44" s="47">
        <f t="shared" ref="E44:E48" si="5">IF(N44&gt;0,N44,0)</f>
        <v>1.6113798008534848</v>
      </c>
      <c r="F44" s="14">
        <f>((2.48-1)*0.95)+1</f>
        <v>2.4059999999999997</v>
      </c>
      <c r="G44" s="15" t="s">
        <v>243</v>
      </c>
      <c r="H44">
        <v>0</v>
      </c>
      <c r="J44" s="62">
        <f t="shared" ref="J44:J63" si="6">IF(H44=1,E44*(F44-1),-E44)</f>
        <v>-1.6113798008534848</v>
      </c>
      <c r="K44">
        <f>-L44</f>
        <v>-2</v>
      </c>
      <c r="L44">
        <v>2</v>
      </c>
      <c r="M44" s="67">
        <f t="shared" ref="M44:M48" si="7">L44*80/3</f>
        <v>53.333333333333336</v>
      </c>
      <c r="N44" s="41">
        <f t="shared" ref="N44:N48" si="8">((F44*(M44/100)-1)/(F44 -1))*40/5</f>
        <v>1.6113798008534848</v>
      </c>
      <c r="O44" s="41"/>
      <c r="P44" s="62">
        <f t="shared" ref="P44:P63" si="9">IF(E44&gt;0,IF(H44=1,(F44-1),-1),0)</f>
        <v>-1</v>
      </c>
    </row>
    <row r="45" spans="1:16">
      <c r="A45" s="12" t="s">
        <v>12</v>
      </c>
      <c r="B45" s="12" t="s">
        <v>5</v>
      </c>
      <c r="C45" s="12" t="s">
        <v>134</v>
      </c>
      <c r="D45" s="12" t="s">
        <v>48</v>
      </c>
      <c r="E45" s="47">
        <f t="shared" si="5"/>
        <v>1.178947368421053</v>
      </c>
      <c r="F45" s="14">
        <f>((3.5-1)*0.95)+1</f>
        <v>3.375</v>
      </c>
      <c r="G45" s="15" t="s">
        <v>38</v>
      </c>
      <c r="H45">
        <v>0</v>
      </c>
      <c r="J45" s="62">
        <f t="shared" si="6"/>
        <v>-1.178947368421053</v>
      </c>
      <c r="K45">
        <f t="shared" ref="K45:K63" si="10">-L45</f>
        <v>-1.5</v>
      </c>
      <c r="L45">
        <v>1.5</v>
      </c>
      <c r="M45" s="67">
        <f t="shared" si="7"/>
        <v>40</v>
      </c>
      <c r="N45" s="41">
        <f t="shared" si="8"/>
        <v>1.178947368421053</v>
      </c>
      <c r="O45" s="41"/>
      <c r="P45" s="62">
        <f t="shared" si="9"/>
        <v>-1</v>
      </c>
    </row>
    <row r="46" spans="1:16">
      <c r="A46" s="12" t="s">
        <v>12</v>
      </c>
      <c r="B46" s="12" t="s">
        <v>15</v>
      </c>
      <c r="C46" s="12" t="s">
        <v>4</v>
      </c>
      <c r="D46" s="12" t="s">
        <v>34</v>
      </c>
      <c r="E46" s="47">
        <f t="shared" si="5"/>
        <v>0</v>
      </c>
      <c r="F46" s="14">
        <f>((3.5-1)*0.95)+1</f>
        <v>3.375</v>
      </c>
      <c r="G46" s="15" t="s">
        <v>43</v>
      </c>
      <c r="H46">
        <v>0</v>
      </c>
      <c r="J46" s="62">
        <f t="shared" si="6"/>
        <v>0</v>
      </c>
      <c r="K46">
        <f t="shared" si="10"/>
        <v>-0.5</v>
      </c>
      <c r="L46">
        <v>0.5</v>
      </c>
      <c r="M46" s="67">
        <f t="shared" si="7"/>
        <v>13.333333333333334</v>
      </c>
      <c r="N46" s="41">
        <f t="shared" si="8"/>
        <v>-1.8526315789473684</v>
      </c>
      <c r="O46" s="41"/>
      <c r="P46" s="62">
        <f t="shared" si="9"/>
        <v>0</v>
      </c>
    </row>
    <row r="47" spans="1:16">
      <c r="A47" s="12" t="s">
        <v>12</v>
      </c>
      <c r="B47" s="12" t="s">
        <v>27</v>
      </c>
      <c r="C47" s="12" t="s">
        <v>182</v>
      </c>
      <c r="D47" s="12" t="s">
        <v>34</v>
      </c>
      <c r="E47" s="47">
        <f t="shared" si="5"/>
        <v>0</v>
      </c>
      <c r="F47" s="14">
        <f>((4.1-1)*0.95)+1</f>
        <v>3.9449999999999994</v>
      </c>
      <c r="G47" s="15" t="s">
        <v>36</v>
      </c>
      <c r="H47">
        <v>0</v>
      </c>
      <c r="J47" s="62">
        <f t="shared" si="6"/>
        <v>0</v>
      </c>
      <c r="K47">
        <f t="shared" si="10"/>
        <v>-0.5</v>
      </c>
      <c r="L47">
        <v>0.5</v>
      </c>
      <c r="M47" s="67">
        <f t="shared" si="7"/>
        <v>13.333333333333334</v>
      </c>
      <c r="N47" s="41">
        <f t="shared" si="8"/>
        <v>-1.2876061120543298</v>
      </c>
      <c r="O47" s="41"/>
      <c r="P47" s="62">
        <f t="shared" si="9"/>
        <v>0</v>
      </c>
    </row>
    <row r="48" spans="1:16">
      <c r="A48" s="12" t="s">
        <v>12</v>
      </c>
      <c r="B48" s="12" t="s">
        <v>239</v>
      </c>
      <c r="C48" s="12" t="s">
        <v>16</v>
      </c>
      <c r="D48" s="12" t="s">
        <v>48</v>
      </c>
      <c r="E48" s="47">
        <f t="shared" si="5"/>
        <v>0.74935163996948895</v>
      </c>
      <c r="F48" s="14">
        <f>((24-1)*0.95)+1</f>
        <v>22.849999999999998</v>
      </c>
      <c r="G48" s="15" t="s">
        <v>246</v>
      </c>
      <c r="H48">
        <v>0</v>
      </c>
      <c r="J48" s="62">
        <f t="shared" si="6"/>
        <v>-0.74935163996948895</v>
      </c>
      <c r="K48">
        <f t="shared" si="10"/>
        <v>-0.5</v>
      </c>
      <c r="L48">
        <v>0.5</v>
      </c>
      <c r="M48" s="67">
        <f t="shared" si="7"/>
        <v>13.333333333333334</v>
      </c>
      <c r="N48" s="41">
        <f t="shared" si="8"/>
        <v>0.74935163996948895</v>
      </c>
      <c r="O48" s="41"/>
      <c r="P48" s="62">
        <f t="shared" si="9"/>
        <v>-1</v>
      </c>
    </row>
    <row r="49" spans="1:16">
      <c r="J49" s="62">
        <f t="shared" si="6"/>
        <v>0</v>
      </c>
      <c r="K49">
        <f t="shared" si="10"/>
        <v>0</v>
      </c>
      <c r="L49" s="2"/>
      <c r="M49" s="67"/>
      <c r="O49" s="41"/>
      <c r="P49" s="62">
        <f t="shared" si="9"/>
        <v>0</v>
      </c>
    </row>
    <row r="50" spans="1:16">
      <c r="J50" s="62">
        <f t="shared" si="6"/>
        <v>0</v>
      </c>
      <c r="K50">
        <f t="shared" si="10"/>
        <v>0</v>
      </c>
      <c r="L50" s="2"/>
      <c r="M50" s="67"/>
      <c r="O50" s="41"/>
      <c r="P50" s="62">
        <f t="shared" si="9"/>
        <v>0</v>
      </c>
    </row>
    <row r="51" spans="1:16">
      <c r="A51" s="4" t="s">
        <v>12</v>
      </c>
      <c r="B51" s="4" t="s">
        <v>182</v>
      </c>
      <c r="C51" s="4" t="s">
        <v>1</v>
      </c>
      <c r="D51" s="4" t="s">
        <v>49</v>
      </c>
      <c r="E51" s="5">
        <f t="shared" ref="E51:E56" si="11">IF(N51&gt;0,N51,0)</f>
        <v>0.6921694480102687</v>
      </c>
      <c r="F51" s="9">
        <f>((1.82-1)*0.95)+1</f>
        <v>1.7789999999999999</v>
      </c>
      <c r="G51" s="10" t="s">
        <v>41</v>
      </c>
      <c r="H51">
        <v>1</v>
      </c>
      <c r="J51" s="62">
        <f t="shared" si="6"/>
        <v>0.53919999999999924</v>
      </c>
      <c r="K51">
        <f t="shared" ref="K51:K54" si="12">(F51-1)*L51</f>
        <v>1.7527499999999998</v>
      </c>
      <c r="L51">
        <v>2.25</v>
      </c>
      <c r="M51" s="67">
        <f t="shared" ref="M51:M55" si="13">L51*80/3</f>
        <v>60</v>
      </c>
      <c r="N51" s="41">
        <f t="shared" ref="N51:N55" si="14">((F51*(M51/100)-1)/(F51 -1))*40/5</f>
        <v>0.6921694480102687</v>
      </c>
      <c r="O51" s="41"/>
      <c r="P51" s="62">
        <f t="shared" si="9"/>
        <v>0.77899999999999991</v>
      </c>
    </row>
    <row r="52" spans="1:16">
      <c r="A52" s="4" t="s">
        <v>12</v>
      </c>
      <c r="B52" s="4" t="s">
        <v>3</v>
      </c>
      <c r="C52" s="4" t="s">
        <v>5</v>
      </c>
      <c r="D52" s="4" t="s">
        <v>49</v>
      </c>
      <c r="E52" s="5">
        <f t="shared" si="11"/>
        <v>0.29629629629629683</v>
      </c>
      <c r="F52" s="9">
        <v>3.25</v>
      </c>
      <c r="G52" s="10" t="s">
        <v>122</v>
      </c>
      <c r="H52">
        <v>1</v>
      </c>
      <c r="J52" s="62">
        <f t="shared" si="6"/>
        <v>0.66666666666666785</v>
      </c>
      <c r="K52">
        <f t="shared" si="12"/>
        <v>2.8125</v>
      </c>
      <c r="L52">
        <v>1.25</v>
      </c>
      <c r="M52" s="67">
        <f t="shared" si="13"/>
        <v>33.333333333333336</v>
      </c>
      <c r="N52" s="41">
        <f t="shared" si="14"/>
        <v>0.29629629629629683</v>
      </c>
      <c r="O52" s="41"/>
      <c r="P52" s="62">
        <f t="shared" si="9"/>
        <v>2.25</v>
      </c>
    </row>
    <row r="53" spans="1:16">
      <c r="A53" s="4" t="s">
        <v>12</v>
      </c>
      <c r="B53" s="4" t="s">
        <v>73</v>
      </c>
      <c r="C53" s="4" t="s">
        <v>181</v>
      </c>
      <c r="D53" s="4" t="s">
        <v>48</v>
      </c>
      <c r="E53" s="5">
        <f t="shared" si="11"/>
        <v>0.9654439128123341</v>
      </c>
      <c r="F53" s="9">
        <f>((4.3-1)*0.95)+1</f>
        <v>4.1349999999999998</v>
      </c>
      <c r="G53" s="10" t="s">
        <v>39</v>
      </c>
      <c r="H53">
        <v>1</v>
      </c>
      <c r="J53" s="62">
        <f t="shared" si="6"/>
        <v>3.0266666666666673</v>
      </c>
      <c r="K53">
        <f t="shared" si="12"/>
        <v>3.9187499999999997</v>
      </c>
      <c r="L53">
        <v>1.25</v>
      </c>
      <c r="M53" s="67">
        <f t="shared" si="13"/>
        <v>33.333333333333336</v>
      </c>
      <c r="N53" s="41">
        <f t="shared" si="14"/>
        <v>0.9654439128123341</v>
      </c>
      <c r="O53" s="41"/>
      <c r="P53" s="62">
        <f t="shared" si="9"/>
        <v>3.1349999999999998</v>
      </c>
    </row>
    <row r="54" spans="1:16">
      <c r="A54" s="4" t="s">
        <v>12</v>
      </c>
      <c r="B54" s="4" t="s">
        <v>16</v>
      </c>
      <c r="C54" s="4" t="s">
        <v>2</v>
      </c>
      <c r="D54" s="4" t="s">
        <v>49</v>
      </c>
      <c r="E54" s="5">
        <f t="shared" si="11"/>
        <v>3.0696095076400693</v>
      </c>
      <c r="F54" s="9">
        <f>((2.24-1)*0.95)+1</f>
        <v>2.1779999999999999</v>
      </c>
      <c r="G54" s="10" t="s">
        <v>146</v>
      </c>
      <c r="H54">
        <v>1</v>
      </c>
      <c r="J54" s="62">
        <f t="shared" si="6"/>
        <v>3.6160000000000014</v>
      </c>
      <c r="K54">
        <f t="shared" si="12"/>
        <v>2.9449999999999998</v>
      </c>
      <c r="L54">
        <v>2.5</v>
      </c>
      <c r="M54" s="67">
        <f t="shared" si="13"/>
        <v>66.666666666666671</v>
      </c>
      <c r="N54" s="41">
        <f t="shared" si="14"/>
        <v>3.0696095076400693</v>
      </c>
      <c r="O54" s="41"/>
      <c r="P54" s="62">
        <f t="shared" si="9"/>
        <v>1.1779999999999999</v>
      </c>
    </row>
    <row r="55" spans="1:16">
      <c r="A55" s="12" t="s">
        <v>12</v>
      </c>
      <c r="B55" s="12" t="s">
        <v>26</v>
      </c>
      <c r="C55" s="12" t="s">
        <v>27</v>
      </c>
      <c r="D55" s="12" t="s">
        <v>48</v>
      </c>
      <c r="E55" s="13">
        <f t="shared" si="11"/>
        <v>3.642358909321497</v>
      </c>
      <c r="F55" s="14">
        <f>((2.66-1)*0.95)+1</f>
        <v>2.577</v>
      </c>
      <c r="G55" s="15" t="s">
        <v>42</v>
      </c>
      <c r="H55">
        <v>0</v>
      </c>
      <c r="J55" s="62">
        <f t="shared" si="6"/>
        <v>-3.642358909321497</v>
      </c>
      <c r="K55">
        <f t="shared" si="10"/>
        <v>-2.5</v>
      </c>
      <c r="L55">
        <v>2.5</v>
      </c>
      <c r="M55" s="67">
        <f t="shared" si="13"/>
        <v>66.666666666666671</v>
      </c>
      <c r="N55" s="41">
        <f t="shared" si="14"/>
        <v>3.642358909321497</v>
      </c>
      <c r="O55" s="41"/>
      <c r="P55" s="62">
        <f t="shared" si="9"/>
        <v>-1</v>
      </c>
    </row>
    <row r="56" spans="1:16">
      <c r="A56" s="12" t="s">
        <v>12</v>
      </c>
      <c r="B56" s="12" t="s">
        <v>134</v>
      </c>
      <c r="C56" s="12" t="s">
        <v>15</v>
      </c>
      <c r="D56" s="12" t="s">
        <v>48</v>
      </c>
      <c r="E56" s="13">
        <f t="shared" si="11"/>
        <v>0.37159565580618215</v>
      </c>
      <c r="F56" s="14">
        <f>((11.5-1)*0.95)+1</f>
        <v>10.975</v>
      </c>
      <c r="G56" s="15" t="s">
        <v>36</v>
      </c>
      <c r="H56">
        <v>0</v>
      </c>
      <c r="J56" s="62">
        <f t="shared" si="6"/>
        <v>-0.37159565580618215</v>
      </c>
      <c r="K56">
        <f t="shared" si="10"/>
        <v>-0.5</v>
      </c>
      <c r="L56">
        <v>0.5</v>
      </c>
      <c r="M56" s="67">
        <f t="shared" ref="M56" si="15">L56*80/3</f>
        <v>13.333333333333334</v>
      </c>
      <c r="N56" s="41">
        <f t="shared" ref="N56" si="16">((F56*(M56/100)-1)/(F56 -1))*40/5</f>
        <v>0.37159565580618215</v>
      </c>
      <c r="O56" s="41"/>
      <c r="P56" s="62">
        <f t="shared" si="9"/>
        <v>-1</v>
      </c>
    </row>
    <row r="57" spans="1:16">
      <c r="J57" s="62">
        <f t="shared" si="6"/>
        <v>0</v>
      </c>
      <c r="K57">
        <f t="shared" si="10"/>
        <v>0</v>
      </c>
      <c r="O57" s="41"/>
      <c r="P57" s="62">
        <f t="shared" si="9"/>
        <v>0</v>
      </c>
    </row>
    <row r="58" spans="1:16">
      <c r="J58" s="62">
        <f t="shared" si="6"/>
        <v>0</v>
      </c>
      <c r="K58">
        <f t="shared" si="10"/>
        <v>0</v>
      </c>
      <c r="O58" s="41"/>
      <c r="P58" s="62">
        <f t="shared" si="9"/>
        <v>0</v>
      </c>
    </row>
    <row r="59" spans="1:16">
      <c r="A59" s="12" t="s">
        <v>12</v>
      </c>
      <c r="B59" s="12" t="s">
        <v>1</v>
      </c>
      <c r="C59" s="12" t="s">
        <v>26</v>
      </c>
      <c r="D59" s="12" t="s">
        <v>49</v>
      </c>
      <c r="E59" s="13">
        <f t="shared" ref="E59:E63" si="17">IF(N59&gt;0,N59,0)</f>
        <v>0</v>
      </c>
      <c r="F59" s="14">
        <f>((2.64-1)*0.95)+1</f>
        <v>2.5579999999999998</v>
      </c>
      <c r="G59" s="15" t="s">
        <v>38</v>
      </c>
      <c r="H59">
        <v>0</v>
      </c>
      <c r="J59" s="62">
        <f t="shared" si="6"/>
        <v>0</v>
      </c>
      <c r="K59">
        <f t="shared" si="10"/>
        <v>-1</v>
      </c>
      <c r="L59">
        <v>1</v>
      </c>
      <c r="M59" s="67">
        <f t="shared" ref="M59:M63" si="18">L59*80/3</f>
        <v>26.666666666666668</v>
      </c>
      <c r="N59" s="41">
        <f t="shared" ref="N59:N63" si="19">((F59*(M59/100)-1)/(F59 -1))*40/5</f>
        <v>-1.6321780059905868</v>
      </c>
      <c r="O59" s="41"/>
      <c r="P59" s="62">
        <f t="shared" si="9"/>
        <v>0</v>
      </c>
    </row>
    <row r="60" spans="1:16">
      <c r="A60" s="12" t="s">
        <v>12</v>
      </c>
      <c r="B60" s="12" t="s">
        <v>27</v>
      </c>
      <c r="C60" s="12" t="s">
        <v>4</v>
      </c>
      <c r="D60" s="12" t="s">
        <v>49</v>
      </c>
      <c r="E60" s="13">
        <f t="shared" si="17"/>
        <v>0.52531328320801962</v>
      </c>
      <c r="F60" s="14">
        <f>((2.4-1)*0.95)+1</f>
        <v>2.33</v>
      </c>
      <c r="G60" s="15" t="s">
        <v>366</v>
      </c>
      <c r="H60">
        <v>0</v>
      </c>
      <c r="J60" s="62">
        <f t="shared" si="6"/>
        <v>-0.52531328320801962</v>
      </c>
      <c r="K60">
        <f t="shared" si="10"/>
        <v>-1.75</v>
      </c>
      <c r="L60">
        <v>1.75</v>
      </c>
      <c r="M60" s="67">
        <f t="shared" si="18"/>
        <v>46.666666666666664</v>
      </c>
      <c r="N60" s="41">
        <f t="shared" si="19"/>
        <v>0.52531328320801962</v>
      </c>
      <c r="O60" s="41"/>
      <c r="P60" s="62">
        <f t="shared" si="9"/>
        <v>-1</v>
      </c>
    </row>
    <row r="61" spans="1:16">
      <c r="A61" s="4" t="s">
        <v>12</v>
      </c>
      <c r="B61" s="4" t="s">
        <v>15</v>
      </c>
      <c r="C61" s="4" t="s">
        <v>3</v>
      </c>
      <c r="D61" s="4" t="s">
        <v>49</v>
      </c>
      <c r="E61" s="5">
        <f t="shared" si="17"/>
        <v>0</v>
      </c>
      <c r="F61" s="9">
        <f>((2.08-1)*0.95)+1</f>
        <v>2.0259999999999998</v>
      </c>
      <c r="G61" s="10" t="s">
        <v>42</v>
      </c>
      <c r="H61">
        <v>1</v>
      </c>
      <c r="J61" s="62">
        <f t="shared" si="6"/>
        <v>0</v>
      </c>
      <c r="K61">
        <f>(F61-1)*L61</f>
        <v>1.2824999999999998</v>
      </c>
      <c r="L61">
        <v>1.25</v>
      </c>
      <c r="M61" s="67">
        <f t="shared" si="18"/>
        <v>33.333333333333336</v>
      </c>
      <c r="N61" s="41">
        <f t="shared" si="19"/>
        <v>-2.5315139701104616</v>
      </c>
      <c r="O61" s="41"/>
      <c r="P61" s="62">
        <f t="shared" si="9"/>
        <v>0</v>
      </c>
    </row>
    <row r="62" spans="1:16">
      <c r="A62" s="12" t="s">
        <v>12</v>
      </c>
      <c r="B62" s="12" t="s">
        <v>2</v>
      </c>
      <c r="C62" s="12" t="s">
        <v>0</v>
      </c>
      <c r="D62" s="12" t="s">
        <v>34</v>
      </c>
      <c r="E62" s="13">
        <f t="shared" si="17"/>
        <v>0</v>
      </c>
      <c r="F62" s="14">
        <f>((3.45-1)*0.95)+1</f>
        <v>3.3275000000000001</v>
      </c>
      <c r="G62" s="15" t="s">
        <v>41</v>
      </c>
      <c r="H62">
        <v>0</v>
      </c>
      <c r="J62" s="62">
        <f t="shared" si="6"/>
        <v>0</v>
      </c>
      <c r="K62">
        <f t="shared" si="10"/>
        <v>-0.75</v>
      </c>
      <c r="L62">
        <v>0.75</v>
      </c>
      <c r="M62" s="67">
        <f t="shared" si="18"/>
        <v>20</v>
      </c>
      <c r="N62" s="41">
        <f t="shared" si="19"/>
        <v>-1.1497314715359825</v>
      </c>
      <c r="O62" s="41"/>
      <c r="P62" s="62">
        <f t="shared" si="9"/>
        <v>0</v>
      </c>
    </row>
    <row r="63" spans="1:16">
      <c r="A63" s="12" t="s">
        <v>12</v>
      </c>
      <c r="B63" s="12" t="s">
        <v>181</v>
      </c>
      <c r="C63" s="12" t="s">
        <v>182</v>
      </c>
      <c r="D63" s="12" t="s">
        <v>34</v>
      </c>
      <c r="E63" s="13">
        <f t="shared" si="17"/>
        <v>0</v>
      </c>
      <c r="F63" s="14">
        <f>((3.5-1)*0.95)+1</f>
        <v>3.375</v>
      </c>
      <c r="G63" s="15" t="s">
        <v>122</v>
      </c>
      <c r="H63">
        <v>0</v>
      </c>
      <c r="J63" s="62">
        <f t="shared" si="6"/>
        <v>0</v>
      </c>
      <c r="K63">
        <f t="shared" si="10"/>
        <v>-0.5</v>
      </c>
      <c r="L63">
        <v>0.5</v>
      </c>
      <c r="M63" s="67">
        <f t="shared" si="18"/>
        <v>13.333333333333334</v>
      </c>
      <c r="N63" s="41">
        <f t="shared" si="19"/>
        <v>-1.8526315789473684</v>
      </c>
      <c r="O63" s="41"/>
      <c r="P63" s="62">
        <f t="shared" si="9"/>
        <v>0</v>
      </c>
    </row>
    <row r="64" spans="1:16">
      <c r="M64" s="67"/>
      <c r="N64" s="41"/>
    </row>
    <row r="65" spans="5:16">
      <c r="E65">
        <f t="shared" ref="E65" si="20">SUM(E44:E64)</f>
        <v>13.102465822338695</v>
      </c>
      <c r="J65">
        <f>SUM(J44:J64)</f>
        <v>-0.23041332424638972</v>
      </c>
      <c r="K65">
        <f>SUM(K44:K64)</f>
        <v>0.71149999999999913</v>
      </c>
      <c r="L65">
        <f>SUM(L44:L64)</f>
        <v>20.5</v>
      </c>
      <c r="P65">
        <f t="shared" ref="P65" si="21">SUM(P44:P64)</f>
        <v>1.3419999999999996</v>
      </c>
    </row>
    <row r="66" spans="5:16">
      <c r="J66" s="101">
        <f>+J65/E65</f>
        <v>-1.7585493247656691E-2</v>
      </c>
      <c r="K66" s="101">
        <f>+K65/L65</f>
        <v>3.4707317073170686E-2</v>
      </c>
      <c r="P66" s="65">
        <f>+P65/COUNTIF(P44:P63,"&lt;&gt;0")</f>
        <v>0.13419999999999996</v>
      </c>
    </row>
  </sheetData>
  <sortState ref="A1:N36">
    <sortCondition descending="1" ref="E1:E36"/>
  </sortState>
  <pageMargins left="0.7" right="0.7" top="0.75" bottom="0.75" header="0.3" footer="0.3"/>
  <pageSetup paperSize="9" orientation="portrait" horizontalDpi="0" verticalDpi="0" r:id="rId1"/>
  <legacyDrawing r:id="rId2"/>
</worksheet>
</file>

<file path=xl/worksheets/sheet45.xml><?xml version="1.0" encoding="utf-8"?>
<worksheet xmlns="http://schemas.openxmlformats.org/spreadsheetml/2006/main" xmlns:r="http://schemas.openxmlformats.org/officeDocument/2006/relationships">
  <dimension ref="A1:M85"/>
  <sheetViews>
    <sheetView topLeftCell="A67" zoomScaleNormal="100" workbookViewId="0">
      <selection activeCell="F88" sqref="F88"/>
    </sheetView>
  </sheetViews>
  <sheetFormatPr baseColWidth="10" defaultRowHeight="15"/>
  <cols>
    <col min="1" max="7" width="11.42578125" style="281"/>
    <col min="8" max="8" width="4.5703125" style="281" bestFit="1" customWidth="1"/>
    <col min="9" max="16384" width="11.42578125" style="281"/>
  </cols>
  <sheetData>
    <row r="1" spans="1:10">
      <c r="A1" s="4" t="s">
        <v>12</v>
      </c>
      <c r="B1" s="4" t="s">
        <v>0</v>
      </c>
      <c r="C1" s="4" t="s">
        <v>3</v>
      </c>
      <c r="D1" s="4" t="s">
        <v>49</v>
      </c>
      <c r="E1" s="5">
        <v>3</v>
      </c>
      <c r="F1" s="4">
        <v>1.95</v>
      </c>
      <c r="G1" s="10" t="s">
        <v>36</v>
      </c>
      <c r="H1" s="281">
        <v>1</v>
      </c>
      <c r="J1" s="62">
        <f>IF(H1=1,E1*(F1-1),-E1)</f>
        <v>2.8499999999999996</v>
      </c>
    </row>
    <row r="2" spans="1:10">
      <c r="A2" s="12" t="s">
        <v>6</v>
      </c>
      <c r="B2" s="12" t="s">
        <v>10</v>
      </c>
      <c r="C2" s="12" t="s">
        <v>13</v>
      </c>
      <c r="D2" s="12" t="s">
        <v>49</v>
      </c>
      <c r="E2" s="13">
        <v>2</v>
      </c>
      <c r="F2" s="14">
        <f>((2.16-1)*0.95)+1</f>
        <v>2.1020000000000003</v>
      </c>
      <c r="G2" s="15" t="s">
        <v>38</v>
      </c>
      <c r="H2" s="281">
        <v>0</v>
      </c>
      <c r="J2" s="62">
        <f t="shared" ref="J2:J36" si="0">IF(H2=1,E2*(F2-1),-E2)</f>
        <v>-2</v>
      </c>
    </row>
    <row r="3" spans="1:10">
      <c r="A3" s="4" t="s">
        <v>12</v>
      </c>
      <c r="B3" s="4" t="s">
        <v>15</v>
      </c>
      <c r="C3" s="4" t="s">
        <v>2</v>
      </c>
      <c r="D3" s="4" t="s">
        <v>48</v>
      </c>
      <c r="E3" s="5">
        <v>1.5</v>
      </c>
      <c r="F3" s="9">
        <f>((3.6-1)*0.95)+1</f>
        <v>3.4699999999999998</v>
      </c>
      <c r="G3" s="10" t="s">
        <v>39</v>
      </c>
      <c r="H3" s="281">
        <v>1</v>
      </c>
      <c r="J3" s="62">
        <f t="shared" si="0"/>
        <v>3.7049999999999996</v>
      </c>
    </row>
    <row r="4" spans="1:10">
      <c r="A4" s="12" t="s">
        <v>12</v>
      </c>
      <c r="B4" s="12" t="s">
        <v>5</v>
      </c>
      <c r="C4" s="12" t="s">
        <v>16</v>
      </c>
      <c r="D4" s="12" t="s">
        <v>48</v>
      </c>
      <c r="E4" s="13">
        <v>1</v>
      </c>
      <c r="F4" s="14">
        <f>((5.3-1)*0.95)+1</f>
        <v>5.085</v>
      </c>
      <c r="G4" s="15" t="s">
        <v>37</v>
      </c>
      <c r="H4" s="281">
        <v>0</v>
      </c>
      <c r="J4" s="62">
        <f t="shared" si="0"/>
        <v>-1</v>
      </c>
    </row>
    <row r="5" spans="1:10">
      <c r="A5" s="12" t="s">
        <v>12</v>
      </c>
      <c r="B5" s="12" t="s">
        <v>26</v>
      </c>
      <c r="C5" s="12" t="s">
        <v>10</v>
      </c>
      <c r="D5" s="13" t="s">
        <v>49</v>
      </c>
      <c r="E5" s="13">
        <v>3</v>
      </c>
      <c r="F5" s="12">
        <v>1.75</v>
      </c>
      <c r="G5" s="15" t="s">
        <v>82</v>
      </c>
      <c r="H5" s="281">
        <v>0</v>
      </c>
      <c r="J5" s="62">
        <f t="shared" si="0"/>
        <v>-3</v>
      </c>
    </row>
    <row r="6" spans="1:10">
      <c r="A6" s="4" t="s">
        <v>12</v>
      </c>
      <c r="B6" s="4" t="s">
        <v>27</v>
      </c>
      <c r="C6" s="4" t="s">
        <v>28</v>
      </c>
      <c r="D6" s="5" t="s">
        <v>49</v>
      </c>
      <c r="E6" s="5">
        <v>3</v>
      </c>
      <c r="F6" s="4">
        <v>1.6</v>
      </c>
      <c r="G6" s="10" t="s">
        <v>41</v>
      </c>
      <c r="H6" s="281">
        <v>1</v>
      </c>
      <c r="J6" s="62">
        <f t="shared" si="0"/>
        <v>1.8000000000000003</v>
      </c>
    </row>
    <row r="7" spans="1:10">
      <c r="A7" s="12" t="s">
        <v>12</v>
      </c>
      <c r="B7" s="12" t="s">
        <v>3</v>
      </c>
      <c r="C7" s="12" t="s">
        <v>67</v>
      </c>
      <c r="D7" s="12" t="s">
        <v>34</v>
      </c>
      <c r="E7" s="13">
        <v>0.6</v>
      </c>
      <c r="F7" s="14">
        <v>3.3</v>
      </c>
      <c r="G7" s="15" t="s">
        <v>42</v>
      </c>
      <c r="H7" s="281">
        <v>0</v>
      </c>
      <c r="J7" s="62">
        <f t="shared" si="0"/>
        <v>-0.6</v>
      </c>
    </row>
    <row r="8" spans="1:10">
      <c r="A8" s="4" t="s">
        <v>12</v>
      </c>
      <c r="B8" s="4" t="s">
        <v>134</v>
      </c>
      <c r="C8" s="4" t="s">
        <v>73</v>
      </c>
      <c r="D8" s="4" t="s">
        <v>49</v>
      </c>
      <c r="E8" s="5">
        <v>2</v>
      </c>
      <c r="F8" s="9">
        <f>((1.74-1)*0.95)+1</f>
        <v>1.7029999999999998</v>
      </c>
      <c r="G8" s="16" t="s">
        <v>41</v>
      </c>
      <c r="H8" s="281">
        <v>1</v>
      </c>
      <c r="J8" s="62">
        <f t="shared" si="0"/>
        <v>1.4059999999999997</v>
      </c>
    </row>
    <row r="9" spans="1:10">
      <c r="A9" s="42" t="s">
        <v>12</v>
      </c>
      <c r="B9" s="42" t="s">
        <v>2</v>
      </c>
      <c r="C9" s="42" t="s">
        <v>47</v>
      </c>
      <c r="D9" s="42" t="s">
        <v>48</v>
      </c>
      <c r="E9" s="43">
        <v>1.5</v>
      </c>
      <c r="F9" s="44">
        <f>((3.95-1)*0.95)+1</f>
        <v>3.8025000000000002</v>
      </c>
      <c r="G9" s="45" t="s">
        <v>43</v>
      </c>
      <c r="H9" s="281">
        <v>1</v>
      </c>
      <c r="J9" s="62">
        <f t="shared" si="0"/>
        <v>4.2037500000000003</v>
      </c>
    </row>
    <row r="10" spans="1:10">
      <c r="A10" s="46" t="s">
        <v>12</v>
      </c>
      <c r="B10" s="46" t="s">
        <v>28</v>
      </c>
      <c r="C10" s="46" t="s">
        <v>1</v>
      </c>
      <c r="D10" s="46" t="s">
        <v>49</v>
      </c>
      <c r="E10" s="47">
        <v>2</v>
      </c>
      <c r="F10" s="48">
        <f>((1.96-1)*0.95)+1</f>
        <v>1.9119999999999999</v>
      </c>
      <c r="G10" s="49" t="s">
        <v>37</v>
      </c>
      <c r="H10" s="281">
        <v>0</v>
      </c>
      <c r="J10" s="62">
        <f t="shared" si="0"/>
        <v>-2</v>
      </c>
    </row>
    <row r="11" spans="1:10">
      <c r="A11" s="46" t="s">
        <v>12</v>
      </c>
      <c r="B11" s="46" t="s">
        <v>26</v>
      </c>
      <c r="C11" s="46" t="s">
        <v>4</v>
      </c>
      <c r="D11" s="46" t="s">
        <v>48</v>
      </c>
      <c r="E11" s="47">
        <v>1.5</v>
      </c>
      <c r="F11" s="48">
        <v>2.2000000000000002</v>
      </c>
      <c r="G11" s="49" t="s">
        <v>38</v>
      </c>
      <c r="H11" s="281">
        <v>0</v>
      </c>
      <c r="J11" s="62">
        <f t="shared" si="0"/>
        <v>-1.5</v>
      </c>
    </row>
    <row r="12" spans="1:10">
      <c r="A12" s="50" t="s">
        <v>12</v>
      </c>
      <c r="B12" s="50" t="s">
        <v>2</v>
      </c>
      <c r="C12" s="50" t="s">
        <v>27</v>
      </c>
      <c r="D12" s="50" t="s">
        <v>49</v>
      </c>
      <c r="E12" s="51">
        <v>1.5</v>
      </c>
      <c r="F12" s="52">
        <v>2.9</v>
      </c>
      <c r="G12" s="53" t="s">
        <v>121</v>
      </c>
      <c r="H12" s="281">
        <v>0</v>
      </c>
      <c r="J12" s="62"/>
    </row>
    <row r="13" spans="1:10">
      <c r="A13" s="54" t="s">
        <v>12</v>
      </c>
      <c r="B13" s="54" t="s">
        <v>16</v>
      </c>
      <c r="C13" s="54" t="s">
        <v>47</v>
      </c>
      <c r="D13" s="54" t="s">
        <v>49</v>
      </c>
      <c r="E13" s="55">
        <v>2</v>
      </c>
      <c r="F13" s="56">
        <f>((2.1-1)*0.95)+1</f>
        <v>2.0449999999999999</v>
      </c>
      <c r="G13" s="57" t="s">
        <v>122</v>
      </c>
      <c r="H13" s="281">
        <v>1</v>
      </c>
      <c r="J13" s="62">
        <f t="shared" si="0"/>
        <v>2.09</v>
      </c>
    </row>
    <row r="14" spans="1:10">
      <c r="A14" s="54" t="s">
        <v>12</v>
      </c>
      <c r="B14" s="54" t="s">
        <v>0</v>
      </c>
      <c r="C14" s="54" t="s">
        <v>15</v>
      </c>
      <c r="D14" s="54" t="s">
        <v>48</v>
      </c>
      <c r="E14" s="55">
        <v>0.75</v>
      </c>
      <c r="F14" s="56">
        <v>6.2</v>
      </c>
      <c r="G14" s="57" t="s">
        <v>39</v>
      </c>
      <c r="H14" s="281">
        <v>1</v>
      </c>
      <c r="J14" s="62">
        <f t="shared" si="0"/>
        <v>3.9000000000000004</v>
      </c>
    </row>
    <row r="15" spans="1:10">
      <c r="A15" s="46" t="s">
        <v>12</v>
      </c>
      <c r="B15" s="46" t="s">
        <v>67</v>
      </c>
      <c r="C15" s="46" t="s">
        <v>5</v>
      </c>
      <c r="D15" s="46" t="s">
        <v>48</v>
      </c>
      <c r="E15" s="47">
        <v>1.5</v>
      </c>
      <c r="F15" s="48">
        <f>((3.65-1)*0.95)+1</f>
        <v>3.5174999999999996</v>
      </c>
      <c r="G15" s="49" t="s">
        <v>42</v>
      </c>
      <c r="H15" s="281">
        <v>0</v>
      </c>
      <c r="J15" s="62">
        <f t="shared" si="0"/>
        <v>-1.5</v>
      </c>
    </row>
    <row r="16" spans="1:10">
      <c r="A16" s="91" t="s">
        <v>12</v>
      </c>
      <c r="B16" s="91" t="s">
        <v>26</v>
      </c>
      <c r="C16" s="91" t="s">
        <v>119</v>
      </c>
      <c r="D16" s="91" t="s">
        <v>48</v>
      </c>
      <c r="E16" s="92">
        <v>1</v>
      </c>
      <c r="F16" s="93">
        <v>2.2999999999999998</v>
      </c>
      <c r="G16" s="94" t="s">
        <v>43</v>
      </c>
      <c r="H16" s="281">
        <v>1</v>
      </c>
      <c r="J16" s="62">
        <f t="shared" si="0"/>
        <v>1.2999999999999998</v>
      </c>
    </row>
    <row r="17" spans="1:13" s="235" customFormat="1">
      <c r="A17" s="12" t="s">
        <v>12</v>
      </c>
      <c r="B17" s="12" t="s">
        <v>28</v>
      </c>
      <c r="C17" s="12" t="s">
        <v>10</v>
      </c>
      <c r="D17" s="12" t="s">
        <v>49</v>
      </c>
      <c r="E17" s="13">
        <v>1</v>
      </c>
      <c r="F17" s="14">
        <f>((2.28-1)*0.95)+1</f>
        <v>2.2159999999999997</v>
      </c>
      <c r="G17" s="15" t="s">
        <v>38</v>
      </c>
      <c r="H17" s="235">
        <v>0</v>
      </c>
      <c r="J17" s="62">
        <f t="shared" si="0"/>
        <v>-1</v>
      </c>
      <c r="L17" s="281"/>
      <c r="M17" s="281"/>
    </row>
    <row r="18" spans="1:13" s="235" customFormat="1">
      <c r="A18" s="4" t="s">
        <v>12</v>
      </c>
      <c r="B18" s="4" t="s">
        <v>47</v>
      </c>
      <c r="C18" s="4" t="s">
        <v>0</v>
      </c>
      <c r="D18" s="4" t="s">
        <v>49</v>
      </c>
      <c r="E18" s="5">
        <v>1</v>
      </c>
      <c r="F18" s="9">
        <f>((2.32-1)*0.95)+1</f>
        <v>2.2539999999999996</v>
      </c>
      <c r="G18" s="10" t="s">
        <v>122</v>
      </c>
      <c r="H18" s="235">
        <v>1</v>
      </c>
      <c r="J18" s="62">
        <f t="shared" si="0"/>
        <v>1.2539999999999996</v>
      </c>
      <c r="L18" s="281"/>
      <c r="M18" s="281"/>
    </row>
    <row r="19" spans="1:13" s="235" customFormat="1">
      <c r="A19" s="12" t="s">
        <v>12</v>
      </c>
      <c r="B19" s="12" t="s">
        <v>5</v>
      </c>
      <c r="C19" s="12" t="s">
        <v>73</v>
      </c>
      <c r="D19" s="12" t="s">
        <v>49</v>
      </c>
      <c r="E19" s="13">
        <v>2</v>
      </c>
      <c r="F19" s="14">
        <f>((1.86-1)*0.95)+1</f>
        <v>1.8170000000000002</v>
      </c>
      <c r="G19" s="15" t="s">
        <v>39</v>
      </c>
      <c r="H19" s="235">
        <v>0</v>
      </c>
      <c r="J19" s="62">
        <f t="shared" si="0"/>
        <v>-2</v>
      </c>
      <c r="L19" s="281"/>
      <c r="M19" s="281"/>
    </row>
    <row r="20" spans="1:13" s="235" customFormat="1">
      <c r="A20" s="12" t="s">
        <v>12</v>
      </c>
      <c r="B20" s="12" t="s">
        <v>175</v>
      </c>
      <c r="C20" s="12" t="s">
        <v>4</v>
      </c>
      <c r="D20" s="12" t="s">
        <v>49</v>
      </c>
      <c r="E20" s="13">
        <v>1.5</v>
      </c>
      <c r="F20" s="14">
        <v>2</v>
      </c>
      <c r="G20" s="15" t="s">
        <v>37</v>
      </c>
      <c r="H20" s="235">
        <v>0</v>
      </c>
      <c r="J20" s="62">
        <f t="shared" si="0"/>
        <v>-1.5</v>
      </c>
      <c r="L20" s="281"/>
      <c r="M20" s="281"/>
    </row>
    <row r="21" spans="1:13" s="235" customFormat="1">
      <c r="A21" s="87" t="s">
        <v>12</v>
      </c>
      <c r="B21" s="87" t="s">
        <v>27</v>
      </c>
      <c r="C21" s="87" t="s">
        <v>16</v>
      </c>
      <c r="D21" s="87" t="s">
        <v>49</v>
      </c>
      <c r="E21" s="88">
        <v>1.5</v>
      </c>
      <c r="F21" s="89">
        <v>1.75</v>
      </c>
      <c r="G21" s="90" t="s">
        <v>179</v>
      </c>
      <c r="H21" s="235">
        <v>0</v>
      </c>
      <c r="J21" s="62">
        <f t="shared" si="0"/>
        <v>-1.5</v>
      </c>
      <c r="L21" s="281"/>
      <c r="M21" s="281"/>
    </row>
    <row r="22" spans="1:13" s="235" customFormat="1">
      <c r="A22" s="12" t="s">
        <v>12</v>
      </c>
      <c r="B22" s="12" t="s">
        <v>2</v>
      </c>
      <c r="C22" s="12" t="s">
        <v>181</v>
      </c>
      <c r="D22" s="12" t="s">
        <v>48</v>
      </c>
      <c r="E22" s="13">
        <v>1.5</v>
      </c>
      <c r="F22" s="14">
        <v>2.9</v>
      </c>
      <c r="G22" s="15" t="s">
        <v>36</v>
      </c>
      <c r="H22" s="235">
        <v>0</v>
      </c>
      <c r="J22" s="62">
        <f t="shared" si="0"/>
        <v>-1.5</v>
      </c>
      <c r="L22" s="281"/>
      <c r="M22" s="281"/>
    </row>
    <row r="23" spans="1:13" s="235" customFormat="1">
      <c r="A23" s="4" t="s">
        <v>12</v>
      </c>
      <c r="B23" s="4" t="s">
        <v>67</v>
      </c>
      <c r="C23" s="4" t="s">
        <v>47</v>
      </c>
      <c r="D23" s="4" t="s">
        <v>49</v>
      </c>
      <c r="E23" s="5">
        <v>1.5</v>
      </c>
      <c r="F23" s="9">
        <f>((1.8-1)*0.95)+1</f>
        <v>1.76</v>
      </c>
      <c r="G23" s="10" t="s">
        <v>187</v>
      </c>
      <c r="H23" s="235">
        <v>1</v>
      </c>
      <c r="J23" s="62">
        <f t="shared" si="0"/>
        <v>1.1400000000000001</v>
      </c>
      <c r="L23" s="281"/>
      <c r="M23" s="281"/>
    </row>
    <row r="24" spans="1:13" s="235" customFormat="1">
      <c r="A24" s="4" t="s">
        <v>12</v>
      </c>
      <c r="B24" s="4" t="s">
        <v>182</v>
      </c>
      <c r="C24" s="4" t="s">
        <v>5</v>
      </c>
      <c r="D24" s="4" t="s">
        <v>49</v>
      </c>
      <c r="E24" s="5">
        <v>1.5</v>
      </c>
      <c r="F24" s="9">
        <f>((2.86-1)*0.95)+1</f>
        <v>2.7669999999999999</v>
      </c>
      <c r="G24" s="10" t="s">
        <v>36</v>
      </c>
      <c r="H24" s="235">
        <v>1</v>
      </c>
      <c r="J24" s="62">
        <f t="shared" si="0"/>
        <v>2.6505000000000001</v>
      </c>
      <c r="L24" s="281"/>
      <c r="M24" s="281"/>
    </row>
    <row r="25" spans="1:13" s="235" customFormat="1">
      <c r="A25" s="4" t="s">
        <v>12</v>
      </c>
      <c r="B25" s="4" t="s">
        <v>0</v>
      </c>
      <c r="C25" s="4" t="s">
        <v>27</v>
      </c>
      <c r="D25" s="4" t="s">
        <v>49</v>
      </c>
      <c r="E25" s="5">
        <v>2</v>
      </c>
      <c r="F25" s="9">
        <v>2.8</v>
      </c>
      <c r="G25" s="10" t="s">
        <v>42</v>
      </c>
      <c r="H25" s="235">
        <v>1</v>
      </c>
      <c r="J25" s="62">
        <f t="shared" si="0"/>
        <v>3.5999999999999996</v>
      </c>
      <c r="L25" s="281"/>
      <c r="M25" s="281"/>
    </row>
    <row r="26" spans="1:13" s="235" customFormat="1">
      <c r="A26" s="87" t="s">
        <v>12</v>
      </c>
      <c r="B26" s="87" t="s">
        <v>10</v>
      </c>
      <c r="C26" s="87" t="s">
        <v>134</v>
      </c>
      <c r="D26" s="87" t="s">
        <v>49</v>
      </c>
      <c r="E26" s="88">
        <v>0.75</v>
      </c>
      <c r="F26" s="89">
        <f>((4.2-1)*0.95)+1</f>
        <v>4.04</v>
      </c>
      <c r="G26" s="90" t="s">
        <v>37</v>
      </c>
      <c r="H26" s="235">
        <v>0</v>
      </c>
      <c r="J26" s="62">
        <f t="shared" si="0"/>
        <v>-0.75</v>
      </c>
      <c r="L26" s="281"/>
      <c r="M26" s="281"/>
    </row>
    <row r="27" spans="1:13" s="235" customFormat="1">
      <c r="A27" s="4" t="s">
        <v>12</v>
      </c>
      <c r="B27" s="4" t="s">
        <v>5</v>
      </c>
      <c r="C27" s="4" t="s">
        <v>26</v>
      </c>
      <c r="D27" s="4" t="s">
        <v>49</v>
      </c>
      <c r="E27" s="5">
        <v>3</v>
      </c>
      <c r="F27" s="9">
        <f>((1.73-1)*0.95)+1</f>
        <v>1.6935</v>
      </c>
      <c r="G27" s="10" t="s">
        <v>36</v>
      </c>
      <c r="H27" s="235">
        <v>1</v>
      </c>
      <c r="J27" s="62">
        <f t="shared" si="0"/>
        <v>2.0804999999999998</v>
      </c>
      <c r="L27" s="281"/>
      <c r="M27" s="281"/>
    </row>
    <row r="28" spans="1:13" s="235" customFormat="1">
      <c r="A28" s="4" t="s">
        <v>12</v>
      </c>
      <c r="B28" s="4" t="s">
        <v>15</v>
      </c>
      <c r="C28" s="4" t="s">
        <v>182</v>
      </c>
      <c r="D28" s="4" t="s">
        <v>49</v>
      </c>
      <c r="E28" s="5">
        <v>2</v>
      </c>
      <c r="F28" s="9">
        <f>((2.46-1)*0.95)+1</f>
        <v>2.387</v>
      </c>
      <c r="G28" s="10" t="s">
        <v>201</v>
      </c>
      <c r="H28" s="235">
        <v>1</v>
      </c>
      <c r="J28" s="62">
        <f t="shared" si="0"/>
        <v>2.774</v>
      </c>
      <c r="L28" s="281"/>
      <c r="M28" s="281"/>
    </row>
    <row r="29" spans="1:13" s="235" customFormat="1">
      <c r="A29" s="4" t="s">
        <v>12</v>
      </c>
      <c r="B29" s="4" t="s">
        <v>27</v>
      </c>
      <c r="C29" s="4" t="s">
        <v>67</v>
      </c>
      <c r="D29" s="4" t="s">
        <v>49</v>
      </c>
      <c r="E29" s="5">
        <v>1.25</v>
      </c>
      <c r="F29" s="9">
        <f>((1.97-1)*0.95)+1</f>
        <v>1.9215</v>
      </c>
      <c r="G29" s="10" t="s">
        <v>41</v>
      </c>
      <c r="H29" s="235">
        <v>1</v>
      </c>
      <c r="J29" s="62">
        <f t="shared" si="0"/>
        <v>1.151875</v>
      </c>
      <c r="L29" s="281"/>
      <c r="M29" s="281"/>
    </row>
    <row r="30" spans="1:13" s="235" customFormat="1">
      <c r="A30" s="87" t="s">
        <v>12</v>
      </c>
      <c r="B30" s="87" t="s">
        <v>28</v>
      </c>
      <c r="C30" s="87" t="s">
        <v>2</v>
      </c>
      <c r="D30" s="87" t="s">
        <v>49</v>
      </c>
      <c r="E30" s="88">
        <v>1</v>
      </c>
      <c r="F30" s="89">
        <v>2.2999999999999998</v>
      </c>
      <c r="G30" s="90" t="s">
        <v>206</v>
      </c>
      <c r="H30" s="235">
        <v>0</v>
      </c>
      <c r="J30" s="62">
        <f t="shared" si="0"/>
        <v>-1</v>
      </c>
      <c r="L30" s="281"/>
      <c r="M30" s="281"/>
    </row>
    <row r="31" spans="1:13" s="235" customFormat="1">
      <c r="A31" s="50" t="s">
        <v>12</v>
      </c>
      <c r="B31" s="50" t="s">
        <v>10</v>
      </c>
      <c r="C31" s="50" t="s">
        <v>3</v>
      </c>
      <c r="D31" s="50" t="s">
        <v>49</v>
      </c>
      <c r="E31" s="51">
        <v>2</v>
      </c>
      <c r="F31" s="52">
        <f>((2.14-1)*0.95)+1</f>
        <v>2.0830000000000002</v>
      </c>
      <c r="G31" s="53" t="s">
        <v>38</v>
      </c>
      <c r="H31" s="235">
        <v>0</v>
      </c>
      <c r="J31" s="62">
        <f t="shared" si="0"/>
        <v>-2</v>
      </c>
      <c r="L31" s="281"/>
      <c r="M31" s="281"/>
    </row>
    <row r="32" spans="1:13" s="235" customFormat="1">
      <c r="A32" s="54" t="s">
        <v>12</v>
      </c>
      <c r="B32" s="54" t="s">
        <v>67</v>
      </c>
      <c r="C32" s="54" t="s">
        <v>1</v>
      </c>
      <c r="D32" s="54" t="s">
        <v>49</v>
      </c>
      <c r="E32" s="55">
        <v>3</v>
      </c>
      <c r="F32" s="56">
        <f>((1.49-1)*0.95)+1</f>
        <v>1.4655</v>
      </c>
      <c r="G32" s="57" t="s">
        <v>146</v>
      </c>
      <c r="H32" s="235">
        <v>1</v>
      </c>
      <c r="J32" s="62">
        <f t="shared" si="0"/>
        <v>1.3965000000000001</v>
      </c>
      <c r="L32" s="281"/>
      <c r="M32" s="281"/>
    </row>
    <row r="33" spans="1:13" s="235" customFormat="1">
      <c r="A33" s="54" t="s">
        <v>12</v>
      </c>
      <c r="B33" s="54" t="s">
        <v>26</v>
      </c>
      <c r="C33" s="54" t="s">
        <v>15</v>
      </c>
      <c r="D33" s="54" t="s">
        <v>49</v>
      </c>
      <c r="E33" s="55">
        <v>1</v>
      </c>
      <c r="F33" s="56">
        <f>((2-1)*0.95)+1</f>
        <v>1.95</v>
      </c>
      <c r="G33" s="57" t="s">
        <v>42</v>
      </c>
      <c r="H33" s="235">
        <v>1</v>
      </c>
      <c r="J33" s="62">
        <f t="shared" si="0"/>
        <v>0.95</v>
      </c>
      <c r="L33" s="281"/>
      <c r="M33" s="281"/>
    </row>
    <row r="34" spans="1:13" s="235" customFormat="1">
      <c r="A34" s="54" t="s">
        <v>12</v>
      </c>
      <c r="B34" s="54" t="s">
        <v>182</v>
      </c>
      <c r="C34" s="54" t="s">
        <v>47</v>
      </c>
      <c r="D34" s="54" t="s">
        <v>49</v>
      </c>
      <c r="E34" s="55">
        <v>2.5</v>
      </c>
      <c r="F34" s="56">
        <f>((2.26-1)*0.95)+1</f>
        <v>2.1970000000000001</v>
      </c>
      <c r="G34" s="57" t="s">
        <v>122</v>
      </c>
      <c r="H34" s="235">
        <v>1</v>
      </c>
      <c r="J34" s="62">
        <f t="shared" si="0"/>
        <v>2.9925000000000002</v>
      </c>
      <c r="L34" s="281"/>
      <c r="M34" s="281"/>
    </row>
    <row r="35" spans="1:13" s="235" customFormat="1">
      <c r="A35" s="46" t="s">
        <v>12</v>
      </c>
      <c r="B35" s="46" t="s">
        <v>4</v>
      </c>
      <c r="C35" s="46" t="s">
        <v>5</v>
      </c>
      <c r="D35" s="46" t="s">
        <v>49</v>
      </c>
      <c r="E35" s="47">
        <v>1</v>
      </c>
      <c r="F35" s="48">
        <f>((1.88-1)*0.95)+1</f>
        <v>1.8359999999999999</v>
      </c>
      <c r="G35" s="49" t="s">
        <v>39</v>
      </c>
      <c r="H35" s="235">
        <v>0</v>
      </c>
      <c r="J35" s="62">
        <f t="shared" si="0"/>
        <v>-1</v>
      </c>
      <c r="L35" s="281"/>
      <c r="M35" s="281"/>
    </row>
    <row r="36" spans="1:13" s="235" customFormat="1" ht="15.75" thickBot="1">
      <c r="A36" s="206" t="s">
        <v>12</v>
      </c>
      <c r="B36" s="206" t="s">
        <v>16</v>
      </c>
      <c r="C36" s="206" t="s">
        <v>28</v>
      </c>
      <c r="D36" s="206" t="s">
        <v>34</v>
      </c>
      <c r="E36" s="290">
        <v>0.5</v>
      </c>
      <c r="F36" s="291">
        <f>((3.75-1)*0.95)+1</f>
        <v>3.6124999999999998</v>
      </c>
      <c r="G36" s="292" t="s">
        <v>39</v>
      </c>
      <c r="H36" s="235">
        <v>0</v>
      </c>
      <c r="J36" s="62">
        <f t="shared" si="0"/>
        <v>-0.5</v>
      </c>
      <c r="L36" s="281"/>
      <c r="M36" s="281"/>
    </row>
    <row r="37" spans="1:13">
      <c r="A37" s="46" t="s">
        <v>12</v>
      </c>
      <c r="B37" s="46" t="s">
        <v>181</v>
      </c>
      <c r="C37" s="46" t="s">
        <v>67</v>
      </c>
      <c r="D37" s="46" t="s">
        <v>49</v>
      </c>
      <c r="E37" s="47">
        <v>2</v>
      </c>
      <c r="F37" s="48">
        <f>((2.48-1)*0.95)+1</f>
        <v>2.4059999999999997</v>
      </c>
      <c r="G37" s="49" t="s">
        <v>243</v>
      </c>
      <c r="H37" s="235">
        <v>0</v>
      </c>
      <c r="J37" s="62">
        <f t="shared" ref="J37:J81" si="1">IF(H37=1,E37*(F37-1),-E37)</f>
        <v>-2</v>
      </c>
      <c r="K37" s="235"/>
    </row>
    <row r="38" spans="1:13">
      <c r="A38" s="46" t="s">
        <v>12</v>
      </c>
      <c r="B38" s="46" t="s">
        <v>5</v>
      </c>
      <c r="C38" s="46" t="s">
        <v>134</v>
      </c>
      <c r="D38" s="46" t="s">
        <v>48</v>
      </c>
      <c r="E38" s="47">
        <v>1.5</v>
      </c>
      <c r="F38" s="48">
        <f>((3.5-1)*0.95)+1</f>
        <v>3.375</v>
      </c>
      <c r="G38" s="49" t="s">
        <v>38</v>
      </c>
      <c r="H38" s="235">
        <v>0</v>
      </c>
      <c r="I38" s="233"/>
      <c r="J38" s="62">
        <f t="shared" si="1"/>
        <v>-1.5</v>
      </c>
      <c r="K38" s="235"/>
    </row>
    <row r="39" spans="1:13">
      <c r="A39" s="46" t="s">
        <v>12</v>
      </c>
      <c r="B39" s="46" t="s">
        <v>15</v>
      </c>
      <c r="C39" s="46" t="s">
        <v>4</v>
      </c>
      <c r="D39" s="46" t="s">
        <v>34</v>
      </c>
      <c r="E39" s="47">
        <v>0.5</v>
      </c>
      <c r="F39" s="48">
        <f>((3.5-1)*0.95)+1</f>
        <v>3.375</v>
      </c>
      <c r="G39" s="49" t="s">
        <v>43</v>
      </c>
      <c r="H39" s="235">
        <v>0</v>
      </c>
      <c r="J39" s="62">
        <f t="shared" si="1"/>
        <v>-0.5</v>
      </c>
      <c r="K39" s="235"/>
    </row>
    <row r="40" spans="1:13">
      <c r="A40" s="46" t="s">
        <v>12</v>
      </c>
      <c r="B40" s="46" t="s">
        <v>27</v>
      </c>
      <c r="C40" s="46" t="s">
        <v>182</v>
      </c>
      <c r="D40" s="46" t="s">
        <v>34</v>
      </c>
      <c r="E40" s="47">
        <v>0.5</v>
      </c>
      <c r="F40" s="48">
        <f>((4.1-1)*0.95)+1</f>
        <v>3.9449999999999994</v>
      </c>
      <c r="G40" s="49" t="s">
        <v>36</v>
      </c>
      <c r="H40" s="235">
        <v>0</v>
      </c>
      <c r="J40" s="62">
        <f t="shared" si="1"/>
        <v>-0.5</v>
      </c>
      <c r="K40" s="235"/>
    </row>
    <row r="41" spans="1:13">
      <c r="A41" s="87" t="s">
        <v>12</v>
      </c>
      <c r="B41" s="87" t="s">
        <v>239</v>
      </c>
      <c r="C41" s="87" t="s">
        <v>16</v>
      </c>
      <c r="D41" s="87" t="s">
        <v>48</v>
      </c>
      <c r="E41" s="88">
        <v>0.5</v>
      </c>
      <c r="F41" s="89">
        <f>((24-1)*0.95)+1</f>
        <v>22.849999999999998</v>
      </c>
      <c r="G41" s="90" t="s">
        <v>246</v>
      </c>
      <c r="H41" s="235">
        <v>0</v>
      </c>
      <c r="J41" s="62">
        <f t="shared" si="1"/>
        <v>-0.5</v>
      </c>
      <c r="K41" s="235"/>
    </row>
    <row r="42" spans="1:13">
      <c r="A42" s="42" t="s">
        <v>12</v>
      </c>
      <c r="B42" s="42" t="s">
        <v>182</v>
      </c>
      <c r="C42" s="42" t="s">
        <v>1</v>
      </c>
      <c r="D42" s="42" t="s">
        <v>49</v>
      </c>
      <c r="E42" s="43">
        <v>2.25</v>
      </c>
      <c r="F42" s="44">
        <f>((1.82-1)*0.95)+1</f>
        <v>1.7789999999999999</v>
      </c>
      <c r="G42" s="45" t="s">
        <v>41</v>
      </c>
      <c r="H42" s="235">
        <v>1</v>
      </c>
      <c r="J42" s="62">
        <f t="shared" si="1"/>
        <v>1.7527499999999998</v>
      </c>
      <c r="K42" s="235"/>
    </row>
    <row r="43" spans="1:13">
      <c r="A43" s="54" t="s">
        <v>12</v>
      </c>
      <c r="B43" s="54" t="s">
        <v>3</v>
      </c>
      <c r="C43" s="54" t="s">
        <v>5</v>
      </c>
      <c r="D43" s="54" t="s">
        <v>49</v>
      </c>
      <c r="E43" s="55">
        <v>1.25</v>
      </c>
      <c r="F43" s="56">
        <v>3.25</v>
      </c>
      <c r="G43" s="57" t="s">
        <v>122</v>
      </c>
      <c r="H43" s="235">
        <v>1</v>
      </c>
      <c r="J43" s="62">
        <f t="shared" si="1"/>
        <v>2.8125</v>
      </c>
      <c r="K43" s="235"/>
    </row>
    <row r="44" spans="1:13">
      <c r="A44" s="54" t="s">
        <v>12</v>
      </c>
      <c r="B44" s="54" t="s">
        <v>73</v>
      </c>
      <c r="C44" s="54" t="s">
        <v>181</v>
      </c>
      <c r="D44" s="54" t="s">
        <v>48</v>
      </c>
      <c r="E44" s="55">
        <v>1.25</v>
      </c>
      <c r="F44" s="56">
        <f>((4.3-1)*0.95)+1</f>
        <v>4.1349999999999998</v>
      </c>
      <c r="G44" s="57" t="s">
        <v>39</v>
      </c>
      <c r="H44" s="235">
        <v>1</v>
      </c>
      <c r="J44" s="62">
        <f t="shared" si="1"/>
        <v>3.9187499999999997</v>
      </c>
      <c r="K44" s="235"/>
    </row>
    <row r="45" spans="1:13">
      <c r="A45" s="54" t="s">
        <v>12</v>
      </c>
      <c r="B45" s="54" t="s">
        <v>16</v>
      </c>
      <c r="C45" s="54" t="s">
        <v>2</v>
      </c>
      <c r="D45" s="54" t="s">
        <v>49</v>
      </c>
      <c r="E45" s="55">
        <v>2.5</v>
      </c>
      <c r="F45" s="56">
        <f>((2.24-1)*0.95)+1</f>
        <v>2.1779999999999999</v>
      </c>
      <c r="G45" s="57" t="s">
        <v>146</v>
      </c>
      <c r="H45" s="235">
        <v>1</v>
      </c>
      <c r="J45" s="62">
        <f t="shared" si="1"/>
        <v>2.9449999999999998</v>
      </c>
      <c r="K45" s="235"/>
    </row>
    <row r="46" spans="1:13">
      <c r="A46" s="46" t="s">
        <v>12</v>
      </c>
      <c r="B46" s="46" t="s">
        <v>26</v>
      </c>
      <c r="C46" s="46" t="s">
        <v>27</v>
      </c>
      <c r="D46" s="46" t="s">
        <v>48</v>
      </c>
      <c r="E46" s="47">
        <v>2.5</v>
      </c>
      <c r="F46" s="48">
        <f>((2.66-1)*0.95)+1</f>
        <v>2.577</v>
      </c>
      <c r="G46" s="49" t="s">
        <v>42</v>
      </c>
      <c r="H46" s="235">
        <v>0</v>
      </c>
      <c r="J46" s="62">
        <f t="shared" si="1"/>
        <v>-2.5</v>
      </c>
      <c r="K46" s="235"/>
    </row>
    <row r="47" spans="1:13">
      <c r="A47" s="87" t="s">
        <v>12</v>
      </c>
      <c r="B47" s="87" t="s">
        <v>134</v>
      </c>
      <c r="C47" s="87" t="s">
        <v>15</v>
      </c>
      <c r="D47" s="87" t="s">
        <v>48</v>
      </c>
      <c r="E47" s="88">
        <v>0.5</v>
      </c>
      <c r="F47" s="89">
        <f>((11.5-1)*0.95)+1</f>
        <v>10.975</v>
      </c>
      <c r="G47" s="90" t="s">
        <v>36</v>
      </c>
      <c r="H47" s="235">
        <v>0</v>
      </c>
      <c r="J47" s="62">
        <f t="shared" si="1"/>
        <v>-0.5</v>
      </c>
      <c r="K47" s="235"/>
    </row>
    <row r="48" spans="1:13">
      <c r="A48" s="50" t="s">
        <v>12</v>
      </c>
      <c r="B48" s="50" t="s">
        <v>1</v>
      </c>
      <c r="C48" s="50" t="s">
        <v>26</v>
      </c>
      <c r="D48" s="50" t="s">
        <v>49</v>
      </c>
      <c r="E48" s="51">
        <v>1</v>
      </c>
      <c r="F48" s="52">
        <f>((2.64-1)*0.95)+1</f>
        <v>2.5579999999999998</v>
      </c>
      <c r="G48" s="53" t="s">
        <v>38</v>
      </c>
      <c r="H48" s="235">
        <v>0</v>
      </c>
      <c r="J48" s="62">
        <f t="shared" si="1"/>
        <v>-1</v>
      </c>
      <c r="K48" s="235"/>
    </row>
    <row r="49" spans="1:11">
      <c r="A49" s="46" t="s">
        <v>12</v>
      </c>
      <c r="B49" s="46" t="s">
        <v>27</v>
      </c>
      <c r="C49" s="46" t="s">
        <v>4</v>
      </c>
      <c r="D49" s="46" t="s">
        <v>49</v>
      </c>
      <c r="E49" s="47">
        <v>1.75</v>
      </c>
      <c r="F49" s="48">
        <f>((2.4-1)*0.95)+1</f>
        <v>2.33</v>
      </c>
      <c r="G49" s="49" t="s">
        <v>366</v>
      </c>
      <c r="H49" s="235">
        <v>0</v>
      </c>
      <c r="J49" s="62">
        <f t="shared" si="1"/>
        <v>-1.75</v>
      </c>
      <c r="K49" s="235"/>
    </row>
    <row r="50" spans="1:11">
      <c r="A50" s="54" t="s">
        <v>12</v>
      </c>
      <c r="B50" s="54" t="s">
        <v>15</v>
      </c>
      <c r="C50" s="54" t="s">
        <v>3</v>
      </c>
      <c r="D50" s="54" t="s">
        <v>49</v>
      </c>
      <c r="E50" s="55">
        <v>1.25</v>
      </c>
      <c r="F50" s="56">
        <f>((2.08-1)*0.95)+1</f>
        <v>2.0259999999999998</v>
      </c>
      <c r="G50" s="57" t="s">
        <v>42</v>
      </c>
      <c r="H50" s="235">
        <v>1</v>
      </c>
      <c r="J50" s="62">
        <f t="shared" si="1"/>
        <v>1.2824999999999998</v>
      </c>
      <c r="K50" s="235"/>
    </row>
    <row r="51" spans="1:11">
      <c r="A51" s="46" t="s">
        <v>12</v>
      </c>
      <c r="B51" s="46" t="s">
        <v>2</v>
      </c>
      <c r="C51" s="46" t="s">
        <v>0</v>
      </c>
      <c r="D51" s="46" t="s">
        <v>34</v>
      </c>
      <c r="E51" s="47">
        <v>0.75</v>
      </c>
      <c r="F51" s="48">
        <f>((3.45-1)*0.95)+1</f>
        <v>3.3275000000000001</v>
      </c>
      <c r="G51" s="49" t="s">
        <v>41</v>
      </c>
      <c r="H51" s="235">
        <v>0</v>
      </c>
      <c r="J51" s="62">
        <f t="shared" si="1"/>
        <v>-0.75</v>
      </c>
      <c r="K51" s="235"/>
    </row>
    <row r="52" spans="1:11">
      <c r="A52" s="87" t="s">
        <v>12</v>
      </c>
      <c r="B52" s="87" t="s">
        <v>181</v>
      </c>
      <c r="C52" s="87" t="s">
        <v>182</v>
      </c>
      <c r="D52" s="87" t="s">
        <v>34</v>
      </c>
      <c r="E52" s="88">
        <v>0.5</v>
      </c>
      <c r="F52" s="89">
        <f>((3.5-1)*0.95)+1</f>
        <v>3.375</v>
      </c>
      <c r="G52" s="90" t="s">
        <v>122</v>
      </c>
      <c r="H52" s="235">
        <v>0</v>
      </c>
      <c r="J52" s="62">
        <f t="shared" si="1"/>
        <v>-0.5</v>
      </c>
      <c r="K52" s="235"/>
    </row>
    <row r="53" spans="1:11">
      <c r="A53" s="50" t="s">
        <v>12</v>
      </c>
      <c r="B53" s="50" t="s">
        <v>182</v>
      </c>
      <c r="C53" s="50" t="s">
        <v>28</v>
      </c>
      <c r="D53" s="50" t="s">
        <v>49</v>
      </c>
      <c r="E53" s="51">
        <v>2.5</v>
      </c>
      <c r="F53" s="52">
        <f>((2.06-1)*0.95)+1</f>
        <v>2.0069999999999997</v>
      </c>
      <c r="G53" s="53" t="s">
        <v>243</v>
      </c>
      <c r="H53" s="235">
        <v>0</v>
      </c>
      <c r="J53" s="62">
        <f t="shared" si="1"/>
        <v>-2.5</v>
      </c>
      <c r="K53" s="235"/>
    </row>
    <row r="54" spans="1:11">
      <c r="A54" s="46" t="s">
        <v>12</v>
      </c>
      <c r="B54" s="46" t="s">
        <v>3</v>
      </c>
      <c r="C54" s="46" t="s">
        <v>47</v>
      </c>
      <c r="D54" s="46" t="s">
        <v>49</v>
      </c>
      <c r="E54" s="47">
        <v>1.5</v>
      </c>
      <c r="F54" s="48">
        <v>2.35</v>
      </c>
      <c r="G54" s="49" t="s">
        <v>121</v>
      </c>
      <c r="H54" s="235">
        <v>0</v>
      </c>
      <c r="J54" s="62">
        <f t="shared" si="1"/>
        <v>-1.5</v>
      </c>
      <c r="K54" s="235"/>
    </row>
    <row r="55" spans="1:11">
      <c r="A55" s="54" t="s">
        <v>12</v>
      </c>
      <c r="B55" s="54" t="s">
        <v>67</v>
      </c>
      <c r="C55" s="54" t="s">
        <v>2</v>
      </c>
      <c r="D55" s="54" t="s">
        <v>49</v>
      </c>
      <c r="E55" s="55">
        <v>1</v>
      </c>
      <c r="F55" s="56">
        <f>((1.72-1)*0.95)+1</f>
        <v>1.6839999999999999</v>
      </c>
      <c r="G55" s="57" t="s">
        <v>244</v>
      </c>
      <c r="H55" s="235">
        <v>1</v>
      </c>
      <c r="J55" s="62">
        <f t="shared" si="1"/>
        <v>0.68399999999999994</v>
      </c>
      <c r="K55" s="235"/>
    </row>
    <row r="56" spans="1:11">
      <c r="A56" s="91" t="s">
        <v>12</v>
      </c>
      <c r="B56" s="91" t="s">
        <v>10</v>
      </c>
      <c r="C56" s="91" t="s">
        <v>5</v>
      </c>
      <c r="D56" s="91" t="s">
        <v>48</v>
      </c>
      <c r="E56" s="92">
        <v>2</v>
      </c>
      <c r="F56" s="93">
        <f>((2.36-1)*0.95)+1</f>
        <v>2.2919999999999998</v>
      </c>
      <c r="G56" s="94" t="s">
        <v>366</v>
      </c>
      <c r="H56" s="235">
        <v>1</v>
      </c>
      <c r="J56" s="62">
        <f t="shared" si="1"/>
        <v>2.5839999999999996</v>
      </c>
      <c r="K56" s="235"/>
    </row>
    <row r="57" spans="1:11">
      <c r="A57" s="286" t="s">
        <v>12</v>
      </c>
      <c r="B57" s="286" t="s">
        <v>1</v>
      </c>
      <c r="C57" s="286" t="s">
        <v>134</v>
      </c>
      <c r="D57" s="286" t="s">
        <v>460</v>
      </c>
      <c r="E57" s="287">
        <v>1</v>
      </c>
      <c r="F57" s="288">
        <f>((2.16-1)*0.95)+1</f>
        <v>2.1020000000000003</v>
      </c>
      <c r="G57" s="289" t="s">
        <v>122</v>
      </c>
      <c r="H57" s="235">
        <v>1</v>
      </c>
      <c r="J57" s="62">
        <f t="shared" si="1"/>
        <v>1.1020000000000003</v>
      </c>
      <c r="K57" s="235"/>
    </row>
    <row r="58" spans="1:11">
      <c r="A58" s="42" t="s">
        <v>12</v>
      </c>
      <c r="B58" s="42" t="s">
        <v>504</v>
      </c>
      <c r="C58" s="42" t="s">
        <v>0</v>
      </c>
      <c r="D58" s="42" t="s">
        <v>48</v>
      </c>
      <c r="E58" s="43">
        <v>1.25</v>
      </c>
      <c r="F58" s="44">
        <f>((6.4-1)*0.95)+1</f>
        <v>6.13</v>
      </c>
      <c r="G58" s="45" t="s">
        <v>82</v>
      </c>
      <c r="H58" s="235">
        <v>1</v>
      </c>
      <c r="J58" s="62">
        <f t="shared" si="1"/>
        <v>6.4124999999999996</v>
      </c>
      <c r="K58" s="235"/>
    </row>
    <row r="59" spans="1:11">
      <c r="A59" s="87" t="s">
        <v>12</v>
      </c>
      <c r="B59" s="87" t="s">
        <v>5</v>
      </c>
      <c r="C59" s="87" t="s">
        <v>47</v>
      </c>
      <c r="D59" s="87" t="s">
        <v>530</v>
      </c>
      <c r="E59" s="88">
        <v>1.25</v>
      </c>
      <c r="F59" s="89">
        <f>((3.85-1)*0.95)+1</f>
        <v>3.7075</v>
      </c>
      <c r="G59" s="90" t="s">
        <v>187</v>
      </c>
      <c r="H59" s="235">
        <v>0</v>
      </c>
      <c r="J59" s="62">
        <f t="shared" si="1"/>
        <v>-1.25</v>
      </c>
      <c r="K59" s="235"/>
    </row>
    <row r="60" spans="1:11">
      <c r="A60" s="42" t="s">
        <v>12</v>
      </c>
      <c r="B60" s="42" t="s">
        <v>2</v>
      </c>
      <c r="C60" s="42" t="s">
        <v>26</v>
      </c>
      <c r="D60" s="42" t="s">
        <v>49</v>
      </c>
      <c r="E60" s="43">
        <v>1.5</v>
      </c>
      <c r="F60" s="44">
        <v>2.0499999999999998</v>
      </c>
      <c r="G60" s="45" t="s">
        <v>571</v>
      </c>
      <c r="H60" s="235">
        <v>1</v>
      </c>
      <c r="J60" s="62">
        <f t="shared" si="1"/>
        <v>1.5749999999999997</v>
      </c>
      <c r="K60" s="235"/>
    </row>
    <row r="61" spans="1:11">
      <c r="A61" s="46" t="s">
        <v>12</v>
      </c>
      <c r="B61" s="46" t="s">
        <v>47</v>
      </c>
      <c r="C61" s="46" t="s">
        <v>15</v>
      </c>
      <c r="D61" s="46" t="s">
        <v>49</v>
      </c>
      <c r="E61" s="47">
        <v>2.5</v>
      </c>
      <c r="F61" s="48">
        <f>((1.95-1)*0.95)+1</f>
        <v>1.9024999999999999</v>
      </c>
      <c r="G61" s="49" t="s">
        <v>37</v>
      </c>
      <c r="H61" s="235">
        <v>0</v>
      </c>
      <c r="J61" s="62">
        <f t="shared" si="1"/>
        <v>-2.5</v>
      </c>
      <c r="K61" s="235"/>
    </row>
    <row r="62" spans="1:11">
      <c r="A62" s="54" t="s">
        <v>12</v>
      </c>
      <c r="B62" s="54" t="s">
        <v>27</v>
      </c>
      <c r="C62" s="54" t="s">
        <v>5</v>
      </c>
      <c r="D62" s="54" t="s">
        <v>49</v>
      </c>
      <c r="E62" s="55">
        <v>1.25</v>
      </c>
      <c r="F62" s="56">
        <f>((2.42-1)*0.95)+1</f>
        <v>2.3490000000000002</v>
      </c>
      <c r="G62" s="57" t="s">
        <v>122</v>
      </c>
      <c r="H62" s="235">
        <v>1</v>
      </c>
      <c r="J62" s="62">
        <f t="shared" si="1"/>
        <v>1.6862500000000002</v>
      </c>
      <c r="K62" s="235"/>
    </row>
    <row r="63" spans="1:11">
      <c r="A63" s="91" t="s">
        <v>12</v>
      </c>
      <c r="B63" s="91" t="s">
        <v>28</v>
      </c>
      <c r="C63" s="91" t="s">
        <v>134</v>
      </c>
      <c r="D63" s="91" t="s">
        <v>49</v>
      </c>
      <c r="E63" s="92">
        <v>1.75</v>
      </c>
      <c r="F63" s="93">
        <f>((3.2-1)*0.95)+1</f>
        <v>3.09</v>
      </c>
      <c r="G63" s="94" t="s">
        <v>36</v>
      </c>
      <c r="H63" s="235">
        <v>1</v>
      </c>
      <c r="J63" s="62">
        <f t="shared" si="1"/>
        <v>3.6574999999999998</v>
      </c>
      <c r="K63" s="235"/>
    </row>
    <row r="64" spans="1:11">
      <c r="A64" s="42" t="s">
        <v>12</v>
      </c>
      <c r="B64" s="42" t="s">
        <v>3</v>
      </c>
      <c r="C64" s="42" t="s">
        <v>28</v>
      </c>
      <c r="D64" s="42" t="s">
        <v>49</v>
      </c>
      <c r="E64" s="43">
        <v>1.5</v>
      </c>
      <c r="F64" s="44">
        <f>((2.74-1)*0.95)+1</f>
        <v>2.653</v>
      </c>
      <c r="G64" s="45" t="s">
        <v>630</v>
      </c>
      <c r="H64" s="235">
        <v>1</v>
      </c>
      <c r="J64" s="62">
        <f t="shared" si="1"/>
        <v>2.4794999999999998</v>
      </c>
      <c r="K64" s="235"/>
    </row>
    <row r="65" spans="1:11">
      <c r="A65" s="54" t="s">
        <v>12</v>
      </c>
      <c r="B65" s="54" t="s">
        <v>73</v>
      </c>
      <c r="C65" s="54" t="s">
        <v>67</v>
      </c>
      <c r="D65" s="54" t="s">
        <v>49</v>
      </c>
      <c r="E65" s="55">
        <v>1.75</v>
      </c>
      <c r="F65" s="56">
        <v>2.4500000000000002</v>
      </c>
      <c r="G65" s="57" t="s">
        <v>42</v>
      </c>
      <c r="H65" s="235">
        <v>1</v>
      </c>
      <c r="J65" s="62">
        <f t="shared" si="1"/>
        <v>2.5375000000000005</v>
      </c>
      <c r="K65" s="235"/>
    </row>
    <row r="66" spans="1:11">
      <c r="A66" s="91" t="s">
        <v>12</v>
      </c>
      <c r="B66" s="91" t="s">
        <v>10</v>
      </c>
      <c r="C66" s="91" t="s">
        <v>47</v>
      </c>
      <c r="D66" s="91" t="s">
        <v>48</v>
      </c>
      <c r="E66" s="92">
        <v>1.75</v>
      </c>
      <c r="F66" s="93">
        <f>((2.8-1)*0.95)+1</f>
        <v>2.71</v>
      </c>
      <c r="G66" s="94" t="s">
        <v>366</v>
      </c>
      <c r="H66" s="235">
        <v>1</v>
      </c>
      <c r="J66" s="62">
        <f t="shared" si="1"/>
        <v>2.9924999999999997</v>
      </c>
      <c r="K66" s="235"/>
    </row>
    <row r="67" spans="1:11">
      <c r="A67" s="42" t="s">
        <v>12</v>
      </c>
      <c r="B67" s="42" t="s">
        <v>47</v>
      </c>
      <c r="C67" s="42" t="s">
        <v>1</v>
      </c>
      <c r="D67" s="42" t="s">
        <v>49</v>
      </c>
      <c r="E67" s="43">
        <v>2.25</v>
      </c>
      <c r="F67" s="44">
        <f>((1.89-1)*0.95)+1</f>
        <v>1.8454999999999999</v>
      </c>
      <c r="G67" s="45" t="s">
        <v>122</v>
      </c>
      <c r="H67" s="235">
        <v>1</v>
      </c>
      <c r="J67" s="62">
        <f t="shared" si="1"/>
        <v>1.9023749999999997</v>
      </c>
      <c r="K67" s="235"/>
    </row>
    <row r="68" spans="1:11">
      <c r="A68" s="91" t="s">
        <v>12</v>
      </c>
      <c r="B68" s="91" t="s">
        <v>15</v>
      </c>
      <c r="C68" s="91" t="s">
        <v>181</v>
      </c>
      <c r="D68" s="91" t="s">
        <v>49</v>
      </c>
      <c r="E68" s="92">
        <v>1.75</v>
      </c>
      <c r="F68" s="93">
        <f>((2.32-1)*0.95)+1</f>
        <v>2.2539999999999996</v>
      </c>
      <c r="G68" s="94" t="s">
        <v>122</v>
      </c>
      <c r="H68" s="235">
        <v>1</v>
      </c>
      <c r="J68" s="62">
        <f t="shared" si="1"/>
        <v>2.1944999999999992</v>
      </c>
      <c r="K68" s="235"/>
    </row>
    <row r="69" spans="1:11">
      <c r="A69" s="50" t="s">
        <v>12</v>
      </c>
      <c r="B69" s="50" t="s">
        <v>181</v>
      </c>
      <c r="C69" s="50" t="s">
        <v>47</v>
      </c>
      <c r="D69" s="50" t="s">
        <v>49</v>
      </c>
      <c r="E69" s="51">
        <v>2</v>
      </c>
      <c r="F69" s="52">
        <v>1.9</v>
      </c>
      <c r="G69" s="53" t="s">
        <v>243</v>
      </c>
      <c r="H69" s="235">
        <v>0</v>
      </c>
      <c r="J69" s="62">
        <f t="shared" si="1"/>
        <v>-2</v>
      </c>
      <c r="K69" s="235"/>
    </row>
    <row r="70" spans="1:11">
      <c r="A70" s="54" t="s">
        <v>12</v>
      </c>
      <c r="B70" s="54" t="s">
        <v>28</v>
      </c>
      <c r="C70" s="54" t="s">
        <v>15</v>
      </c>
      <c r="D70" s="54" t="s">
        <v>49</v>
      </c>
      <c r="E70" s="55">
        <v>1.75</v>
      </c>
      <c r="F70" s="56">
        <f>((1.92-1)*0.95)+1</f>
        <v>1.8739999999999999</v>
      </c>
      <c r="G70" s="57" t="s">
        <v>187</v>
      </c>
      <c r="H70" s="235">
        <v>1</v>
      </c>
      <c r="J70" s="62">
        <f t="shared" si="1"/>
        <v>1.5294999999999999</v>
      </c>
      <c r="K70" s="235"/>
    </row>
    <row r="71" spans="1:11">
      <c r="A71" s="46" t="s">
        <v>12</v>
      </c>
      <c r="B71" s="46" t="s">
        <v>422</v>
      </c>
      <c r="C71" s="46" t="s">
        <v>5</v>
      </c>
      <c r="D71" s="46" t="s">
        <v>692</v>
      </c>
      <c r="E71" s="47">
        <v>0.75</v>
      </c>
      <c r="F71" s="48">
        <f>((10-1)*0.95)+1</f>
        <v>9.5499999999999989</v>
      </c>
      <c r="G71" s="49" t="s">
        <v>41</v>
      </c>
      <c r="H71" s="235">
        <v>0</v>
      </c>
      <c r="J71" s="62">
        <f t="shared" si="1"/>
        <v>-0.75</v>
      </c>
      <c r="K71" s="235"/>
    </row>
    <row r="72" spans="1:11">
      <c r="A72" s="46" t="s">
        <v>12</v>
      </c>
      <c r="B72" s="46" t="s">
        <v>0</v>
      </c>
      <c r="C72" s="46" t="s">
        <v>134</v>
      </c>
      <c r="D72" s="46" t="s">
        <v>49</v>
      </c>
      <c r="E72" s="47">
        <v>1</v>
      </c>
      <c r="F72" s="48">
        <f>((3.5-1)*0.95)+1</f>
        <v>3.375</v>
      </c>
      <c r="G72" s="49" t="s">
        <v>145</v>
      </c>
      <c r="H72" s="235">
        <v>0</v>
      </c>
      <c r="J72" s="62">
        <f t="shared" si="1"/>
        <v>-1</v>
      </c>
      <c r="K72" s="235"/>
    </row>
    <row r="73" spans="1:11">
      <c r="A73" s="54" t="s">
        <v>12</v>
      </c>
      <c r="B73" s="54" t="s">
        <v>73</v>
      </c>
      <c r="C73" s="54" t="s">
        <v>26</v>
      </c>
      <c r="D73" s="54" t="s">
        <v>693</v>
      </c>
      <c r="E73" s="55">
        <v>1.3</v>
      </c>
      <c r="F73" s="56">
        <v>2.2349999999999999</v>
      </c>
      <c r="G73" s="57" t="s">
        <v>38</v>
      </c>
      <c r="H73" s="235">
        <v>1</v>
      </c>
      <c r="J73" s="62">
        <f t="shared" si="1"/>
        <v>1.6054999999999999</v>
      </c>
      <c r="K73" s="235"/>
    </row>
    <row r="74" spans="1:11">
      <c r="A74" s="91" t="s">
        <v>12</v>
      </c>
      <c r="B74" s="91" t="s">
        <v>1</v>
      </c>
      <c r="C74" s="91" t="s">
        <v>27</v>
      </c>
      <c r="D74" s="91" t="s">
        <v>49</v>
      </c>
      <c r="E74" s="92">
        <v>0.75</v>
      </c>
      <c r="F74" s="93">
        <f>((3.35-1)*0.95)+1</f>
        <v>3.2324999999999999</v>
      </c>
      <c r="G74" s="94" t="s">
        <v>36</v>
      </c>
      <c r="H74" s="235">
        <v>1</v>
      </c>
      <c r="J74" s="62">
        <f t="shared" si="1"/>
        <v>1.6743749999999999</v>
      </c>
      <c r="K74" s="235"/>
    </row>
    <row r="75" spans="1:11">
      <c r="A75" s="42" t="s">
        <v>12</v>
      </c>
      <c r="B75" s="42" t="s">
        <v>5</v>
      </c>
      <c r="C75" s="42" t="s">
        <v>2</v>
      </c>
      <c r="D75" s="42" t="s">
        <v>49</v>
      </c>
      <c r="E75" s="43">
        <v>2</v>
      </c>
      <c r="F75" s="44">
        <f>((1.9-1)*0.95)+1</f>
        <v>1.855</v>
      </c>
      <c r="G75" s="45" t="s">
        <v>743</v>
      </c>
      <c r="H75" s="235">
        <v>1</v>
      </c>
      <c r="J75" s="62">
        <f t="shared" si="1"/>
        <v>1.71</v>
      </c>
      <c r="K75" s="235"/>
    </row>
    <row r="76" spans="1:11">
      <c r="A76" s="46" t="s">
        <v>12</v>
      </c>
      <c r="B76" s="46" t="s">
        <v>520</v>
      </c>
      <c r="C76" s="46" t="s">
        <v>504</v>
      </c>
      <c r="D76" s="46" t="s">
        <v>742</v>
      </c>
      <c r="E76" s="47">
        <v>1</v>
      </c>
      <c r="F76" s="46">
        <v>1.89</v>
      </c>
      <c r="G76" s="49" t="s">
        <v>42</v>
      </c>
      <c r="H76" s="235">
        <v>0</v>
      </c>
      <c r="J76" s="62">
        <f t="shared" si="1"/>
        <v>-1</v>
      </c>
      <c r="K76" s="235"/>
    </row>
    <row r="77" spans="1:11">
      <c r="A77" s="46" t="s">
        <v>12</v>
      </c>
      <c r="B77" s="46" t="s">
        <v>47</v>
      </c>
      <c r="C77" s="46" t="s">
        <v>28</v>
      </c>
      <c r="D77" s="46" t="s">
        <v>742</v>
      </c>
      <c r="E77" s="47">
        <v>0.75</v>
      </c>
      <c r="F77" s="48">
        <v>2.09</v>
      </c>
      <c r="G77" s="49" t="s">
        <v>122</v>
      </c>
      <c r="H77" s="235">
        <v>0</v>
      </c>
      <c r="J77" s="62">
        <f t="shared" si="1"/>
        <v>-0.75</v>
      </c>
      <c r="K77" s="235"/>
    </row>
    <row r="78" spans="1:11">
      <c r="A78" s="46" t="s">
        <v>12</v>
      </c>
      <c r="B78" s="46" t="s">
        <v>1</v>
      </c>
      <c r="C78" s="46" t="s">
        <v>10</v>
      </c>
      <c r="D78" s="46" t="s">
        <v>742</v>
      </c>
      <c r="E78" s="47">
        <v>0.75</v>
      </c>
      <c r="F78" s="48">
        <v>3.56</v>
      </c>
      <c r="G78" s="49" t="s">
        <v>42</v>
      </c>
      <c r="H78" s="235">
        <v>0</v>
      </c>
      <c r="J78" s="62">
        <f t="shared" si="1"/>
        <v>-0.75</v>
      </c>
      <c r="K78" s="235"/>
    </row>
    <row r="79" spans="1:11">
      <c r="A79" s="87" t="s">
        <v>12</v>
      </c>
      <c r="B79" s="87" t="s">
        <v>308</v>
      </c>
      <c r="C79" s="87" t="s">
        <v>16</v>
      </c>
      <c r="D79" s="87" t="s">
        <v>742</v>
      </c>
      <c r="E79" s="88">
        <v>0.5</v>
      </c>
      <c r="F79" s="89">
        <v>7.67</v>
      </c>
      <c r="G79" s="90" t="s">
        <v>204</v>
      </c>
      <c r="H79" s="235">
        <v>0</v>
      </c>
      <c r="J79" s="62">
        <f t="shared" si="1"/>
        <v>-0.5</v>
      </c>
      <c r="K79" s="235"/>
    </row>
    <row r="80" spans="1:11">
      <c r="A80" s="50" t="s">
        <v>12</v>
      </c>
      <c r="B80" s="50" t="s">
        <v>10</v>
      </c>
      <c r="C80" s="50" t="s">
        <v>26</v>
      </c>
      <c r="D80" s="50" t="s">
        <v>767</v>
      </c>
      <c r="E80" s="51">
        <v>1</v>
      </c>
      <c r="F80" s="52">
        <v>2.5099999999999998</v>
      </c>
      <c r="G80" s="53" t="s">
        <v>769</v>
      </c>
      <c r="H80" s="235">
        <v>0</v>
      </c>
      <c r="J80" s="62">
        <f t="shared" si="1"/>
        <v>-1</v>
      </c>
      <c r="K80" s="235"/>
    </row>
    <row r="81" spans="1:11">
      <c r="A81" s="87" t="s">
        <v>12</v>
      </c>
      <c r="B81" s="87" t="s">
        <v>28</v>
      </c>
      <c r="C81" s="87" t="s">
        <v>27</v>
      </c>
      <c r="D81" s="87" t="s">
        <v>692</v>
      </c>
      <c r="E81" s="88">
        <v>1.5</v>
      </c>
      <c r="F81" s="89">
        <f>((4.4-1)*0.95)+1</f>
        <v>4.2300000000000004</v>
      </c>
      <c r="G81" s="90" t="s">
        <v>41</v>
      </c>
      <c r="H81" s="235">
        <v>0</v>
      </c>
      <c r="J81" s="62">
        <f t="shared" si="1"/>
        <v>-1.5</v>
      </c>
      <c r="K81" s="235"/>
    </row>
    <row r="83" spans="1:11">
      <c r="E83" s="61">
        <f>SUM(E1:E82)</f>
        <v>121.39999999999999</v>
      </c>
      <c r="H83" s="281">
        <f>SUM(H1:H82)</f>
        <v>39</v>
      </c>
      <c r="I83" s="233">
        <f>COUNTIF(E1:E82,"&gt;0")</f>
        <v>81</v>
      </c>
      <c r="J83" s="62">
        <f>SUM(J1:J82)</f>
        <v>36.93312499999999</v>
      </c>
    </row>
    <row r="84" spans="1:11">
      <c r="H84" s="63">
        <f>+H83/I83</f>
        <v>0.48148148148148145</v>
      </c>
      <c r="J84" s="65">
        <f>+J83/E83</f>
        <v>0.30422672981878085</v>
      </c>
    </row>
    <row r="85" spans="1:11">
      <c r="J85" s="64"/>
    </row>
  </sheetData>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dimension ref="A1:N85"/>
  <sheetViews>
    <sheetView topLeftCell="A73" zoomScaleNormal="100" workbookViewId="0">
      <selection activeCell="F88" sqref="F88"/>
    </sheetView>
  </sheetViews>
  <sheetFormatPr baseColWidth="10" defaultRowHeight="15"/>
  <cols>
    <col min="1" max="7" width="11.42578125" style="281"/>
    <col min="8" max="8" width="4.5703125" style="281" bestFit="1" customWidth="1"/>
    <col min="9" max="16384" width="11.42578125" style="281"/>
  </cols>
  <sheetData>
    <row r="1" spans="1:13">
      <c r="A1" s="4" t="s">
        <v>12</v>
      </c>
      <c r="B1" s="4" t="s">
        <v>0</v>
      </c>
      <c r="C1" s="4" t="s">
        <v>3</v>
      </c>
      <c r="D1" s="4" t="s">
        <v>49</v>
      </c>
      <c r="E1" s="5">
        <v>3</v>
      </c>
      <c r="F1" s="4">
        <v>1.95</v>
      </c>
      <c r="G1" s="10" t="s">
        <v>36</v>
      </c>
      <c r="H1" s="281">
        <v>1</v>
      </c>
      <c r="J1" s="62">
        <f>IF(H1=1,E1*(F1-1),-E1)</f>
        <v>2.8499999999999996</v>
      </c>
      <c r="L1" s="281">
        <f>IF(M1=0,0,E1)</f>
        <v>0</v>
      </c>
      <c r="M1" s="281">
        <f>IF(F1&gt;2,J1,0)</f>
        <v>0</v>
      </c>
    </row>
    <row r="2" spans="1:13">
      <c r="A2" s="12" t="s">
        <v>6</v>
      </c>
      <c r="B2" s="12" t="s">
        <v>10</v>
      </c>
      <c r="C2" s="12" t="s">
        <v>13</v>
      </c>
      <c r="D2" s="12" t="s">
        <v>49</v>
      </c>
      <c r="E2" s="13">
        <v>2</v>
      </c>
      <c r="F2" s="14">
        <f>((2.16-1)*0.95)+1</f>
        <v>2.1020000000000003</v>
      </c>
      <c r="G2" s="15" t="s">
        <v>38</v>
      </c>
      <c r="H2" s="281">
        <v>0</v>
      </c>
      <c r="J2" s="62">
        <f t="shared" ref="J2:J65" si="0">IF(H2=1,E2*(F2-1),-E2)</f>
        <v>-2</v>
      </c>
      <c r="L2" s="281">
        <f t="shared" ref="L2:L65" si="1">IF(M2=0,0,E2)</f>
        <v>2</v>
      </c>
      <c r="M2" s="281">
        <f t="shared" ref="M2:M65" si="2">IF(F2&gt;2,J2,0)</f>
        <v>-2</v>
      </c>
    </row>
    <row r="3" spans="1:13">
      <c r="A3" s="4" t="s">
        <v>12</v>
      </c>
      <c r="B3" s="4" t="s">
        <v>15</v>
      </c>
      <c r="C3" s="4" t="s">
        <v>2</v>
      </c>
      <c r="D3" s="4" t="s">
        <v>48</v>
      </c>
      <c r="E3" s="5">
        <v>1.5</v>
      </c>
      <c r="F3" s="9">
        <f>((3.6-1)*0.95)+1</f>
        <v>3.4699999999999998</v>
      </c>
      <c r="G3" s="10" t="s">
        <v>39</v>
      </c>
      <c r="H3" s="281">
        <v>1</v>
      </c>
      <c r="J3" s="62">
        <f t="shared" si="0"/>
        <v>3.7049999999999996</v>
      </c>
      <c r="L3" s="281">
        <f t="shared" si="1"/>
        <v>1.5</v>
      </c>
      <c r="M3" s="281">
        <f t="shared" si="2"/>
        <v>3.7049999999999996</v>
      </c>
    </row>
    <row r="4" spans="1:13">
      <c r="A4" s="12" t="s">
        <v>12</v>
      </c>
      <c r="B4" s="12" t="s">
        <v>5</v>
      </c>
      <c r="C4" s="12" t="s">
        <v>16</v>
      </c>
      <c r="D4" s="12" t="s">
        <v>48</v>
      </c>
      <c r="E4" s="13">
        <v>1</v>
      </c>
      <c r="F4" s="14">
        <f>((5.3-1)*0.95)+1</f>
        <v>5.085</v>
      </c>
      <c r="G4" s="15" t="s">
        <v>37</v>
      </c>
      <c r="H4" s="281">
        <v>0</v>
      </c>
      <c r="J4" s="62">
        <f t="shared" si="0"/>
        <v>-1</v>
      </c>
      <c r="L4" s="281">
        <f t="shared" si="1"/>
        <v>1</v>
      </c>
      <c r="M4" s="281">
        <f t="shared" si="2"/>
        <v>-1</v>
      </c>
    </row>
    <row r="5" spans="1:13">
      <c r="A5" s="12" t="s">
        <v>12</v>
      </c>
      <c r="B5" s="12" t="s">
        <v>26</v>
      </c>
      <c r="C5" s="12" t="s">
        <v>10</v>
      </c>
      <c r="D5" s="13" t="s">
        <v>49</v>
      </c>
      <c r="E5" s="13">
        <v>3</v>
      </c>
      <c r="F5" s="12">
        <v>1.75</v>
      </c>
      <c r="G5" s="15" t="s">
        <v>82</v>
      </c>
      <c r="H5" s="281">
        <v>0</v>
      </c>
      <c r="J5" s="62">
        <f t="shared" si="0"/>
        <v>-3</v>
      </c>
      <c r="L5" s="281">
        <f t="shared" si="1"/>
        <v>0</v>
      </c>
      <c r="M5" s="281">
        <f t="shared" si="2"/>
        <v>0</v>
      </c>
    </row>
    <row r="6" spans="1:13">
      <c r="A6" s="4" t="s">
        <v>12</v>
      </c>
      <c r="B6" s="4" t="s">
        <v>27</v>
      </c>
      <c r="C6" s="4" t="s">
        <v>28</v>
      </c>
      <c r="D6" s="5" t="s">
        <v>49</v>
      </c>
      <c r="E6" s="5">
        <v>3</v>
      </c>
      <c r="F6" s="4">
        <v>1.6</v>
      </c>
      <c r="G6" s="10" t="s">
        <v>41</v>
      </c>
      <c r="H6" s="281">
        <v>1</v>
      </c>
      <c r="J6" s="62">
        <f t="shared" si="0"/>
        <v>1.8000000000000003</v>
      </c>
      <c r="L6" s="281">
        <f t="shared" si="1"/>
        <v>0</v>
      </c>
      <c r="M6" s="281">
        <f t="shared" si="2"/>
        <v>0</v>
      </c>
    </row>
    <row r="7" spans="1:13">
      <c r="A7" s="12" t="s">
        <v>12</v>
      </c>
      <c r="B7" s="12" t="s">
        <v>3</v>
      </c>
      <c r="C7" s="12" t="s">
        <v>67</v>
      </c>
      <c r="D7" s="12" t="s">
        <v>34</v>
      </c>
      <c r="E7" s="13">
        <v>0.6</v>
      </c>
      <c r="F7" s="14">
        <v>3.3</v>
      </c>
      <c r="G7" s="15" t="s">
        <v>42</v>
      </c>
      <c r="H7" s="281">
        <v>0</v>
      </c>
      <c r="J7" s="62">
        <f t="shared" si="0"/>
        <v>-0.6</v>
      </c>
      <c r="L7" s="281">
        <f t="shared" si="1"/>
        <v>0.6</v>
      </c>
      <c r="M7" s="281">
        <f t="shared" si="2"/>
        <v>-0.6</v>
      </c>
    </row>
    <row r="8" spans="1:13">
      <c r="A8" s="4" t="s">
        <v>12</v>
      </c>
      <c r="B8" s="4" t="s">
        <v>134</v>
      </c>
      <c r="C8" s="4" t="s">
        <v>73</v>
      </c>
      <c r="D8" s="4" t="s">
        <v>49</v>
      </c>
      <c r="E8" s="5">
        <v>2</v>
      </c>
      <c r="F8" s="9">
        <f>((1.74-1)*0.95)+1</f>
        <v>1.7029999999999998</v>
      </c>
      <c r="G8" s="16" t="s">
        <v>41</v>
      </c>
      <c r="H8" s="281">
        <v>1</v>
      </c>
      <c r="J8" s="62">
        <f t="shared" si="0"/>
        <v>1.4059999999999997</v>
      </c>
      <c r="L8" s="281">
        <f t="shared" si="1"/>
        <v>0</v>
      </c>
      <c r="M8" s="281">
        <f t="shared" si="2"/>
        <v>0</v>
      </c>
    </row>
    <row r="9" spans="1:13">
      <c r="A9" s="42" t="s">
        <v>12</v>
      </c>
      <c r="B9" s="42" t="s">
        <v>2</v>
      </c>
      <c r="C9" s="42" t="s">
        <v>47</v>
      </c>
      <c r="D9" s="42" t="s">
        <v>48</v>
      </c>
      <c r="E9" s="43">
        <v>1.5</v>
      </c>
      <c r="F9" s="44">
        <f>((3.95-1)*0.95)+1</f>
        <v>3.8025000000000002</v>
      </c>
      <c r="G9" s="45" t="s">
        <v>43</v>
      </c>
      <c r="H9" s="281">
        <v>1</v>
      </c>
      <c r="J9" s="62">
        <f t="shared" si="0"/>
        <v>4.2037500000000003</v>
      </c>
      <c r="L9" s="281">
        <f t="shared" si="1"/>
        <v>1.5</v>
      </c>
      <c r="M9" s="281">
        <f t="shared" si="2"/>
        <v>4.2037500000000003</v>
      </c>
    </row>
    <row r="10" spans="1:13">
      <c r="A10" s="46" t="s">
        <v>12</v>
      </c>
      <c r="B10" s="46" t="s">
        <v>28</v>
      </c>
      <c r="C10" s="46" t="s">
        <v>1</v>
      </c>
      <c r="D10" s="46" t="s">
        <v>49</v>
      </c>
      <c r="E10" s="47">
        <v>2</v>
      </c>
      <c r="F10" s="48">
        <f>((1.96-1)*0.95)+1</f>
        <v>1.9119999999999999</v>
      </c>
      <c r="G10" s="49" t="s">
        <v>37</v>
      </c>
      <c r="H10" s="281">
        <v>0</v>
      </c>
      <c r="J10" s="62">
        <f t="shared" si="0"/>
        <v>-2</v>
      </c>
      <c r="L10" s="281">
        <f t="shared" si="1"/>
        <v>0</v>
      </c>
      <c r="M10" s="281">
        <f t="shared" si="2"/>
        <v>0</v>
      </c>
    </row>
    <row r="11" spans="1:13">
      <c r="A11" s="46" t="s">
        <v>12</v>
      </c>
      <c r="B11" s="46" t="s">
        <v>26</v>
      </c>
      <c r="C11" s="46" t="s">
        <v>4</v>
      </c>
      <c r="D11" s="46" t="s">
        <v>48</v>
      </c>
      <c r="E11" s="47">
        <v>1.5</v>
      </c>
      <c r="F11" s="48">
        <v>2.2000000000000002</v>
      </c>
      <c r="G11" s="49" t="s">
        <v>38</v>
      </c>
      <c r="H11" s="281">
        <v>0</v>
      </c>
      <c r="J11" s="62">
        <f t="shared" si="0"/>
        <v>-1.5</v>
      </c>
      <c r="L11" s="281">
        <f t="shared" si="1"/>
        <v>1.5</v>
      </c>
      <c r="M11" s="281">
        <f t="shared" si="2"/>
        <v>-1.5</v>
      </c>
    </row>
    <row r="12" spans="1:13">
      <c r="A12" s="50" t="s">
        <v>12</v>
      </c>
      <c r="B12" s="50" t="s">
        <v>2</v>
      </c>
      <c r="C12" s="50" t="s">
        <v>27</v>
      </c>
      <c r="D12" s="50" t="s">
        <v>49</v>
      </c>
      <c r="E12" s="51">
        <v>1.5</v>
      </c>
      <c r="F12" s="52">
        <v>2.9</v>
      </c>
      <c r="G12" s="53" t="s">
        <v>121</v>
      </c>
      <c r="H12" s="281">
        <v>0</v>
      </c>
      <c r="J12" s="62"/>
      <c r="L12" s="281">
        <f t="shared" si="1"/>
        <v>0</v>
      </c>
      <c r="M12" s="281">
        <f t="shared" si="2"/>
        <v>0</v>
      </c>
    </row>
    <row r="13" spans="1:13">
      <c r="A13" s="54" t="s">
        <v>12</v>
      </c>
      <c r="B13" s="54" t="s">
        <v>16</v>
      </c>
      <c r="C13" s="54" t="s">
        <v>47</v>
      </c>
      <c r="D13" s="54" t="s">
        <v>49</v>
      </c>
      <c r="E13" s="55">
        <v>2</v>
      </c>
      <c r="F13" s="56">
        <f>((2.1-1)*0.95)+1</f>
        <v>2.0449999999999999</v>
      </c>
      <c r="G13" s="57" t="s">
        <v>122</v>
      </c>
      <c r="H13" s="281">
        <v>1</v>
      </c>
      <c r="J13" s="62">
        <f t="shared" si="0"/>
        <v>2.09</v>
      </c>
      <c r="L13" s="281">
        <f t="shared" si="1"/>
        <v>2</v>
      </c>
      <c r="M13" s="281">
        <f t="shared" si="2"/>
        <v>2.09</v>
      </c>
    </row>
    <row r="14" spans="1:13">
      <c r="A14" s="54" t="s">
        <v>12</v>
      </c>
      <c r="B14" s="54" t="s">
        <v>0</v>
      </c>
      <c r="C14" s="54" t="s">
        <v>15</v>
      </c>
      <c r="D14" s="54" t="s">
        <v>48</v>
      </c>
      <c r="E14" s="55">
        <v>0.75</v>
      </c>
      <c r="F14" s="56">
        <v>6.2</v>
      </c>
      <c r="G14" s="57" t="s">
        <v>39</v>
      </c>
      <c r="H14" s="281">
        <v>1</v>
      </c>
      <c r="J14" s="62">
        <f t="shared" si="0"/>
        <v>3.9000000000000004</v>
      </c>
      <c r="L14" s="281">
        <f t="shared" si="1"/>
        <v>0.75</v>
      </c>
      <c r="M14" s="281">
        <f t="shared" si="2"/>
        <v>3.9000000000000004</v>
      </c>
    </row>
    <row r="15" spans="1:13">
      <c r="A15" s="46" t="s">
        <v>12</v>
      </c>
      <c r="B15" s="46" t="s">
        <v>67</v>
      </c>
      <c r="C15" s="46" t="s">
        <v>5</v>
      </c>
      <c r="D15" s="46" t="s">
        <v>48</v>
      </c>
      <c r="E15" s="47">
        <v>1.5</v>
      </c>
      <c r="F15" s="48">
        <f>((3.65-1)*0.95)+1</f>
        <v>3.5174999999999996</v>
      </c>
      <c r="G15" s="49" t="s">
        <v>42</v>
      </c>
      <c r="H15" s="281">
        <v>0</v>
      </c>
      <c r="J15" s="62">
        <f t="shared" si="0"/>
        <v>-1.5</v>
      </c>
      <c r="L15" s="281">
        <f t="shared" si="1"/>
        <v>1.5</v>
      </c>
      <c r="M15" s="281">
        <f t="shared" si="2"/>
        <v>-1.5</v>
      </c>
    </row>
    <row r="16" spans="1:13">
      <c r="A16" s="91" t="s">
        <v>12</v>
      </c>
      <c r="B16" s="91" t="s">
        <v>26</v>
      </c>
      <c r="C16" s="91" t="s">
        <v>119</v>
      </c>
      <c r="D16" s="91" t="s">
        <v>48</v>
      </c>
      <c r="E16" s="92">
        <v>1</v>
      </c>
      <c r="F16" s="93">
        <v>2.2999999999999998</v>
      </c>
      <c r="G16" s="94" t="s">
        <v>43</v>
      </c>
      <c r="H16" s="281">
        <v>1</v>
      </c>
      <c r="J16" s="62">
        <f t="shared" si="0"/>
        <v>1.2999999999999998</v>
      </c>
      <c r="L16" s="281">
        <f t="shared" si="1"/>
        <v>1</v>
      </c>
      <c r="M16" s="281">
        <f t="shared" si="2"/>
        <v>1.2999999999999998</v>
      </c>
    </row>
    <row r="17" spans="1:13" s="235" customFormat="1">
      <c r="A17" s="12" t="s">
        <v>12</v>
      </c>
      <c r="B17" s="12" t="s">
        <v>28</v>
      </c>
      <c r="C17" s="12" t="s">
        <v>10</v>
      </c>
      <c r="D17" s="12" t="s">
        <v>49</v>
      </c>
      <c r="E17" s="13">
        <v>1</v>
      </c>
      <c r="F17" s="14">
        <f>((2.28-1)*0.95)+1</f>
        <v>2.2159999999999997</v>
      </c>
      <c r="G17" s="15" t="s">
        <v>38</v>
      </c>
      <c r="H17" s="235">
        <v>0</v>
      </c>
      <c r="J17" s="62">
        <f t="shared" si="0"/>
        <v>-1</v>
      </c>
      <c r="L17" s="281">
        <f t="shared" si="1"/>
        <v>1</v>
      </c>
      <c r="M17" s="281">
        <f t="shared" si="2"/>
        <v>-1</v>
      </c>
    </row>
    <row r="18" spans="1:13" s="235" customFormat="1">
      <c r="A18" s="4" t="s">
        <v>12</v>
      </c>
      <c r="B18" s="4" t="s">
        <v>47</v>
      </c>
      <c r="C18" s="4" t="s">
        <v>0</v>
      </c>
      <c r="D18" s="4" t="s">
        <v>49</v>
      </c>
      <c r="E18" s="5">
        <v>1</v>
      </c>
      <c r="F18" s="9">
        <f>((2.32-1)*0.95)+1</f>
        <v>2.2539999999999996</v>
      </c>
      <c r="G18" s="10" t="s">
        <v>122</v>
      </c>
      <c r="H18" s="235">
        <v>1</v>
      </c>
      <c r="J18" s="62">
        <f t="shared" si="0"/>
        <v>1.2539999999999996</v>
      </c>
      <c r="L18" s="281">
        <f t="shared" si="1"/>
        <v>1</v>
      </c>
      <c r="M18" s="281">
        <f t="shared" si="2"/>
        <v>1.2539999999999996</v>
      </c>
    </row>
    <row r="19" spans="1:13" s="235" customFormat="1">
      <c r="A19" s="12" t="s">
        <v>12</v>
      </c>
      <c r="B19" s="12" t="s">
        <v>5</v>
      </c>
      <c r="C19" s="12" t="s">
        <v>73</v>
      </c>
      <c r="D19" s="12" t="s">
        <v>49</v>
      </c>
      <c r="E19" s="13">
        <v>2</v>
      </c>
      <c r="F19" s="14">
        <f>((1.86-1)*0.95)+1</f>
        <v>1.8170000000000002</v>
      </c>
      <c r="G19" s="15" t="s">
        <v>39</v>
      </c>
      <c r="H19" s="235">
        <v>0</v>
      </c>
      <c r="J19" s="62">
        <f t="shared" si="0"/>
        <v>-2</v>
      </c>
      <c r="L19" s="281">
        <f t="shared" si="1"/>
        <v>0</v>
      </c>
      <c r="M19" s="281">
        <f t="shared" si="2"/>
        <v>0</v>
      </c>
    </row>
    <row r="20" spans="1:13" s="235" customFormat="1">
      <c r="A20" s="12" t="s">
        <v>12</v>
      </c>
      <c r="B20" s="12" t="s">
        <v>175</v>
      </c>
      <c r="C20" s="12" t="s">
        <v>4</v>
      </c>
      <c r="D20" s="12" t="s">
        <v>49</v>
      </c>
      <c r="E20" s="13">
        <v>1.5</v>
      </c>
      <c r="F20" s="14">
        <v>2</v>
      </c>
      <c r="G20" s="15" t="s">
        <v>37</v>
      </c>
      <c r="H20" s="235">
        <v>0</v>
      </c>
      <c r="J20" s="62">
        <f t="shared" si="0"/>
        <v>-1.5</v>
      </c>
      <c r="L20" s="281">
        <f t="shared" si="1"/>
        <v>0</v>
      </c>
      <c r="M20" s="281">
        <f t="shared" si="2"/>
        <v>0</v>
      </c>
    </row>
    <row r="21" spans="1:13" s="235" customFormat="1">
      <c r="A21" s="87" t="s">
        <v>12</v>
      </c>
      <c r="B21" s="87" t="s">
        <v>27</v>
      </c>
      <c r="C21" s="87" t="s">
        <v>16</v>
      </c>
      <c r="D21" s="87" t="s">
        <v>49</v>
      </c>
      <c r="E21" s="88">
        <v>1.5</v>
      </c>
      <c r="F21" s="89">
        <v>1.75</v>
      </c>
      <c r="G21" s="90" t="s">
        <v>179</v>
      </c>
      <c r="H21" s="235">
        <v>0</v>
      </c>
      <c r="J21" s="62">
        <f t="shared" si="0"/>
        <v>-1.5</v>
      </c>
      <c r="L21" s="281">
        <f t="shared" si="1"/>
        <v>0</v>
      </c>
      <c r="M21" s="281">
        <f t="shared" si="2"/>
        <v>0</v>
      </c>
    </row>
    <row r="22" spans="1:13" s="235" customFormat="1">
      <c r="A22" s="12" t="s">
        <v>12</v>
      </c>
      <c r="B22" s="12" t="s">
        <v>2</v>
      </c>
      <c r="C22" s="12" t="s">
        <v>181</v>
      </c>
      <c r="D22" s="12" t="s">
        <v>48</v>
      </c>
      <c r="E22" s="13">
        <v>1.5</v>
      </c>
      <c r="F22" s="14">
        <v>2.9</v>
      </c>
      <c r="G22" s="15" t="s">
        <v>36</v>
      </c>
      <c r="H22" s="235">
        <v>0</v>
      </c>
      <c r="J22" s="62">
        <f t="shared" si="0"/>
        <v>-1.5</v>
      </c>
      <c r="L22" s="281">
        <f t="shared" si="1"/>
        <v>1.5</v>
      </c>
      <c r="M22" s="281">
        <f t="shared" si="2"/>
        <v>-1.5</v>
      </c>
    </row>
    <row r="23" spans="1:13" s="235" customFormat="1">
      <c r="A23" s="4" t="s">
        <v>12</v>
      </c>
      <c r="B23" s="4" t="s">
        <v>67</v>
      </c>
      <c r="C23" s="4" t="s">
        <v>47</v>
      </c>
      <c r="D23" s="4" t="s">
        <v>49</v>
      </c>
      <c r="E23" s="5">
        <v>1.5</v>
      </c>
      <c r="F23" s="9">
        <f>((1.8-1)*0.95)+1</f>
        <v>1.76</v>
      </c>
      <c r="G23" s="10" t="s">
        <v>187</v>
      </c>
      <c r="H23" s="235">
        <v>1</v>
      </c>
      <c r="J23" s="62">
        <f t="shared" si="0"/>
        <v>1.1400000000000001</v>
      </c>
      <c r="L23" s="281">
        <f t="shared" si="1"/>
        <v>0</v>
      </c>
      <c r="M23" s="281">
        <f t="shared" si="2"/>
        <v>0</v>
      </c>
    </row>
    <row r="24" spans="1:13" s="235" customFormat="1">
      <c r="A24" s="4" t="s">
        <v>12</v>
      </c>
      <c r="B24" s="4" t="s">
        <v>182</v>
      </c>
      <c r="C24" s="4" t="s">
        <v>5</v>
      </c>
      <c r="D24" s="4" t="s">
        <v>49</v>
      </c>
      <c r="E24" s="5">
        <v>1.5</v>
      </c>
      <c r="F24" s="9">
        <f>((2.86-1)*0.95)+1</f>
        <v>2.7669999999999999</v>
      </c>
      <c r="G24" s="10" t="s">
        <v>36</v>
      </c>
      <c r="H24" s="235">
        <v>1</v>
      </c>
      <c r="J24" s="62">
        <f t="shared" si="0"/>
        <v>2.6505000000000001</v>
      </c>
      <c r="L24" s="281">
        <f t="shared" si="1"/>
        <v>1.5</v>
      </c>
      <c r="M24" s="281">
        <f t="shared" si="2"/>
        <v>2.6505000000000001</v>
      </c>
    </row>
    <row r="25" spans="1:13" s="235" customFormat="1">
      <c r="A25" s="4" t="s">
        <v>12</v>
      </c>
      <c r="B25" s="4" t="s">
        <v>0</v>
      </c>
      <c r="C25" s="4" t="s">
        <v>27</v>
      </c>
      <c r="D25" s="4" t="s">
        <v>49</v>
      </c>
      <c r="E25" s="5">
        <v>2</v>
      </c>
      <c r="F25" s="9">
        <v>2.8</v>
      </c>
      <c r="G25" s="10" t="s">
        <v>42</v>
      </c>
      <c r="H25" s="235">
        <v>1</v>
      </c>
      <c r="J25" s="62">
        <f t="shared" si="0"/>
        <v>3.5999999999999996</v>
      </c>
      <c r="L25" s="281">
        <f t="shared" si="1"/>
        <v>2</v>
      </c>
      <c r="M25" s="281">
        <f t="shared" si="2"/>
        <v>3.5999999999999996</v>
      </c>
    </row>
    <row r="26" spans="1:13" s="235" customFormat="1">
      <c r="A26" s="87" t="s">
        <v>12</v>
      </c>
      <c r="B26" s="87" t="s">
        <v>10</v>
      </c>
      <c r="C26" s="87" t="s">
        <v>134</v>
      </c>
      <c r="D26" s="87" t="s">
        <v>49</v>
      </c>
      <c r="E26" s="88">
        <v>0.75</v>
      </c>
      <c r="F26" s="89">
        <f>((4.2-1)*0.95)+1</f>
        <v>4.04</v>
      </c>
      <c r="G26" s="90" t="s">
        <v>37</v>
      </c>
      <c r="H26" s="235">
        <v>0</v>
      </c>
      <c r="J26" s="62">
        <f t="shared" si="0"/>
        <v>-0.75</v>
      </c>
      <c r="L26" s="281">
        <f t="shared" si="1"/>
        <v>0.75</v>
      </c>
      <c r="M26" s="281">
        <f t="shared" si="2"/>
        <v>-0.75</v>
      </c>
    </row>
    <row r="27" spans="1:13" s="235" customFormat="1">
      <c r="A27" s="4" t="s">
        <v>12</v>
      </c>
      <c r="B27" s="4" t="s">
        <v>5</v>
      </c>
      <c r="C27" s="4" t="s">
        <v>26</v>
      </c>
      <c r="D27" s="4" t="s">
        <v>49</v>
      </c>
      <c r="E27" s="5">
        <v>3</v>
      </c>
      <c r="F27" s="9">
        <f>((1.73-1)*0.95)+1</f>
        <v>1.6935</v>
      </c>
      <c r="G27" s="10" t="s">
        <v>36</v>
      </c>
      <c r="H27" s="235">
        <v>1</v>
      </c>
      <c r="J27" s="62">
        <f t="shared" si="0"/>
        <v>2.0804999999999998</v>
      </c>
      <c r="L27" s="281">
        <f t="shared" si="1"/>
        <v>0</v>
      </c>
      <c r="M27" s="281">
        <f t="shared" si="2"/>
        <v>0</v>
      </c>
    </row>
    <row r="28" spans="1:13" s="235" customFormat="1">
      <c r="A28" s="4" t="s">
        <v>12</v>
      </c>
      <c r="B28" s="4" t="s">
        <v>15</v>
      </c>
      <c r="C28" s="4" t="s">
        <v>182</v>
      </c>
      <c r="D28" s="4" t="s">
        <v>49</v>
      </c>
      <c r="E28" s="5">
        <v>2</v>
      </c>
      <c r="F28" s="9">
        <f>((2.46-1)*0.95)+1</f>
        <v>2.387</v>
      </c>
      <c r="G28" s="10" t="s">
        <v>201</v>
      </c>
      <c r="H28" s="235">
        <v>1</v>
      </c>
      <c r="J28" s="62">
        <f t="shared" si="0"/>
        <v>2.774</v>
      </c>
      <c r="L28" s="281">
        <f t="shared" si="1"/>
        <v>2</v>
      </c>
      <c r="M28" s="281">
        <f t="shared" si="2"/>
        <v>2.774</v>
      </c>
    </row>
    <row r="29" spans="1:13" s="235" customFormat="1">
      <c r="A29" s="4" t="s">
        <v>12</v>
      </c>
      <c r="B29" s="4" t="s">
        <v>27</v>
      </c>
      <c r="C29" s="4" t="s">
        <v>67</v>
      </c>
      <c r="D29" s="4" t="s">
        <v>49</v>
      </c>
      <c r="E29" s="5">
        <v>1.25</v>
      </c>
      <c r="F29" s="9">
        <f>((1.97-1)*0.95)+1</f>
        <v>1.9215</v>
      </c>
      <c r="G29" s="10" t="s">
        <v>41</v>
      </c>
      <c r="H29" s="235">
        <v>1</v>
      </c>
      <c r="J29" s="62">
        <f t="shared" si="0"/>
        <v>1.151875</v>
      </c>
      <c r="L29" s="281">
        <f t="shared" si="1"/>
        <v>0</v>
      </c>
      <c r="M29" s="281">
        <f t="shared" si="2"/>
        <v>0</v>
      </c>
    </row>
    <row r="30" spans="1:13" s="235" customFormat="1">
      <c r="A30" s="87" t="s">
        <v>12</v>
      </c>
      <c r="B30" s="87" t="s">
        <v>28</v>
      </c>
      <c r="C30" s="87" t="s">
        <v>2</v>
      </c>
      <c r="D30" s="87" t="s">
        <v>49</v>
      </c>
      <c r="E30" s="88">
        <v>1</v>
      </c>
      <c r="F30" s="89">
        <v>2.2999999999999998</v>
      </c>
      <c r="G30" s="90" t="s">
        <v>206</v>
      </c>
      <c r="H30" s="235">
        <v>0</v>
      </c>
      <c r="J30" s="62">
        <f t="shared" si="0"/>
        <v>-1</v>
      </c>
      <c r="L30" s="281">
        <f t="shared" si="1"/>
        <v>1</v>
      </c>
      <c r="M30" s="281">
        <f t="shared" si="2"/>
        <v>-1</v>
      </c>
    </row>
    <row r="31" spans="1:13" s="235" customFormat="1">
      <c r="A31" s="50" t="s">
        <v>12</v>
      </c>
      <c r="B31" s="50" t="s">
        <v>10</v>
      </c>
      <c r="C31" s="50" t="s">
        <v>3</v>
      </c>
      <c r="D31" s="50" t="s">
        <v>49</v>
      </c>
      <c r="E31" s="51">
        <v>2</v>
      </c>
      <c r="F31" s="52">
        <f>((2.14-1)*0.95)+1</f>
        <v>2.0830000000000002</v>
      </c>
      <c r="G31" s="53" t="s">
        <v>38</v>
      </c>
      <c r="H31" s="235">
        <v>0</v>
      </c>
      <c r="J31" s="62">
        <f t="shared" si="0"/>
        <v>-2</v>
      </c>
      <c r="L31" s="281">
        <f t="shared" si="1"/>
        <v>2</v>
      </c>
      <c r="M31" s="281">
        <f t="shared" si="2"/>
        <v>-2</v>
      </c>
    </row>
    <row r="32" spans="1:13" s="235" customFormat="1">
      <c r="A32" s="54" t="s">
        <v>12</v>
      </c>
      <c r="B32" s="54" t="s">
        <v>67</v>
      </c>
      <c r="C32" s="54" t="s">
        <v>1</v>
      </c>
      <c r="D32" s="54" t="s">
        <v>49</v>
      </c>
      <c r="E32" s="55">
        <v>3</v>
      </c>
      <c r="F32" s="56">
        <f>((1.49-1)*0.95)+1</f>
        <v>1.4655</v>
      </c>
      <c r="G32" s="57" t="s">
        <v>146</v>
      </c>
      <c r="H32" s="235">
        <v>1</v>
      </c>
      <c r="J32" s="62">
        <f t="shared" si="0"/>
        <v>1.3965000000000001</v>
      </c>
      <c r="L32" s="281">
        <f t="shared" si="1"/>
        <v>0</v>
      </c>
      <c r="M32" s="281">
        <f t="shared" si="2"/>
        <v>0</v>
      </c>
    </row>
    <row r="33" spans="1:13" s="235" customFormat="1">
      <c r="A33" s="54" t="s">
        <v>12</v>
      </c>
      <c r="B33" s="54" t="s">
        <v>26</v>
      </c>
      <c r="C33" s="54" t="s">
        <v>15</v>
      </c>
      <c r="D33" s="54" t="s">
        <v>49</v>
      </c>
      <c r="E33" s="55">
        <v>1</v>
      </c>
      <c r="F33" s="56">
        <f>((2-1)*0.95)+1</f>
        <v>1.95</v>
      </c>
      <c r="G33" s="57" t="s">
        <v>42</v>
      </c>
      <c r="H33" s="235">
        <v>1</v>
      </c>
      <c r="J33" s="62">
        <f t="shared" si="0"/>
        <v>0.95</v>
      </c>
      <c r="L33" s="281">
        <f t="shared" si="1"/>
        <v>0</v>
      </c>
      <c r="M33" s="281">
        <f t="shared" si="2"/>
        <v>0</v>
      </c>
    </row>
    <row r="34" spans="1:13" s="235" customFormat="1">
      <c r="A34" s="54" t="s">
        <v>12</v>
      </c>
      <c r="B34" s="54" t="s">
        <v>182</v>
      </c>
      <c r="C34" s="54" t="s">
        <v>47</v>
      </c>
      <c r="D34" s="54" t="s">
        <v>49</v>
      </c>
      <c r="E34" s="55">
        <v>2.5</v>
      </c>
      <c r="F34" s="56">
        <f>((2.26-1)*0.95)+1</f>
        <v>2.1970000000000001</v>
      </c>
      <c r="G34" s="57" t="s">
        <v>122</v>
      </c>
      <c r="H34" s="235">
        <v>1</v>
      </c>
      <c r="J34" s="62">
        <f t="shared" si="0"/>
        <v>2.9925000000000002</v>
      </c>
      <c r="L34" s="281">
        <f t="shared" si="1"/>
        <v>2.5</v>
      </c>
      <c r="M34" s="281">
        <f t="shared" si="2"/>
        <v>2.9925000000000002</v>
      </c>
    </row>
    <row r="35" spans="1:13" s="235" customFormat="1">
      <c r="A35" s="46" t="s">
        <v>12</v>
      </c>
      <c r="B35" s="46" t="s">
        <v>4</v>
      </c>
      <c r="C35" s="46" t="s">
        <v>5</v>
      </c>
      <c r="D35" s="46" t="s">
        <v>49</v>
      </c>
      <c r="E35" s="47">
        <v>1</v>
      </c>
      <c r="F35" s="48">
        <f>((1.88-1)*0.95)+1</f>
        <v>1.8359999999999999</v>
      </c>
      <c r="G35" s="49" t="s">
        <v>39</v>
      </c>
      <c r="H35" s="235">
        <v>0</v>
      </c>
      <c r="J35" s="62">
        <f t="shared" si="0"/>
        <v>-1</v>
      </c>
      <c r="L35" s="281">
        <f t="shared" si="1"/>
        <v>0</v>
      </c>
      <c r="M35" s="281">
        <f t="shared" si="2"/>
        <v>0</v>
      </c>
    </row>
    <row r="36" spans="1:13" s="235" customFormat="1" ht="15.75" thickBot="1">
      <c r="A36" s="206" t="s">
        <v>12</v>
      </c>
      <c r="B36" s="206" t="s">
        <v>16</v>
      </c>
      <c r="C36" s="206" t="s">
        <v>28</v>
      </c>
      <c r="D36" s="206" t="s">
        <v>34</v>
      </c>
      <c r="E36" s="290">
        <v>0.5</v>
      </c>
      <c r="F36" s="291">
        <f>((3.75-1)*0.95)+1</f>
        <v>3.6124999999999998</v>
      </c>
      <c r="G36" s="292" t="s">
        <v>39</v>
      </c>
      <c r="H36" s="235">
        <v>0</v>
      </c>
      <c r="J36" s="62">
        <f t="shared" si="0"/>
        <v>-0.5</v>
      </c>
      <c r="L36" s="281">
        <f t="shared" si="1"/>
        <v>0.5</v>
      </c>
      <c r="M36" s="281">
        <f t="shared" si="2"/>
        <v>-0.5</v>
      </c>
    </row>
    <row r="37" spans="1:13">
      <c r="A37" s="46" t="s">
        <v>12</v>
      </c>
      <c r="B37" s="46" t="s">
        <v>181</v>
      </c>
      <c r="C37" s="46" t="s">
        <v>67</v>
      </c>
      <c r="D37" s="46" t="s">
        <v>49</v>
      </c>
      <c r="E37" s="47">
        <v>2</v>
      </c>
      <c r="F37" s="48">
        <f>((2.48-1)*0.95)+1</f>
        <v>2.4059999999999997</v>
      </c>
      <c r="G37" s="49" t="s">
        <v>243</v>
      </c>
      <c r="H37" s="235">
        <v>0</v>
      </c>
      <c r="J37" s="62">
        <f t="shared" si="0"/>
        <v>-2</v>
      </c>
      <c r="K37" s="235"/>
      <c r="L37" s="281">
        <f t="shared" si="1"/>
        <v>2</v>
      </c>
      <c r="M37" s="281">
        <f t="shared" si="2"/>
        <v>-2</v>
      </c>
    </row>
    <row r="38" spans="1:13">
      <c r="A38" s="46" t="s">
        <v>12</v>
      </c>
      <c r="B38" s="46" t="s">
        <v>5</v>
      </c>
      <c r="C38" s="46" t="s">
        <v>134</v>
      </c>
      <c r="D38" s="46" t="s">
        <v>48</v>
      </c>
      <c r="E38" s="47">
        <v>1.5</v>
      </c>
      <c r="F38" s="48">
        <f>((3.5-1)*0.95)+1</f>
        <v>3.375</v>
      </c>
      <c r="G38" s="49" t="s">
        <v>38</v>
      </c>
      <c r="H38" s="235">
        <v>0</v>
      </c>
      <c r="I38" s="233"/>
      <c r="J38" s="62">
        <f t="shared" si="0"/>
        <v>-1.5</v>
      </c>
      <c r="K38" s="235"/>
      <c r="L38" s="281">
        <f t="shared" si="1"/>
        <v>1.5</v>
      </c>
      <c r="M38" s="281">
        <f t="shared" si="2"/>
        <v>-1.5</v>
      </c>
    </row>
    <row r="39" spans="1:13">
      <c r="A39" s="46" t="s">
        <v>12</v>
      </c>
      <c r="B39" s="46" t="s">
        <v>15</v>
      </c>
      <c r="C39" s="46" t="s">
        <v>4</v>
      </c>
      <c r="D39" s="46" t="s">
        <v>34</v>
      </c>
      <c r="E39" s="47">
        <v>0.5</v>
      </c>
      <c r="F39" s="48">
        <f>((3.5-1)*0.95)+1</f>
        <v>3.375</v>
      </c>
      <c r="G39" s="49" t="s">
        <v>43</v>
      </c>
      <c r="H39" s="235">
        <v>0</v>
      </c>
      <c r="J39" s="62">
        <f t="shared" si="0"/>
        <v>-0.5</v>
      </c>
      <c r="K39" s="235"/>
      <c r="L39" s="281">
        <f t="shared" si="1"/>
        <v>0.5</v>
      </c>
      <c r="M39" s="281">
        <f t="shared" si="2"/>
        <v>-0.5</v>
      </c>
    </row>
    <row r="40" spans="1:13">
      <c r="A40" s="46" t="s">
        <v>12</v>
      </c>
      <c r="B40" s="46" t="s">
        <v>27</v>
      </c>
      <c r="C40" s="46" t="s">
        <v>182</v>
      </c>
      <c r="D40" s="46" t="s">
        <v>34</v>
      </c>
      <c r="E40" s="47">
        <v>0.5</v>
      </c>
      <c r="F40" s="48">
        <f>((4.1-1)*0.95)+1</f>
        <v>3.9449999999999994</v>
      </c>
      <c r="G40" s="49" t="s">
        <v>36</v>
      </c>
      <c r="H40" s="235">
        <v>0</v>
      </c>
      <c r="J40" s="62">
        <f t="shared" si="0"/>
        <v>-0.5</v>
      </c>
      <c r="K40" s="235"/>
      <c r="L40" s="281">
        <f t="shared" si="1"/>
        <v>0.5</v>
      </c>
      <c r="M40" s="281">
        <f t="shared" si="2"/>
        <v>-0.5</v>
      </c>
    </row>
    <row r="41" spans="1:13">
      <c r="A41" s="87" t="s">
        <v>12</v>
      </c>
      <c r="B41" s="87" t="s">
        <v>239</v>
      </c>
      <c r="C41" s="87" t="s">
        <v>16</v>
      </c>
      <c r="D41" s="87" t="s">
        <v>48</v>
      </c>
      <c r="E41" s="88">
        <v>0.5</v>
      </c>
      <c r="F41" s="89">
        <f>((24-1)*0.95)+1</f>
        <v>22.849999999999998</v>
      </c>
      <c r="G41" s="90" t="s">
        <v>246</v>
      </c>
      <c r="H41" s="235">
        <v>0</v>
      </c>
      <c r="J41" s="62">
        <f t="shared" si="0"/>
        <v>-0.5</v>
      </c>
      <c r="K41" s="235"/>
      <c r="L41" s="281">
        <f t="shared" si="1"/>
        <v>0.5</v>
      </c>
      <c r="M41" s="281">
        <f t="shared" si="2"/>
        <v>-0.5</v>
      </c>
    </row>
    <row r="42" spans="1:13">
      <c r="A42" s="42" t="s">
        <v>12</v>
      </c>
      <c r="B42" s="42" t="s">
        <v>182</v>
      </c>
      <c r="C42" s="42" t="s">
        <v>1</v>
      </c>
      <c r="D42" s="42" t="s">
        <v>49</v>
      </c>
      <c r="E42" s="43">
        <v>2.25</v>
      </c>
      <c r="F42" s="44">
        <f>((1.82-1)*0.95)+1</f>
        <v>1.7789999999999999</v>
      </c>
      <c r="G42" s="45" t="s">
        <v>41</v>
      </c>
      <c r="H42" s="235">
        <v>1</v>
      </c>
      <c r="J42" s="62">
        <f t="shared" si="0"/>
        <v>1.7527499999999998</v>
      </c>
      <c r="K42" s="235"/>
      <c r="L42" s="281">
        <f t="shared" si="1"/>
        <v>0</v>
      </c>
      <c r="M42" s="281">
        <f t="shared" si="2"/>
        <v>0</v>
      </c>
    </row>
    <row r="43" spans="1:13">
      <c r="A43" s="54" t="s">
        <v>12</v>
      </c>
      <c r="B43" s="54" t="s">
        <v>3</v>
      </c>
      <c r="C43" s="54" t="s">
        <v>5</v>
      </c>
      <c r="D43" s="54" t="s">
        <v>49</v>
      </c>
      <c r="E43" s="55">
        <v>1.25</v>
      </c>
      <c r="F43" s="56">
        <v>3.25</v>
      </c>
      <c r="G43" s="57" t="s">
        <v>122</v>
      </c>
      <c r="H43" s="235">
        <v>1</v>
      </c>
      <c r="J43" s="62">
        <f t="shared" si="0"/>
        <v>2.8125</v>
      </c>
      <c r="K43" s="235"/>
      <c r="L43" s="281">
        <f t="shared" si="1"/>
        <v>1.25</v>
      </c>
      <c r="M43" s="281">
        <f t="shared" si="2"/>
        <v>2.8125</v>
      </c>
    </row>
    <row r="44" spans="1:13">
      <c r="A44" s="54" t="s">
        <v>12</v>
      </c>
      <c r="B44" s="54" t="s">
        <v>73</v>
      </c>
      <c r="C44" s="54" t="s">
        <v>181</v>
      </c>
      <c r="D44" s="54" t="s">
        <v>48</v>
      </c>
      <c r="E44" s="55">
        <v>1.25</v>
      </c>
      <c r="F44" s="56">
        <f>((4.3-1)*0.95)+1</f>
        <v>4.1349999999999998</v>
      </c>
      <c r="G44" s="57" t="s">
        <v>39</v>
      </c>
      <c r="H44" s="235">
        <v>1</v>
      </c>
      <c r="J44" s="62">
        <f t="shared" si="0"/>
        <v>3.9187499999999997</v>
      </c>
      <c r="K44" s="235"/>
      <c r="L44" s="281">
        <f t="shared" si="1"/>
        <v>1.25</v>
      </c>
      <c r="M44" s="281">
        <f t="shared" si="2"/>
        <v>3.9187499999999997</v>
      </c>
    </row>
    <row r="45" spans="1:13">
      <c r="A45" s="54" t="s">
        <v>12</v>
      </c>
      <c r="B45" s="54" t="s">
        <v>16</v>
      </c>
      <c r="C45" s="54" t="s">
        <v>2</v>
      </c>
      <c r="D45" s="54" t="s">
        <v>49</v>
      </c>
      <c r="E45" s="55">
        <v>2.5</v>
      </c>
      <c r="F45" s="56">
        <f>((2.24-1)*0.95)+1</f>
        <v>2.1779999999999999</v>
      </c>
      <c r="G45" s="57" t="s">
        <v>146</v>
      </c>
      <c r="H45" s="235">
        <v>1</v>
      </c>
      <c r="J45" s="62">
        <f t="shared" si="0"/>
        <v>2.9449999999999998</v>
      </c>
      <c r="K45" s="235"/>
      <c r="L45" s="281">
        <f t="shared" si="1"/>
        <v>2.5</v>
      </c>
      <c r="M45" s="281">
        <f t="shared" si="2"/>
        <v>2.9449999999999998</v>
      </c>
    </row>
    <row r="46" spans="1:13">
      <c r="A46" s="46" t="s">
        <v>12</v>
      </c>
      <c r="B46" s="46" t="s">
        <v>26</v>
      </c>
      <c r="C46" s="46" t="s">
        <v>27</v>
      </c>
      <c r="D46" s="46" t="s">
        <v>48</v>
      </c>
      <c r="E46" s="47">
        <v>2.5</v>
      </c>
      <c r="F46" s="48">
        <f>((2.66-1)*0.95)+1</f>
        <v>2.577</v>
      </c>
      <c r="G46" s="49" t="s">
        <v>42</v>
      </c>
      <c r="H46" s="235">
        <v>0</v>
      </c>
      <c r="J46" s="62">
        <f t="shared" si="0"/>
        <v>-2.5</v>
      </c>
      <c r="K46" s="235"/>
      <c r="L46" s="281">
        <f t="shared" si="1"/>
        <v>2.5</v>
      </c>
      <c r="M46" s="281">
        <f t="shared" si="2"/>
        <v>-2.5</v>
      </c>
    </row>
    <row r="47" spans="1:13">
      <c r="A47" s="87" t="s">
        <v>12</v>
      </c>
      <c r="B47" s="87" t="s">
        <v>134</v>
      </c>
      <c r="C47" s="87" t="s">
        <v>15</v>
      </c>
      <c r="D47" s="87" t="s">
        <v>48</v>
      </c>
      <c r="E47" s="88">
        <v>0.5</v>
      </c>
      <c r="F47" s="89">
        <f>((11.5-1)*0.95)+1</f>
        <v>10.975</v>
      </c>
      <c r="G47" s="90" t="s">
        <v>36</v>
      </c>
      <c r="H47" s="235">
        <v>0</v>
      </c>
      <c r="J47" s="62">
        <f t="shared" si="0"/>
        <v>-0.5</v>
      </c>
      <c r="K47" s="235"/>
      <c r="L47" s="281">
        <f t="shared" si="1"/>
        <v>0.5</v>
      </c>
      <c r="M47" s="281">
        <f t="shared" si="2"/>
        <v>-0.5</v>
      </c>
    </row>
    <row r="48" spans="1:13">
      <c r="A48" s="50" t="s">
        <v>12</v>
      </c>
      <c r="B48" s="50" t="s">
        <v>1</v>
      </c>
      <c r="C48" s="50" t="s">
        <v>26</v>
      </c>
      <c r="D48" s="50" t="s">
        <v>49</v>
      </c>
      <c r="E48" s="51">
        <v>1</v>
      </c>
      <c r="F48" s="52">
        <f>((2.64-1)*0.95)+1</f>
        <v>2.5579999999999998</v>
      </c>
      <c r="G48" s="53" t="s">
        <v>38</v>
      </c>
      <c r="H48" s="235">
        <v>0</v>
      </c>
      <c r="J48" s="62">
        <f t="shared" si="0"/>
        <v>-1</v>
      </c>
      <c r="K48" s="235"/>
      <c r="L48" s="281">
        <f t="shared" si="1"/>
        <v>1</v>
      </c>
      <c r="M48" s="281">
        <f t="shared" si="2"/>
        <v>-1</v>
      </c>
    </row>
    <row r="49" spans="1:13">
      <c r="A49" s="46" t="s">
        <v>12</v>
      </c>
      <c r="B49" s="46" t="s">
        <v>27</v>
      </c>
      <c r="C49" s="46" t="s">
        <v>4</v>
      </c>
      <c r="D49" s="46" t="s">
        <v>49</v>
      </c>
      <c r="E49" s="47">
        <v>1.75</v>
      </c>
      <c r="F49" s="48">
        <f>((2.4-1)*0.95)+1</f>
        <v>2.33</v>
      </c>
      <c r="G49" s="49" t="s">
        <v>366</v>
      </c>
      <c r="H49" s="235">
        <v>0</v>
      </c>
      <c r="J49" s="62">
        <f t="shared" si="0"/>
        <v>-1.75</v>
      </c>
      <c r="K49" s="235"/>
      <c r="L49" s="281">
        <f t="shared" si="1"/>
        <v>1.75</v>
      </c>
      <c r="M49" s="281">
        <f t="shared" si="2"/>
        <v>-1.75</v>
      </c>
    </row>
    <row r="50" spans="1:13">
      <c r="A50" s="54" t="s">
        <v>12</v>
      </c>
      <c r="B50" s="54" t="s">
        <v>15</v>
      </c>
      <c r="C50" s="54" t="s">
        <v>3</v>
      </c>
      <c r="D50" s="54" t="s">
        <v>49</v>
      </c>
      <c r="E50" s="55">
        <v>1.25</v>
      </c>
      <c r="F50" s="56">
        <f>((2.08-1)*0.95)+1</f>
        <v>2.0259999999999998</v>
      </c>
      <c r="G50" s="57" t="s">
        <v>42</v>
      </c>
      <c r="H50" s="235">
        <v>1</v>
      </c>
      <c r="J50" s="62">
        <f t="shared" si="0"/>
        <v>1.2824999999999998</v>
      </c>
      <c r="K50" s="235"/>
      <c r="L50" s="281">
        <f t="shared" si="1"/>
        <v>1.25</v>
      </c>
      <c r="M50" s="281">
        <f t="shared" si="2"/>
        <v>1.2824999999999998</v>
      </c>
    </row>
    <row r="51" spans="1:13">
      <c r="A51" s="46" t="s">
        <v>12</v>
      </c>
      <c r="B51" s="46" t="s">
        <v>2</v>
      </c>
      <c r="C51" s="46" t="s">
        <v>0</v>
      </c>
      <c r="D51" s="46" t="s">
        <v>34</v>
      </c>
      <c r="E51" s="47">
        <v>0.75</v>
      </c>
      <c r="F51" s="48">
        <f>((3.45-1)*0.95)+1</f>
        <v>3.3275000000000001</v>
      </c>
      <c r="G51" s="49" t="s">
        <v>41</v>
      </c>
      <c r="H51" s="235">
        <v>0</v>
      </c>
      <c r="J51" s="62">
        <f t="shared" si="0"/>
        <v>-0.75</v>
      </c>
      <c r="K51" s="235"/>
      <c r="L51" s="281">
        <f t="shared" si="1"/>
        <v>0.75</v>
      </c>
      <c r="M51" s="281">
        <f t="shared" si="2"/>
        <v>-0.75</v>
      </c>
    </row>
    <row r="52" spans="1:13">
      <c r="A52" s="87" t="s">
        <v>12</v>
      </c>
      <c r="B52" s="87" t="s">
        <v>181</v>
      </c>
      <c r="C52" s="87" t="s">
        <v>182</v>
      </c>
      <c r="D52" s="87" t="s">
        <v>34</v>
      </c>
      <c r="E52" s="88">
        <v>0.5</v>
      </c>
      <c r="F52" s="89">
        <f>((3.5-1)*0.95)+1</f>
        <v>3.375</v>
      </c>
      <c r="G52" s="90" t="s">
        <v>122</v>
      </c>
      <c r="H52" s="235">
        <v>0</v>
      </c>
      <c r="J52" s="62">
        <f t="shared" si="0"/>
        <v>-0.5</v>
      </c>
      <c r="K52" s="235"/>
      <c r="L52" s="281">
        <f t="shared" si="1"/>
        <v>0.5</v>
      </c>
      <c r="M52" s="281">
        <f t="shared" si="2"/>
        <v>-0.5</v>
      </c>
    </row>
    <row r="53" spans="1:13">
      <c r="A53" s="50" t="s">
        <v>12</v>
      </c>
      <c r="B53" s="50" t="s">
        <v>182</v>
      </c>
      <c r="C53" s="50" t="s">
        <v>28</v>
      </c>
      <c r="D53" s="50" t="s">
        <v>49</v>
      </c>
      <c r="E53" s="51">
        <v>2.5</v>
      </c>
      <c r="F53" s="52">
        <f>((2.06-1)*0.95)+1</f>
        <v>2.0069999999999997</v>
      </c>
      <c r="G53" s="53" t="s">
        <v>243</v>
      </c>
      <c r="H53" s="235">
        <v>0</v>
      </c>
      <c r="J53" s="62">
        <f t="shared" si="0"/>
        <v>-2.5</v>
      </c>
      <c r="K53" s="235"/>
      <c r="L53" s="281">
        <f t="shared" si="1"/>
        <v>2.5</v>
      </c>
      <c r="M53" s="281">
        <f t="shared" si="2"/>
        <v>-2.5</v>
      </c>
    </row>
    <row r="54" spans="1:13">
      <c r="A54" s="46" t="s">
        <v>12</v>
      </c>
      <c r="B54" s="46" t="s">
        <v>3</v>
      </c>
      <c r="C54" s="46" t="s">
        <v>47</v>
      </c>
      <c r="D54" s="46" t="s">
        <v>49</v>
      </c>
      <c r="E54" s="47">
        <v>1.5</v>
      </c>
      <c r="F54" s="48">
        <v>2.35</v>
      </c>
      <c r="G54" s="49" t="s">
        <v>121</v>
      </c>
      <c r="H54" s="235">
        <v>0</v>
      </c>
      <c r="J54" s="62">
        <f t="shared" si="0"/>
        <v>-1.5</v>
      </c>
      <c r="K54" s="235"/>
      <c r="L54" s="281">
        <f t="shared" si="1"/>
        <v>1.5</v>
      </c>
      <c r="M54" s="281">
        <f t="shared" si="2"/>
        <v>-1.5</v>
      </c>
    </row>
    <row r="55" spans="1:13">
      <c r="A55" s="54" t="s">
        <v>12</v>
      </c>
      <c r="B55" s="54" t="s">
        <v>67</v>
      </c>
      <c r="C55" s="54" t="s">
        <v>2</v>
      </c>
      <c r="D55" s="54" t="s">
        <v>49</v>
      </c>
      <c r="E55" s="55">
        <v>1</v>
      </c>
      <c r="F55" s="56">
        <f>((1.72-1)*0.95)+1</f>
        <v>1.6839999999999999</v>
      </c>
      <c r="G55" s="57" t="s">
        <v>244</v>
      </c>
      <c r="H55" s="235">
        <v>1</v>
      </c>
      <c r="J55" s="62">
        <f t="shared" si="0"/>
        <v>0.68399999999999994</v>
      </c>
      <c r="K55" s="235"/>
      <c r="L55" s="281">
        <f t="shared" si="1"/>
        <v>0</v>
      </c>
      <c r="M55" s="281">
        <f t="shared" si="2"/>
        <v>0</v>
      </c>
    </row>
    <row r="56" spans="1:13">
      <c r="A56" s="91" t="s">
        <v>12</v>
      </c>
      <c r="B56" s="91" t="s">
        <v>10</v>
      </c>
      <c r="C56" s="91" t="s">
        <v>5</v>
      </c>
      <c r="D56" s="91" t="s">
        <v>48</v>
      </c>
      <c r="E56" s="92">
        <v>2</v>
      </c>
      <c r="F56" s="93">
        <f>((2.36-1)*0.95)+1</f>
        <v>2.2919999999999998</v>
      </c>
      <c r="G56" s="94" t="s">
        <v>366</v>
      </c>
      <c r="H56" s="235">
        <v>1</v>
      </c>
      <c r="J56" s="62">
        <f t="shared" si="0"/>
        <v>2.5839999999999996</v>
      </c>
      <c r="K56" s="235"/>
      <c r="L56" s="281">
        <f t="shared" si="1"/>
        <v>2</v>
      </c>
      <c r="M56" s="281">
        <f t="shared" si="2"/>
        <v>2.5839999999999996</v>
      </c>
    </row>
    <row r="57" spans="1:13">
      <c r="A57" s="286" t="s">
        <v>12</v>
      </c>
      <c r="B57" s="286" t="s">
        <v>1</v>
      </c>
      <c r="C57" s="286" t="s">
        <v>134</v>
      </c>
      <c r="D57" s="286" t="s">
        <v>460</v>
      </c>
      <c r="E57" s="287">
        <v>1</v>
      </c>
      <c r="F57" s="288">
        <f>((2.16-1)*0.95)+1</f>
        <v>2.1020000000000003</v>
      </c>
      <c r="G57" s="289" t="s">
        <v>122</v>
      </c>
      <c r="H57" s="235">
        <v>1</v>
      </c>
      <c r="J57" s="62">
        <f t="shared" si="0"/>
        <v>1.1020000000000003</v>
      </c>
      <c r="K57" s="235"/>
      <c r="L57" s="281">
        <f t="shared" si="1"/>
        <v>1</v>
      </c>
      <c r="M57" s="281">
        <f t="shared" si="2"/>
        <v>1.1020000000000003</v>
      </c>
    </row>
    <row r="58" spans="1:13">
      <c r="A58" s="42" t="s">
        <v>12</v>
      </c>
      <c r="B58" s="42" t="s">
        <v>504</v>
      </c>
      <c r="C58" s="42" t="s">
        <v>0</v>
      </c>
      <c r="D58" s="42" t="s">
        <v>48</v>
      </c>
      <c r="E58" s="43">
        <v>1.25</v>
      </c>
      <c r="F58" s="44">
        <f>((6.4-1)*0.95)+1</f>
        <v>6.13</v>
      </c>
      <c r="G58" s="45" t="s">
        <v>82</v>
      </c>
      <c r="H58" s="235">
        <v>1</v>
      </c>
      <c r="J58" s="62">
        <f t="shared" si="0"/>
        <v>6.4124999999999996</v>
      </c>
      <c r="K58" s="235"/>
      <c r="L58" s="281">
        <f t="shared" si="1"/>
        <v>1.25</v>
      </c>
      <c r="M58" s="281">
        <f t="shared" si="2"/>
        <v>6.4124999999999996</v>
      </c>
    </row>
    <row r="59" spans="1:13">
      <c r="A59" s="87" t="s">
        <v>12</v>
      </c>
      <c r="B59" s="87" t="s">
        <v>5</v>
      </c>
      <c r="C59" s="87" t="s">
        <v>47</v>
      </c>
      <c r="D59" s="87" t="s">
        <v>530</v>
      </c>
      <c r="E59" s="88">
        <v>1.25</v>
      </c>
      <c r="F59" s="89">
        <f>((3.85-1)*0.95)+1</f>
        <v>3.7075</v>
      </c>
      <c r="G59" s="90" t="s">
        <v>187</v>
      </c>
      <c r="H59" s="235">
        <v>0</v>
      </c>
      <c r="J59" s="62">
        <f t="shared" si="0"/>
        <v>-1.25</v>
      </c>
      <c r="K59" s="235"/>
      <c r="L59" s="281">
        <f t="shared" si="1"/>
        <v>1.25</v>
      </c>
      <c r="M59" s="281">
        <f t="shared" si="2"/>
        <v>-1.25</v>
      </c>
    </row>
    <row r="60" spans="1:13">
      <c r="A60" s="42" t="s">
        <v>12</v>
      </c>
      <c r="B60" s="42" t="s">
        <v>2</v>
      </c>
      <c r="C60" s="42" t="s">
        <v>26</v>
      </c>
      <c r="D60" s="42" t="s">
        <v>49</v>
      </c>
      <c r="E60" s="43">
        <v>1.5</v>
      </c>
      <c r="F60" s="44">
        <v>2.0499999999999998</v>
      </c>
      <c r="G60" s="45" t="s">
        <v>571</v>
      </c>
      <c r="H60" s="235">
        <v>1</v>
      </c>
      <c r="J60" s="62">
        <f t="shared" si="0"/>
        <v>1.5749999999999997</v>
      </c>
      <c r="K60" s="235"/>
      <c r="L60" s="281">
        <f t="shared" si="1"/>
        <v>1.5</v>
      </c>
      <c r="M60" s="281">
        <f t="shared" si="2"/>
        <v>1.5749999999999997</v>
      </c>
    </row>
    <row r="61" spans="1:13">
      <c r="A61" s="46" t="s">
        <v>12</v>
      </c>
      <c r="B61" s="46" t="s">
        <v>47</v>
      </c>
      <c r="C61" s="46" t="s">
        <v>15</v>
      </c>
      <c r="D61" s="46" t="s">
        <v>49</v>
      </c>
      <c r="E61" s="47">
        <v>2.5</v>
      </c>
      <c r="F61" s="48">
        <f>((1.95-1)*0.95)+1</f>
        <v>1.9024999999999999</v>
      </c>
      <c r="G61" s="49" t="s">
        <v>37</v>
      </c>
      <c r="H61" s="235">
        <v>0</v>
      </c>
      <c r="J61" s="62">
        <f t="shared" si="0"/>
        <v>-2.5</v>
      </c>
      <c r="K61" s="235"/>
      <c r="L61" s="281">
        <f t="shared" si="1"/>
        <v>0</v>
      </c>
      <c r="M61" s="281">
        <f t="shared" si="2"/>
        <v>0</v>
      </c>
    </row>
    <row r="62" spans="1:13">
      <c r="A62" s="54" t="s">
        <v>12</v>
      </c>
      <c r="B62" s="54" t="s">
        <v>27</v>
      </c>
      <c r="C62" s="54" t="s">
        <v>5</v>
      </c>
      <c r="D62" s="54" t="s">
        <v>49</v>
      </c>
      <c r="E62" s="55">
        <v>1.25</v>
      </c>
      <c r="F62" s="56">
        <f>((2.42-1)*0.95)+1</f>
        <v>2.3490000000000002</v>
      </c>
      <c r="G62" s="57" t="s">
        <v>122</v>
      </c>
      <c r="H62" s="235">
        <v>1</v>
      </c>
      <c r="J62" s="62">
        <f t="shared" si="0"/>
        <v>1.6862500000000002</v>
      </c>
      <c r="K62" s="235"/>
      <c r="L62" s="281">
        <f t="shared" si="1"/>
        <v>1.25</v>
      </c>
      <c r="M62" s="281">
        <f t="shared" si="2"/>
        <v>1.6862500000000002</v>
      </c>
    </row>
    <row r="63" spans="1:13">
      <c r="A63" s="91" t="s">
        <v>12</v>
      </c>
      <c r="B63" s="91" t="s">
        <v>28</v>
      </c>
      <c r="C63" s="91" t="s">
        <v>134</v>
      </c>
      <c r="D63" s="91" t="s">
        <v>49</v>
      </c>
      <c r="E63" s="92">
        <v>1.75</v>
      </c>
      <c r="F63" s="93">
        <f>((3.2-1)*0.95)+1</f>
        <v>3.09</v>
      </c>
      <c r="G63" s="94" t="s">
        <v>36</v>
      </c>
      <c r="H63" s="235">
        <v>1</v>
      </c>
      <c r="J63" s="62">
        <f t="shared" si="0"/>
        <v>3.6574999999999998</v>
      </c>
      <c r="K63" s="235"/>
      <c r="L63" s="281">
        <f t="shared" si="1"/>
        <v>1.75</v>
      </c>
      <c r="M63" s="281">
        <f t="shared" si="2"/>
        <v>3.6574999999999998</v>
      </c>
    </row>
    <row r="64" spans="1:13">
      <c r="A64" s="42" t="s">
        <v>12</v>
      </c>
      <c r="B64" s="42" t="s">
        <v>3</v>
      </c>
      <c r="C64" s="42" t="s">
        <v>28</v>
      </c>
      <c r="D64" s="42" t="s">
        <v>49</v>
      </c>
      <c r="E64" s="43">
        <v>1.5</v>
      </c>
      <c r="F64" s="44">
        <f>((2.74-1)*0.95)+1</f>
        <v>2.653</v>
      </c>
      <c r="G64" s="45" t="s">
        <v>630</v>
      </c>
      <c r="H64" s="235">
        <v>1</v>
      </c>
      <c r="J64" s="62">
        <f t="shared" si="0"/>
        <v>2.4794999999999998</v>
      </c>
      <c r="K64" s="235"/>
      <c r="L64" s="281">
        <f t="shared" si="1"/>
        <v>1.5</v>
      </c>
      <c r="M64" s="281">
        <f t="shared" si="2"/>
        <v>2.4794999999999998</v>
      </c>
    </row>
    <row r="65" spans="1:13">
      <c r="A65" s="54" t="s">
        <v>12</v>
      </c>
      <c r="B65" s="54" t="s">
        <v>73</v>
      </c>
      <c r="C65" s="54" t="s">
        <v>67</v>
      </c>
      <c r="D65" s="54" t="s">
        <v>49</v>
      </c>
      <c r="E65" s="55">
        <v>1.75</v>
      </c>
      <c r="F65" s="56">
        <v>2.4500000000000002</v>
      </c>
      <c r="G65" s="57" t="s">
        <v>42</v>
      </c>
      <c r="H65" s="235">
        <v>1</v>
      </c>
      <c r="J65" s="62">
        <f t="shared" si="0"/>
        <v>2.5375000000000005</v>
      </c>
      <c r="K65" s="235"/>
      <c r="L65" s="281">
        <f t="shared" si="1"/>
        <v>1.75</v>
      </c>
      <c r="M65" s="281">
        <f t="shared" si="2"/>
        <v>2.5375000000000005</v>
      </c>
    </row>
    <row r="66" spans="1:13">
      <c r="A66" s="91" t="s">
        <v>12</v>
      </c>
      <c r="B66" s="91" t="s">
        <v>10</v>
      </c>
      <c r="C66" s="91" t="s">
        <v>47</v>
      </c>
      <c r="D66" s="91" t="s">
        <v>48</v>
      </c>
      <c r="E66" s="92">
        <v>1.75</v>
      </c>
      <c r="F66" s="93">
        <f>((2.8-1)*0.95)+1</f>
        <v>2.71</v>
      </c>
      <c r="G66" s="94" t="s">
        <v>366</v>
      </c>
      <c r="H66" s="235">
        <v>1</v>
      </c>
      <c r="J66" s="62">
        <f t="shared" ref="J66:J110" si="3">IF(H66=1,E66*(F66-1),-E66)</f>
        <v>2.9924999999999997</v>
      </c>
      <c r="K66" s="235"/>
      <c r="L66" s="281">
        <f t="shared" ref="L66:L81" si="4">IF(M66=0,0,E66)</f>
        <v>1.75</v>
      </c>
      <c r="M66" s="281">
        <f t="shared" ref="M66:M81" si="5">IF(F66&gt;2,J66,0)</f>
        <v>2.9924999999999997</v>
      </c>
    </row>
    <row r="67" spans="1:13">
      <c r="A67" s="42" t="s">
        <v>12</v>
      </c>
      <c r="B67" s="42" t="s">
        <v>47</v>
      </c>
      <c r="C67" s="42" t="s">
        <v>1</v>
      </c>
      <c r="D67" s="42" t="s">
        <v>49</v>
      </c>
      <c r="E67" s="43">
        <v>2.25</v>
      </c>
      <c r="F67" s="44">
        <f>((1.89-1)*0.95)+1</f>
        <v>1.8454999999999999</v>
      </c>
      <c r="G67" s="45" t="s">
        <v>122</v>
      </c>
      <c r="H67" s="235">
        <v>1</v>
      </c>
      <c r="J67" s="62">
        <f t="shared" si="3"/>
        <v>1.9023749999999997</v>
      </c>
      <c r="K67" s="235"/>
      <c r="L67" s="281">
        <f t="shared" si="4"/>
        <v>0</v>
      </c>
      <c r="M67" s="281">
        <f t="shared" si="5"/>
        <v>0</v>
      </c>
    </row>
    <row r="68" spans="1:13">
      <c r="A68" s="91" t="s">
        <v>12</v>
      </c>
      <c r="B68" s="91" t="s">
        <v>15</v>
      </c>
      <c r="C68" s="91" t="s">
        <v>181</v>
      </c>
      <c r="D68" s="91" t="s">
        <v>49</v>
      </c>
      <c r="E68" s="92">
        <v>1.75</v>
      </c>
      <c r="F68" s="93">
        <f>((2.32-1)*0.95)+1</f>
        <v>2.2539999999999996</v>
      </c>
      <c r="G68" s="94" t="s">
        <v>122</v>
      </c>
      <c r="H68" s="235">
        <v>1</v>
      </c>
      <c r="J68" s="62">
        <f t="shared" si="3"/>
        <v>2.1944999999999992</v>
      </c>
      <c r="K68" s="235"/>
      <c r="L68" s="281">
        <f t="shared" si="4"/>
        <v>1.75</v>
      </c>
      <c r="M68" s="281">
        <f t="shared" si="5"/>
        <v>2.1944999999999992</v>
      </c>
    </row>
    <row r="69" spans="1:13">
      <c r="A69" s="50" t="s">
        <v>12</v>
      </c>
      <c r="B69" s="50" t="s">
        <v>181</v>
      </c>
      <c r="C69" s="50" t="s">
        <v>47</v>
      </c>
      <c r="D69" s="50" t="s">
        <v>49</v>
      </c>
      <c r="E69" s="51">
        <v>2</v>
      </c>
      <c r="F69" s="52">
        <v>1.9</v>
      </c>
      <c r="G69" s="53" t="s">
        <v>243</v>
      </c>
      <c r="H69" s="235">
        <v>0</v>
      </c>
      <c r="J69" s="62">
        <f t="shared" si="3"/>
        <v>-2</v>
      </c>
      <c r="K69" s="235"/>
      <c r="L69" s="281">
        <f t="shared" si="4"/>
        <v>0</v>
      </c>
      <c r="M69" s="281">
        <f t="shared" si="5"/>
        <v>0</v>
      </c>
    </row>
    <row r="70" spans="1:13">
      <c r="A70" s="54" t="s">
        <v>12</v>
      </c>
      <c r="B70" s="54" t="s">
        <v>28</v>
      </c>
      <c r="C70" s="54" t="s">
        <v>15</v>
      </c>
      <c r="D70" s="54" t="s">
        <v>49</v>
      </c>
      <c r="E70" s="55">
        <v>1.75</v>
      </c>
      <c r="F70" s="56">
        <f>((1.92-1)*0.95)+1</f>
        <v>1.8739999999999999</v>
      </c>
      <c r="G70" s="57" t="s">
        <v>187</v>
      </c>
      <c r="H70" s="235">
        <v>1</v>
      </c>
      <c r="J70" s="62">
        <f t="shared" si="3"/>
        <v>1.5294999999999999</v>
      </c>
      <c r="K70" s="235"/>
      <c r="L70" s="281">
        <f t="shared" si="4"/>
        <v>0</v>
      </c>
      <c r="M70" s="281">
        <f t="shared" si="5"/>
        <v>0</v>
      </c>
    </row>
    <row r="71" spans="1:13">
      <c r="A71" s="46" t="s">
        <v>12</v>
      </c>
      <c r="B71" s="46" t="s">
        <v>422</v>
      </c>
      <c r="C71" s="46" t="s">
        <v>5</v>
      </c>
      <c r="D71" s="46" t="s">
        <v>692</v>
      </c>
      <c r="E71" s="47">
        <v>0.75</v>
      </c>
      <c r="F71" s="48">
        <f>((10-1)*0.95)+1</f>
        <v>9.5499999999999989</v>
      </c>
      <c r="G71" s="49" t="s">
        <v>41</v>
      </c>
      <c r="H71" s="235">
        <v>0</v>
      </c>
      <c r="J71" s="62">
        <f t="shared" si="3"/>
        <v>-0.75</v>
      </c>
      <c r="K71" s="235"/>
      <c r="L71" s="281">
        <f t="shared" si="4"/>
        <v>0.75</v>
      </c>
      <c r="M71" s="281">
        <f t="shared" si="5"/>
        <v>-0.75</v>
      </c>
    </row>
    <row r="72" spans="1:13">
      <c r="A72" s="46" t="s">
        <v>12</v>
      </c>
      <c r="B72" s="46" t="s">
        <v>0</v>
      </c>
      <c r="C72" s="46" t="s">
        <v>134</v>
      </c>
      <c r="D72" s="46" t="s">
        <v>49</v>
      </c>
      <c r="E72" s="47">
        <v>1</v>
      </c>
      <c r="F72" s="48">
        <f>((3.5-1)*0.95)+1</f>
        <v>3.375</v>
      </c>
      <c r="G72" s="49" t="s">
        <v>145</v>
      </c>
      <c r="H72" s="235">
        <v>0</v>
      </c>
      <c r="J72" s="62">
        <f t="shared" si="3"/>
        <v>-1</v>
      </c>
      <c r="K72" s="235"/>
      <c r="L72" s="281">
        <f t="shared" si="4"/>
        <v>1</v>
      </c>
      <c r="M72" s="281">
        <f t="shared" si="5"/>
        <v>-1</v>
      </c>
    </row>
    <row r="73" spans="1:13">
      <c r="A73" s="54" t="s">
        <v>12</v>
      </c>
      <c r="B73" s="54" t="s">
        <v>73</v>
      </c>
      <c r="C73" s="54" t="s">
        <v>26</v>
      </c>
      <c r="D73" s="54" t="s">
        <v>693</v>
      </c>
      <c r="E73" s="55">
        <v>1.3</v>
      </c>
      <c r="F73" s="56">
        <v>2.2349999999999999</v>
      </c>
      <c r="G73" s="57" t="s">
        <v>38</v>
      </c>
      <c r="H73" s="235">
        <v>1</v>
      </c>
      <c r="J73" s="62">
        <f t="shared" si="3"/>
        <v>1.6054999999999999</v>
      </c>
      <c r="K73" s="235"/>
      <c r="L73" s="281">
        <f t="shared" si="4"/>
        <v>1.3</v>
      </c>
      <c r="M73" s="281">
        <f t="shared" si="5"/>
        <v>1.6054999999999999</v>
      </c>
    </row>
    <row r="74" spans="1:13">
      <c r="A74" s="91" t="s">
        <v>12</v>
      </c>
      <c r="B74" s="91" t="s">
        <v>1</v>
      </c>
      <c r="C74" s="91" t="s">
        <v>27</v>
      </c>
      <c r="D74" s="91" t="s">
        <v>49</v>
      </c>
      <c r="E74" s="92">
        <v>0.75</v>
      </c>
      <c r="F74" s="93">
        <f>((3.35-1)*0.95)+1</f>
        <v>3.2324999999999999</v>
      </c>
      <c r="G74" s="94" t="s">
        <v>36</v>
      </c>
      <c r="H74" s="235">
        <v>1</v>
      </c>
      <c r="J74" s="62">
        <f t="shared" si="3"/>
        <v>1.6743749999999999</v>
      </c>
      <c r="K74" s="235"/>
      <c r="L74" s="281">
        <f t="shared" si="4"/>
        <v>0.75</v>
      </c>
      <c r="M74" s="281">
        <f t="shared" si="5"/>
        <v>1.6743749999999999</v>
      </c>
    </row>
    <row r="75" spans="1:13">
      <c r="A75" s="42" t="s">
        <v>12</v>
      </c>
      <c r="B75" s="42" t="s">
        <v>5</v>
      </c>
      <c r="C75" s="42" t="s">
        <v>2</v>
      </c>
      <c r="D75" s="42" t="s">
        <v>49</v>
      </c>
      <c r="E75" s="43">
        <v>2</v>
      </c>
      <c r="F75" s="44">
        <f>((1.9-1)*0.95)+1</f>
        <v>1.855</v>
      </c>
      <c r="G75" s="45" t="s">
        <v>743</v>
      </c>
      <c r="H75" s="235">
        <v>1</v>
      </c>
      <c r="J75" s="62">
        <f t="shared" si="3"/>
        <v>1.71</v>
      </c>
      <c r="K75" s="235"/>
      <c r="L75" s="281">
        <f t="shared" si="4"/>
        <v>0</v>
      </c>
      <c r="M75" s="281">
        <f t="shared" si="5"/>
        <v>0</v>
      </c>
    </row>
    <row r="76" spans="1:13">
      <c r="A76" s="46" t="s">
        <v>12</v>
      </c>
      <c r="B76" s="46" t="s">
        <v>520</v>
      </c>
      <c r="C76" s="46" t="s">
        <v>504</v>
      </c>
      <c r="D76" s="46" t="s">
        <v>742</v>
      </c>
      <c r="E76" s="47">
        <v>1</v>
      </c>
      <c r="F76" s="46">
        <v>1.89</v>
      </c>
      <c r="G76" s="49" t="s">
        <v>42</v>
      </c>
      <c r="H76" s="235">
        <v>0</v>
      </c>
      <c r="J76" s="62">
        <f t="shared" si="3"/>
        <v>-1</v>
      </c>
      <c r="K76" s="235"/>
      <c r="L76" s="281">
        <f t="shared" si="4"/>
        <v>0</v>
      </c>
      <c r="M76" s="281">
        <f t="shared" si="5"/>
        <v>0</v>
      </c>
    </row>
    <row r="77" spans="1:13">
      <c r="A77" s="46" t="s">
        <v>12</v>
      </c>
      <c r="B77" s="46" t="s">
        <v>47</v>
      </c>
      <c r="C77" s="46" t="s">
        <v>28</v>
      </c>
      <c r="D77" s="46" t="s">
        <v>742</v>
      </c>
      <c r="E77" s="47">
        <v>0.75</v>
      </c>
      <c r="F77" s="48">
        <v>2.09</v>
      </c>
      <c r="G77" s="49" t="s">
        <v>122</v>
      </c>
      <c r="H77" s="235">
        <v>0</v>
      </c>
      <c r="J77" s="62">
        <f t="shared" si="3"/>
        <v>-0.75</v>
      </c>
      <c r="K77" s="235"/>
      <c r="L77" s="281">
        <f t="shared" si="4"/>
        <v>0.75</v>
      </c>
      <c r="M77" s="281">
        <f t="shared" si="5"/>
        <v>-0.75</v>
      </c>
    </row>
    <row r="78" spans="1:13">
      <c r="A78" s="46" t="s">
        <v>12</v>
      </c>
      <c r="B78" s="46" t="s">
        <v>1</v>
      </c>
      <c r="C78" s="46" t="s">
        <v>10</v>
      </c>
      <c r="D78" s="46" t="s">
        <v>742</v>
      </c>
      <c r="E78" s="47">
        <v>0.75</v>
      </c>
      <c r="F78" s="48">
        <v>3.56</v>
      </c>
      <c r="G78" s="49" t="s">
        <v>42</v>
      </c>
      <c r="H78" s="235">
        <v>0</v>
      </c>
      <c r="J78" s="62">
        <f t="shared" si="3"/>
        <v>-0.75</v>
      </c>
      <c r="K78" s="235"/>
      <c r="L78" s="281">
        <f t="shared" si="4"/>
        <v>0.75</v>
      </c>
      <c r="M78" s="281">
        <f t="shared" si="5"/>
        <v>-0.75</v>
      </c>
    </row>
    <row r="79" spans="1:13">
      <c r="A79" s="87" t="s">
        <v>12</v>
      </c>
      <c r="B79" s="87" t="s">
        <v>308</v>
      </c>
      <c r="C79" s="87" t="s">
        <v>16</v>
      </c>
      <c r="D79" s="87" t="s">
        <v>742</v>
      </c>
      <c r="E79" s="88">
        <v>0.5</v>
      </c>
      <c r="F79" s="89">
        <v>7.67</v>
      </c>
      <c r="G79" s="90" t="s">
        <v>204</v>
      </c>
      <c r="H79" s="235">
        <v>0</v>
      </c>
      <c r="J79" s="62">
        <f t="shared" si="3"/>
        <v>-0.5</v>
      </c>
      <c r="K79" s="235"/>
      <c r="L79" s="281">
        <f t="shared" si="4"/>
        <v>0.5</v>
      </c>
      <c r="M79" s="281">
        <f t="shared" si="5"/>
        <v>-0.5</v>
      </c>
    </row>
    <row r="80" spans="1:13">
      <c r="A80" s="50" t="s">
        <v>12</v>
      </c>
      <c r="B80" s="50" t="s">
        <v>10</v>
      </c>
      <c r="C80" s="50" t="s">
        <v>26</v>
      </c>
      <c r="D80" s="50" t="s">
        <v>767</v>
      </c>
      <c r="E80" s="51">
        <v>1</v>
      </c>
      <c r="F80" s="52">
        <v>2.5099999999999998</v>
      </c>
      <c r="G80" s="53" t="s">
        <v>769</v>
      </c>
      <c r="H80" s="235">
        <v>0</v>
      </c>
      <c r="J80" s="62">
        <f t="shared" si="3"/>
        <v>-1</v>
      </c>
      <c r="K80" s="235"/>
      <c r="L80" s="281">
        <f t="shared" si="4"/>
        <v>1</v>
      </c>
      <c r="M80" s="281">
        <f t="shared" si="5"/>
        <v>-1</v>
      </c>
    </row>
    <row r="81" spans="1:14">
      <c r="A81" s="87" t="s">
        <v>12</v>
      </c>
      <c r="B81" s="87" t="s">
        <v>28</v>
      </c>
      <c r="C81" s="87" t="s">
        <v>27</v>
      </c>
      <c r="D81" s="87" t="s">
        <v>692</v>
      </c>
      <c r="E81" s="88">
        <v>1.5</v>
      </c>
      <c r="F81" s="89">
        <f>((4.4-1)*0.95)+1</f>
        <v>4.2300000000000004</v>
      </c>
      <c r="G81" s="90" t="s">
        <v>41</v>
      </c>
      <c r="H81" s="235">
        <v>0</v>
      </c>
      <c r="J81" s="62">
        <f t="shared" si="3"/>
        <v>-1.5</v>
      </c>
      <c r="K81" s="235"/>
      <c r="L81" s="281">
        <f t="shared" si="4"/>
        <v>1.5</v>
      </c>
      <c r="M81" s="281">
        <f t="shared" si="5"/>
        <v>-1.5</v>
      </c>
    </row>
    <row r="83" spans="1:14">
      <c r="E83" s="61">
        <f>SUM(E1:E82)</f>
        <v>121.39999999999999</v>
      </c>
      <c r="H83" s="281">
        <f>SUM(H1:H82)</f>
        <v>39</v>
      </c>
      <c r="I83" s="233">
        <f>COUNTIF(E1:E82,"&gt;0")</f>
        <v>81</v>
      </c>
      <c r="J83" s="62">
        <f>SUM(J1:J82)</f>
        <v>36.93312499999999</v>
      </c>
      <c r="L83" s="62">
        <f>SUM(L1:L82)</f>
        <v>76.399999999999991</v>
      </c>
      <c r="M83" s="62">
        <f>SUM(M1:M82)</f>
        <v>33.079624999999986</v>
      </c>
      <c r="N83" s="233">
        <f>COUNTIF(L1:L82,"&gt;0")</f>
        <v>58</v>
      </c>
    </row>
    <row r="84" spans="1:14">
      <c r="H84" s="63">
        <f>+H83/I83</f>
        <v>0.48148148148148145</v>
      </c>
      <c r="J84" s="65">
        <f>+J83/E83</f>
        <v>0.30422672981878085</v>
      </c>
      <c r="M84" s="65">
        <f>+M83/L83</f>
        <v>0.4329793848167538</v>
      </c>
    </row>
    <row r="85" spans="1:14">
      <c r="J85" s="64"/>
    </row>
  </sheetData>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dimension ref="A1:N85"/>
  <sheetViews>
    <sheetView topLeftCell="A67" zoomScaleNormal="100" workbookViewId="0">
      <selection activeCell="F88" sqref="F88"/>
    </sheetView>
  </sheetViews>
  <sheetFormatPr baseColWidth="10" defaultRowHeight="15"/>
  <cols>
    <col min="1" max="7" width="11.42578125" style="281"/>
    <col min="8" max="8" width="4.5703125" style="281" bestFit="1" customWidth="1"/>
    <col min="9" max="16384" width="11.42578125" style="281"/>
  </cols>
  <sheetData>
    <row r="1" spans="1:13">
      <c r="A1" s="4" t="s">
        <v>12</v>
      </c>
      <c r="B1" s="4" t="s">
        <v>0</v>
      </c>
      <c r="C1" s="4" t="s">
        <v>3</v>
      </c>
      <c r="D1" s="4" t="s">
        <v>49</v>
      </c>
      <c r="E1" s="5">
        <v>3</v>
      </c>
      <c r="F1" s="4">
        <v>1.95</v>
      </c>
      <c r="G1" s="10" t="s">
        <v>36</v>
      </c>
      <c r="H1" s="281">
        <v>1</v>
      </c>
      <c r="J1" s="62">
        <f>IF(H1=1,E1*(F1-1),-E1)</f>
        <v>2.8499999999999996</v>
      </c>
      <c r="L1" s="281">
        <f>IF(M1=0,0,E1)</f>
        <v>0</v>
      </c>
      <c r="M1" s="281">
        <f>IF(F1&gt;2,J1,0)</f>
        <v>0</v>
      </c>
    </row>
    <row r="2" spans="1:13">
      <c r="A2" s="12" t="s">
        <v>12</v>
      </c>
      <c r="B2" s="12" t="s">
        <v>26</v>
      </c>
      <c r="C2" s="12" t="s">
        <v>10</v>
      </c>
      <c r="D2" s="13" t="s">
        <v>49</v>
      </c>
      <c r="E2" s="13">
        <v>3</v>
      </c>
      <c r="F2" s="12">
        <v>1.75</v>
      </c>
      <c r="G2" s="15" t="s">
        <v>82</v>
      </c>
      <c r="H2" s="281">
        <v>0</v>
      </c>
      <c r="J2" s="62">
        <f>IF(H2=1,E2*(F2-1),-E2)</f>
        <v>-3</v>
      </c>
      <c r="L2" s="281">
        <f>IF(M2=0,0,E2)</f>
        <v>0</v>
      </c>
      <c r="M2" s="281">
        <f>IF(F2&gt;2,J2,0)</f>
        <v>0</v>
      </c>
    </row>
    <row r="3" spans="1:13">
      <c r="A3" s="4" t="s">
        <v>12</v>
      </c>
      <c r="B3" s="4" t="s">
        <v>27</v>
      </c>
      <c r="C3" s="4" t="s">
        <v>28</v>
      </c>
      <c r="D3" s="5" t="s">
        <v>49</v>
      </c>
      <c r="E3" s="5">
        <v>3</v>
      </c>
      <c r="F3" s="4">
        <v>1.6</v>
      </c>
      <c r="G3" s="10" t="s">
        <v>41</v>
      </c>
      <c r="H3" s="281">
        <v>1</v>
      </c>
      <c r="J3" s="62">
        <f>IF(H3=1,E3*(F3-1),-E3)</f>
        <v>1.8000000000000003</v>
      </c>
      <c r="L3" s="281">
        <f>IF(M3=0,0,E3)</f>
        <v>0</v>
      </c>
      <c r="M3" s="281">
        <f>IF(F3&gt;2,J3,0)</f>
        <v>0</v>
      </c>
    </row>
    <row r="4" spans="1:13">
      <c r="A4" s="4" t="s">
        <v>12</v>
      </c>
      <c r="B4" s="4" t="s">
        <v>5</v>
      </c>
      <c r="C4" s="4" t="s">
        <v>26</v>
      </c>
      <c r="D4" s="4" t="s">
        <v>49</v>
      </c>
      <c r="E4" s="5">
        <v>3</v>
      </c>
      <c r="F4" s="9">
        <f>((1.73-1)*0.95)+1</f>
        <v>1.6935</v>
      </c>
      <c r="G4" s="10" t="s">
        <v>36</v>
      </c>
      <c r="H4" s="235">
        <v>1</v>
      </c>
      <c r="I4" s="235"/>
      <c r="J4" s="62">
        <f>IF(H4=1,E4*(F4-1),-E4)</f>
        <v>2.0804999999999998</v>
      </c>
      <c r="K4" s="235"/>
      <c r="L4" s="281">
        <f>IF(M4=0,0,E4)</f>
        <v>0</v>
      </c>
      <c r="M4" s="281">
        <f>IF(F4&gt;2,J4,0)</f>
        <v>0</v>
      </c>
    </row>
    <row r="5" spans="1:13">
      <c r="A5" s="54" t="s">
        <v>12</v>
      </c>
      <c r="B5" s="54" t="s">
        <v>67</v>
      </c>
      <c r="C5" s="54" t="s">
        <v>1</v>
      </c>
      <c r="D5" s="54" t="s">
        <v>49</v>
      </c>
      <c r="E5" s="55">
        <v>3</v>
      </c>
      <c r="F5" s="56">
        <f>((1.49-1)*0.95)+1</f>
        <v>1.4655</v>
      </c>
      <c r="G5" s="57" t="s">
        <v>146</v>
      </c>
      <c r="H5" s="235">
        <v>1</v>
      </c>
      <c r="I5" s="235"/>
      <c r="J5" s="62">
        <f>IF(H5=1,E5*(F5-1),-E5)</f>
        <v>1.3965000000000001</v>
      </c>
      <c r="K5" s="235"/>
      <c r="L5" s="281">
        <f>IF(M5=0,0,E5)</f>
        <v>0</v>
      </c>
      <c r="M5" s="281">
        <f>IF(F5&gt;2,J5,0)</f>
        <v>0</v>
      </c>
    </row>
    <row r="6" spans="1:13">
      <c r="A6" s="54" t="s">
        <v>12</v>
      </c>
      <c r="B6" s="54" t="s">
        <v>182</v>
      </c>
      <c r="C6" s="54" t="s">
        <v>47</v>
      </c>
      <c r="D6" s="54" t="s">
        <v>49</v>
      </c>
      <c r="E6" s="55">
        <v>2.5</v>
      </c>
      <c r="F6" s="56">
        <f>((2.26-1)*0.95)+1</f>
        <v>2.1970000000000001</v>
      </c>
      <c r="G6" s="57" t="s">
        <v>122</v>
      </c>
      <c r="H6" s="235">
        <v>1</v>
      </c>
      <c r="I6" s="235"/>
      <c r="J6" s="62">
        <f>IF(H6=1,E6*(F6-1),-E6)</f>
        <v>2.9925000000000002</v>
      </c>
      <c r="K6" s="235"/>
      <c r="L6" s="281">
        <f>IF(M6=0,0,E6)</f>
        <v>2.5</v>
      </c>
      <c r="M6" s="281">
        <f>IF(F6&gt;2,J6,0)</f>
        <v>2.9925000000000002</v>
      </c>
    </row>
    <row r="7" spans="1:13">
      <c r="A7" s="54" t="s">
        <v>12</v>
      </c>
      <c r="B7" s="54" t="s">
        <v>16</v>
      </c>
      <c r="C7" s="54" t="s">
        <v>2</v>
      </c>
      <c r="D7" s="54" t="s">
        <v>49</v>
      </c>
      <c r="E7" s="55">
        <v>2.5</v>
      </c>
      <c r="F7" s="56">
        <f>((2.24-1)*0.95)+1</f>
        <v>2.1779999999999999</v>
      </c>
      <c r="G7" s="57" t="s">
        <v>146</v>
      </c>
      <c r="H7" s="235">
        <v>1</v>
      </c>
      <c r="J7" s="62">
        <f>IF(H7=1,E7*(F7-1),-E7)</f>
        <v>2.9449999999999998</v>
      </c>
      <c r="K7" s="235"/>
      <c r="L7" s="281">
        <f>IF(M7=0,0,E7)</f>
        <v>2.5</v>
      </c>
      <c r="M7" s="281">
        <f>IF(F7&gt;2,J7,0)</f>
        <v>2.9449999999999998</v>
      </c>
    </row>
    <row r="8" spans="1:13">
      <c r="A8" s="46" t="s">
        <v>12</v>
      </c>
      <c r="B8" s="46" t="s">
        <v>26</v>
      </c>
      <c r="C8" s="46" t="s">
        <v>27</v>
      </c>
      <c r="D8" s="46" t="s">
        <v>48</v>
      </c>
      <c r="E8" s="47">
        <v>2.5</v>
      </c>
      <c r="F8" s="48">
        <f>((2.66-1)*0.95)+1</f>
        <v>2.577</v>
      </c>
      <c r="G8" s="49" t="s">
        <v>42</v>
      </c>
      <c r="H8" s="235">
        <v>0</v>
      </c>
      <c r="J8" s="62">
        <f>IF(H8=1,E8*(F8-1),-E8)</f>
        <v>-2.5</v>
      </c>
      <c r="K8" s="235"/>
      <c r="L8" s="281">
        <f>IF(M8=0,0,E8)</f>
        <v>2.5</v>
      </c>
      <c r="M8" s="281">
        <f>IF(F8&gt;2,J8,0)</f>
        <v>-2.5</v>
      </c>
    </row>
    <row r="9" spans="1:13">
      <c r="A9" s="50" t="s">
        <v>12</v>
      </c>
      <c r="B9" s="50" t="s">
        <v>182</v>
      </c>
      <c r="C9" s="50" t="s">
        <v>28</v>
      </c>
      <c r="D9" s="50" t="s">
        <v>49</v>
      </c>
      <c r="E9" s="51">
        <v>2.5</v>
      </c>
      <c r="F9" s="52">
        <f>((2.06-1)*0.95)+1</f>
        <v>2.0069999999999997</v>
      </c>
      <c r="G9" s="53" t="s">
        <v>243</v>
      </c>
      <c r="H9" s="235">
        <v>0</v>
      </c>
      <c r="J9" s="62">
        <f>IF(H9=1,E9*(F9-1),-E9)</f>
        <v>-2.5</v>
      </c>
      <c r="K9" s="235"/>
      <c r="L9" s="281">
        <f>IF(M9=0,0,E9)</f>
        <v>2.5</v>
      </c>
      <c r="M9" s="281">
        <f>IF(F9&gt;2,J9,0)</f>
        <v>-2.5</v>
      </c>
    </row>
    <row r="10" spans="1:13">
      <c r="A10" s="46" t="s">
        <v>12</v>
      </c>
      <c r="B10" s="46" t="s">
        <v>47</v>
      </c>
      <c r="C10" s="46" t="s">
        <v>15</v>
      </c>
      <c r="D10" s="46" t="s">
        <v>49</v>
      </c>
      <c r="E10" s="47">
        <v>2.5</v>
      </c>
      <c r="F10" s="48">
        <f>((1.95-1)*0.95)+1</f>
        <v>1.9024999999999999</v>
      </c>
      <c r="G10" s="49" t="s">
        <v>37</v>
      </c>
      <c r="H10" s="235">
        <v>0</v>
      </c>
      <c r="J10" s="62">
        <f>IF(H10=1,E10*(F10-1),-E10)</f>
        <v>-2.5</v>
      </c>
      <c r="K10" s="235"/>
      <c r="L10" s="281">
        <f>IF(M10=0,0,E10)</f>
        <v>0</v>
      </c>
      <c r="M10" s="281">
        <f>IF(F10&gt;2,J10,0)</f>
        <v>0</v>
      </c>
    </row>
    <row r="11" spans="1:13">
      <c r="A11" s="54" t="s">
        <v>12</v>
      </c>
      <c r="B11" s="54" t="s">
        <v>182</v>
      </c>
      <c r="C11" s="54" t="s">
        <v>1</v>
      </c>
      <c r="D11" s="54" t="s">
        <v>49</v>
      </c>
      <c r="E11" s="55">
        <v>2.25</v>
      </c>
      <c r="F11" s="56">
        <f>((1.82-1)*0.95)+1</f>
        <v>1.7789999999999999</v>
      </c>
      <c r="G11" s="57" t="s">
        <v>41</v>
      </c>
      <c r="H11" s="235">
        <v>1</v>
      </c>
      <c r="J11" s="62">
        <f>IF(H11=1,E11*(F11-1),-E11)</f>
        <v>1.7527499999999998</v>
      </c>
      <c r="K11" s="235"/>
      <c r="L11" s="281">
        <f>IF(M11=0,0,E11)</f>
        <v>0</v>
      </c>
      <c r="M11" s="281">
        <f>IF(F11&gt;2,J11,0)</f>
        <v>0</v>
      </c>
    </row>
    <row r="12" spans="1:13">
      <c r="A12" s="42" t="s">
        <v>12</v>
      </c>
      <c r="B12" s="42" t="s">
        <v>47</v>
      </c>
      <c r="C12" s="42" t="s">
        <v>1</v>
      </c>
      <c r="D12" s="42" t="s">
        <v>49</v>
      </c>
      <c r="E12" s="43">
        <v>2.25</v>
      </c>
      <c r="F12" s="44">
        <f>((1.89-1)*0.95)+1</f>
        <v>1.8454999999999999</v>
      </c>
      <c r="G12" s="45" t="s">
        <v>122</v>
      </c>
      <c r="H12" s="235">
        <v>1</v>
      </c>
      <c r="J12" s="62"/>
      <c r="K12" s="235"/>
      <c r="L12" s="281">
        <f>IF(M12=0,0,E12)</f>
        <v>0</v>
      </c>
      <c r="M12" s="281">
        <f>IF(F12&gt;2,J12,0)</f>
        <v>0</v>
      </c>
    </row>
    <row r="13" spans="1:13">
      <c r="A13" s="12" t="s">
        <v>6</v>
      </c>
      <c r="B13" s="12" t="s">
        <v>10</v>
      </c>
      <c r="C13" s="12" t="s">
        <v>13</v>
      </c>
      <c r="D13" s="12" t="s">
        <v>49</v>
      </c>
      <c r="E13" s="13">
        <v>2</v>
      </c>
      <c r="F13" s="14">
        <f>((2.16-1)*0.95)+1</f>
        <v>2.1020000000000003</v>
      </c>
      <c r="G13" s="15" t="s">
        <v>38</v>
      </c>
      <c r="H13" s="281">
        <v>0</v>
      </c>
      <c r="J13" s="62">
        <f>IF(H13=1,E13*(F13-1),-E13)</f>
        <v>-2</v>
      </c>
      <c r="L13" s="281">
        <f>IF(M13=0,0,E13)</f>
        <v>2</v>
      </c>
      <c r="M13" s="281">
        <f>IF(F13&gt;2,J13,0)</f>
        <v>-2</v>
      </c>
    </row>
    <row r="14" spans="1:13">
      <c r="A14" s="4" t="s">
        <v>12</v>
      </c>
      <c r="B14" s="4" t="s">
        <v>134</v>
      </c>
      <c r="C14" s="4" t="s">
        <v>73</v>
      </c>
      <c r="D14" s="4" t="s">
        <v>49</v>
      </c>
      <c r="E14" s="5">
        <v>2</v>
      </c>
      <c r="F14" s="9">
        <f>((1.74-1)*0.95)+1</f>
        <v>1.7029999999999998</v>
      </c>
      <c r="G14" s="16" t="s">
        <v>41</v>
      </c>
      <c r="H14" s="281">
        <v>1</v>
      </c>
      <c r="J14" s="62">
        <f>IF(H14=1,E14*(F14-1),-E14)</f>
        <v>1.4059999999999997</v>
      </c>
      <c r="L14" s="281">
        <f>IF(M14=0,0,E14)</f>
        <v>0</v>
      </c>
      <c r="M14" s="281">
        <f>IF(F14&gt;2,J14,0)</f>
        <v>0</v>
      </c>
    </row>
    <row r="15" spans="1:13">
      <c r="A15" s="46" t="s">
        <v>12</v>
      </c>
      <c r="B15" s="46" t="s">
        <v>28</v>
      </c>
      <c r="C15" s="46" t="s">
        <v>1</v>
      </c>
      <c r="D15" s="46" t="s">
        <v>49</v>
      </c>
      <c r="E15" s="47">
        <v>2</v>
      </c>
      <c r="F15" s="48">
        <f>((1.96-1)*0.95)+1</f>
        <v>1.9119999999999999</v>
      </c>
      <c r="G15" s="49" t="s">
        <v>37</v>
      </c>
      <c r="H15" s="281">
        <v>0</v>
      </c>
      <c r="J15" s="62">
        <f>IF(H15=1,E15*(F15-1),-E15)</f>
        <v>-2</v>
      </c>
      <c r="L15" s="281">
        <f>IF(M15=0,0,E15)</f>
        <v>0</v>
      </c>
      <c r="M15" s="281">
        <f>IF(F15&gt;2,J15,0)</f>
        <v>0</v>
      </c>
    </row>
    <row r="16" spans="1:13">
      <c r="A16" s="91" t="s">
        <v>12</v>
      </c>
      <c r="B16" s="91" t="s">
        <v>16</v>
      </c>
      <c r="C16" s="91" t="s">
        <v>47</v>
      </c>
      <c r="D16" s="91" t="s">
        <v>49</v>
      </c>
      <c r="E16" s="92">
        <v>2</v>
      </c>
      <c r="F16" s="93">
        <f>((2.1-1)*0.95)+1</f>
        <v>2.0449999999999999</v>
      </c>
      <c r="G16" s="94" t="s">
        <v>122</v>
      </c>
      <c r="H16" s="281">
        <v>1</v>
      </c>
      <c r="J16" s="62">
        <f>IF(H16=1,E16*(F16-1),-E16)</f>
        <v>2.09</v>
      </c>
      <c r="L16" s="281">
        <f>IF(M16=0,0,E16)</f>
        <v>2</v>
      </c>
      <c r="M16" s="281">
        <f>IF(F16&gt;2,J16,0)</f>
        <v>2.09</v>
      </c>
    </row>
    <row r="17" spans="1:13" s="235" customFormat="1">
      <c r="A17" s="12" t="s">
        <v>12</v>
      </c>
      <c r="B17" s="12" t="s">
        <v>5</v>
      </c>
      <c r="C17" s="12" t="s">
        <v>73</v>
      </c>
      <c r="D17" s="12" t="s">
        <v>49</v>
      </c>
      <c r="E17" s="13">
        <v>2</v>
      </c>
      <c r="F17" s="14">
        <f>((1.86-1)*0.95)+1</f>
        <v>1.8170000000000002</v>
      </c>
      <c r="G17" s="15" t="s">
        <v>39</v>
      </c>
      <c r="H17" s="235">
        <v>0</v>
      </c>
      <c r="J17" s="62">
        <f>IF(H17=1,E17*(F17-1),-E17)</f>
        <v>-2</v>
      </c>
      <c r="L17" s="281">
        <f>IF(M17=0,0,E17)</f>
        <v>0</v>
      </c>
      <c r="M17" s="281">
        <f>IF(F17&gt;2,J17,0)</f>
        <v>0</v>
      </c>
    </row>
    <row r="18" spans="1:13" s="235" customFormat="1">
      <c r="A18" s="4" t="s">
        <v>12</v>
      </c>
      <c r="B18" s="4" t="s">
        <v>0</v>
      </c>
      <c r="C18" s="4" t="s">
        <v>27</v>
      </c>
      <c r="D18" s="4" t="s">
        <v>49</v>
      </c>
      <c r="E18" s="5">
        <v>2</v>
      </c>
      <c r="F18" s="9">
        <v>2.8</v>
      </c>
      <c r="G18" s="10" t="s">
        <v>42</v>
      </c>
      <c r="H18" s="235">
        <v>1</v>
      </c>
      <c r="J18" s="62">
        <f>IF(H18=1,E18*(F18-1),-E18)</f>
        <v>3.5999999999999996</v>
      </c>
      <c r="L18" s="281">
        <f>IF(M18=0,0,E18)</f>
        <v>2</v>
      </c>
      <c r="M18" s="281">
        <f>IF(F18&gt;2,J18,0)</f>
        <v>3.5999999999999996</v>
      </c>
    </row>
    <row r="19" spans="1:13" s="235" customFormat="1">
      <c r="A19" s="4" t="s">
        <v>12</v>
      </c>
      <c r="B19" s="4" t="s">
        <v>15</v>
      </c>
      <c r="C19" s="4" t="s">
        <v>182</v>
      </c>
      <c r="D19" s="4" t="s">
        <v>49</v>
      </c>
      <c r="E19" s="5">
        <v>2</v>
      </c>
      <c r="F19" s="9">
        <f>((2.46-1)*0.95)+1</f>
        <v>2.387</v>
      </c>
      <c r="G19" s="10" t="s">
        <v>201</v>
      </c>
      <c r="H19" s="235">
        <v>1</v>
      </c>
      <c r="J19" s="62">
        <f>IF(H19=1,E19*(F19-1),-E19)</f>
        <v>2.774</v>
      </c>
      <c r="L19" s="281">
        <f>IF(M19=0,0,E19)</f>
        <v>2</v>
      </c>
      <c r="M19" s="281">
        <f>IF(F19&gt;2,J19,0)</f>
        <v>2.774</v>
      </c>
    </row>
    <row r="20" spans="1:13" s="235" customFormat="1">
      <c r="A20" s="12" t="s">
        <v>12</v>
      </c>
      <c r="B20" s="12" t="s">
        <v>10</v>
      </c>
      <c r="C20" s="12" t="s">
        <v>3</v>
      </c>
      <c r="D20" s="12" t="s">
        <v>49</v>
      </c>
      <c r="E20" s="13">
        <v>2</v>
      </c>
      <c r="F20" s="14">
        <f>((2.14-1)*0.95)+1</f>
        <v>2.0830000000000002</v>
      </c>
      <c r="G20" s="15" t="s">
        <v>38</v>
      </c>
      <c r="H20" s="235">
        <v>0</v>
      </c>
      <c r="J20" s="62">
        <f>IF(H20=1,E20*(F20-1),-E20)</f>
        <v>-2</v>
      </c>
      <c r="L20" s="281">
        <f>IF(M20=0,0,E20)</f>
        <v>2</v>
      </c>
      <c r="M20" s="281">
        <f>IF(F20&gt;2,J20,0)</f>
        <v>-2</v>
      </c>
    </row>
    <row r="21" spans="1:13" s="235" customFormat="1">
      <c r="A21" s="87" t="s">
        <v>12</v>
      </c>
      <c r="B21" s="87" t="s">
        <v>181</v>
      </c>
      <c r="C21" s="87" t="s">
        <v>67</v>
      </c>
      <c r="D21" s="87" t="s">
        <v>49</v>
      </c>
      <c r="E21" s="88">
        <v>2</v>
      </c>
      <c r="F21" s="89">
        <f>((2.48-1)*0.95)+1</f>
        <v>2.4059999999999997</v>
      </c>
      <c r="G21" s="90" t="s">
        <v>243</v>
      </c>
      <c r="H21" s="235">
        <v>0</v>
      </c>
      <c r="I21" s="281"/>
      <c r="J21" s="62">
        <f>IF(H21=1,E21*(F21-1),-E21)</f>
        <v>-2</v>
      </c>
      <c r="L21" s="281">
        <f>IF(M21=0,0,E21)</f>
        <v>2</v>
      </c>
      <c r="M21" s="281">
        <f>IF(F21&gt;2,J21,0)</f>
        <v>-2</v>
      </c>
    </row>
    <row r="22" spans="1:13" s="235" customFormat="1">
      <c r="A22" s="4" t="s">
        <v>12</v>
      </c>
      <c r="B22" s="4" t="s">
        <v>10</v>
      </c>
      <c r="C22" s="4" t="s">
        <v>5</v>
      </c>
      <c r="D22" s="4" t="s">
        <v>48</v>
      </c>
      <c r="E22" s="5">
        <v>2</v>
      </c>
      <c r="F22" s="9">
        <f>((2.36-1)*0.95)+1</f>
        <v>2.2919999999999998</v>
      </c>
      <c r="G22" s="10" t="s">
        <v>366</v>
      </c>
      <c r="H22" s="235">
        <v>1</v>
      </c>
      <c r="I22" s="281"/>
      <c r="J22" s="62">
        <f>IF(H22=1,E22*(F22-1),-E22)</f>
        <v>2.5839999999999996</v>
      </c>
      <c r="L22" s="281">
        <f>IF(M22=0,0,E22)</f>
        <v>2</v>
      </c>
      <c r="M22" s="281">
        <f>IF(F22&gt;2,J22,0)</f>
        <v>2.5839999999999996</v>
      </c>
    </row>
    <row r="23" spans="1:13" s="235" customFormat="1">
      <c r="A23" s="46" t="s">
        <v>12</v>
      </c>
      <c r="B23" s="46" t="s">
        <v>181</v>
      </c>
      <c r="C23" s="46" t="s">
        <v>47</v>
      </c>
      <c r="D23" s="46" t="s">
        <v>49</v>
      </c>
      <c r="E23" s="47">
        <v>2</v>
      </c>
      <c r="F23" s="48">
        <v>1.9</v>
      </c>
      <c r="G23" s="49" t="s">
        <v>243</v>
      </c>
      <c r="H23" s="235">
        <v>0</v>
      </c>
      <c r="I23" s="281"/>
      <c r="J23" s="62">
        <f>IF(H23=1,E23*(F23-1),-E23)</f>
        <v>-2</v>
      </c>
      <c r="L23" s="281">
        <f>IF(M23=0,0,E23)</f>
        <v>0</v>
      </c>
      <c r="M23" s="281">
        <f>IF(F23&gt;2,J23,0)</f>
        <v>0</v>
      </c>
    </row>
    <row r="24" spans="1:13" s="235" customFormat="1">
      <c r="A24" s="4" t="s">
        <v>12</v>
      </c>
      <c r="B24" s="4" t="s">
        <v>5</v>
      </c>
      <c r="C24" s="4" t="s">
        <v>2</v>
      </c>
      <c r="D24" s="4" t="s">
        <v>49</v>
      </c>
      <c r="E24" s="5">
        <v>2</v>
      </c>
      <c r="F24" s="9">
        <f>((1.9-1)*0.95)+1</f>
        <v>1.855</v>
      </c>
      <c r="G24" s="10" t="s">
        <v>743</v>
      </c>
      <c r="H24" s="235">
        <v>1</v>
      </c>
      <c r="I24" s="281"/>
      <c r="J24" s="62">
        <f>IF(H24=1,E24*(F24-1),-E24)</f>
        <v>1.71</v>
      </c>
      <c r="L24" s="281">
        <f>IF(M24=0,0,E24)</f>
        <v>0</v>
      </c>
      <c r="M24" s="281">
        <f>IF(F24&gt;2,J24,0)</f>
        <v>0</v>
      </c>
    </row>
    <row r="25" spans="1:13" s="235" customFormat="1">
      <c r="A25" s="46" t="s">
        <v>12</v>
      </c>
      <c r="B25" s="46" t="s">
        <v>27</v>
      </c>
      <c r="C25" s="46" t="s">
        <v>4</v>
      </c>
      <c r="D25" s="46" t="s">
        <v>49</v>
      </c>
      <c r="E25" s="47">
        <v>1.75</v>
      </c>
      <c r="F25" s="48">
        <f>((2.4-1)*0.95)+1</f>
        <v>2.33</v>
      </c>
      <c r="G25" s="49" t="s">
        <v>366</v>
      </c>
      <c r="H25" s="235">
        <v>0</v>
      </c>
      <c r="I25" s="281"/>
      <c r="J25" s="62">
        <f>IF(H25=1,E25*(F25-1),-E25)</f>
        <v>-1.75</v>
      </c>
      <c r="L25" s="281">
        <f>IF(M25=0,0,E25)</f>
        <v>1.75</v>
      </c>
      <c r="M25" s="281">
        <f>IF(F25&gt;2,J25,0)</f>
        <v>-1.75</v>
      </c>
    </row>
    <row r="26" spans="1:13" s="235" customFormat="1">
      <c r="A26" s="91" t="s">
        <v>12</v>
      </c>
      <c r="B26" s="91" t="s">
        <v>28</v>
      </c>
      <c r="C26" s="91" t="s">
        <v>134</v>
      </c>
      <c r="D26" s="91" t="s">
        <v>49</v>
      </c>
      <c r="E26" s="92">
        <v>1.75</v>
      </c>
      <c r="F26" s="93">
        <f>((3.2-1)*0.95)+1</f>
        <v>3.09</v>
      </c>
      <c r="G26" s="94" t="s">
        <v>36</v>
      </c>
      <c r="H26" s="235">
        <v>1</v>
      </c>
      <c r="I26" s="281"/>
      <c r="J26" s="62">
        <f>IF(H26=1,E26*(F26-1),-E26)</f>
        <v>3.6574999999999998</v>
      </c>
      <c r="L26" s="281">
        <f>IF(M26=0,0,E26)</f>
        <v>1.75</v>
      </c>
      <c r="M26" s="281">
        <f>IF(F26&gt;2,J26,0)</f>
        <v>3.6574999999999998</v>
      </c>
    </row>
    <row r="27" spans="1:13" s="235" customFormat="1">
      <c r="A27" s="54" t="s">
        <v>12</v>
      </c>
      <c r="B27" s="54" t="s">
        <v>73</v>
      </c>
      <c r="C27" s="54" t="s">
        <v>67</v>
      </c>
      <c r="D27" s="54" t="s">
        <v>49</v>
      </c>
      <c r="E27" s="55">
        <v>1.75</v>
      </c>
      <c r="F27" s="56">
        <v>2.4500000000000002</v>
      </c>
      <c r="G27" s="57" t="s">
        <v>42</v>
      </c>
      <c r="H27" s="235">
        <v>1</v>
      </c>
      <c r="I27" s="281"/>
      <c r="J27" s="62">
        <f>IF(H27=1,E27*(F27-1),-E27)</f>
        <v>2.5375000000000005</v>
      </c>
      <c r="L27" s="281">
        <f>IF(M27=0,0,E27)</f>
        <v>1.75</v>
      </c>
      <c r="M27" s="281">
        <f>IF(F27&gt;2,J27,0)</f>
        <v>2.5375000000000005</v>
      </c>
    </row>
    <row r="28" spans="1:13" s="235" customFormat="1">
      <c r="A28" s="54" t="s">
        <v>12</v>
      </c>
      <c r="B28" s="54" t="s">
        <v>10</v>
      </c>
      <c r="C28" s="54" t="s">
        <v>47</v>
      </c>
      <c r="D28" s="54" t="s">
        <v>48</v>
      </c>
      <c r="E28" s="55">
        <v>1.75</v>
      </c>
      <c r="F28" s="56">
        <f>((2.8-1)*0.95)+1</f>
        <v>2.71</v>
      </c>
      <c r="G28" s="57" t="s">
        <v>366</v>
      </c>
      <c r="H28" s="235">
        <v>1</v>
      </c>
      <c r="I28" s="281"/>
      <c r="J28" s="62">
        <f>IF(H28=1,E28*(F28-1),-E28)</f>
        <v>2.9924999999999997</v>
      </c>
      <c r="L28" s="281">
        <f>IF(M28=0,0,E28)</f>
        <v>1.75</v>
      </c>
      <c r="M28" s="281">
        <f>IF(F28&gt;2,J28,0)</f>
        <v>2.9924999999999997</v>
      </c>
    </row>
    <row r="29" spans="1:13" s="235" customFormat="1">
      <c r="A29" s="4" t="s">
        <v>12</v>
      </c>
      <c r="B29" s="4" t="s">
        <v>15</v>
      </c>
      <c r="C29" s="4" t="s">
        <v>181</v>
      </c>
      <c r="D29" s="4" t="s">
        <v>49</v>
      </c>
      <c r="E29" s="5">
        <v>1.75</v>
      </c>
      <c r="F29" s="9">
        <f>((2.32-1)*0.95)+1</f>
        <v>2.2539999999999996</v>
      </c>
      <c r="G29" s="10" t="s">
        <v>122</v>
      </c>
      <c r="H29" s="235">
        <v>1</v>
      </c>
      <c r="I29" s="281"/>
      <c r="J29" s="62">
        <f>IF(H29=1,E29*(F29-1),-E29)</f>
        <v>2.1944999999999992</v>
      </c>
      <c r="L29" s="281">
        <f>IF(M29=0,0,E29)</f>
        <v>1.75</v>
      </c>
      <c r="M29" s="281">
        <f>IF(F29&gt;2,J29,0)</f>
        <v>2.1944999999999992</v>
      </c>
    </row>
    <row r="30" spans="1:13" s="235" customFormat="1">
      <c r="A30" s="91" t="s">
        <v>12</v>
      </c>
      <c r="B30" s="91" t="s">
        <v>28</v>
      </c>
      <c r="C30" s="91" t="s">
        <v>15</v>
      </c>
      <c r="D30" s="91" t="s">
        <v>49</v>
      </c>
      <c r="E30" s="92">
        <v>1.75</v>
      </c>
      <c r="F30" s="93">
        <f>((1.92-1)*0.95)+1</f>
        <v>1.8739999999999999</v>
      </c>
      <c r="G30" s="94" t="s">
        <v>187</v>
      </c>
      <c r="H30" s="235">
        <v>1</v>
      </c>
      <c r="I30" s="281"/>
      <c r="J30" s="62">
        <f>IF(H30=1,E30*(F30-1),-E30)</f>
        <v>1.5294999999999999</v>
      </c>
      <c r="L30" s="281">
        <f>IF(M30=0,0,E30)</f>
        <v>0</v>
      </c>
      <c r="M30" s="281">
        <f>IF(F30&gt;2,J30,0)</f>
        <v>0</v>
      </c>
    </row>
    <row r="31" spans="1:13" s="235" customFormat="1">
      <c r="A31" s="42" t="s">
        <v>12</v>
      </c>
      <c r="B31" s="42" t="s">
        <v>15</v>
      </c>
      <c r="C31" s="42" t="s">
        <v>2</v>
      </c>
      <c r="D31" s="42" t="s">
        <v>48</v>
      </c>
      <c r="E31" s="43">
        <v>1.5</v>
      </c>
      <c r="F31" s="44">
        <f>((3.6-1)*0.95)+1</f>
        <v>3.4699999999999998</v>
      </c>
      <c r="G31" s="45" t="s">
        <v>39</v>
      </c>
      <c r="H31" s="281">
        <v>1</v>
      </c>
      <c r="I31" s="281"/>
      <c r="J31" s="62">
        <f>IF(H31=1,E31*(F31-1),-E31)</f>
        <v>3.7049999999999996</v>
      </c>
      <c r="K31" s="281"/>
      <c r="L31" s="281">
        <f>IF(M31=0,0,E31)</f>
        <v>1.5</v>
      </c>
      <c r="M31" s="281">
        <f>IF(F31&gt;2,J31,0)</f>
        <v>3.7049999999999996</v>
      </c>
    </row>
    <row r="32" spans="1:13" s="235" customFormat="1">
      <c r="A32" s="54" t="s">
        <v>12</v>
      </c>
      <c r="B32" s="54" t="s">
        <v>2</v>
      </c>
      <c r="C32" s="54" t="s">
        <v>47</v>
      </c>
      <c r="D32" s="54" t="s">
        <v>48</v>
      </c>
      <c r="E32" s="55">
        <v>1.5</v>
      </c>
      <c r="F32" s="56">
        <f>((3.95-1)*0.95)+1</f>
        <v>3.8025000000000002</v>
      </c>
      <c r="G32" s="57" t="s">
        <v>43</v>
      </c>
      <c r="H32" s="281">
        <v>1</v>
      </c>
      <c r="I32" s="281"/>
      <c r="J32" s="62">
        <f>IF(H32=1,E32*(F32-1),-E32)</f>
        <v>4.2037500000000003</v>
      </c>
      <c r="K32" s="281"/>
      <c r="L32" s="281">
        <f>IF(M32=0,0,E32)</f>
        <v>1.5</v>
      </c>
      <c r="M32" s="281">
        <f>IF(F32&gt;2,J32,0)</f>
        <v>4.2037500000000003</v>
      </c>
    </row>
    <row r="33" spans="1:13" s="235" customFormat="1">
      <c r="A33" s="46" t="s">
        <v>12</v>
      </c>
      <c r="B33" s="46" t="s">
        <v>26</v>
      </c>
      <c r="C33" s="46" t="s">
        <v>4</v>
      </c>
      <c r="D33" s="46" t="s">
        <v>48</v>
      </c>
      <c r="E33" s="47">
        <v>1.5</v>
      </c>
      <c r="F33" s="48">
        <v>2.2000000000000002</v>
      </c>
      <c r="G33" s="49" t="s">
        <v>38</v>
      </c>
      <c r="H33" s="281">
        <v>0</v>
      </c>
      <c r="I33" s="281"/>
      <c r="J33" s="62">
        <f>IF(H33=1,E33*(F33-1),-E33)</f>
        <v>-1.5</v>
      </c>
      <c r="K33" s="281"/>
      <c r="L33" s="281">
        <f>IF(M33=0,0,E33)</f>
        <v>1.5</v>
      </c>
      <c r="M33" s="281">
        <f>IF(F33&gt;2,J33,0)</f>
        <v>-1.5</v>
      </c>
    </row>
    <row r="34" spans="1:13" s="235" customFormat="1">
      <c r="A34" s="46" t="s">
        <v>12</v>
      </c>
      <c r="B34" s="46" t="s">
        <v>2</v>
      </c>
      <c r="C34" s="46" t="s">
        <v>27</v>
      </c>
      <c r="D34" s="46" t="s">
        <v>49</v>
      </c>
      <c r="E34" s="47">
        <v>1.5</v>
      </c>
      <c r="F34" s="48">
        <v>2.9</v>
      </c>
      <c r="G34" s="49" t="s">
        <v>121</v>
      </c>
      <c r="H34" s="281">
        <v>0</v>
      </c>
      <c r="I34" s="281"/>
      <c r="J34" s="62">
        <f>IF(H34=1,E34*(F34-1),-E34)</f>
        <v>-1.5</v>
      </c>
      <c r="K34" s="281"/>
      <c r="L34" s="281">
        <f>IF(M34=0,0,E34)</f>
        <v>1.5</v>
      </c>
      <c r="M34" s="281">
        <f>IF(F34&gt;2,J34,0)</f>
        <v>-1.5</v>
      </c>
    </row>
    <row r="35" spans="1:13" s="235" customFormat="1">
      <c r="A35" s="46" t="s">
        <v>12</v>
      </c>
      <c r="B35" s="46" t="s">
        <v>67</v>
      </c>
      <c r="C35" s="46" t="s">
        <v>5</v>
      </c>
      <c r="D35" s="46" t="s">
        <v>48</v>
      </c>
      <c r="E35" s="47">
        <v>1.5</v>
      </c>
      <c r="F35" s="48">
        <f>((3.65-1)*0.95)+1</f>
        <v>3.5174999999999996</v>
      </c>
      <c r="G35" s="49" t="s">
        <v>42</v>
      </c>
      <c r="H35" s="281">
        <v>0</v>
      </c>
      <c r="I35" s="281"/>
      <c r="J35" s="62">
        <f>IF(H35=1,E35*(F35-1),-E35)</f>
        <v>-1.5</v>
      </c>
      <c r="K35" s="281"/>
      <c r="L35" s="281">
        <f>IF(M35=0,0,E35)</f>
        <v>1.5</v>
      </c>
      <c r="M35" s="281">
        <f>IF(F35&gt;2,J35,0)</f>
        <v>-1.5</v>
      </c>
    </row>
    <row r="36" spans="1:13" s="235" customFormat="1" ht="15.75" thickBot="1">
      <c r="A36" s="206" t="s">
        <v>12</v>
      </c>
      <c r="B36" s="206" t="s">
        <v>175</v>
      </c>
      <c r="C36" s="206" t="s">
        <v>4</v>
      </c>
      <c r="D36" s="206" t="s">
        <v>49</v>
      </c>
      <c r="E36" s="290">
        <v>1.5</v>
      </c>
      <c r="F36" s="291">
        <v>2</v>
      </c>
      <c r="G36" s="292" t="s">
        <v>37</v>
      </c>
      <c r="H36" s="235">
        <v>0</v>
      </c>
      <c r="J36" s="62">
        <f>IF(H36=1,E36*(F36-1),-E36)</f>
        <v>-1.5</v>
      </c>
      <c r="L36" s="281">
        <f>IF(M36=0,0,E36)</f>
        <v>0</v>
      </c>
      <c r="M36" s="281">
        <f>IF(F36&gt;2,J36,0)</f>
        <v>0</v>
      </c>
    </row>
    <row r="37" spans="1:13">
      <c r="A37" s="46" t="s">
        <v>12</v>
      </c>
      <c r="B37" s="46" t="s">
        <v>27</v>
      </c>
      <c r="C37" s="46" t="s">
        <v>16</v>
      </c>
      <c r="D37" s="46" t="s">
        <v>49</v>
      </c>
      <c r="E37" s="47">
        <v>1.5</v>
      </c>
      <c r="F37" s="48">
        <v>1.75</v>
      </c>
      <c r="G37" s="49" t="s">
        <v>179</v>
      </c>
      <c r="H37" s="235">
        <v>0</v>
      </c>
      <c r="I37" s="235"/>
      <c r="J37" s="62">
        <f>IF(H37=1,E37*(F37-1),-E37)</f>
        <v>-1.5</v>
      </c>
      <c r="K37" s="235"/>
      <c r="L37" s="281">
        <f>IF(M37=0,0,E37)</f>
        <v>0</v>
      </c>
      <c r="M37" s="281">
        <f>IF(F37&gt;2,J37,0)</f>
        <v>0</v>
      </c>
    </row>
    <row r="38" spans="1:13">
      <c r="A38" s="12" t="s">
        <v>12</v>
      </c>
      <c r="B38" s="12" t="s">
        <v>2</v>
      </c>
      <c r="C38" s="12" t="s">
        <v>181</v>
      </c>
      <c r="D38" s="12" t="s">
        <v>48</v>
      </c>
      <c r="E38" s="13">
        <v>1.5</v>
      </c>
      <c r="F38" s="14">
        <v>2.9</v>
      </c>
      <c r="G38" s="15" t="s">
        <v>36</v>
      </c>
      <c r="H38" s="235">
        <v>0</v>
      </c>
      <c r="I38" s="235"/>
      <c r="J38" s="62">
        <f>IF(H38=1,E38*(F38-1),-E38)</f>
        <v>-1.5</v>
      </c>
      <c r="K38" s="235"/>
      <c r="L38" s="281">
        <f>IF(M38=0,0,E38)</f>
        <v>1.5</v>
      </c>
      <c r="M38" s="281">
        <f>IF(F38&gt;2,J38,0)</f>
        <v>-1.5</v>
      </c>
    </row>
    <row r="39" spans="1:13">
      <c r="A39" s="4" t="s">
        <v>12</v>
      </c>
      <c r="B39" s="4" t="s">
        <v>67</v>
      </c>
      <c r="C39" s="4" t="s">
        <v>47</v>
      </c>
      <c r="D39" s="4" t="s">
        <v>49</v>
      </c>
      <c r="E39" s="5">
        <v>1.5</v>
      </c>
      <c r="F39" s="9">
        <f>((1.8-1)*0.95)+1</f>
        <v>1.76</v>
      </c>
      <c r="G39" s="10" t="s">
        <v>187</v>
      </c>
      <c r="H39" s="235">
        <v>1</v>
      </c>
      <c r="I39" s="235"/>
      <c r="J39" s="62">
        <f>IF(H39=1,E39*(F39-1),-E39)</f>
        <v>1.1400000000000001</v>
      </c>
      <c r="K39" s="235"/>
      <c r="L39" s="281">
        <f>IF(M39=0,0,E39)</f>
        <v>0</v>
      </c>
      <c r="M39" s="281">
        <f>IF(F39&gt;2,J39,0)</f>
        <v>0</v>
      </c>
    </row>
    <row r="40" spans="1:13">
      <c r="A40" s="4" t="s">
        <v>12</v>
      </c>
      <c r="B40" s="4" t="s">
        <v>182</v>
      </c>
      <c r="C40" s="4" t="s">
        <v>5</v>
      </c>
      <c r="D40" s="4" t="s">
        <v>49</v>
      </c>
      <c r="E40" s="5">
        <v>1.5</v>
      </c>
      <c r="F40" s="9">
        <f>((2.86-1)*0.95)+1</f>
        <v>2.7669999999999999</v>
      </c>
      <c r="G40" s="10" t="s">
        <v>36</v>
      </c>
      <c r="H40" s="235">
        <v>1</v>
      </c>
      <c r="I40" s="235"/>
      <c r="J40" s="62">
        <f>IF(H40=1,E40*(F40-1),-E40)</f>
        <v>2.6505000000000001</v>
      </c>
      <c r="K40" s="235"/>
      <c r="L40" s="281">
        <f>IF(M40=0,0,E40)</f>
        <v>1.5</v>
      </c>
      <c r="M40" s="281">
        <f>IF(F40&gt;2,J40,0)</f>
        <v>2.6505000000000001</v>
      </c>
    </row>
    <row r="41" spans="1:13">
      <c r="A41" s="87" t="s">
        <v>12</v>
      </c>
      <c r="B41" s="87" t="s">
        <v>5</v>
      </c>
      <c r="C41" s="87" t="s">
        <v>134</v>
      </c>
      <c r="D41" s="87" t="s">
        <v>48</v>
      </c>
      <c r="E41" s="88">
        <v>1.5</v>
      </c>
      <c r="F41" s="89">
        <f>((3.5-1)*0.95)+1</f>
        <v>3.375</v>
      </c>
      <c r="G41" s="90" t="s">
        <v>38</v>
      </c>
      <c r="H41" s="235">
        <v>0</v>
      </c>
      <c r="I41" s="233"/>
      <c r="J41" s="62">
        <f>IF(H41=1,E41*(F41-1),-E41)</f>
        <v>-1.5</v>
      </c>
      <c r="K41" s="235"/>
      <c r="L41" s="281">
        <f>IF(M41=0,0,E41)</f>
        <v>1.5</v>
      </c>
      <c r="M41" s="281">
        <f>IF(F41&gt;2,J41,0)</f>
        <v>-1.5</v>
      </c>
    </row>
    <row r="42" spans="1:13">
      <c r="A42" s="50" t="s">
        <v>12</v>
      </c>
      <c r="B42" s="50" t="s">
        <v>3</v>
      </c>
      <c r="C42" s="50" t="s">
        <v>47</v>
      </c>
      <c r="D42" s="50" t="s">
        <v>49</v>
      </c>
      <c r="E42" s="51">
        <v>1.5</v>
      </c>
      <c r="F42" s="52">
        <v>2.35</v>
      </c>
      <c r="G42" s="53" t="s">
        <v>121</v>
      </c>
      <c r="H42" s="235">
        <v>0</v>
      </c>
      <c r="J42" s="62">
        <f>IF(H42=1,E42*(F42-1),-E42)</f>
        <v>-1.5</v>
      </c>
      <c r="K42" s="235"/>
      <c r="L42" s="281">
        <f>IF(M42=0,0,E42)</f>
        <v>1.5</v>
      </c>
      <c r="M42" s="281">
        <f>IF(F42&gt;2,J42,0)</f>
        <v>-1.5</v>
      </c>
    </row>
    <row r="43" spans="1:13">
      <c r="A43" s="54" t="s">
        <v>12</v>
      </c>
      <c r="B43" s="54" t="s">
        <v>2</v>
      </c>
      <c r="C43" s="54" t="s">
        <v>26</v>
      </c>
      <c r="D43" s="54" t="s">
        <v>49</v>
      </c>
      <c r="E43" s="55">
        <v>1.5</v>
      </c>
      <c r="F43" s="56">
        <v>2.0499999999999998</v>
      </c>
      <c r="G43" s="57" t="s">
        <v>571</v>
      </c>
      <c r="H43" s="235">
        <v>1</v>
      </c>
      <c r="J43" s="62">
        <f>IF(H43=1,E43*(F43-1),-E43)</f>
        <v>1.5749999999999997</v>
      </c>
      <c r="K43" s="235"/>
      <c r="L43" s="281">
        <f>IF(M43=0,0,E43)</f>
        <v>1.5</v>
      </c>
      <c r="M43" s="281">
        <f>IF(F43&gt;2,J43,0)</f>
        <v>1.5749999999999997</v>
      </c>
    </row>
    <row r="44" spans="1:13">
      <c r="A44" s="54" t="s">
        <v>12</v>
      </c>
      <c r="B44" s="54" t="s">
        <v>3</v>
      </c>
      <c r="C44" s="54" t="s">
        <v>28</v>
      </c>
      <c r="D44" s="54" t="s">
        <v>49</v>
      </c>
      <c r="E44" s="55">
        <v>1.5</v>
      </c>
      <c r="F44" s="56">
        <f>((2.74-1)*0.95)+1</f>
        <v>2.653</v>
      </c>
      <c r="G44" s="57" t="s">
        <v>630</v>
      </c>
      <c r="H44" s="235">
        <v>1</v>
      </c>
      <c r="J44" s="62">
        <f>IF(H44=1,E44*(F44-1),-E44)</f>
        <v>2.4794999999999998</v>
      </c>
      <c r="K44" s="235"/>
      <c r="L44" s="281">
        <f>IF(M44=0,0,E44)</f>
        <v>1.5</v>
      </c>
      <c r="M44" s="281">
        <f>IF(F44&gt;2,J44,0)</f>
        <v>2.4794999999999998</v>
      </c>
    </row>
    <row r="45" spans="1:13">
      <c r="A45" s="12" t="s">
        <v>12</v>
      </c>
      <c r="B45" s="12" t="s">
        <v>28</v>
      </c>
      <c r="C45" s="12" t="s">
        <v>27</v>
      </c>
      <c r="D45" s="12" t="s">
        <v>692</v>
      </c>
      <c r="E45" s="13">
        <v>1.5</v>
      </c>
      <c r="F45" s="14">
        <f>((4.4-1)*0.95)+1</f>
        <v>4.2300000000000004</v>
      </c>
      <c r="G45" s="15" t="s">
        <v>41</v>
      </c>
      <c r="H45" s="235">
        <v>0</v>
      </c>
      <c r="J45" s="62">
        <f>IF(H45=1,E45*(F45-1),-E45)</f>
        <v>-1.5</v>
      </c>
      <c r="K45" s="235"/>
      <c r="L45" s="281">
        <f>IF(M45=0,0,E45)</f>
        <v>1.5</v>
      </c>
      <c r="M45" s="281">
        <f>IF(F45&gt;2,J45,0)</f>
        <v>-1.5</v>
      </c>
    </row>
    <row r="46" spans="1:13">
      <c r="A46" s="54" t="s">
        <v>12</v>
      </c>
      <c r="B46" s="54" t="s">
        <v>73</v>
      </c>
      <c r="C46" s="54" t="s">
        <v>26</v>
      </c>
      <c r="D46" s="54" t="s">
        <v>693</v>
      </c>
      <c r="E46" s="55">
        <v>1.3</v>
      </c>
      <c r="F46" s="56">
        <v>2.2349999999999999</v>
      </c>
      <c r="G46" s="57" t="s">
        <v>38</v>
      </c>
      <c r="H46" s="235">
        <v>1</v>
      </c>
      <c r="J46" s="62">
        <f>IF(H46=1,E46*(F46-1),-E46)</f>
        <v>1.6054999999999999</v>
      </c>
      <c r="K46" s="235"/>
      <c r="L46" s="281">
        <f>IF(M46=0,0,E46)</f>
        <v>1.3</v>
      </c>
      <c r="M46" s="281">
        <f>IF(F46&gt;2,J46,0)</f>
        <v>1.6054999999999999</v>
      </c>
    </row>
    <row r="47" spans="1:13">
      <c r="A47" s="91" t="s">
        <v>12</v>
      </c>
      <c r="B47" s="91" t="s">
        <v>27</v>
      </c>
      <c r="C47" s="91" t="s">
        <v>67</v>
      </c>
      <c r="D47" s="91" t="s">
        <v>49</v>
      </c>
      <c r="E47" s="92">
        <v>1.25</v>
      </c>
      <c r="F47" s="93">
        <f>((1.97-1)*0.95)+1</f>
        <v>1.9215</v>
      </c>
      <c r="G47" s="94" t="s">
        <v>41</v>
      </c>
      <c r="H47" s="235">
        <v>1</v>
      </c>
      <c r="I47" s="235"/>
      <c r="J47" s="62">
        <f>IF(H47=1,E47*(F47-1),-E47)</f>
        <v>1.151875</v>
      </c>
      <c r="K47" s="235"/>
      <c r="L47" s="281">
        <f>IF(M47=0,0,E47)</f>
        <v>0</v>
      </c>
      <c r="M47" s="281">
        <f>IF(F47&gt;2,J47,0)</f>
        <v>0</v>
      </c>
    </row>
    <row r="48" spans="1:13">
      <c r="A48" s="42" t="s">
        <v>12</v>
      </c>
      <c r="B48" s="42" t="s">
        <v>3</v>
      </c>
      <c r="C48" s="42" t="s">
        <v>5</v>
      </c>
      <c r="D48" s="42" t="s">
        <v>49</v>
      </c>
      <c r="E48" s="43">
        <v>1.25</v>
      </c>
      <c r="F48" s="44">
        <v>3.25</v>
      </c>
      <c r="G48" s="45" t="s">
        <v>122</v>
      </c>
      <c r="H48" s="235">
        <v>1</v>
      </c>
      <c r="J48" s="62">
        <f>IF(H48=1,E48*(F48-1),-E48)</f>
        <v>2.8125</v>
      </c>
      <c r="K48" s="235"/>
      <c r="L48" s="281">
        <f>IF(M48=0,0,E48)</f>
        <v>1.25</v>
      </c>
      <c r="M48" s="281">
        <f>IF(F48&gt;2,J48,0)</f>
        <v>2.8125</v>
      </c>
    </row>
    <row r="49" spans="1:13">
      <c r="A49" s="54" t="s">
        <v>12</v>
      </c>
      <c r="B49" s="54" t="s">
        <v>73</v>
      </c>
      <c r="C49" s="54" t="s">
        <v>181</v>
      </c>
      <c r="D49" s="54" t="s">
        <v>48</v>
      </c>
      <c r="E49" s="55">
        <v>1.25</v>
      </c>
      <c r="F49" s="56">
        <f>((4.3-1)*0.95)+1</f>
        <v>4.1349999999999998</v>
      </c>
      <c r="G49" s="57" t="s">
        <v>39</v>
      </c>
      <c r="H49" s="235">
        <v>1</v>
      </c>
      <c r="J49" s="62">
        <f>IF(H49=1,E49*(F49-1),-E49)</f>
        <v>3.9187499999999997</v>
      </c>
      <c r="K49" s="235"/>
      <c r="L49" s="281">
        <f>IF(M49=0,0,E49)</f>
        <v>1.25</v>
      </c>
      <c r="M49" s="281">
        <f>IF(F49&gt;2,J49,0)</f>
        <v>3.9187499999999997</v>
      </c>
    </row>
    <row r="50" spans="1:13">
      <c r="A50" s="54" t="s">
        <v>12</v>
      </c>
      <c r="B50" s="54" t="s">
        <v>15</v>
      </c>
      <c r="C50" s="54" t="s">
        <v>3</v>
      </c>
      <c r="D50" s="54" t="s">
        <v>49</v>
      </c>
      <c r="E50" s="55">
        <v>1.25</v>
      </c>
      <c r="F50" s="56">
        <f>((2.08-1)*0.95)+1</f>
        <v>2.0259999999999998</v>
      </c>
      <c r="G50" s="57" t="s">
        <v>42</v>
      </c>
      <c r="H50" s="235">
        <v>1</v>
      </c>
      <c r="J50" s="62">
        <f>IF(H50=1,E50*(F50-1),-E50)</f>
        <v>1.2824999999999998</v>
      </c>
      <c r="K50" s="235"/>
      <c r="L50" s="281">
        <f>IF(M50=0,0,E50)</f>
        <v>1.25</v>
      </c>
      <c r="M50" s="281">
        <f>IF(F50&gt;2,J50,0)</f>
        <v>1.2824999999999998</v>
      </c>
    </row>
    <row r="51" spans="1:13">
      <c r="A51" s="54" t="s">
        <v>12</v>
      </c>
      <c r="B51" s="54" t="s">
        <v>504</v>
      </c>
      <c r="C51" s="54" t="s">
        <v>0</v>
      </c>
      <c r="D51" s="54" t="s">
        <v>48</v>
      </c>
      <c r="E51" s="55">
        <v>1.25</v>
      </c>
      <c r="F51" s="56">
        <f>((6.4-1)*0.95)+1</f>
        <v>6.13</v>
      </c>
      <c r="G51" s="57" t="s">
        <v>82</v>
      </c>
      <c r="H51" s="235">
        <v>1</v>
      </c>
      <c r="J51" s="62">
        <f>IF(H51=1,E51*(F51-1),-E51)</f>
        <v>6.4124999999999996</v>
      </c>
      <c r="K51" s="235"/>
      <c r="L51" s="281">
        <f>IF(M51=0,0,E51)</f>
        <v>1.25</v>
      </c>
      <c r="M51" s="281">
        <f>IF(F51&gt;2,J51,0)</f>
        <v>6.4124999999999996</v>
      </c>
    </row>
    <row r="52" spans="1:13">
      <c r="A52" s="87" t="s">
        <v>12</v>
      </c>
      <c r="B52" s="87" t="s">
        <v>5</v>
      </c>
      <c r="C52" s="87" t="s">
        <v>47</v>
      </c>
      <c r="D52" s="87" t="s">
        <v>530</v>
      </c>
      <c r="E52" s="88">
        <v>1.25</v>
      </c>
      <c r="F52" s="89">
        <f>((3.85-1)*0.95)+1</f>
        <v>3.7075</v>
      </c>
      <c r="G52" s="90" t="s">
        <v>187</v>
      </c>
      <c r="H52" s="235">
        <v>0</v>
      </c>
      <c r="J52" s="62">
        <f>IF(H52=1,E52*(F52-1),-E52)</f>
        <v>-1.25</v>
      </c>
      <c r="K52" s="235"/>
      <c r="L52" s="281">
        <f>IF(M52=0,0,E52)</f>
        <v>1.25</v>
      </c>
      <c r="M52" s="281">
        <f>IF(F52&gt;2,J52,0)</f>
        <v>-1.25</v>
      </c>
    </row>
    <row r="53" spans="1:13" ht="15.75" thickBot="1">
      <c r="A53" s="293" t="s">
        <v>12</v>
      </c>
      <c r="B53" s="293" t="s">
        <v>27</v>
      </c>
      <c r="C53" s="293" t="s">
        <v>5</v>
      </c>
      <c r="D53" s="293" t="s">
        <v>49</v>
      </c>
      <c r="E53" s="294">
        <v>1.25</v>
      </c>
      <c r="F53" s="295">
        <f>((2.42-1)*0.95)+1</f>
        <v>2.3490000000000002</v>
      </c>
      <c r="G53" s="296" t="s">
        <v>122</v>
      </c>
      <c r="H53" s="162">
        <v>1</v>
      </c>
      <c r="I53" s="155"/>
      <c r="J53" s="297">
        <f>IF(H53=1,E53*(F53-1),-E53)</f>
        <v>1.6862500000000002</v>
      </c>
      <c r="K53" s="162"/>
      <c r="L53" s="155">
        <f>IF(M53=0,0,E53)</f>
        <v>1.25</v>
      </c>
      <c r="M53" s="155">
        <f>IF(F53&gt;2,J53,0)</f>
        <v>1.6862500000000002</v>
      </c>
    </row>
    <row r="54" spans="1:13">
      <c r="A54" s="12" t="s">
        <v>12</v>
      </c>
      <c r="B54" s="12" t="s">
        <v>5</v>
      </c>
      <c r="C54" s="12" t="s">
        <v>16</v>
      </c>
      <c r="D54" s="12" t="s">
        <v>48</v>
      </c>
      <c r="E54" s="13"/>
      <c r="F54" s="14"/>
      <c r="G54" s="15"/>
      <c r="J54" s="62"/>
    </row>
    <row r="55" spans="1:13">
      <c r="A55" s="54" t="s">
        <v>12</v>
      </c>
      <c r="B55" s="54" t="s">
        <v>26</v>
      </c>
      <c r="C55" s="54" t="s">
        <v>119</v>
      </c>
      <c r="D55" s="54" t="s">
        <v>48</v>
      </c>
      <c r="E55" s="55"/>
      <c r="F55" s="56"/>
      <c r="G55" s="57"/>
      <c r="J55" s="62"/>
    </row>
    <row r="56" spans="1:13">
      <c r="A56" s="87" t="s">
        <v>12</v>
      </c>
      <c r="B56" s="87" t="s">
        <v>28</v>
      </c>
      <c r="C56" s="87" t="s">
        <v>10</v>
      </c>
      <c r="D56" s="87" t="s">
        <v>49</v>
      </c>
      <c r="E56" s="88"/>
      <c r="F56" s="89"/>
      <c r="G56" s="90"/>
      <c r="H56" s="235"/>
      <c r="I56" s="235"/>
      <c r="J56" s="62"/>
      <c r="K56" s="235"/>
    </row>
    <row r="57" spans="1:13">
      <c r="A57" s="286" t="s">
        <v>12</v>
      </c>
      <c r="B57" s="286" t="s">
        <v>47</v>
      </c>
      <c r="C57" s="286" t="s">
        <v>0</v>
      </c>
      <c r="D57" s="286" t="s">
        <v>49</v>
      </c>
      <c r="E57" s="287"/>
      <c r="F57" s="288"/>
      <c r="G57" s="289"/>
      <c r="H57" s="235"/>
      <c r="I57" s="235"/>
      <c r="J57" s="62"/>
      <c r="K57" s="235"/>
    </row>
    <row r="58" spans="1:13">
      <c r="A58" s="50" t="s">
        <v>12</v>
      </c>
      <c r="B58" s="50" t="s">
        <v>28</v>
      </c>
      <c r="C58" s="50" t="s">
        <v>2</v>
      </c>
      <c r="D58" s="50" t="s">
        <v>49</v>
      </c>
      <c r="E58" s="51"/>
      <c r="F58" s="52"/>
      <c r="G58" s="53"/>
      <c r="H58" s="235"/>
      <c r="I58" s="235"/>
      <c r="J58" s="62"/>
      <c r="K58" s="235"/>
    </row>
    <row r="59" spans="1:13">
      <c r="A59" s="91" t="s">
        <v>12</v>
      </c>
      <c r="B59" s="91" t="s">
        <v>26</v>
      </c>
      <c r="C59" s="91" t="s">
        <v>15</v>
      </c>
      <c r="D59" s="91" t="s">
        <v>49</v>
      </c>
      <c r="E59" s="92"/>
      <c r="F59" s="93"/>
      <c r="G59" s="94"/>
      <c r="H59" s="235"/>
      <c r="I59" s="235"/>
      <c r="J59" s="62"/>
      <c r="K59" s="235"/>
    </row>
    <row r="60" spans="1:13">
      <c r="A60" s="50" t="s">
        <v>12</v>
      </c>
      <c r="B60" s="50" t="s">
        <v>4</v>
      </c>
      <c r="C60" s="50" t="s">
        <v>5</v>
      </c>
      <c r="D60" s="50" t="s">
        <v>49</v>
      </c>
      <c r="E60" s="51"/>
      <c r="F60" s="52"/>
      <c r="G60" s="53"/>
      <c r="H60" s="235"/>
      <c r="I60" s="235"/>
      <c r="J60" s="62"/>
      <c r="K60" s="235"/>
    </row>
    <row r="61" spans="1:13">
      <c r="A61" s="46" t="s">
        <v>12</v>
      </c>
      <c r="B61" s="46" t="s">
        <v>1</v>
      </c>
      <c r="C61" s="46" t="s">
        <v>26</v>
      </c>
      <c r="D61" s="46" t="s">
        <v>49</v>
      </c>
      <c r="E61" s="47"/>
      <c r="F61" s="48"/>
      <c r="G61" s="49"/>
      <c r="H61" s="235"/>
      <c r="J61" s="62"/>
      <c r="K61" s="235"/>
    </row>
    <row r="62" spans="1:13">
      <c r="A62" s="54" t="s">
        <v>12</v>
      </c>
      <c r="B62" s="54" t="s">
        <v>67</v>
      </c>
      <c r="C62" s="54" t="s">
        <v>2</v>
      </c>
      <c r="D62" s="54" t="s">
        <v>49</v>
      </c>
      <c r="E62" s="55"/>
      <c r="F62" s="56"/>
      <c r="G62" s="57"/>
      <c r="H62" s="235"/>
      <c r="J62" s="62"/>
      <c r="K62" s="235"/>
    </row>
    <row r="63" spans="1:13">
      <c r="A63" s="91" t="s">
        <v>12</v>
      </c>
      <c r="B63" s="91" t="s">
        <v>1</v>
      </c>
      <c r="C63" s="91" t="s">
        <v>134</v>
      </c>
      <c r="D63" s="91" t="s">
        <v>460</v>
      </c>
      <c r="E63" s="92"/>
      <c r="F63" s="93"/>
      <c r="G63" s="94"/>
      <c r="H63" s="235"/>
      <c r="J63" s="62"/>
      <c r="K63" s="235"/>
    </row>
    <row r="64" spans="1:13">
      <c r="A64" s="50" t="s">
        <v>12</v>
      </c>
      <c r="B64" s="50" t="s">
        <v>0</v>
      </c>
      <c r="C64" s="50" t="s">
        <v>134</v>
      </c>
      <c r="D64" s="50" t="s">
        <v>49</v>
      </c>
      <c r="E64" s="51"/>
      <c r="F64" s="52"/>
      <c r="G64" s="53"/>
      <c r="H64" s="235"/>
      <c r="J64" s="62"/>
      <c r="K64" s="235"/>
    </row>
    <row r="65" spans="1:11">
      <c r="A65" s="46" t="s">
        <v>12</v>
      </c>
      <c r="B65" s="46" t="s">
        <v>520</v>
      </c>
      <c r="C65" s="46" t="s">
        <v>504</v>
      </c>
      <c r="D65" s="46" t="s">
        <v>742</v>
      </c>
      <c r="E65" s="47"/>
      <c r="F65" s="46"/>
      <c r="G65" s="49"/>
      <c r="H65" s="235"/>
      <c r="J65" s="62"/>
      <c r="K65" s="235"/>
    </row>
    <row r="66" spans="1:11">
      <c r="A66" s="87" t="s">
        <v>12</v>
      </c>
      <c r="B66" s="87" t="s">
        <v>10</v>
      </c>
      <c r="C66" s="87" t="s">
        <v>26</v>
      </c>
      <c r="D66" s="87" t="s">
        <v>767</v>
      </c>
      <c r="E66" s="88"/>
      <c r="F66" s="89"/>
      <c r="G66" s="90"/>
      <c r="H66" s="235"/>
      <c r="J66" s="62"/>
      <c r="K66" s="235"/>
    </row>
    <row r="67" spans="1:11">
      <c r="A67" s="42" t="s">
        <v>12</v>
      </c>
      <c r="B67" s="42" t="s">
        <v>0</v>
      </c>
      <c r="C67" s="42" t="s">
        <v>15</v>
      </c>
      <c r="D67" s="42" t="s">
        <v>48</v>
      </c>
      <c r="E67" s="43"/>
      <c r="F67" s="44"/>
      <c r="G67" s="45"/>
      <c r="J67" s="62"/>
    </row>
    <row r="68" spans="1:11">
      <c r="A68" s="87" t="s">
        <v>12</v>
      </c>
      <c r="B68" s="87" t="s">
        <v>10</v>
      </c>
      <c r="C68" s="87" t="s">
        <v>134</v>
      </c>
      <c r="D68" s="87" t="s">
        <v>49</v>
      </c>
      <c r="E68" s="88"/>
      <c r="F68" s="89"/>
      <c r="G68" s="90"/>
      <c r="H68" s="235"/>
      <c r="I68" s="235"/>
      <c r="J68" s="62"/>
      <c r="K68" s="235"/>
    </row>
    <row r="69" spans="1:11">
      <c r="A69" s="50" t="s">
        <v>12</v>
      </c>
      <c r="B69" s="50" t="s">
        <v>2</v>
      </c>
      <c r="C69" s="50" t="s">
        <v>0</v>
      </c>
      <c r="D69" s="50" t="s">
        <v>34</v>
      </c>
      <c r="E69" s="51"/>
      <c r="F69" s="52"/>
      <c r="G69" s="53"/>
      <c r="H69" s="235"/>
      <c r="J69" s="62"/>
      <c r="K69" s="235"/>
    </row>
    <row r="70" spans="1:11">
      <c r="A70" s="46" t="s">
        <v>12</v>
      </c>
      <c r="B70" s="46" t="s">
        <v>422</v>
      </c>
      <c r="C70" s="46" t="s">
        <v>5</v>
      </c>
      <c r="D70" s="46" t="s">
        <v>692</v>
      </c>
      <c r="E70" s="47"/>
      <c r="F70" s="48"/>
      <c r="G70" s="49"/>
      <c r="H70" s="235"/>
      <c r="J70" s="62"/>
      <c r="K70" s="235"/>
    </row>
    <row r="71" spans="1:11">
      <c r="A71" s="4" t="s">
        <v>12</v>
      </c>
      <c r="B71" s="4" t="s">
        <v>1</v>
      </c>
      <c r="C71" s="4" t="s">
        <v>27</v>
      </c>
      <c r="D71" s="4" t="s">
        <v>49</v>
      </c>
      <c r="E71" s="5"/>
      <c r="F71" s="9"/>
      <c r="G71" s="10"/>
      <c r="H71" s="235"/>
      <c r="J71" s="62"/>
      <c r="K71" s="235"/>
    </row>
    <row r="72" spans="1:11">
      <c r="A72" s="46" t="s">
        <v>12</v>
      </c>
      <c r="B72" s="46" t="s">
        <v>47</v>
      </c>
      <c r="C72" s="46" t="s">
        <v>28</v>
      </c>
      <c r="D72" s="46" t="s">
        <v>742</v>
      </c>
      <c r="E72" s="47"/>
      <c r="F72" s="48"/>
      <c r="G72" s="49"/>
      <c r="H72" s="235"/>
      <c r="J72" s="62"/>
      <c r="K72" s="235"/>
    </row>
    <row r="73" spans="1:11">
      <c r="A73" s="46" t="s">
        <v>12</v>
      </c>
      <c r="B73" s="46" t="s">
        <v>1</v>
      </c>
      <c r="C73" s="46" t="s">
        <v>10</v>
      </c>
      <c r="D73" s="46" t="s">
        <v>742</v>
      </c>
      <c r="E73" s="47"/>
      <c r="F73" s="48"/>
      <c r="G73" s="49"/>
      <c r="H73" s="235"/>
      <c r="J73" s="62"/>
      <c r="K73" s="235"/>
    </row>
    <row r="74" spans="1:11">
      <c r="A74" s="87" t="s">
        <v>12</v>
      </c>
      <c r="B74" s="87" t="s">
        <v>3</v>
      </c>
      <c r="C74" s="87" t="s">
        <v>67</v>
      </c>
      <c r="D74" s="87" t="s">
        <v>34</v>
      </c>
      <c r="E74" s="88"/>
      <c r="F74" s="89"/>
      <c r="G74" s="90"/>
      <c r="J74" s="62"/>
    </row>
    <row r="75" spans="1:11">
      <c r="A75" s="50" t="s">
        <v>12</v>
      </c>
      <c r="B75" s="50" t="s">
        <v>16</v>
      </c>
      <c r="C75" s="50" t="s">
        <v>28</v>
      </c>
      <c r="D75" s="50" t="s">
        <v>34</v>
      </c>
      <c r="E75" s="51"/>
      <c r="F75" s="52"/>
      <c r="G75" s="53"/>
      <c r="H75" s="235"/>
      <c r="I75" s="235"/>
      <c r="J75" s="62"/>
      <c r="K75" s="235"/>
    </row>
    <row r="76" spans="1:11">
      <c r="A76" s="46" t="s">
        <v>12</v>
      </c>
      <c r="B76" s="46" t="s">
        <v>15</v>
      </c>
      <c r="C76" s="46" t="s">
        <v>4</v>
      </c>
      <c r="D76" s="46" t="s">
        <v>34</v>
      </c>
      <c r="E76" s="47"/>
      <c r="F76" s="48"/>
      <c r="G76" s="49"/>
      <c r="H76" s="235"/>
      <c r="J76" s="62"/>
      <c r="K76" s="235"/>
    </row>
    <row r="77" spans="1:11">
      <c r="A77" s="46" t="s">
        <v>12</v>
      </c>
      <c r="B77" s="46" t="s">
        <v>27</v>
      </c>
      <c r="C77" s="46" t="s">
        <v>182</v>
      </c>
      <c r="D77" s="46" t="s">
        <v>34</v>
      </c>
      <c r="E77" s="47"/>
      <c r="F77" s="48"/>
      <c r="G77" s="49"/>
      <c r="H77" s="235"/>
      <c r="J77" s="62"/>
      <c r="K77" s="235"/>
    </row>
    <row r="78" spans="1:11">
      <c r="A78" s="46" t="s">
        <v>12</v>
      </c>
      <c r="B78" s="46" t="s">
        <v>239</v>
      </c>
      <c r="C78" s="46" t="s">
        <v>16</v>
      </c>
      <c r="D78" s="46" t="s">
        <v>48</v>
      </c>
      <c r="E78" s="47"/>
      <c r="F78" s="48"/>
      <c r="G78" s="49"/>
      <c r="H78" s="235"/>
      <c r="J78" s="62"/>
      <c r="K78" s="235"/>
    </row>
    <row r="79" spans="1:11">
      <c r="A79" s="87" t="s">
        <v>12</v>
      </c>
      <c r="B79" s="87" t="s">
        <v>134</v>
      </c>
      <c r="C79" s="87" t="s">
        <v>15</v>
      </c>
      <c r="D79" s="87" t="s">
        <v>48</v>
      </c>
      <c r="E79" s="88"/>
      <c r="F79" s="89"/>
      <c r="G79" s="90"/>
      <c r="H79" s="235"/>
      <c r="J79" s="62"/>
      <c r="K79" s="235"/>
    </row>
    <row r="80" spans="1:11">
      <c r="A80" s="50" t="s">
        <v>12</v>
      </c>
      <c r="B80" s="50" t="s">
        <v>181</v>
      </c>
      <c r="C80" s="50" t="s">
        <v>182</v>
      </c>
      <c r="D80" s="50" t="s">
        <v>34</v>
      </c>
      <c r="E80" s="51"/>
      <c r="F80" s="52"/>
      <c r="G80" s="53"/>
      <c r="H80" s="235"/>
      <c r="J80" s="62"/>
      <c r="K80" s="235"/>
    </row>
    <row r="81" spans="1:14">
      <c r="A81" s="87" t="s">
        <v>12</v>
      </c>
      <c r="B81" s="87" t="s">
        <v>308</v>
      </c>
      <c r="C81" s="87" t="s">
        <v>16</v>
      </c>
      <c r="D81" s="87" t="s">
        <v>742</v>
      </c>
      <c r="E81" s="88"/>
      <c r="F81" s="89"/>
      <c r="G81" s="90"/>
      <c r="H81" s="235"/>
      <c r="J81" s="62"/>
      <c r="K81" s="235"/>
    </row>
    <row r="83" spans="1:14">
      <c r="E83" s="61">
        <f>SUM(E1:E82)</f>
        <v>99.05</v>
      </c>
      <c r="H83" s="281">
        <f>SUM(H1:H82)</f>
        <v>32</v>
      </c>
      <c r="I83" s="233">
        <f>COUNTIF(E1:E82,"&gt;0")</f>
        <v>53</v>
      </c>
      <c r="J83" s="62">
        <f>SUM(J1:J82)</f>
        <v>38.516374999999996</v>
      </c>
      <c r="L83" s="62">
        <f>SUM(L1:L82)</f>
        <v>59.55</v>
      </c>
      <c r="M83" s="62">
        <f>SUM(M1:M82)</f>
        <v>36.199249999999992</v>
      </c>
      <c r="N83" s="233">
        <f>COUNTIF(L1:L82,"&gt;0")</f>
        <v>35</v>
      </c>
    </row>
    <row r="84" spans="1:14">
      <c r="H84" s="63">
        <f>+H83/I83</f>
        <v>0.60377358490566035</v>
      </c>
      <c r="J84" s="65">
        <f>+J83/E83</f>
        <v>0.38885790005047954</v>
      </c>
      <c r="M84" s="65">
        <f>+M83/L83</f>
        <v>0.60787993282955488</v>
      </c>
    </row>
    <row r="85" spans="1:14">
      <c r="J85" s="64"/>
    </row>
  </sheetData>
  <sortState ref="A1:M81">
    <sortCondition descending="1" ref="E1:E81"/>
  </sortState>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dimension ref="A1:N85"/>
  <sheetViews>
    <sheetView topLeftCell="A67" zoomScaleNormal="100" workbookViewId="0">
      <selection activeCell="F88" sqref="F88"/>
    </sheetView>
  </sheetViews>
  <sheetFormatPr baseColWidth="10" defaultRowHeight="15"/>
  <cols>
    <col min="1" max="7" width="11.42578125" style="281"/>
    <col min="8" max="8" width="4.5703125" style="281" bestFit="1" customWidth="1"/>
    <col min="9" max="16384" width="11.42578125" style="281"/>
  </cols>
  <sheetData>
    <row r="1" spans="1:13">
      <c r="A1" s="4" t="s">
        <v>12</v>
      </c>
      <c r="B1" s="4" t="s">
        <v>0</v>
      </c>
      <c r="C1" s="4" t="s">
        <v>3</v>
      </c>
      <c r="D1" s="4" t="s">
        <v>49</v>
      </c>
      <c r="E1" s="298">
        <v>1</v>
      </c>
      <c r="F1" s="4">
        <v>1.95</v>
      </c>
      <c r="G1" s="10" t="s">
        <v>36</v>
      </c>
      <c r="H1" s="281">
        <v>1</v>
      </c>
      <c r="J1" s="62">
        <f>IF(H1=1,E1*(F1-1),-E1)</f>
        <v>0.95</v>
      </c>
      <c r="L1" s="281">
        <f>IF(M1=0,0,E1)</f>
        <v>0</v>
      </c>
      <c r="M1" s="281">
        <f>IF(F1&gt;2,J1,0)</f>
        <v>0</v>
      </c>
    </row>
    <row r="2" spans="1:13">
      <c r="A2" s="12" t="s">
        <v>12</v>
      </c>
      <c r="B2" s="12" t="s">
        <v>26</v>
      </c>
      <c r="C2" s="12" t="s">
        <v>10</v>
      </c>
      <c r="D2" s="13" t="s">
        <v>49</v>
      </c>
      <c r="E2" s="299">
        <v>1</v>
      </c>
      <c r="F2" s="12">
        <v>1.75</v>
      </c>
      <c r="G2" s="15" t="s">
        <v>82</v>
      </c>
      <c r="H2" s="281">
        <v>0</v>
      </c>
      <c r="J2" s="62">
        <f>IF(H2=1,E2*(F2-1),-E2)</f>
        <v>-1</v>
      </c>
      <c r="L2" s="281">
        <f>IF(M2=0,0,E2)</f>
        <v>0</v>
      </c>
      <c r="M2" s="281">
        <f>IF(F2&gt;2,J2,0)</f>
        <v>0</v>
      </c>
    </row>
    <row r="3" spans="1:13">
      <c r="A3" s="4" t="s">
        <v>12</v>
      </c>
      <c r="B3" s="4" t="s">
        <v>27</v>
      </c>
      <c r="C3" s="4" t="s">
        <v>28</v>
      </c>
      <c r="D3" s="5" t="s">
        <v>49</v>
      </c>
      <c r="E3" s="300">
        <v>1</v>
      </c>
      <c r="F3" s="4">
        <v>1.6</v>
      </c>
      <c r="G3" s="10" t="s">
        <v>41</v>
      </c>
      <c r="H3" s="281">
        <v>1</v>
      </c>
      <c r="J3" s="62">
        <f>IF(H3=1,E3*(F3-1),-E3)</f>
        <v>0.60000000000000009</v>
      </c>
      <c r="L3" s="281">
        <f>IF(M3=0,0,E3)</f>
        <v>0</v>
      </c>
      <c r="M3" s="281">
        <f>IF(F3&gt;2,J3,0)</f>
        <v>0</v>
      </c>
    </row>
    <row r="4" spans="1:13">
      <c r="A4" s="4" t="s">
        <v>12</v>
      </c>
      <c r="B4" s="4" t="s">
        <v>5</v>
      </c>
      <c r="C4" s="4" t="s">
        <v>26</v>
      </c>
      <c r="D4" s="4" t="s">
        <v>49</v>
      </c>
      <c r="E4" s="300">
        <v>1</v>
      </c>
      <c r="F4" s="9">
        <f>((1.73-1)*0.95)+1</f>
        <v>1.6935</v>
      </c>
      <c r="G4" s="10" t="s">
        <v>36</v>
      </c>
      <c r="H4" s="235">
        <v>1</v>
      </c>
      <c r="I4" s="235"/>
      <c r="J4" s="62">
        <f>IF(H4=1,E4*(F4-1),-E4)</f>
        <v>0.69350000000000001</v>
      </c>
      <c r="K4" s="235"/>
      <c r="L4" s="281">
        <f>IF(M4=0,0,E4)</f>
        <v>0</v>
      </c>
      <c r="M4" s="281">
        <f>IF(F4&gt;2,J4,0)</f>
        <v>0</v>
      </c>
    </row>
    <row r="5" spans="1:13">
      <c r="A5" s="54" t="s">
        <v>12</v>
      </c>
      <c r="B5" s="54" t="s">
        <v>67</v>
      </c>
      <c r="C5" s="54" t="s">
        <v>1</v>
      </c>
      <c r="D5" s="54" t="s">
        <v>49</v>
      </c>
      <c r="E5" s="300">
        <v>1</v>
      </c>
      <c r="F5" s="56">
        <f>((1.49-1)*0.95)+1</f>
        <v>1.4655</v>
      </c>
      <c r="G5" s="57" t="s">
        <v>146</v>
      </c>
      <c r="H5" s="235">
        <v>1</v>
      </c>
      <c r="I5" s="235"/>
      <c r="J5" s="62">
        <f>IF(H5=1,E5*(F5-1),-E5)</f>
        <v>0.46550000000000002</v>
      </c>
      <c r="K5" s="235"/>
      <c r="L5" s="281">
        <f>IF(M5=0,0,E5)</f>
        <v>0</v>
      </c>
      <c r="M5" s="281">
        <f>IF(F5&gt;2,J5,0)</f>
        <v>0</v>
      </c>
    </row>
    <row r="6" spans="1:13">
      <c r="A6" s="54" t="s">
        <v>12</v>
      </c>
      <c r="B6" s="54" t="s">
        <v>182</v>
      </c>
      <c r="C6" s="54" t="s">
        <v>47</v>
      </c>
      <c r="D6" s="54" t="s">
        <v>49</v>
      </c>
      <c r="E6" s="300">
        <v>1</v>
      </c>
      <c r="F6" s="56">
        <f>((2.26-1)*0.95)+1</f>
        <v>2.1970000000000001</v>
      </c>
      <c r="G6" s="57" t="s">
        <v>122</v>
      </c>
      <c r="H6" s="235">
        <v>1</v>
      </c>
      <c r="I6" s="235"/>
      <c r="J6" s="62">
        <f>IF(H6=1,E6*(F6-1),-E6)</f>
        <v>1.1970000000000001</v>
      </c>
      <c r="K6" s="235"/>
      <c r="L6" s="281">
        <f>IF(M6=0,0,E6)</f>
        <v>1</v>
      </c>
      <c r="M6" s="281">
        <f>IF(F6&gt;2,J6,0)</f>
        <v>1.1970000000000001</v>
      </c>
    </row>
    <row r="7" spans="1:13">
      <c r="A7" s="54" t="s">
        <v>12</v>
      </c>
      <c r="B7" s="54" t="s">
        <v>16</v>
      </c>
      <c r="C7" s="54" t="s">
        <v>2</v>
      </c>
      <c r="D7" s="54" t="s">
        <v>49</v>
      </c>
      <c r="E7" s="300">
        <v>1</v>
      </c>
      <c r="F7" s="56">
        <f>((2.24-1)*0.95)+1</f>
        <v>2.1779999999999999</v>
      </c>
      <c r="G7" s="57" t="s">
        <v>146</v>
      </c>
      <c r="H7" s="235">
        <v>1</v>
      </c>
      <c r="J7" s="62">
        <f>IF(H7=1,E7*(F7-1),-E7)</f>
        <v>1.1779999999999999</v>
      </c>
      <c r="K7" s="235"/>
      <c r="L7" s="281">
        <f>IF(M7=0,0,E7)</f>
        <v>1</v>
      </c>
      <c r="M7" s="281">
        <f>IF(F7&gt;2,J7,0)</f>
        <v>1.1779999999999999</v>
      </c>
    </row>
    <row r="8" spans="1:13">
      <c r="A8" s="46" t="s">
        <v>12</v>
      </c>
      <c r="B8" s="46" t="s">
        <v>26</v>
      </c>
      <c r="C8" s="46" t="s">
        <v>27</v>
      </c>
      <c r="D8" s="46" t="s">
        <v>48</v>
      </c>
      <c r="E8" s="299">
        <v>1</v>
      </c>
      <c r="F8" s="48">
        <f>((2.66-1)*0.95)+1</f>
        <v>2.577</v>
      </c>
      <c r="G8" s="49" t="s">
        <v>42</v>
      </c>
      <c r="H8" s="235">
        <v>0</v>
      </c>
      <c r="J8" s="62">
        <f>IF(H8=1,E8*(F8-1),-E8)</f>
        <v>-1</v>
      </c>
      <c r="K8" s="235"/>
      <c r="L8" s="281">
        <f>IF(M8=0,0,E8)</f>
        <v>1</v>
      </c>
      <c r="M8" s="281">
        <f>IF(F8&gt;2,J8,0)</f>
        <v>-1</v>
      </c>
    </row>
    <row r="9" spans="1:13">
      <c r="A9" s="50" t="s">
        <v>12</v>
      </c>
      <c r="B9" s="50" t="s">
        <v>182</v>
      </c>
      <c r="C9" s="50" t="s">
        <v>28</v>
      </c>
      <c r="D9" s="50" t="s">
        <v>49</v>
      </c>
      <c r="E9" s="301">
        <v>1</v>
      </c>
      <c r="F9" s="52">
        <f>((2.06-1)*0.95)+1</f>
        <v>2.0069999999999997</v>
      </c>
      <c r="G9" s="53" t="s">
        <v>243</v>
      </c>
      <c r="H9" s="235">
        <v>0</v>
      </c>
      <c r="J9" s="62">
        <f>IF(H9=1,E9*(F9-1),-E9)</f>
        <v>-1</v>
      </c>
      <c r="K9" s="235"/>
      <c r="L9" s="281">
        <f>IF(M9=0,0,E9)</f>
        <v>1</v>
      </c>
      <c r="M9" s="281">
        <f>IF(F9&gt;2,J9,0)</f>
        <v>-1</v>
      </c>
    </row>
    <row r="10" spans="1:13">
      <c r="A10" s="46" t="s">
        <v>12</v>
      </c>
      <c r="B10" s="46" t="s">
        <v>47</v>
      </c>
      <c r="C10" s="46" t="s">
        <v>15</v>
      </c>
      <c r="D10" s="46" t="s">
        <v>49</v>
      </c>
      <c r="E10" s="299">
        <v>1</v>
      </c>
      <c r="F10" s="48">
        <f>((1.95-1)*0.95)+1</f>
        <v>1.9024999999999999</v>
      </c>
      <c r="G10" s="49" t="s">
        <v>37</v>
      </c>
      <c r="H10" s="235">
        <v>0</v>
      </c>
      <c r="J10" s="62">
        <f>IF(H10=1,E10*(F10-1),-E10)</f>
        <v>-1</v>
      </c>
      <c r="K10" s="235"/>
      <c r="L10" s="281">
        <f>IF(M10=0,0,E10)</f>
        <v>0</v>
      </c>
      <c r="M10" s="281">
        <f>IF(F10&gt;2,J10,0)</f>
        <v>0</v>
      </c>
    </row>
    <row r="11" spans="1:13">
      <c r="A11" s="54" t="s">
        <v>12</v>
      </c>
      <c r="B11" s="54" t="s">
        <v>182</v>
      </c>
      <c r="C11" s="54" t="s">
        <v>1</v>
      </c>
      <c r="D11" s="54" t="s">
        <v>49</v>
      </c>
      <c r="E11" s="300">
        <v>1</v>
      </c>
      <c r="F11" s="56">
        <f>((1.82-1)*0.95)+1</f>
        <v>1.7789999999999999</v>
      </c>
      <c r="G11" s="57" t="s">
        <v>41</v>
      </c>
      <c r="H11" s="235">
        <v>1</v>
      </c>
      <c r="J11" s="62">
        <f>IF(H11=1,E11*(F11-1),-E11)</f>
        <v>0.77899999999999991</v>
      </c>
      <c r="K11" s="235"/>
      <c r="L11" s="281">
        <f>IF(M11=0,0,E11)</f>
        <v>0</v>
      </c>
      <c r="M11" s="281">
        <f>IF(F11&gt;2,J11,0)</f>
        <v>0</v>
      </c>
    </row>
    <row r="12" spans="1:13">
      <c r="A12" s="42" t="s">
        <v>12</v>
      </c>
      <c r="B12" s="42" t="s">
        <v>47</v>
      </c>
      <c r="C12" s="42" t="s">
        <v>1</v>
      </c>
      <c r="D12" s="42" t="s">
        <v>49</v>
      </c>
      <c r="E12" s="302">
        <v>1</v>
      </c>
      <c r="F12" s="44">
        <f>((1.89-1)*0.95)+1</f>
        <v>1.8454999999999999</v>
      </c>
      <c r="G12" s="45" t="s">
        <v>122</v>
      </c>
      <c r="H12" s="235">
        <v>1</v>
      </c>
      <c r="J12" s="62"/>
      <c r="K12" s="235"/>
      <c r="L12" s="281">
        <f>IF(M12=0,0,E12)</f>
        <v>0</v>
      </c>
      <c r="M12" s="281">
        <f>IF(F12&gt;2,J12,0)</f>
        <v>0</v>
      </c>
    </row>
    <row r="13" spans="1:13">
      <c r="A13" s="12" t="s">
        <v>6</v>
      </c>
      <c r="B13" s="12" t="s">
        <v>10</v>
      </c>
      <c r="C13" s="12" t="s">
        <v>13</v>
      </c>
      <c r="D13" s="12" t="s">
        <v>49</v>
      </c>
      <c r="E13" s="299">
        <v>1</v>
      </c>
      <c r="F13" s="14">
        <f>((2.16-1)*0.95)+1</f>
        <v>2.1020000000000003</v>
      </c>
      <c r="G13" s="15" t="s">
        <v>38</v>
      </c>
      <c r="H13" s="281">
        <v>0</v>
      </c>
      <c r="J13" s="62">
        <f>IF(H13=1,E13*(F13-1),-E13)</f>
        <v>-1</v>
      </c>
      <c r="L13" s="281">
        <f>IF(M13=0,0,E13)</f>
        <v>1</v>
      </c>
      <c r="M13" s="281">
        <f>IF(F13&gt;2,J13,0)</f>
        <v>-1</v>
      </c>
    </row>
    <row r="14" spans="1:13">
      <c r="A14" s="4" t="s">
        <v>12</v>
      </c>
      <c r="B14" s="4" t="s">
        <v>134</v>
      </c>
      <c r="C14" s="4" t="s">
        <v>73</v>
      </c>
      <c r="D14" s="4" t="s">
        <v>49</v>
      </c>
      <c r="E14" s="300">
        <v>1</v>
      </c>
      <c r="F14" s="9">
        <f>((1.74-1)*0.95)+1</f>
        <v>1.7029999999999998</v>
      </c>
      <c r="G14" s="16" t="s">
        <v>41</v>
      </c>
      <c r="H14" s="281">
        <v>1</v>
      </c>
      <c r="J14" s="62">
        <f>IF(H14=1,E14*(F14-1),-E14)</f>
        <v>0.70299999999999985</v>
      </c>
      <c r="L14" s="281">
        <f>IF(M14=0,0,E14)</f>
        <v>0</v>
      </c>
      <c r="M14" s="281">
        <f>IF(F14&gt;2,J14,0)</f>
        <v>0</v>
      </c>
    </row>
    <row r="15" spans="1:13">
      <c r="A15" s="46" t="s">
        <v>12</v>
      </c>
      <c r="B15" s="46" t="s">
        <v>28</v>
      </c>
      <c r="C15" s="46" t="s">
        <v>1</v>
      </c>
      <c r="D15" s="46" t="s">
        <v>49</v>
      </c>
      <c r="E15" s="299">
        <v>1</v>
      </c>
      <c r="F15" s="48">
        <f>((1.96-1)*0.95)+1</f>
        <v>1.9119999999999999</v>
      </c>
      <c r="G15" s="49" t="s">
        <v>37</v>
      </c>
      <c r="H15" s="281">
        <v>0</v>
      </c>
      <c r="J15" s="62">
        <f>IF(H15=1,E15*(F15-1),-E15)</f>
        <v>-1</v>
      </c>
      <c r="L15" s="281">
        <f>IF(M15=0,0,E15)</f>
        <v>0</v>
      </c>
      <c r="M15" s="281">
        <f>IF(F15&gt;2,J15,0)</f>
        <v>0</v>
      </c>
    </row>
    <row r="16" spans="1:13">
      <c r="A16" s="91" t="s">
        <v>12</v>
      </c>
      <c r="B16" s="91" t="s">
        <v>16</v>
      </c>
      <c r="C16" s="91" t="s">
        <v>47</v>
      </c>
      <c r="D16" s="91" t="s">
        <v>49</v>
      </c>
      <c r="E16" s="303">
        <v>1</v>
      </c>
      <c r="F16" s="93">
        <f>((2.1-1)*0.95)+1</f>
        <v>2.0449999999999999</v>
      </c>
      <c r="G16" s="94" t="s">
        <v>122</v>
      </c>
      <c r="H16" s="281">
        <v>1</v>
      </c>
      <c r="J16" s="62">
        <f>IF(H16=1,E16*(F16-1),-E16)</f>
        <v>1.0449999999999999</v>
      </c>
      <c r="L16" s="281">
        <f>IF(M16=0,0,E16)</f>
        <v>1</v>
      </c>
      <c r="M16" s="281">
        <f>IF(F16&gt;2,J16,0)</f>
        <v>1.0449999999999999</v>
      </c>
    </row>
    <row r="17" spans="1:13" s="235" customFormat="1">
      <c r="A17" s="12" t="s">
        <v>12</v>
      </c>
      <c r="B17" s="12" t="s">
        <v>5</v>
      </c>
      <c r="C17" s="12" t="s">
        <v>73</v>
      </c>
      <c r="D17" s="12" t="s">
        <v>49</v>
      </c>
      <c r="E17" s="299">
        <v>1</v>
      </c>
      <c r="F17" s="14">
        <f>((1.86-1)*0.95)+1</f>
        <v>1.8170000000000002</v>
      </c>
      <c r="G17" s="15" t="s">
        <v>39</v>
      </c>
      <c r="H17" s="235">
        <v>0</v>
      </c>
      <c r="J17" s="62">
        <f>IF(H17=1,E17*(F17-1),-E17)</f>
        <v>-1</v>
      </c>
      <c r="L17" s="281">
        <f>IF(M17=0,0,E17)</f>
        <v>0</v>
      </c>
      <c r="M17" s="281">
        <f>IF(F17&gt;2,J17,0)</f>
        <v>0</v>
      </c>
    </row>
    <row r="18" spans="1:13" s="235" customFormat="1">
      <c r="A18" s="4" t="s">
        <v>12</v>
      </c>
      <c r="B18" s="4" t="s">
        <v>0</v>
      </c>
      <c r="C18" s="4" t="s">
        <v>27</v>
      </c>
      <c r="D18" s="4" t="s">
        <v>49</v>
      </c>
      <c r="E18" s="300">
        <v>1</v>
      </c>
      <c r="F18" s="9">
        <v>2.8</v>
      </c>
      <c r="G18" s="10" t="s">
        <v>42</v>
      </c>
      <c r="H18" s="235">
        <v>1</v>
      </c>
      <c r="J18" s="62">
        <f>IF(H18=1,E18*(F18-1),-E18)</f>
        <v>1.7999999999999998</v>
      </c>
      <c r="L18" s="281">
        <f>IF(M18=0,0,E18)</f>
        <v>1</v>
      </c>
      <c r="M18" s="281">
        <f>IF(F18&gt;2,J18,0)</f>
        <v>1.7999999999999998</v>
      </c>
    </row>
    <row r="19" spans="1:13" s="235" customFormat="1">
      <c r="A19" s="4" t="s">
        <v>12</v>
      </c>
      <c r="B19" s="4" t="s">
        <v>15</v>
      </c>
      <c r="C19" s="4" t="s">
        <v>182</v>
      </c>
      <c r="D19" s="4" t="s">
        <v>49</v>
      </c>
      <c r="E19" s="300">
        <v>1</v>
      </c>
      <c r="F19" s="9">
        <f>((2.46-1)*0.95)+1</f>
        <v>2.387</v>
      </c>
      <c r="G19" s="10" t="s">
        <v>201</v>
      </c>
      <c r="H19" s="235">
        <v>1</v>
      </c>
      <c r="J19" s="62">
        <f>IF(H19=1,E19*(F19-1),-E19)</f>
        <v>1.387</v>
      </c>
      <c r="L19" s="281">
        <f>IF(M19=0,0,E19)</f>
        <v>1</v>
      </c>
      <c r="M19" s="281">
        <f>IF(F19&gt;2,J19,0)</f>
        <v>1.387</v>
      </c>
    </row>
    <row r="20" spans="1:13" s="235" customFormat="1">
      <c r="A20" s="12" t="s">
        <v>12</v>
      </c>
      <c r="B20" s="12" t="s">
        <v>10</v>
      </c>
      <c r="C20" s="12" t="s">
        <v>3</v>
      </c>
      <c r="D20" s="12" t="s">
        <v>49</v>
      </c>
      <c r="E20" s="299">
        <v>1</v>
      </c>
      <c r="F20" s="14">
        <f>((2.14-1)*0.95)+1</f>
        <v>2.0830000000000002</v>
      </c>
      <c r="G20" s="15" t="s">
        <v>38</v>
      </c>
      <c r="H20" s="235">
        <v>0</v>
      </c>
      <c r="J20" s="62">
        <f>IF(H20=1,E20*(F20-1),-E20)</f>
        <v>-1</v>
      </c>
      <c r="L20" s="281">
        <f>IF(M20=0,0,E20)</f>
        <v>1</v>
      </c>
      <c r="M20" s="281">
        <f>IF(F20&gt;2,J20,0)</f>
        <v>-1</v>
      </c>
    </row>
    <row r="21" spans="1:13" s="235" customFormat="1">
      <c r="A21" s="87" t="s">
        <v>12</v>
      </c>
      <c r="B21" s="87" t="s">
        <v>181</v>
      </c>
      <c r="C21" s="87" t="s">
        <v>67</v>
      </c>
      <c r="D21" s="87" t="s">
        <v>49</v>
      </c>
      <c r="E21" s="304">
        <v>1</v>
      </c>
      <c r="F21" s="89">
        <f>((2.48-1)*0.95)+1</f>
        <v>2.4059999999999997</v>
      </c>
      <c r="G21" s="90" t="s">
        <v>243</v>
      </c>
      <c r="H21" s="235">
        <v>0</v>
      </c>
      <c r="I21" s="281"/>
      <c r="J21" s="62">
        <f>IF(H21=1,E21*(F21-1),-E21)</f>
        <v>-1</v>
      </c>
      <c r="L21" s="281">
        <f>IF(M21=0,0,E21)</f>
        <v>1</v>
      </c>
      <c r="M21" s="281">
        <f>IF(F21&gt;2,J21,0)</f>
        <v>-1</v>
      </c>
    </row>
    <row r="22" spans="1:13" s="235" customFormat="1">
      <c r="A22" s="4" t="s">
        <v>12</v>
      </c>
      <c r="B22" s="4" t="s">
        <v>10</v>
      </c>
      <c r="C22" s="4" t="s">
        <v>5</v>
      </c>
      <c r="D22" s="4" t="s">
        <v>48</v>
      </c>
      <c r="E22" s="300">
        <v>1</v>
      </c>
      <c r="F22" s="9">
        <f>((2.36-1)*0.95)+1</f>
        <v>2.2919999999999998</v>
      </c>
      <c r="G22" s="10" t="s">
        <v>366</v>
      </c>
      <c r="H22" s="235">
        <v>1</v>
      </c>
      <c r="I22" s="281"/>
      <c r="J22" s="62">
        <f>IF(H22=1,E22*(F22-1),-E22)</f>
        <v>1.2919999999999998</v>
      </c>
      <c r="L22" s="281">
        <f>IF(M22=0,0,E22)</f>
        <v>1</v>
      </c>
      <c r="M22" s="281">
        <f>IF(F22&gt;2,J22,0)</f>
        <v>1.2919999999999998</v>
      </c>
    </row>
    <row r="23" spans="1:13" s="235" customFormat="1">
      <c r="A23" s="46" t="s">
        <v>12</v>
      </c>
      <c r="B23" s="46" t="s">
        <v>181</v>
      </c>
      <c r="C23" s="46" t="s">
        <v>47</v>
      </c>
      <c r="D23" s="46" t="s">
        <v>49</v>
      </c>
      <c r="E23" s="299">
        <v>1</v>
      </c>
      <c r="F23" s="48">
        <v>1.9</v>
      </c>
      <c r="G23" s="49" t="s">
        <v>243</v>
      </c>
      <c r="H23" s="235">
        <v>0</v>
      </c>
      <c r="I23" s="281"/>
      <c r="J23" s="62">
        <f>IF(H23=1,E23*(F23-1),-E23)</f>
        <v>-1</v>
      </c>
      <c r="L23" s="281">
        <f>IF(M23=0,0,E23)</f>
        <v>0</v>
      </c>
      <c r="M23" s="281">
        <f>IF(F23&gt;2,J23,0)</f>
        <v>0</v>
      </c>
    </row>
    <row r="24" spans="1:13" s="235" customFormat="1">
      <c r="A24" s="4" t="s">
        <v>12</v>
      </c>
      <c r="B24" s="4" t="s">
        <v>5</v>
      </c>
      <c r="C24" s="4" t="s">
        <v>2</v>
      </c>
      <c r="D24" s="4" t="s">
        <v>49</v>
      </c>
      <c r="E24" s="300">
        <v>1</v>
      </c>
      <c r="F24" s="9">
        <f>((1.9-1)*0.95)+1</f>
        <v>1.855</v>
      </c>
      <c r="G24" s="10" t="s">
        <v>743</v>
      </c>
      <c r="H24" s="235">
        <v>1</v>
      </c>
      <c r="I24" s="281"/>
      <c r="J24" s="62">
        <f>IF(H24=1,E24*(F24-1),-E24)</f>
        <v>0.85499999999999998</v>
      </c>
      <c r="L24" s="281">
        <f>IF(M24=0,0,E24)</f>
        <v>0</v>
      </c>
      <c r="M24" s="281">
        <f>IF(F24&gt;2,J24,0)</f>
        <v>0</v>
      </c>
    </row>
    <row r="25" spans="1:13" s="235" customFormat="1">
      <c r="A25" s="46" t="s">
        <v>12</v>
      </c>
      <c r="B25" s="46" t="s">
        <v>27</v>
      </c>
      <c r="C25" s="46" t="s">
        <v>4</v>
      </c>
      <c r="D25" s="46" t="s">
        <v>49</v>
      </c>
      <c r="E25" s="299">
        <v>1</v>
      </c>
      <c r="F25" s="48">
        <f>((2.4-1)*0.95)+1</f>
        <v>2.33</v>
      </c>
      <c r="G25" s="49" t="s">
        <v>366</v>
      </c>
      <c r="H25" s="235">
        <v>0</v>
      </c>
      <c r="I25" s="281"/>
      <c r="J25" s="62">
        <f>IF(H25=1,E25*(F25-1),-E25)</f>
        <v>-1</v>
      </c>
      <c r="L25" s="281">
        <f>IF(M25=0,0,E25)</f>
        <v>1</v>
      </c>
      <c r="M25" s="281">
        <f>IF(F25&gt;2,J25,0)</f>
        <v>-1</v>
      </c>
    </row>
    <row r="26" spans="1:13" s="235" customFormat="1">
      <c r="A26" s="91" t="s">
        <v>12</v>
      </c>
      <c r="B26" s="91" t="s">
        <v>28</v>
      </c>
      <c r="C26" s="91" t="s">
        <v>134</v>
      </c>
      <c r="D26" s="91" t="s">
        <v>49</v>
      </c>
      <c r="E26" s="303">
        <v>1</v>
      </c>
      <c r="F26" s="93">
        <f>((3.2-1)*0.95)+1</f>
        <v>3.09</v>
      </c>
      <c r="G26" s="94" t="s">
        <v>36</v>
      </c>
      <c r="H26" s="235">
        <v>1</v>
      </c>
      <c r="I26" s="281"/>
      <c r="J26" s="62">
        <f>IF(H26=1,E26*(F26-1),-E26)</f>
        <v>2.09</v>
      </c>
      <c r="L26" s="281">
        <f>IF(M26=0,0,E26)</f>
        <v>1</v>
      </c>
      <c r="M26" s="281">
        <f>IF(F26&gt;2,J26,0)</f>
        <v>2.09</v>
      </c>
    </row>
    <row r="27" spans="1:13" s="235" customFormat="1">
      <c r="A27" s="54" t="s">
        <v>12</v>
      </c>
      <c r="B27" s="54" t="s">
        <v>73</v>
      </c>
      <c r="C27" s="54" t="s">
        <v>67</v>
      </c>
      <c r="D27" s="54" t="s">
        <v>49</v>
      </c>
      <c r="E27" s="300">
        <v>1</v>
      </c>
      <c r="F27" s="56">
        <v>2.4500000000000002</v>
      </c>
      <c r="G27" s="57" t="s">
        <v>42</v>
      </c>
      <c r="H27" s="235">
        <v>1</v>
      </c>
      <c r="I27" s="281"/>
      <c r="J27" s="62">
        <f>IF(H27=1,E27*(F27-1),-E27)</f>
        <v>1.4500000000000002</v>
      </c>
      <c r="L27" s="281">
        <f>IF(M27=0,0,E27)</f>
        <v>1</v>
      </c>
      <c r="M27" s="281">
        <f>IF(F27&gt;2,J27,0)</f>
        <v>1.4500000000000002</v>
      </c>
    </row>
    <row r="28" spans="1:13" s="235" customFormat="1">
      <c r="A28" s="54" t="s">
        <v>12</v>
      </c>
      <c r="B28" s="54" t="s">
        <v>10</v>
      </c>
      <c r="C28" s="54" t="s">
        <v>47</v>
      </c>
      <c r="D28" s="54" t="s">
        <v>48</v>
      </c>
      <c r="E28" s="300">
        <v>1</v>
      </c>
      <c r="F28" s="56">
        <f>((2.8-1)*0.95)+1</f>
        <v>2.71</v>
      </c>
      <c r="G28" s="57" t="s">
        <v>366</v>
      </c>
      <c r="H28" s="235">
        <v>1</v>
      </c>
      <c r="I28" s="281"/>
      <c r="J28" s="62">
        <f>IF(H28=1,E28*(F28-1),-E28)</f>
        <v>1.71</v>
      </c>
      <c r="L28" s="281">
        <f>IF(M28=0,0,E28)</f>
        <v>1</v>
      </c>
      <c r="M28" s="281">
        <f>IF(F28&gt;2,J28,0)</f>
        <v>1.71</v>
      </c>
    </row>
    <row r="29" spans="1:13" s="235" customFormat="1">
      <c r="A29" s="4" t="s">
        <v>12</v>
      </c>
      <c r="B29" s="4" t="s">
        <v>15</v>
      </c>
      <c r="C29" s="4" t="s">
        <v>181</v>
      </c>
      <c r="D29" s="4" t="s">
        <v>49</v>
      </c>
      <c r="E29" s="300">
        <v>1</v>
      </c>
      <c r="F29" s="9">
        <f>((2.32-1)*0.95)+1</f>
        <v>2.2539999999999996</v>
      </c>
      <c r="G29" s="10" t="s">
        <v>122</v>
      </c>
      <c r="H29" s="235">
        <v>1</v>
      </c>
      <c r="I29" s="281"/>
      <c r="J29" s="62">
        <f>IF(H29=1,E29*(F29-1),-E29)</f>
        <v>1.2539999999999996</v>
      </c>
      <c r="L29" s="281">
        <f>IF(M29=0,0,E29)</f>
        <v>1</v>
      </c>
      <c r="M29" s="281">
        <f>IF(F29&gt;2,J29,0)</f>
        <v>1.2539999999999996</v>
      </c>
    </row>
    <row r="30" spans="1:13" s="235" customFormat="1">
      <c r="A30" s="91" t="s">
        <v>12</v>
      </c>
      <c r="B30" s="91" t="s">
        <v>28</v>
      </c>
      <c r="C30" s="91" t="s">
        <v>15</v>
      </c>
      <c r="D30" s="91" t="s">
        <v>49</v>
      </c>
      <c r="E30" s="303">
        <v>1</v>
      </c>
      <c r="F30" s="93">
        <f>((1.92-1)*0.95)+1</f>
        <v>1.8739999999999999</v>
      </c>
      <c r="G30" s="94" t="s">
        <v>187</v>
      </c>
      <c r="H30" s="235">
        <v>1</v>
      </c>
      <c r="I30" s="281"/>
      <c r="J30" s="62">
        <f>IF(H30=1,E30*(F30-1),-E30)</f>
        <v>0.87399999999999989</v>
      </c>
      <c r="L30" s="281">
        <f>IF(M30=0,0,E30)</f>
        <v>0</v>
      </c>
      <c r="M30" s="281">
        <f>IF(F30&gt;2,J30,0)</f>
        <v>0</v>
      </c>
    </row>
    <row r="31" spans="1:13" s="235" customFormat="1">
      <c r="A31" s="42" t="s">
        <v>12</v>
      </c>
      <c r="B31" s="42" t="s">
        <v>15</v>
      </c>
      <c r="C31" s="42" t="s">
        <v>2</v>
      </c>
      <c r="D31" s="42" t="s">
        <v>48</v>
      </c>
      <c r="E31" s="302">
        <v>1</v>
      </c>
      <c r="F31" s="44">
        <f>((3.6-1)*0.95)+1</f>
        <v>3.4699999999999998</v>
      </c>
      <c r="G31" s="45" t="s">
        <v>39</v>
      </c>
      <c r="H31" s="281">
        <v>1</v>
      </c>
      <c r="I31" s="281"/>
      <c r="J31" s="62">
        <f>IF(H31=1,E31*(F31-1),-E31)</f>
        <v>2.4699999999999998</v>
      </c>
      <c r="K31" s="281"/>
      <c r="L31" s="281">
        <f>IF(M31=0,0,E31)</f>
        <v>1</v>
      </c>
      <c r="M31" s="281">
        <f>IF(F31&gt;2,J31,0)</f>
        <v>2.4699999999999998</v>
      </c>
    </row>
    <row r="32" spans="1:13" s="235" customFormat="1">
      <c r="A32" s="54" t="s">
        <v>12</v>
      </c>
      <c r="B32" s="54" t="s">
        <v>2</v>
      </c>
      <c r="C32" s="54" t="s">
        <v>47</v>
      </c>
      <c r="D32" s="54" t="s">
        <v>48</v>
      </c>
      <c r="E32" s="300">
        <v>1</v>
      </c>
      <c r="F32" s="56">
        <f>((3.95-1)*0.95)+1</f>
        <v>3.8025000000000002</v>
      </c>
      <c r="G32" s="57" t="s">
        <v>43</v>
      </c>
      <c r="H32" s="281">
        <v>1</v>
      </c>
      <c r="I32" s="281"/>
      <c r="J32" s="62">
        <f>IF(H32=1,E32*(F32-1),-E32)</f>
        <v>2.8025000000000002</v>
      </c>
      <c r="K32" s="281"/>
      <c r="L32" s="281">
        <f>IF(M32=0,0,E32)</f>
        <v>1</v>
      </c>
      <c r="M32" s="281">
        <f>IF(F32&gt;2,J32,0)</f>
        <v>2.8025000000000002</v>
      </c>
    </row>
    <row r="33" spans="1:13" s="235" customFormat="1">
      <c r="A33" s="46" t="s">
        <v>12</v>
      </c>
      <c r="B33" s="46" t="s">
        <v>26</v>
      </c>
      <c r="C33" s="46" t="s">
        <v>4</v>
      </c>
      <c r="D33" s="46" t="s">
        <v>48</v>
      </c>
      <c r="E33" s="299">
        <v>1</v>
      </c>
      <c r="F33" s="48">
        <v>2.2000000000000002</v>
      </c>
      <c r="G33" s="49" t="s">
        <v>38</v>
      </c>
      <c r="H33" s="281">
        <v>0</v>
      </c>
      <c r="I33" s="281"/>
      <c r="J33" s="62">
        <f>IF(H33=1,E33*(F33-1),-E33)</f>
        <v>-1</v>
      </c>
      <c r="K33" s="281"/>
      <c r="L33" s="281">
        <f>IF(M33=0,0,E33)</f>
        <v>1</v>
      </c>
      <c r="M33" s="281">
        <f>IF(F33&gt;2,J33,0)</f>
        <v>-1</v>
      </c>
    </row>
    <row r="34" spans="1:13" s="235" customFormat="1">
      <c r="A34" s="46" t="s">
        <v>12</v>
      </c>
      <c r="B34" s="46" t="s">
        <v>2</v>
      </c>
      <c r="C34" s="46" t="s">
        <v>27</v>
      </c>
      <c r="D34" s="46" t="s">
        <v>49</v>
      </c>
      <c r="E34" s="299">
        <v>1</v>
      </c>
      <c r="F34" s="48">
        <v>2.9</v>
      </c>
      <c r="G34" s="49" t="s">
        <v>121</v>
      </c>
      <c r="H34" s="281">
        <v>0</v>
      </c>
      <c r="I34" s="281"/>
      <c r="J34" s="62">
        <f>IF(H34=1,E34*(F34-1),-E34)</f>
        <v>-1</v>
      </c>
      <c r="K34" s="281"/>
      <c r="L34" s="281">
        <f>IF(M34=0,0,E34)</f>
        <v>1</v>
      </c>
      <c r="M34" s="281">
        <f>IF(F34&gt;2,J34,0)</f>
        <v>-1</v>
      </c>
    </row>
    <row r="35" spans="1:13" s="235" customFormat="1">
      <c r="A35" s="46" t="s">
        <v>12</v>
      </c>
      <c r="B35" s="46" t="s">
        <v>67</v>
      </c>
      <c r="C35" s="46" t="s">
        <v>5</v>
      </c>
      <c r="D35" s="46" t="s">
        <v>48</v>
      </c>
      <c r="E35" s="299">
        <v>1</v>
      </c>
      <c r="F35" s="48">
        <f>((3.65-1)*0.95)+1</f>
        <v>3.5174999999999996</v>
      </c>
      <c r="G35" s="49" t="s">
        <v>42</v>
      </c>
      <c r="H35" s="281">
        <v>0</v>
      </c>
      <c r="I35" s="281"/>
      <c r="J35" s="62">
        <f>IF(H35=1,E35*(F35-1),-E35)</f>
        <v>-1</v>
      </c>
      <c r="K35" s="281"/>
      <c r="L35" s="281">
        <f>IF(M35=0,0,E35)</f>
        <v>1</v>
      </c>
      <c r="M35" s="281">
        <f>IF(F35&gt;2,J35,0)</f>
        <v>-1</v>
      </c>
    </row>
    <row r="36" spans="1:13" s="235" customFormat="1" ht="15.75" thickBot="1">
      <c r="A36" s="206" t="s">
        <v>12</v>
      </c>
      <c r="B36" s="206" t="s">
        <v>175</v>
      </c>
      <c r="C36" s="206" t="s">
        <v>4</v>
      </c>
      <c r="D36" s="206" t="s">
        <v>49</v>
      </c>
      <c r="E36" s="305">
        <v>1</v>
      </c>
      <c r="F36" s="291">
        <v>2</v>
      </c>
      <c r="G36" s="292" t="s">
        <v>37</v>
      </c>
      <c r="H36" s="235">
        <v>0</v>
      </c>
      <c r="J36" s="62">
        <f>IF(H36=1,E36*(F36-1),-E36)</f>
        <v>-1</v>
      </c>
      <c r="L36" s="281">
        <f>IF(M36=0,0,E36)</f>
        <v>0</v>
      </c>
      <c r="M36" s="281">
        <f>IF(F36&gt;2,J36,0)</f>
        <v>0</v>
      </c>
    </row>
    <row r="37" spans="1:13">
      <c r="A37" s="46" t="s">
        <v>12</v>
      </c>
      <c r="B37" s="46" t="s">
        <v>27</v>
      </c>
      <c r="C37" s="46" t="s">
        <v>16</v>
      </c>
      <c r="D37" s="46" t="s">
        <v>49</v>
      </c>
      <c r="E37" s="299">
        <v>1</v>
      </c>
      <c r="F37" s="48">
        <v>1.75</v>
      </c>
      <c r="G37" s="49" t="s">
        <v>179</v>
      </c>
      <c r="H37" s="235">
        <v>0</v>
      </c>
      <c r="I37" s="235"/>
      <c r="J37" s="62">
        <f>IF(H37=1,E37*(F37-1),-E37)</f>
        <v>-1</v>
      </c>
      <c r="K37" s="235"/>
      <c r="L37" s="281">
        <f>IF(M37=0,0,E37)</f>
        <v>0</v>
      </c>
      <c r="M37" s="281">
        <f>IF(F37&gt;2,J37,0)</f>
        <v>0</v>
      </c>
    </row>
    <row r="38" spans="1:13">
      <c r="A38" s="12" t="s">
        <v>12</v>
      </c>
      <c r="B38" s="12" t="s">
        <v>2</v>
      </c>
      <c r="C38" s="12" t="s">
        <v>181</v>
      </c>
      <c r="D38" s="12" t="s">
        <v>48</v>
      </c>
      <c r="E38" s="299">
        <v>1</v>
      </c>
      <c r="F38" s="14">
        <v>2.9</v>
      </c>
      <c r="G38" s="15" t="s">
        <v>36</v>
      </c>
      <c r="H38" s="235">
        <v>0</v>
      </c>
      <c r="I38" s="235"/>
      <c r="J38" s="62">
        <f>IF(H38=1,E38*(F38-1),-E38)</f>
        <v>-1</v>
      </c>
      <c r="K38" s="235"/>
      <c r="L38" s="281">
        <f>IF(M38=0,0,E38)</f>
        <v>1</v>
      </c>
      <c r="M38" s="281">
        <f>IF(F38&gt;2,J38,0)</f>
        <v>-1</v>
      </c>
    </row>
    <row r="39" spans="1:13">
      <c r="A39" s="4" t="s">
        <v>12</v>
      </c>
      <c r="B39" s="4" t="s">
        <v>67</v>
      </c>
      <c r="C39" s="4" t="s">
        <v>47</v>
      </c>
      <c r="D39" s="4" t="s">
        <v>49</v>
      </c>
      <c r="E39" s="300">
        <v>1</v>
      </c>
      <c r="F39" s="9">
        <f>((1.8-1)*0.95)+1</f>
        <v>1.76</v>
      </c>
      <c r="G39" s="10" t="s">
        <v>187</v>
      </c>
      <c r="H39" s="235">
        <v>1</v>
      </c>
      <c r="I39" s="235"/>
      <c r="J39" s="62">
        <f>IF(H39=1,E39*(F39-1),-E39)</f>
        <v>0.76</v>
      </c>
      <c r="K39" s="235"/>
      <c r="L39" s="281">
        <f>IF(M39=0,0,E39)</f>
        <v>0</v>
      </c>
      <c r="M39" s="281">
        <f>IF(F39&gt;2,J39,0)</f>
        <v>0</v>
      </c>
    </row>
    <row r="40" spans="1:13">
      <c r="A40" s="4" t="s">
        <v>12</v>
      </c>
      <c r="B40" s="4" t="s">
        <v>182</v>
      </c>
      <c r="C40" s="4" t="s">
        <v>5</v>
      </c>
      <c r="D40" s="4" t="s">
        <v>49</v>
      </c>
      <c r="E40" s="300">
        <v>1</v>
      </c>
      <c r="F40" s="9">
        <f>((2.86-1)*0.95)+1</f>
        <v>2.7669999999999999</v>
      </c>
      <c r="G40" s="10" t="s">
        <v>36</v>
      </c>
      <c r="H40" s="235">
        <v>1</v>
      </c>
      <c r="I40" s="235"/>
      <c r="J40" s="62">
        <f>IF(H40=1,E40*(F40-1),-E40)</f>
        <v>1.7669999999999999</v>
      </c>
      <c r="K40" s="235"/>
      <c r="L40" s="281">
        <f>IF(M40=0,0,E40)</f>
        <v>1</v>
      </c>
      <c r="M40" s="281">
        <f>IF(F40&gt;2,J40,0)</f>
        <v>1.7669999999999999</v>
      </c>
    </row>
    <row r="41" spans="1:13">
      <c r="A41" s="87" t="s">
        <v>12</v>
      </c>
      <c r="B41" s="87" t="s">
        <v>5</v>
      </c>
      <c r="C41" s="87" t="s">
        <v>134</v>
      </c>
      <c r="D41" s="87" t="s">
        <v>48</v>
      </c>
      <c r="E41" s="304">
        <v>1</v>
      </c>
      <c r="F41" s="89">
        <f>((3.5-1)*0.95)+1</f>
        <v>3.375</v>
      </c>
      <c r="G41" s="90" t="s">
        <v>38</v>
      </c>
      <c r="H41" s="235">
        <v>0</v>
      </c>
      <c r="I41" s="233"/>
      <c r="J41" s="62">
        <f>IF(H41=1,E41*(F41-1),-E41)</f>
        <v>-1</v>
      </c>
      <c r="K41" s="235"/>
      <c r="L41" s="281">
        <f>IF(M41=0,0,E41)</f>
        <v>1</v>
      </c>
      <c r="M41" s="281">
        <f>IF(F41&gt;2,J41,0)</f>
        <v>-1</v>
      </c>
    </row>
    <row r="42" spans="1:13">
      <c r="A42" s="50" t="s">
        <v>12</v>
      </c>
      <c r="B42" s="50" t="s">
        <v>3</v>
      </c>
      <c r="C42" s="50" t="s">
        <v>47</v>
      </c>
      <c r="D42" s="50" t="s">
        <v>49</v>
      </c>
      <c r="E42" s="301">
        <v>1</v>
      </c>
      <c r="F42" s="52">
        <v>2.35</v>
      </c>
      <c r="G42" s="53" t="s">
        <v>121</v>
      </c>
      <c r="H42" s="235">
        <v>0</v>
      </c>
      <c r="J42" s="62">
        <f>IF(H42=1,E42*(F42-1),-E42)</f>
        <v>-1</v>
      </c>
      <c r="K42" s="235"/>
      <c r="L42" s="281">
        <f>IF(M42=0,0,E42)</f>
        <v>1</v>
      </c>
      <c r="M42" s="281">
        <f>IF(F42&gt;2,J42,0)</f>
        <v>-1</v>
      </c>
    </row>
    <row r="43" spans="1:13">
      <c r="A43" s="54" t="s">
        <v>12</v>
      </c>
      <c r="B43" s="54" t="s">
        <v>2</v>
      </c>
      <c r="C43" s="54" t="s">
        <v>26</v>
      </c>
      <c r="D43" s="54" t="s">
        <v>49</v>
      </c>
      <c r="E43" s="300">
        <v>1</v>
      </c>
      <c r="F43" s="56">
        <v>2.0499999999999998</v>
      </c>
      <c r="G43" s="57" t="s">
        <v>571</v>
      </c>
      <c r="H43" s="235">
        <v>1</v>
      </c>
      <c r="J43" s="62">
        <f>IF(H43=1,E43*(F43-1),-E43)</f>
        <v>1.0499999999999998</v>
      </c>
      <c r="K43" s="235"/>
      <c r="L43" s="281">
        <f>IF(M43=0,0,E43)</f>
        <v>1</v>
      </c>
      <c r="M43" s="281">
        <f>IF(F43&gt;2,J43,0)</f>
        <v>1.0499999999999998</v>
      </c>
    </row>
    <row r="44" spans="1:13">
      <c r="A44" s="54" t="s">
        <v>12</v>
      </c>
      <c r="B44" s="54" t="s">
        <v>3</v>
      </c>
      <c r="C44" s="54" t="s">
        <v>28</v>
      </c>
      <c r="D44" s="54" t="s">
        <v>49</v>
      </c>
      <c r="E44" s="300">
        <v>1</v>
      </c>
      <c r="F44" s="56">
        <f>((2.74-1)*0.95)+1</f>
        <v>2.653</v>
      </c>
      <c r="G44" s="57" t="s">
        <v>630</v>
      </c>
      <c r="H44" s="235">
        <v>1</v>
      </c>
      <c r="J44" s="62">
        <f>IF(H44=1,E44*(F44-1),-E44)</f>
        <v>1.653</v>
      </c>
      <c r="K44" s="235"/>
      <c r="L44" s="281">
        <f>IF(M44=0,0,E44)</f>
        <v>1</v>
      </c>
      <c r="M44" s="281">
        <f>IF(F44&gt;2,J44,0)</f>
        <v>1.653</v>
      </c>
    </row>
    <row r="45" spans="1:13">
      <c r="A45" s="12" t="s">
        <v>12</v>
      </c>
      <c r="B45" s="12" t="s">
        <v>28</v>
      </c>
      <c r="C45" s="12" t="s">
        <v>27</v>
      </c>
      <c r="D45" s="12" t="s">
        <v>692</v>
      </c>
      <c r="E45" s="299">
        <v>1</v>
      </c>
      <c r="F45" s="14">
        <f>((4.4-1)*0.95)+1</f>
        <v>4.2300000000000004</v>
      </c>
      <c r="G45" s="15" t="s">
        <v>41</v>
      </c>
      <c r="H45" s="235">
        <v>0</v>
      </c>
      <c r="J45" s="62">
        <f>IF(H45=1,E45*(F45-1),-E45)</f>
        <v>-1</v>
      </c>
      <c r="K45" s="235"/>
      <c r="L45" s="281">
        <f>IF(M45=0,0,E45)</f>
        <v>1</v>
      </c>
      <c r="M45" s="281">
        <f>IF(F45&gt;2,J45,0)</f>
        <v>-1</v>
      </c>
    </row>
    <row r="46" spans="1:13">
      <c r="A46" s="54" t="s">
        <v>12</v>
      </c>
      <c r="B46" s="54" t="s">
        <v>73</v>
      </c>
      <c r="C46" s="54" t="s">
        <v>26</v>
      </c>
      <c r="D46" s="54" t="s">
        <v>693</v>
      </c>
      <c r="E46" s="300">
        <v>1</v>
      </c>
      <c r="F46" s="56">
        <v>2.2349999999999999</v>
      </c>
      <c r="G46" s="57" t="s">
        <v>38</v>
      </c>
      <c r="H46" s="235">
        <v>1</v>
      </c>
      <c r="J46" s="62">
        <f>IF(H46=1,E46*(F46-1),-E46)</f>
        <v>1.2349999999999999</v>
      </c>
      <c r="K46" s="235"/>
      <c r="L46" s="281">
        <f>IF(M46=0,0,E46)</f>
        <v>1</v>
      </c>
      <c r="M46" s="281">
        <f>IF(F46&gt;2,J46,0)</f>
        <v>1.2349999999999999</v>
      </c>
    </row>
    <row r="47" spans="1:13">
      <c r="A47" s="91" t="s">
        <v>12</v>
      </c>
      <c r="B47" s="91" t="s">
        <v>27</v>
      </c>
      <c r="C47" s="91" t="s">
        <v>67</v>
      </c>
      <c r="D47" s="91" t="s">
        <v>49</v>
      </c>
      <c r="E47" s="303">
        <v>1</v>
      </c>
      <c r="F47" s="93">
        <f>((1.97-1)*0.95)+1</f>
        <v>1.9215</v>
      </c>
      <c r="G47" s="94" t="s">
        <v>41</v>
      </c>
      <c r="H47" s="235">
        <v>1</v>
      </c>
      <c r="I47" s="235"/>
      <c r="J47" s="62">
        <f>IF(H47=1,E47*(F47-1),-E47)</f>
        <v>0.92149999999999999</v>
      </c>
      <c r="K47" s="235"/>
      <c r="L47" s="281">
        <f>IF(M47=0,0,E47)</f>
        <v>0</v>
      </c>
      <c r="M47" s="281">
        <f>IF(F47&gt;2,J47,0)</f>
        <v>0</v>
      </c>
    </row>
    <row r="48" spans="1:13">
      <c r="A48" s="42" t="s">
        <v>12</v>
      </c>
      <c r="B48" s="42" t="s">
        <v>3</v>
      </c>
      <c r="C48" s="42" t="s">
        <v>5</v>
      </c>
      <c r="D48" s="42" t="s">
        <v>49</v>
      </c>
      <c r="E48" s="302">
        <v>1</v>
      </c>
      <c r="F48" s="44">
        <v>3.25</v>
      </c>
      <c r="G48" s="45" t="s">
        <v>122</v>
      </c>
      <c r="H48" s="235">
        <v>1</v>
      </c>
      <c r="J48" s="62">
        <f>IF(H48=1,E48*(F48-1),-E48)</f>
        <v>2.25</v>
      </c>
      <c r="K48" s="235"/>
      <c r="L48" s="281">
        <f>IF(M48=0,0,E48)</f>
        <v>1</v>
      </c>
      <c r="M48" s="281">
        <f>IF(F48&gt;2,J48,0)</f>
        <v>2.25</v>
      </c>
    </row>
    <row r="49" spans="1:13">
      <c r="A49" s="54" t="s">
        <v>12</v>
      </c>
      <c r="B49" s="54" t="s">
        <v>73</v>
      </c>
      <c r="C49" s="54" t="s">
        <v>181</v>
      </c>
      <c r="D49" s="54" t="s">
        <v>48</v>
      </c>
      <c r="E49" s="300">
        <v>1</v>
      </c>
      <c r="F49" s="56">
        <f>((4.3-1)*0.95)+1</f>
        <v>4.1349999999999998</v>
      </c>
      <c r="G49" s="57" t="s">
        <v>39</v>
      </c>
      <c r="H49" s="235">
        <v>1</v>
      </c>
      <c r="J49" s="62">
        <f>IF(H49=1,E49*(F49-1),-E49)</f>
        <v>3.1349999999999998</v>
      </c>
      <c r="K49" s="235"/>
      <c r="L49" s="281">
        <f>IF(M49=0,0,E49)</f>
        <v>1</v>
      </c>
      <c r="M49" s="281">
        <f>IF(F49&gt;2,J49,0)</f>
        <v>3.1349999999999998</v>
      </c>
    </row>
    <row r="50" spans="1:13">
      <c r="A50" s="54" t="s">
        <v>12</v>
      </c>
      <c r="B50" s="54" t="s">
        <v>15</v>
      </c>
      <c r="C50" s="54" t="s">
        <v>3</v>
      </c>
      <c r="D50" s="54" t="s">
        <v>49</v>
      </c>
      <c r="E50" s="300">
        <v>1</v>
      </c>
      <c r="F50" s="56">
        <f>((2.08-1)*0.95)+1</f>
        <v>2.0259999999999998</v>
      </c>
      <c r="G50" s="57" t="s">
        <v>42</v>
      </c>
      <c r="H50" s="235">
        <v>1</v>
      </c>
      <c r="J50" s="62">
        <f>IF(H50=1,E50*(F50-1),-E50)</f>
        <v>1.0259999999999998</v>
      </c>
      <c r="K50" s="235"/>
      <c r="L50" s="281">
        <f>IF(M50=0,0,E50)</f>
        <v>1</v>
      </c>
      <c r="M50" s="281">
        <f>IF(F50&gt;2,J50,0)</f>
        <v>1.0259999999999998</v>
      </c>
    </row>
    <row r="51" spans="1:13">
      <c r="A51" s="54" t="s">
        <v>12</v>
      </c>
      <c r="B51" s="54" t="s">
        <v>504</v>
      </c>
      <c r="C51" s="54" t="s">
        <v>0</v>
      </c>
      <c r="D51" s="54" t="s">
        <v>48</v>
      </c>
      <c r="E51" s="300">
        <v>1</v>
      </c>
      <c r="F51" s="56">
        <f>((6.4-1)*0.95)+1</f>
        <v>6.13</v>
      </c>
      <c r="G51" s="57" t="s">
        <v>82</v>
      </c>
      <c r="H51" s="235">
        <v>1</v>
      </c>
      <c r="J51" s="62">
        <f>IF(H51=1,E51*(F51-1),-E51)</f>
        <v>5.13</v>
      </c>
      <c r="K51" s="235"/>
      <c r="L51" s="281">
        <f>IF(M51=0,0,E51)</f>
        <v>1</v>
      </c>
      <c r="M51" s="281">
        <f>IF(F51&gt;2,J51,0)</f>
        <v>5.13</v>
      </c>
    </row>
    <row r="52" spans="1:13">
      <c r="A52" s="87" t="s">
        <v>12</v>
      </c>
      <c r="B52" s="87" t="s">
        <v>5</v>
      </c>
      <c r="C52" s="87" t="s">
        <v>47</v>
      </c>
      <c r="D52" s="87" t="s">
        <v>530</v>
      </c>
      <c r="E52" s="304">
        <v>1</v>
      </c>
      <c r="F52" s="89">
        <f>((3.85-1)*0.95)+1</f>
        <v>3.7075</v>
      </c>
      <c r="G52" s="90" t="s">
        <v>187</v>
      </c>
      <c r="H52" s="235">
        <v>0</v>
      </c>
      <c r="J52" s="62">
        <f>IF(H52=1,E52*(F52-1),-E52)</f>
        <v>-1</v>
      </c>
      <c r="K52" s="235"/>
      <c r="L52" s="281">
        <f>IF(M52=0,0,E52)</f>
        <v>1</v>
      </c>
      <c r="M52" s="281">
        <f>IF(F52&gt;2,J52,0)</f>
        <v>-1</v>
      </c>
    </row>
    <row r="53" spans="1:13" ht="15.75" thickBot="1">
      <c r="A53" s="293" t="s">
        <v>12</v>
      </c>
      <c r="B53" s="293" t="s">
        <v>27</v>
      </c>
      <c r="C53" s="293" t="s">
        <v>5</v>
      </c>
      <c r="D53" s="293" t="s">
        <v>49</v>
      </c>
      <c r="E53" s="306">
        <v>1</v>
      </c>
      <c r="F53" s="295">
        <f>((2.42-1)*0.95)+1</f>
        <v>2.3490000000000002</v>
      </c>
      <c r="G53" s="296" t="s">
        <v>122</v>
      </c>
      <c r="H53" s="162">
        <v>1</v>
      </c>
      <c r="I53" s="155"/>
      <c r="J53" s="297">
        <f>IF(H53=1,E53*(F53-1),-E53)</f>
        <v>1.3490000000000002</v>
      </c>
      <c r="K53" s="162"/>
      <c r="L53" s="155">
        <f>IF(M53=0,0,E53)</f>
        <v>1</v>
      </c>
      <c r="M53" s="155">
        <f>IF(F53&gt;2,J53,0)</f>
        <v>1.3490000000000002</v>
      </c>
    </row>
    <row r="54" spans="1:13">
      <c r="A54" s="12" t="s">
        <v>12</v>
      </c>
      <c r="B54" s="12" t="s">
        <v>5</v>
      </c>
      <c r="C54" s="12" t="s">
        <v>16</v>
      </c>
      <c r="D54" s="12" t="s">
        <v>48</v>
      </c>
      <c r="E54" s="13"/>
      <c r="F54" s="14"/>
      <c r="G54" s="15"/>
      <c r="J54" s="62"/>
    </row>
    <row r="55" spans="1:13">
      <c r="A55" s="54" t="s">
        <v>12</v>
      </c>
      <c r="B55" s="54" t="s">
        <v>26</v>
      </c>
      <c r="C55" s="54" t="s">
        <v>119</v>
      </c>
      <c r="D55" s="54" t="s">
        <v>48</v>
      </c>
      <c r="E55" s="55"/>
      <c r="F55" s="56"/>
      <c r="G55" s="57"/>
      <c r="J55" s="62"/>
    </row>
    <row r="56" spans="1:13">
      <c r="A56" s="87" t="s">
        <v>12</v>
      </c>
      <c r="B56" s="87" t="s">
        <v>28</v>
      </c>
      <c r="C56" s="87" t="s">
        <v>10</v>
      </c>
      <c r="D56" s="87" t="s">
        <v>49</v>
      </c>
      <c r="E56" s="88"/>
      <c r="F56" s="89"/>
      <c r="G56" s="90"/>
      <c r="H56" s="235"/>
      <c r="I56" s="235"/>
      <c r="J56" s="62"/>
      <c r="K56" s="235"/>
    </row>
    <row r="57" spans="1:13">
      <c r="A57" s="286" t="s">
        <v>12</v>
      </c>
      <c r="B57" s="286" t="s">
        <v>47</v>
      </c>
      <c r="C57" s="286" t="s">
        <v>0</v>
      </c>
      <c r="D57" s="286" t="s">
        <v>49</v>
      </c>
      <c r="E57" s="287"/>
      <c r="F57" s="288"/>
      <c r="G57" s="289"/>
      <c r="H57" s="235"/>
      <c r="I57" s="235"/>
      <c r="J57" s="62"/>
      <c r="K57" s="235"/>
    </row>
    <row r="58" spans="1:13">
      <c r="A58" s="50" t="s">
        <v>12</v>
      </c>
      <c r="B58" s="50" t="s">
        <v>28</v>
      </c>
      <c r="C58" s="50" t="s">
        <v>2</v>
      </c>
      <c r="D58" s="50" t="s">
        <v>49</v>
      </c>
      <c r="E58" s="51"/>
      <c r="F58" s="52"/>
      <c r="G58" s="53"/>
      <c r="H58" s="235"/>
      <c r="I58" s="235"/>
      <c r="J58" s="62"/>
      <c r="K58" s="235"/>
    </row>
    <row r="59" spans="1:13">
      <c r="A59" s="91" t="s">
        <v>12</v>
      </c>
      <c r="B59" s="91" t="s">
        <v>26</v>
      </c>
      <c r="C59" s="91" t="s">
        <v>15</v>
      </c>
      <c r="D59" s="91" t="s">
        <v>49</v>
      </c>
      <c r="E59" s="92"/>
      <c r="F59" s="93"/>
      <c r="G59" s="94"/>
      <c r="H59" s="235"/>
      <c r="I59" s="235"/>
      <c r="J59" s="62"/>
      <c r="K59" s="235"/>
    </row>
    <row r="60" spans="1:13">
      <c r="A60" s="50" t="s">
        <v>12</v>
      </c>
      <c r="B60" s="50" t="s">
        <v>4</v>
      </c>
      <c r="C60" s="50" t="s">
        <v>5</v>
      </c>
      <c r="D60" s="50" t="s">
        <v>49</v>
      </c>
      <c r="E60" s="51"/>
      <c r="F60" s="52"/>
      <c r="G60" s="53"/>
      <c r="H60" s="235"/>
      <c r="I60" s="235"/>
      <c r="J60" s="62"/>
      <c r="K60" s="235"/>
    </row>
    <row r="61" spans="1:13">
      <c r="A61" s="46" t="s">
        <v>12</v>
      </c>
      <c r="B61" s="46" t="s">
        <v>1</v>
      </c>
      <c r="C61" s="46" t="s">
        <v>26</v>
      </c>
      <c r="D61" s="46" t="s">
        <v>49</v>
      </c>
      <c r="E61" s="47"/>
      <c r="F61" s="48"/>
      <c r="G61" s="49"/>
      <c r="H61" s="235"/>
      <c r="J61" s="62"/>
      <c r="K61" s="235"/>
    </row>
    <row r="62" spans="1:13">
      <c r="A62" s="54" t="s">
        <v>12</v>
      </c>
      <c r="B62" s="54" t="s">
        <v>67</v>
      </c>
      <c r="C62" s="54" t="s">
        <v>2</v>
      </c>
      <c r="D62" s="54" t="s">
        <v>49</v>
      </c>
      <c r="E62" s="55"/>
      <c r="F62" s="56"/>
      <c r="G62" s="57"/>
      <c r="H62" s="235"/>
      <c r="J62" s="62"/>
      <c r="K62" s="235"/>
    </row>
    <row r="63" spans="1:13">
      <c r="A63" s="91" t="s">
        <v>12</v>
      </c>
      <c r="B63" s="91" t="s">
        <v>1</v>
      </c>
      <c r="C63" s="91" t="s">
        <v>134</v>
      </c>
      <c r="D63" s="91" t="s">
        <v>460</v>
      </c>
      <c r="E63" s="92"/>
      <c r="F63" s="93"/>
      <c r="G63" s="94"/>
      <c r="H63" s="235"/>
      <c r="J63" s="62"/>
      <c r="K63" s="235"/>
    </row>
    <row r="64" spans="1:13">
      <c r="A64" s="50" t="s">
        <v>12</v>
      </c>
      <c r="B64" s="50" t="s">
        <v>0</v>
      </c>
      <c r="C64" s="50" t="s">
        <v>134</v>
      </c>
      <c r="D64" s="50" t="s">
        <v>49</v>
      </c>
      <c r="E64" s="51"/>
      <c r="F64" s="52"/>
      <c r="G64" s="53"/>
      <c r="H64" s="235"/>
      <c r="J64" s="62"/>
      <c r="K64" s="235"/>
    </row>
    <row r="65" spans="1:11">
      <c r="A65" s="46" t="s">
        <v>12</v>
      </c>
      <c r="B65" s="46" t="s">
        <v>520</v>
      </c>
      <c r="C65" s="46" t="s">
        <v>504</v>
      </c>
      <c r="D65" s="46" t="s">
        <v>742</v>
      </c>
      <c r="E65" s="47"/>
      <c r="F65" s="46"/>
      <c r="G65" s="49"/>
      <c r="H65" s="235"/>
      <c r="J65" s="62"/>
      <c r="K65" s="235"/>
    </row>
    <row r="66" spans="1:11">
      <c r="A66" s="87" t="s">
        <v>12</v>
      </c>
      <c r="B66" s="87" t="s">
        <v>10</v>
      </c>
      <c r="C66" s="87" t="s">
        <v>26</v>
      </c>
      <c r="D66" s="87" t="s">
        <v>767</v>
      </c>
      <c r="E66" s="88"/>
      <c r="F66" s="89"/>
      <c r="G66" s="90"/>
      <c r="H66" s="235"/>
      <c r="J66" s="62"/>
      <c r="K66" s="235"/>
    </row>
    <row r="67" spans="1:11">
      <c r="A67" s="42" t="s">
        <v>12</v>
      </c>
      <c r="B67" s="42" t="s">
        <v>0</v>
      </c>
      <c r="C67" s="42" t="s">
        <v>15</v>
      </c>
      <c r="D67" s="42" t="s">
        <v>48</v>
      </c>
      <c r="E67" s="43"/>
      <c r="F67" s="44"/>
      <c r="G67" s="45"/>
      <c r="J67" s="62"/>
    </row>
    <row r="68" spans="1:11">
      <c r="A68" s="87" t="s">
        <v>12</v>
      </c>
      <c r="B68" s="87" t="s">
        <v>10</v>
      </c>
      <c r="C68" s="87" t="s">
        <v>134</v>
      </c>
      <c r="D68" s="87" t="s">
        <v>49</v>
      </c>
      <c r="E68" s="88"/>
      <c r="F68" s="89"/>
      <c r="G68" s="90"/>
      <c r="H68" s="235"/>
      <c r="I68" s="235"/>
      <c r="J68" s="62"/>
      <c r="K68" s="235"/>
    </row>
    <row r="69" spans="1:11">
      <c r="A69" s="50" t="s">
        <v>12</v>
      </c>
      <c r="B69" s="50" t="s">
        <v>2</v>
      </c>
      <c r="C69" s="50" t="s">
        <v>0</v>
      </c>
      <c r="D69" s="50" t="s">
        <v>34</v>
      </c>
      <c r="E69" s="51"/>
      <c r="F69" s="52"/>
      <c r="G69" s="53"/>
      <c r="H69" s="235"/>
      <c r="J69" s="62"/>
      <c r="K69" s="235"/>
    </row>
    <row r="70" spans="1:11">
      <c r="A70" s="46" t="s">
        <v>12</v>
      </c>
      <c r="B70" s="46" t="s">
        <v>422</v>
      </c>
      <c r="C70" s="46" t="s">
        <v>5</v>
      </c>
      <c r="D70" s="46" t="s">
        <v>692</v>
      </c>
      <c r="E70" s="47"/>
      <c r="F70" s="48"/>
      <c r="G70" s="49"/>
      <c r="H70" s="235"/>
      <c r="J70" s="62"/>
      <c r="K70" s="235"/>
    </row>
    <row r="71" spans="1:11">
      <c r="A71" s="4" t="s">
        <v>12</v>
      </c>
      <c r="B71" s="4" t="s">
        <v>1</v>
      </c>
      <c r="C71" s="4" t="s">
        <v>27</v>
      </c>
      <c r="D71" s="4" t="s">
        <v>49</v>
      </c>
      <c r="E71" s="5"/>
      <c r="F71" s="9"/>
      <c r="G71" s="10"/>
      <c r="H71" s="235"/>
      <c r="J71" s="62"/>
      <c r="K71" s="235"/>
    </row>
    <row r="72" spans="1:11">
      <c r="A72" s="46" t="s">
        <v>12</v>
      </c>
      <c r="B72" s="46" t="s">
        <v>47</v>
      </c>
      <c r="C72" s="46" t="s">
        <v>28</v>
      </c>
      <c r="D72" s="46" t="s">
        <v>742</v>
      </c>
      <c r="E72" s="47"/>
      <c r="F72" s="48"/>
      <c r="G72" s="49"/>
      <c r="H72" s="235"/>
      <c r="J72" s="62"/>
      <c r="K72" s="235"/>
    </row>
    <row r="73" spans="1:11">
      <c r="A73" s="46" t="s">
        <v>12</v>
      </c>
      <c r="B73" s="46" t="s">
        <v>1</v>
      </c>
      <c r="C73" s="46" t="s">
        <v>10</v>
      </c>
      <c r="D73" s="46" t="s">
        <v>742</v>
      </c>
      <c r="E73" s="47"/>
      <c r="F73" s="48"/>
      <c r="G73" s="49"/>
      <c r="H73" s="235"/>
      <c r="J73" s="62"/>
      <c r="K73" s="235"/>
    </row>
    <row r="74" spans="1:11">
      <c r="A74" s="87" t="s">
        <v>12</v>
      </c>
      <c r="B74" s="87" t="s">
        <v>3</v>
      </c>
      <c r="C74" s="87" t="s">
        <v>67</v>
      </c>
      <c r="D74" s="87" t="s">
        <v>34</v>
      </c>
      <c r="E74" s="88"/>
      <c r="F74" s="89"/>
      <c r="G74" s="90"/>
      <c r="J74" s="62"/>
    </row>
    <row r="75" spans="1:11">
      <c r="A75" s="50" t="s">
        <v>12</v>
      </c>
      <c r="B75" s="50" t="s">
        <v>16</v>
      </c>
      <c r="C75" s="50" t="s">
        <v>28</v>
      </c>
      <c r="D75" s="50" t="s">
        <v>34</v>
      </c>
      <c r="E75" s="51"/>
      <c r="F75" s="52"/>
      <c r="G75" s="53"/>
      <c r="H75" s="235"/>
      <c r="I75" s="235"/>
      <c r="J75" s="62"/>
      <c r="K75" s="235"/>
    </row>
    <row r="76" spans="1:11">
      <c r="A76" s="46" t="s">
        <v>12</v>
      </c>
      <c r="B76" s="46" t="s">
        <v>15</v>
      </c>
      <c r="C76" s="46" t="s">
        <v>4</v>
      </c>
      <c r="D76" s="46" t="s">
        <v>34</v>
      </c>
      <c r="E76" s="47"/>
      <c r="F76" s="48"/>
      <c r="G76" s="49"/>
      <c r="H76" s="235"/>
      <c r="J76" s="62"/>
      <c r="K76" s="235"/>
    </row>
    <row r="77" spans="1:11">
      <c r="A77" s="46" t="s">
        <v>12</v>
      </c>
      <c r="B77" s="46" t="s">
        <v>27</v>
      </c>
      <c r="C77" s="46" t="s">
        <v>182</v>
      </c>
      <c r="D77" s="46" t="s">
        <v>34</v>
      </c>
      <c r="E77" s="47"/>
      <c r="F77" s="48"/>
      <c r="G77" s="49"/>
      <c r="H77" s="235"/>
      <c r="J77" s="62"/>
      <c r="K77" s="235"/>
    </row>
    <row r="78" spans="1:11">
      <c r="A78" s="46" t="s">
        <v>12</v>
      </c>
      <c r="B78" s="46" t="s">
        <v>239</v>
      </c>
      <c r="C78" s="46" t="s">
        <v>16</v>
      </c>
      <c r="D78" s="46" t="s">
        <v>48</v>
      </c>
      <c r="E78" s="47"/>
      <c r="F78" s="48"/>
      <c r="G78" s="49"/>
      <c r="H78" s="235"/>
      <c r="J78" s="62"/>
      <c r="K78" s="235"/>
    </row>
    <row r="79" spans="1:11">
      <c r="A79" s="87" t="s">
        <v>12</v>
      </c>
      <c r="B79" s="87" t="s">
        <v>134</v>
      </c>
      <c r="C79" s="87" t="s">
        <v>15</v>
      </c>
      <c r="D79" s="87" t="s">
        <v>48</v>
      </c>
      <c r="E79" s="88"/>
      <c r="F79" s="89"/>
      <c r="G79" s="90"/>
      <c r="H79" s="235"/>
      <c r="J79" s="62"/>
      <c r="K79" s="235"/>
    </row>
    <row r="80" spans="1:11">
      <c r="A80" s="50" t="s">
        <v>12</v>
      </c>
      <c r="B80" s="50" t="s">
        <v>181</v>
      </c>
      <c r="C80" s="50" t="s">
        <v>182</v>
      </c>
      <c r="D80" s="50" t="s">
        <v>34</v>
      </c>
      <c r="E80" s="51"/>
      <c r="F80" s="52"/>
      <c r="G80" s="53"/>
      <c r="H80" s="235"/>
      <c r="J80" s="62"/>
      <c r="K80" s="235"/>
    </row>
    <row r="81" spans="1:14">
      <c r="A81" s="87" t="s">
        <v>12</v>
      </c>
      <c r="B81" s="87" t="s">
        <v>308</v>
      </c>
      <c r="C81" s="87" t="s">
        <v>16</v>
      </c>
      <c r="D81" s="87" t="s">
        <v>742</v>
      </c>
      <c r="E81" s="88"/>
      <c r="F81" s="89"/>
      <c r="G81" s="90"/>
      <c r="H81" s="235"/>
      <c r="J81" s="62"/>
      <c r="K81" s="235"/>
    </row>
    <row r="83" spans="1:14">
      <c r="E83" s="61">
        <f>SUM(E1:E82)</f>
        <v>53</v>
      </c>
      <c r="H83" s="281">
        <f>SUM(H1:H82)</f>
        <v>32</v>
      </c>
      <c r="I83" s="233">
        <f>COUNTIF(E1:E82,"&gt;0")</f>
        <v>53</v>
      </c>
      <c r="J83" s="62">
        <f>SUM(J1:J82)</f>
        <v>24.871999999999996</v>
      </c>
      <c r="L83" s="62">
        <f>SUM(L1:L82)</f>
        <v>35</v>
      </c>
      <c r="M83" s="62">
        <f>SUM(M1:M82)</f>
        <v>24.270499999999995</v>
      </c>
      <c r="N83" s="233">
        <f>COUNTIF(L1:L82,"&gt;0")</f>
        <v>35</v>
      </c>
    </row>
    <row r="84" spans="1:14">
      <c r="H84" s="63">
        <f>+H83/I83</f>
        <v>0.60377358490566035</v>
      </c>
      <c r="J84" s="65">
        <f>+J83/E83</f>
        <v>0.46928301886792445</v>
      </c>
      <c r="M84" s="65">
        <f>+M83/L83</f>
        <v>0.69344285714285703</v>
      </c>
    </row>
    <row r="85" spans="1:14">
      <c r="J85" s="64"/>
    </row>
  </sheetData>
  <pageMargins left="0.7" right="0.7" top="0.75" bottom="0.75" header="0.3" footer="0.3"/>
  <legacyDrawing r:id="rId1"/>
</worksheet>
</file>

<file path=xl/worksheets/sheet49.xml><?xml version="1.0" encoding="utf-8"?>
<worksheet xmlns="http://schemas.openxmlformats.org/spreadsheetml/2006/main" xmlns:r="http://schemas.openxmlformats.org/officeDocument/2006/relationships">
  <dimension ref="A1:N85"/>
  <sheetViews>
    <sheetView topLeftCell="A64" zoomScaleNormal="100" workbookViewId="0">
      <selection activeCell="F88" sqref="F88"/>
    </sheetView>
  </sheetViews>
  <sheetFormatPr baseColWidth="10" defaultRowHeight="15"/>
  <cols>
    <col min="1" max="7" width="11.42578125" style="281"/>
    <col min="8" max="8" width="4.5703125" style="281" bestFit="1" customWidth="1"/>
    <col min="9" max="16384" width="11.42578125" style="281"/>
  </cols>
  <sheetData>
    <row r="1" spans="1:13">
      <c r="A1" s="4" t="s">
        <v>12</v>
      </c>
      <c r="B1" s="4" t="s">
        <v>0</v>
      </c>
      <c r="C1" s="4" t="s">
        <v>3</v>
      </c>
      <c r="D1" s="4" t="s">
        <v>49</v>
      </c>
      <c r="E1" s="5">
        <v>1</v>
      </c>
      <c r="F1" s="4">
        <v>1.95</v>
      </c>
      <c r="G1" s="10" t="s">
        <v>36</v>
      </c>
      <c r="H1" s="281">
        <v>1</v>
      </c>
      <c r="J1" s="62">
        <f>IF(H1=1,E1*(F1-1),-E1)</f>
        <v>0.95</v>
      </c>
      <c r="L1" s="281">
        <f>IF(M1=0,0,E1)</f>
        <v>0</v>
      </c>
      <c r="M1" s="281">
        <f>IF(F1&gt;2,J1,0)</f>
        <v>0</v>
      </c>
    </row>
    <row r="2" spans="1:13">
      <c r="A2" s="12" t="s">
        <v>6</v>
      </c>
      <c r="B2" s="12" t="s">
        <v>10</v>
      </c>
      <c r="C2" s="12" t="s">
        <v>13</v>
      </c>
      <c r="D2" s="12" t="s">
        <v>49</v>
      </c>
      <c r="E2" s="13">
        <v>1</v>
      </c>
      <c r="F2" s="14">
        <f>((2.16-1)*0.95)+1</f>
        <v>2.1020000000000003</v>
      </c>
      <c r="G2" s="15" t="s">
        <v>38</v>
      </c>
      <c r="H2" s="281">
        <v>0</v>
      </c>
      <c r="J2" s="62">
        <f t="shared" ref="J2:J65" si="0">IF(H2=1,E2*(F2-1),-E2)</f>
        <v>-1</v>
      </c>
      <c r="L2" s="281">
        <f t="shared" ref="L2:L65" si="1">IF(M2=0,0,E2)</f>
        <v>1</v>
      </c>
      <c r="M2" s="281">
        <f t="shared" ref="M2:M65" si="2">IF(F2&gt;2,J2,0)</f>
        <v>-1</v>
      </c>
    </row>
    <row r="3" spans="1:13">
      <c r="A3" s="4" t="s">
        <v>12</v>
      </c>
      <c r="B3" s="4" t="s">
        <v>15</v>
      </c>
      <c r="C3" s="4" t="s">
        <v>2</v>
      </c>
      <c r="D3" s="4" t="s">
        <v>48</v>
      </c>
      <c r="E3" s="5">
        <v>1</v>
      </c>
      <c r="F3" s="9">
        <f>((3.6-1)*0.95)+1</f>
        <v>3.4699999999999998</v>
      </c>
      <c r="G3" s="10" t="s">
        <v>39</v>
      </c>
      <c r="H3" s="281">
        <v>1</v>
      </c>
      <c r="J3" s="62">
        <f t="shared" si="0"/>
        <v>2.4699999999999998</v>
      </c>
      <c r="L3" s="281">
        <f t="shared" si="1"/>
        <v>1</v>
      </c>
      <c r="M3" s="281">
        <f t="shared" si="2"/>
        <v>2.4699999999999998</v>
      </c>
    </row>
    <row r="4" spans="1:13">
      <c r="A4" s="12" t="s">
        <v>12</v>
      </c>
      <c r="B4" s="12" t="s">
        <v>5</v>
      </c>
      <c r="C4" s="12" t="s">
        <v>16</v>
      </c>
      <c r="D4" s="12" t="s">
        <v>48</v>
      </c>
      <c r="E4" s="13">
        <v>1</v>
      </c>
      <c r="F4" s="14">
        <f>((5.3-1)*0.95)+1</f>
        <v>5.085</v>
      </c>
      <c r="G4" s="15" t="s">
        <v>37</v>
      </c>
      <c r="H4" s="281">
        <v>0</v>
      </c>
      <c r="J4" s="62">
        <f t="shared" si="0"/>
        <v>-1</v>
      </c>
      <c r="L4" s="281">
        <f t="shared" si="1"/>
        <v>1</v>
      </c>
      <c r="M4" s="281">
        <f t="shared" si="2"/>
        <v>-1</v>
      </c>
    </row>
    <row r="5" spans="1:13">
      <c r="A5" s="12" t="s">
        <v>12</v>
      </c>
      <c r="B5" s="12" t="s">
        <v>26</v>
      </c>
      <c r="C5" s="12" t="s">
        <v>10</v>
      </c>
      <c r="D5" s="13" t="s">
        <v>49</v>
      </c>
      <c r="E5" s="13">
        <v>1</v>
      </c>
      <c r="F5" s="12">
        <v>1.75</v>
      </c>
      <c r="G5" s="15" t="s">
        <v>82</v>
      </c>
      <c r="H5" s="281">
        <v>0</v>
      </c>
      <c r="J5" s="62">
        <f t="shared" si="0"/>
        <v>-1</v>
      </c>
      <c r="L5" s="281">
        <f t="shared" si="1"/>
        <v>0</v>
      </c>
      <c r="M5" s="281">
        <f t="shared" si="2"/>
        <v>0</v>
      </c>
    </row>
    <row r="6" spans="1:13">
      <c r="A6" s="4" t="s">
        <v>12</v>
      </c>
      <c r="B6" s="4" t="s">
        <v>27</v>
      </c>
      <c r="C6" s="4" t="s">
        <v>28</v>
      </c>
      <c r="D6" s="5" t="s">
        <v>49</v>
      </c>
      <c r="E6" s="5">
        <v>1</v>
      </c>
      <c r="F6" s="4">
        <v>1.6</v>
      </c>
      <c r="G6" s="10" t="s">
        <v>41</v>
      </c>
      <c r="H6" s="281">
        <v>1</v>
      </c>
      <c r="J6" s="62">
        <f t="shared" si="0"/>
        <v>0.60000000000000009</v>
      </c>
      <c r="L6" s="281">
        <f t="shared" si="1"/>
        <v>0</v>
      </c>
      <c r="M6" s="281">
        <f t="shared" si="2"/>
        <v>0</v>
      </c>
    </row>
    <row r="7" spans="1:13">
      <c r="A7" s="12" t="s">
        <v>12</v>
      </c>
      <c r="B7" s="12" t="s">
        <v>3</v>
      </c>
      <c r="C7" s="12" t="s">
        <v>67</v>
      </c>
      <c r="D7" s="12" t="s">
        <v>34</v>
      </c>
      <c r="E7" s="13">
        <v>1</v>
      </c>
      <c r="F7" s="14">
        <v>3.3</v>
      </c>
      <c r="G7" s="15" t="s">
        <v>42</v>
      </c>
      <c r="H7" s="281">
        <v>0</v>
      </c>
      <c r="J7" s="62">
        <f t="shared" si="0"/>
        <v>-1</v>
      </c>
      <c r="L7" s="281">
        <f t="shared" si="1"/>
        <v>1</v>
      </c>
      <c r="M7" s="281">
        <f t="shared" si="2"/>
        <v>-1</v>
      </c>
    </row>
    <row r="8" spans="1:13">
      <c r="A8" s="4" t="s">
        <v>12</v>
      </c>
      <c r="B8" s="4" t="s">
        <v>134</v>
      </c>
      <c r="C8" s="4" t="s">
        <v>73</v>
      </c>
      <c r="D8" s="4" t="s">
        <v>49</v>
      </c>
      <c r="E8" s="5">
        <v>1</v>
      </c>
      <c r="F8" s="9">
        <f>((1.74-1)*0.95)+1</f>
        <v>1.7029999999999998</v>
      </c>
      <c r="G8" s="16" t="s">
        <v>41</v>
      </c>
      <c r="H8" s="281">
        <v>1</v>
      </c>
      <c r="J8" s="62">
        <f t="shared" si="0"/>
        <v>0.70299999999999985</v>
      </c>
      <c r="L8" s="281">
        <f t="shared" si="1"/>
        <v>0</v>
      </c>
      <c r="M8" s="281">
        <f t="shared" si="2"/>
        <v>0</v>
      </c>
    </row>
    <row r="9" spans="1:13">
      <c r="A9" s="42" t="s">
        <v>12</v>
      </c>
      <c r="B9" s="42" t="s">
        <v>2</v>
      </c>
      <c r="C9" s="42" t="s">
        <v>47</v>
      </c>
      <c r="D9" s="42" t="s">
        <v>48</v>
      </c>
      <c r="E9" s="43">
        <v>1</v>
      </c>
      <c r="F9" s="44">
        <f>((3.95-1)*0.95)+1</f>
        <v>3.8025000000000002</v>
      </c>
      <c r="G9" s="45" t="s">
        <v>43</v>
      </c>
      <c r="H9" s="281">
        <v>1</v>
      </c>
      <c r="J9" s="62">
        <f t="shared" si="0"/>
        <v>2.8025000000000002</v>
      </c>
      <c r="L9" s="281">
        <f t="shared" si="1"/>
        <v>1</v>
      </c>
      <c r="M9" s="281">
        <f t="shared" si="2"/>
        <v>2.8025000000000002</v>
      </c>
    </row>
    <row r="10" spans="1:13">
      <c r="A10" s="46" t="s">
        <v>12</v>
      </c>
      <c r="B10" s="46" t="s">
        <v>28</v>
      </c>
      <c r="C10" s="46" t="s">
        <v>1</v>
      </c>
      <c r="D10" s="46" t="s">
        <v>49</v>
      </c>
      <c r="E10" s="47">
        <v>1</v>
      </c>
      <c r="F10" s="48">
        <f>((1.96-1)*0.95)+1</f>
        <v>1.9119999999999999</v>
      </c>
      <c r="G10" s="49" t="s">
        <v>37</v>
      </c>
      <c r="H10" s="281">
        <v>0</v>
      </c>
      <c r="J10" s="62">
        <f t="shared" si="0"/>
        <v>-1</v>
      </c>
      <c r="L10" s="281">
        <f t="shared" si="1"/>
        <v>0</v>
      </c>
      <c r="M10" s="281">
        <f t="shared" si="2"/>
        <v>0</v>
      </c>
    </row>
    <row r="11" spans="1:13">
      <c r="A11" s="46" t="s">
        <v>12</v>
      </c>
      <c r="B11" s="46" t="s">
        <v>26</v>
      </c>
      <c r="C11" s="46" t="s">
        <v>4</v>
      </c>
      <c r="D11" s="46" t="s">
        <v>48</v>
      </c>
      <c r="E11" s="47">
        <v>1</v>
      </c>
      <c r="F11" s="48">
        <v>2.2000000000000002</v>
      </c>
      <c r="G11" s="49" t="s">
        <v>38</v>
      </c>
      <c r="H11" s="281">
        <v>0</v>
      </c>
      <c r="J11" s="62">
        <f t="shared" si="0"/>
        <v>-1</v>
      </c>
      <c r="L11" s="281">
        <f t="shared" si="1"/>
        <v>1</v>
      </c>
      <c r="M11" s="281">
        <f t="shared" si="2"/>
        <v>-1</v>
      </c>
    </row>
    <row r="12" spans="1:13">
      <c r="A12" s="50" t="s">
        <v>12</v>
      </c>
      <c r="B12" s="50" t="s">
        <v>2</v>
      </c>
      <c r="C12" s="50" t="s">
        <v>27</v>
      </c>
      <c r="D12" s="50" t="s">
        <v>49</v>
      </c>
      <c r="E12" s="51">
        <v>1</v>
      </c>
      <c r="F12" s="52">
        <v>2.9</v>
      </c>
      <c r="G12" s="53" t="s">
        <v>121</v>
      </c>
      <c r="H12" s="281">
        <v>0</v>
      </c>
      <c r="J12" s="62"/>
      <c r="L12" s="281">
        <f t="shared" si="1"/>
        <v>0</v>
      </c>
      <c r="M12" s="281">
        <f t="shared" si="2"/>
        <v>0</v>
      </c>
    </row>
    <row r="13" spans="1:13">
      <c r="A13" s="54" t="s">
        <v>12</v>
      </c>
      <c r="B13" s="54" t="s">
        <v>16</v>
      </c>
      <c r="C13" s="54" t="s">
        <v>47</v>
      </c>
      <c r="D13" s="54" t="s">
        <v>49</v>
      </c>
      <c r="E13" s="55">
        <v>1</v>
      </c>
      <c r="F13" s="56">
        <f>((2.1-1)*0.95)+1</f>
        <v>2.0449999999999999</v>
      </c>
      <c r="G13" s="57" t="s">
        <v>122</v>
      </c>
      <c r="H13" s="281">
        <v>1</v>
      </c>
      <c r="J13" s="62">
        <f t="shared" si="0"/>
        <v>1.0449999999999999</v>
      </c>
      <c r="L13" s="281">
        <f t="shared" si="1"/>
        <v>1</v>
      </c>
      <c r="M13" s="281">
        <f t="shared" si="2"/>
        <v>1.0449999999999999</v>
      </c>
    </row>
    <row r="14" spans="1:13">
      <c r="A14" s="54" t="s">
        <v>12</v>
      </c>
      <c r="B14" s="54" t="s">
        <v>0</v>
      </c>
      <c r="C14" s="54" t="s">
        <v>15</v>
      </c>
      <c r="D14" s="54" t="s">
        <v>48</v>
      </c>
      <c r="E14" s="55">
        <v>1</v>
      </c>
      <c r="F14" s="56">
        <v>6.2</v>
      </c>
      <c r="G14" s="57" t="s">
        <v>39</v>
      </c>
      <c r="H14" s="281">
        <v>1</v>
      </c>
      <c r="J14" s="62">
        <f t="shared" si="0"/>
        <v>5.2</v>
      </c>
      <c r="L14" s="281">
        <f t="shared" si="1"/>
        <v>1</v>
      </c>
      <c r="M14" s="281">
        <f t="shared" si="2"/>
        <v>5.2</v>
      </c>
    </row>
    <row r="15" spans="1:13">
      <c r="A15" s="46" t="s">
        <v>12</v>
      </c>
      <c r="B15" s="46" t="s">
        <v>67</v>
      </c>
      <c r="C15" s="46" t="s">
        <v>5</v>
      </c>
      <c r="D15" s="46" t="s">
        <v>48</v>
      </c>
      <c r="E15" s="47">
        <v>1</v>
      </c>
      <c r="F15" s="48">
        <f>((3.65-1)*0.95)+1</f>
        <v>3.5174999999999996</v>
      </c>
      <c r="G15" s="49" t="s">
        <v>42</v>
      </c>
      <c r="H15" s="281">
        <v>0</v>
      </c>
      <c r="J15" s="62">
        <f t="shared" si="0"/>
        <v>-1</v>
      </c>
      <c r="L15" s="281">
        <f t="shared" si="1"/>
        <v>1</v>
      </c>
      <c r="M15" s="281">
        <f t="shared" si="2"/>
        <v>-1</v>
      </c>
    </row>
    <row r="16" spans="1:13">
      <c r="A16" s="91" t="s">
        <v>12</v>
      </c>
      <c r="B16" s="91" t="s">
        <v>26</v>
      </c>
      <c r="C16" s="91" t="s">
        <v>119</v>
      </c>
      <c r="D16" s="91" t="s">
        <v>48</v>
      </c>
      <c r="E16" s="92">
        <v>1</v>
      </c>
      <c r="F16" s="93">
        <v>2.2999999999999998</v>
      </c>
      <c r="G16" s="94" t="s">
        <v>43</v>
      </c>
      <c r="H16" s="281">
        <v>1</v>
      </c>
      <c r="J16" s="62">
        <f t="shared" si="0"/>
        <v>1.2999999999999998</v>
      </c>
      <c r="L16" s="281">
        <f t="shared" si="1"/>
        <v>1</v>
      </c>
      <c r="M16" s="281">
        <f t="shared" si="2"/>
        <v>1.2999999999999998</v>
      </c>
    </row>
    <row r="17" spans="1:13" s="235" customFormat="1">
      <c r="A17" s="12" t="s">
        <v>12</v>
      </c>
      <c r="B17" s="12" t="s">
        <v>28</v>
      </c>
      <c r="C17" s="12" t="s">
        <v>10</v>
      </c>
      <c r="D17" s="12" t="s">
        <v>49</v>
      </c>
      <c r="E17" s="13">
        <v>1</v>
      </c>
      <c r="F17" s="14">
        <f>((2.28-1)*0.95)+1</f>
        <v>2.2159999999999997</v>
      </c>
      <c r="G17" s="15" t="s">
        <v>38</v>
      </c>
      <c r="H17" s="235">
        <v>0</v>
      </c>
      <c r="J17" s="62">
        <f t="shared" si="0"/>
        <v>-1</v>
      </c>
      <c r="L17" s="281">
        <f t="shared" si="1"/>
        <v>1</v>
      </c>
      <c r="M17" s="281">
        <f t="shared" si="2"/>
        <v>-1</v>
      </c>
    </row>
    <row r="18" spans="1:13" s="235" customFormat="1">
      <c r="A18" s="4" t="s">
        <v>12</v>
      </c>
      <c r="B18" s="4" t="s">
        <v>47</v>
      </c>
      <c r="C18" s="4" t="s">
        <v>0</v>
      </c>
      <c r="D18" s="4" t="s">
        <v>49</v>
      </c>
      <c r="E18" s="5">
        <v>1</v>
      </c>
      <c r="F18" s="9">
        <f>((2.32-1)*0.95)+1</f>
        <v>2.2539999999999996</v>
      </c>
      <c r="G18" s="10" t="s">
        <v>122</v>
      </c>
      <c r="H18" s="235">
        <v>1</v>
      </c>
      <c r="J18" s="62">
        <f t="shared" si="0"/>
        <v>1.2539999999999996</v>
      </c>
      <c r="L18" s="281">
        <f t="shared" si="1"/>
        <v>1</v>
      </c>
      <c r="M18" s="281">
        <f t="shared" si="2"/>
        <v>1.2539999999999996</v>
      </c>
    </row>
    <row r="19" spans="1:13" s="235" customFormat="1">
      <c r="A19" s="12" t="s">
        <v>12</v>
      </c>
      <c r="B19" s="12" t="s">
        <v>5</v>
      </c>
      <c r="C19" s="12" t="s">
        <v>73</v>
      </c>
      <c r="D19" s="12" t="s">
        <v>49</v>
      </c>
      <c r="E19" s="13">
        <v>1</v>
      </c>
      <c r="F19" s="14">
        <f>((1.86-1)*0.95)+1</f>
        <v>1.8170000000000002</v>
      </c>
      <c r="G19" s="15" t="s">
        <v>39</v>
      </c>
      <c r="H19" s="235">
        <v>0</v>
      </c>
      <c r="J19" s="62">
        <f t="shared" si="0"/>
        <v>-1</v>
      </c>
      <c r="L19" s="281">
        <f t="shared" si="1"/>
        <v>0</v>
      </c>
      <c r="M19" s="281">
        <f t="shared" si="2"/>
        <v>0</v>
      </c>
    </row>
    <row r="20" spans="1:13" s="235" customFormat="1">
      <c r="A20" s="12" t="s">
        <v>12</v>
      </c>
      <c r="B20" s="12" t="s">
        <v>175</v>
      </c>
      <c r="C20" s="12" t="s">
        <v>4</v>
      </c>
      <c r="D20" s="12" t="s">
        <v>49</v>
      </c>
      <c r="E20" s="13">
        <v>1</v>
      </c>
      <c r="F20" s="14">
        <v>2</v>
      </c>
      <c r="G20" s="15" t="s">
        <v>37</v>
      </c>
      <c r="H20" s="235">
        <v>0</v>
      </c>
      <c r="J20" s="62">
        <f t="shared" si="0"/>
        <v>-1</v>
      </c>
      <c r="L20" s="281">
        <f t="shared" si="1"/>
        <v>0</v>
      </c>
      <c r="M20" s="281">
        <f t="shared" si="2"/>
        <v>0</v>
      </c>
    </row>
    <row r="21" spans="1:13" s="235" customFormat="1">
      <c r="A21" s="87" t="s">
        <v>12</v>
      </c>
      <c r="B21" s="87" t="s">
        <v>27</v>
      </c>
      <c r="C21" s="87" t="s">
        <v>16</v>
      </c>
      <c r="D21" s="87" t="s">
        <v>49</v>
      </c>
      <c r="E21" s="88">
        <v>1</v>
      </c>
      <c r="F21" s="89">
        <v>1.75</v>
      </c>
      <c r="G21" s="90" t="s">
        <v>179</v>
      </c>
      <c r="H21" s="235">
        <v>0</v>
      </c>
      <c r="J21" s="62">
        <f t="shared" si="0"/>
        <v>-1</v>
      </c>
      <c r="L21" s="281">
        <f t="shared" si="1"/>
        <v>0</v>
      </c>
      <c r="M21" s="281">
        <f t="shared" si="2"/>
        <v>0</v>
      </c>
    </row>
    <row r="22" spans="1:13" s="235" customFormat="1">
      <c r="A22" s="12" t="s">
        <v>12</v>
      </c>
      <c r="B22" s="12" t="s">
        <v>2</v>
      </c>
      <c r="C22" s="12" t="s">
        <v>181</v>
      </c>
      <c r="D22" s="12" t="s">
        <v>48</v>
      </c>
      <c r="E22" s="13">
        <v>1</v>
      </c>
      <c r="F22" s="14">
        <v>2.9</v>
      </c>
      <c r="G22" s="15" t="s">
        <v>36</v>
      </c>
      <c r="H22" s="235">
        <v>0</v>
      </c>
      <c r="J22" s="62">
        <f t="shared" si="0"/>
        <v>-1</v>
      </c>
      <c r="L22" s="281">
        <f t="shared" si="1"/>
        <v>1</v>
      </c>
      <c r="M22" s="281">
        <f t="shared" si="2"/>
        <v>-1</v>
      </c>
    </row>
    <row r="23" spans="1:13" s="235" customFormat="1">
      <c r="A23" s="4" t="s">
        <v>12</v>
      </c>
      <c r="B23" s="4" t="s">
        <v>67</v>
      </c>
      <c r="C23" s="4" t="s">
        <v>47</v>
      </c>
      <c r="D23" s="4" t="s">
        <v>49</v>
      </c>
      <c r="E23" s="5">
        <v>1</v>
      </c>
      <c r="F23" s="9">
        <f>((1.8-1)*0.95)+1</f>
        <v>1.76</v>
      </c>
      <c r="G23" s="10" t="s">
        <v>187</v>
      </c>
      <c r="H23" s="235">
        <v>1</v>
      </c>
      <c r="J23" s="62">
        <f t="shared" si="0"/>
        <v>0.76</v>
      </c>
      <c r="L23" s="281">
        <f t="shared" si="1"/>
        <v>0</v>
      </c>
      <c r="M23" s="281">
        <f t="shared" si="2"/>
        <v>0</v>
      </c>
    </row>
    <row r="24" spans="1:13" s="235" customFormat="1">
      <c r="A24" s="4" t="s">
        <v>12</v>
      </c>
      <c r="B24" s="4" t="s">
        <v>182</v>
      </c>
      <c r="C24" s="4" t="s">
        <v>5</v>
      </c>
      <c r="D24" s="4" t="s">
        <v>49</v>
      </c>
      <c r="E24" s="5">
        <v>1</v>
      </c>
      <c r="F24" s="9">
        <f>((2.86-1)*0.95)+1</f>
        <v>2.7669999999999999</v>
      </c>
      <c r="G24" s="10" t="s">
        <v>36</v>
      </c>
      <c r="H24" s="235">
        <v>1</v>
      </c>
      <c r="J24" s="62">
        <f t="shared" si="0"/>
        <v>1.7669999999999999</v>
      </c>
      <c r="L24" s="281">
        <f t="shared" si="1"/>
        <v>1</v>
      </c>
      <c r="M24" s="281">
        <f t="shared" si="2"/>
        <v>1.7669999999999999</v>
      </c>
    </row>
    <row r="25" spans="1:13" s="235" customFormat="1">
      <c r="A25" s="4" t="s">
        <v>12</v>
      </c>
      <c r="B25" s="4" t="s">
        <v>0</v>
      </c>
      <c r="C25" s="4" t="s">
        <v>27</v>
      </c>
      <c r="D25" s="4" t="s">
        <v>49</v>
      </c>
      <c r="E25" s="5">
        <v>1</v>
      </c>
      <c r="F25" s="9">
        <v>2.8</v>
      </c>
      <c r="G25" s="10" t="s">
        <v>42</v>
      </c>
      <c r="H25" s="235">
        <v>1</v>
      </c>
      <c r="J25" s="62">
        <f t="shared" si="0"/>
        <v>1.7999999999999998</v>
      </c>
      <c r="L25" s="281">
        <f t="shared" si="1"/>
        <v>1</v>
      </c>
      <c r="M25" s="281">
        <f t="shared" si="2"/>
        <v>1.7999999999999998</v>
      </c>
    </row>
    <row r="26" spans="1:13" s="235" customFormat="1">
      <c r="A26" s="87" t="s">
        <v>12</v>
      </c>
      <c r="B26" s="87" t="s">
        <v>10</v>
      </c>
      <c r="C26" s="87" t="s">
        <v>134</v>
      </c>
      <c r="D26" s="87" t="s">
        <v>49</v>
      </c>
      <c r="E26" s="88">
        <v>1</v>
      </c>
      <c r="F26" s="89">
        <f>((4.2-1)*0.95)+1</f>
        <v>4.04</v>
      </c>
      <c r="G26" s="90" t="s">
        <v>37</v>
      </c>
      <c r="H26" s="235">
        <v>0</v>
      </c>
      <c r="J26" s="62">
        <f t="shared" si="0"/>
        <v>-1</v>
      </c>
      <c r="L26" s="281">
        <f t="shared" si="1"/>
        <v>1</v>
      </c>
      <c r="M26" s="281">
        <f t="shared" si="2"/>
        <v>-1</v>
      </c>
    </row>
    <row r="27" spans="1:13" s="235" customFormat="1">
      <c r="A27" s="4" t="s">
        <v>12</v>
      </c>
      <c r="B27" s="4" t="s">
        <v>5</v>
      </c>
      <c r="C27" s="4" t="s">
        <v>26</v>
      </c>
      <c r="D27" s="4" t="s">
        <v>49</v>
      </c>
      <c r="E27" s="5">
        <v>1</v>
      </c>
      <c r="F27" s="9">
        <f>((1.73-1)*0.95)+1</f>
        <v>1.6935</v>
      </c>
      <c r="G27" s="10" t="s">
        <v>36</v>
      </c>
      <c r="H27" s="235">
        <v>1</v>
      </c>
      <c r="J27" s="62">
        <f t="shared" si="0"/>
        <v>0.69350000000000001</v>
      </c>
      <c r="L27" s="281">
        <f t="shared" si="1"/>
        <v>0</v>
      </c>
      <c r="M27" s="281">
        <f t="shared" si="2"/>
        <v>0</v>
      </c>
    </row>
    <row r="28" spans="1:13" s="235" customFormat="1">
      <c r="A28" s="4" t="s">
        <v>12</v>
      </c>
      <c r="B28" s="4" t="s">
        <v>15</v>
      </c>
      <c r="C28" s="4" t="s">
        <v>182</v>
      </c>
      <c r="D28" s="4" t="s">
        <v>49</v>
      </c>
      <c r="E28" s="5">
        <v>1</v>
      </c>
      <c r="F28" s="9">
        <f>((2.46-1)*0.95)+1</f>
        <v>2.387</v>
      </c>
      <c r="G28" s="10" t="s">
        <v>201</v>
      </c>
      <c r="H28" s="235">
        <v>1</v>
      </c>
      <c r="J28" s="62">
        <f t="shared" si="0"/>
        <v>1.387</v>
      </c>
      <c r="L28" s="281">
        <f t="shared" si="1"/>
        <v>1</v>
      </c>
      <c r="M28" s="281">
        <f t="shared" si="2"/>
        <v>1.387</v>
      </c>
    </row>
    <row r="29" spans="1:13" s="235" customFormat="1">
      <c r="A29" s="4" t="s">
        <v>12</v>
      </c>
      <c r="B29" s="4" t="s">
        <v>27</v>
      </c>
      <c r="C29" s="4" t="s">
        <v>67</v>
      </c>
      <c r="D29" s="4" t="s">
        <v>49</v>
      </c>
      <c r="E29" s="5">
        <v>1</v>
      </c>
      <c r="F29" s="9">
        <f>((1.97-1)*0.95)+1</f>
        <v>1.9215</v>
      </c>
      <c r="G29" s="10" t="s">
        <v>41</v>
      </c>
      <c r="H29" s="235">
        <v>1</v>
      </c>
      <c r="J29" s="62">
        <f t="shared" si="0"/>
        <v>0.92149999999999999</v>
      </c>
      <c r="L29" s="281">
        <f t="shared" si="1"/>
        <v>0</v>
      </c>
      <c r="M29" s="281">
        <f t="shared" si="2"/>
        <v>0</v>
      </c>
    </row>
    <row r="30" spans="1:13" s="235" customFormat="1">
      <c r="A30" s="87" t="s">
        <v>12</v>
      </c>
      <c r="B30" s="87" t="s">
        <v>28</v>
      </c>
      <c r="C30" s="87" t="s">
        <v>2</v>
      </c>
      <c r="D30" s="87" t="s">
        <v>49</v>
      </c>
      <c r="E30" s="88">
        <v>1</v>
      </c>
      <c r="F30" s="89">
        <v>2.2999999999999998</v>
      </c>
      <c r="G30" s="90" t="s">
        <v>206</v>
      </c>
      <c r="H30" s="235">
        <v>0</v>
      </c>
      <c r="J30" s="62">
        <f t="shared" si="0"/>
        <v>-1</v>
      </c>
      <c r="L30" s="281">
        <f t="shared" si="1"/>
        <v>1</v>
      </c>
      <c r="M30" s="281">
        <f t="shared" si="2"/>
        <v>-1</v>
      </c>
    </row>
    <row r="31" spans="1:13" s="235" customFormat="1">
      <c r="A31" s="50" t="s">
        <v>12</v>
      </c>
      <c r="B31" s="50" t="s">
        <v>10</v>
      </c>
      <c r="C31" s="50" t="s">
        <v>3</v>
      </c>
      <c r="D31" s="50" t="s">
        <v>49</v>
      </c>
      <c r="E31" s="51">
        <v>1</v>
      </c>
      <c r="F31" s="52">
        <f>((2.14-1)*0.95)+1</f>
        <v>2.0830000000000002</v>
      </c>
      <c r="G31" s="53" t="s">
        <v>38</v>
      </c>
      <c r="H31" s="235">
        <v>0</v>
      </c>
      <c r="J31" s="62">
        <f t="shared" si="0"/>
        <v>-1</v>
      </c>
      <c r="L31" s="281">
        <f t="shared" si="1"/>
        <v>1</v>
      </c>
      <c r="M31" s="281">
        <f t="shared" si="2"/>
        <v>-1</v>
      </c>
    </row>
    <row r="32" spans="1:13" s="235" customFormat="1">
      <c r="A32" s="54" t="s">
        <v>12</v>
      </c>
      <c r="B32" s="54" t="s">
        <v>67</v>
      </c>
      <c r="C32" s="54" t="s">
        <v>1</v>
      </c>
      <c r="D32" s="54" t="s">
        <v>49</v>
      </c>
      <c r="E32" s="55">
        <v>1</v>
      </c>
      <c r="F32" s="56">
        <f>((1.49-1)*0.95)+1</f>
        <v>1.4655</v>
      </c>
      <c r="G32" s="57" t="s">
        <v>146</v>
      </c>
      <c r="H32" s="235">
        <v>1</v>
      </c>
      <c r="J32" s="62">
        <f t="shared" si="0"/>
        <v>0.46550000000000002</v>
      </c>
      <c r="L32" s="281">
        <f t="shared" si="1"/>
        <v>0</v>
      </c>
      <c r="M32" s="281">
        <f t="shared" si="2"/>
        <v>0</v>
      </c>
    </row>
    <row r="33" spans="1:13" s="235" customFormat="1">
      <c r="A33" s="54" t="s">
        <v>12</v>
      </c>
      <c r="B33" s="54" t="s">
        <v>26</v>
      </c>
      <c r="C33" s="54" t="s">
        <v>15</v>
      </c>
      <c r="D33" s="54" t="s">
        <v>49</v>
      </c>
      <c r="E33" s="55">
        <v>1</v>
      </c>
      <c r="F33" s="56">
        <f>((2-1)*0.95)+1</f>
        <v>1.95</v>
      </c>
      <c r="G33" s="57" t="s">
        <v>42</v>
      </c>
      <c r="H33" s="235">
        <v>1</v>
      </c>
      <c r="J33" s="62">
        <f t="shared" si="0"/>
        <v>0.95</v>
      </c>
      <c r="L33" s="281">
        <f t="shared" si="1"/>
        <v>0</v>
      </c>
      <c r="M33" s="281">
        <f t="shared" si="2"/>
        <v>0</v>
      </c>
    </row>
    <row r="34" spans="1:13" s="235" customFormat="1">
      <c r="A34" s="54" t="s">
        <v>12</v>
      </c>
      <c r="B34" s="54" t="s">
        <v>182</v>
      </c>
      <c r="C34" s="54" t="s">
        <v>47</v>
      </c>
      <c r="D34" s="54" t="s">
        <v>49</v>
      </c>
      <c r="E34" s="55">
        <v>1</v>
      </c>
      <c r="F34" s="56">
        <f>((2.26-1)*0.95)+1</f>
        <v>2.1970000000000001</v>
      </c>
      <c r="G34" s="57" t="s">
        <v>122</v>
      </c>
      <c r="H34" s="235">
        <v>1</v>
      </c>
      <c r="J34" s="62">
        <f t="shared" si="0"/>
        <v>1.1970000000000001</v>
      </c>
      <c r="L34" s="281">
        <f t="shared" si="1"/>
        <v>1</v>
      </c>
      <c r="M34" s="281">
        <f t="shared" si="2"/>
        <v>1.1970000000000001</v>
      </c>
    </row>
    <row r="35" spans="1:13" s="235" customFormat="1">
      <c r="A35" s="46" t="s">
        <v>12</v>
      </c>
      <c r="B35" s="46" t="s">
        <v>4</v>
      </c>
      <c r="C35" s="46" t="s">
        <v>5</v>
      </c>
      <c r="D35" s="46" t="s">
        <v>49</v>
      </c>
      <c r="E35" s="47">
        <v>1</v>
      </c>
      <c r="F35" s="48">
        <f>((1.88-1)*0.95)+1</f>
        <v>1.8359999999999999</v>
      </c>
      <c r="G35" s="49" t="s">
        <v>39</v>
      </c>
      <c r="H35" s="235">
        <v>0</v>
      </c>
      <c r="J35" s="62">
        <f t="shared" si="0"/>
        <v>-1</v>
      </c>
      <c r="L35" s="281">
        <f t="shared" si="1"/>
        <v>0</v>
      </c>
      <c r="M35" s="281">
        <f t="shared" si="2"/>
        <v>0</v>
      </c>
    </row>
    <row r="36" spans="1:13" s="235" customFormat="1" ht="15.75" thickBot="1">
      <c r="A36" s="206" t="s">
        <v>12</v>
      </c>
      <c r="B36" s="206" t="s">
        <v>16</v>
      </c>
      <c r="C36" s="206" t="s">
        <v>28</v>
      </c>
      <c r="D36" s="206" t="s">
        <v>34</v>
      </c>
      <c r="E36" s="290">
        <v>1</v>
      </c>
      <c r="F36" s="291">
        <f>((3.75-1)*0.95)+1</f>
        <v>3.6124999999999998</v>
      </c>
      <c r="G36" s="292" t="s">
        <v>39</v>
      </c>
      <c r="H36" s="235">
        <v>0</v>
      </c>
      <c r="J36" s="62">
        <f t="shared" si="0"/>
        <v>-1</v>
      </c>
      <c r="L36" s="281">
        <f t="shared" si="1"/>
        <v>1</v>
      </c>
      <c r="M36" s="281">
        <f t="shared" si="2"/>
        <v>-1</v>
      </c>
    </row>
    <row r="37" spans="1:13">
      <c r="A37" s="46" t="s">
        <v>12</v>
      </c>
      <c r="B37" s="46" t="s">
        <v>181</v>
      </c>
      <c r="C37" s="46" t="s">
        <v>67</v>
      </c>
      <c r="D37" s="46" t="s">
        <v>49</v>
      </c>
      <c r="E37" s="47">
        <v>1</v>
      </c>
      <c r="F37" s="48">
        <f>((2.48-1)*0.95)+1</f>
        <v>2.4059999999999997</v>
      </c>
      <c r="G37" s="49" t="s">
        <v>243</v>
      </c>
      <c r="H37" s="235">
        <v>0</v>
      </c>
      <c r="J37" s="62">
        <f t="shared" si="0"/>
        <v>-1</v>
      </c>
      <c r="K37" s="235"/>
      <c r="L37" s="281">
        <f t="shared" si="1"/>
        <v>1</v>
      </c>
      <c r="M37" s="281">
        <f t="shared" si="2"/>
        <v>-1</v>
      </c>
    </row>
    <row r="38" spans="1:13">
      <c r="A38" s="46" t="s">
        <v>12</v>
      </c>
      <c r="B38" s="46" t="s">
        <v>5</v>
      </c>
      <c r="C38" s="46" t="s">
        <v>134</v>
      </c>
      <c r="D38" s="46" t="s">
        <v>48</v>
      </c>
      <c r="E38" s="47">
        <v>1</v>
      </c>
      <c r="F38" s="48">
        <f>((3.5-1)*0.95)+1</f>
        <v>3.375</v>
      </c>
      <c r="G38" s="49" t="s">
        <v>38</v>
      </c>
      <c r="H38" s="235">
        <v>0</v>
      </c>
      <c r="I38" s="233"/>
      <c r="J38" s="62">
        <f t="shared" si="0"/>
        <v>-1</v>
      </c>
      <c r="K38" s="235"/>
      <c r="L38" s="281">
        <f t="shared" si="1"/>
        <v>1</v>
      </c>
      <c r="M38" s="281">
        <f t="shared" si="2"/>
        <v>-1</v>
      </c>
    </row>
    <row r="39" spans="1:13">
      <c r="A39" s="46" t="s">
        <v>12</v>
      </c>
      <c r="B39" s="46" t="s">
        <v>15</v>
      </c>
      <c r="C39" s="46" t="s">
        <v>4</v>
      </c>
      <c r="D39" s="46" t="s">
        <v>34</v>
      </c>
      <c r="E39" s="47">
        <v>1</v>
      </c>
      <c r="F39" s="48">
        <f>((3.5-1)*0.95)+1</f>
        <v>3.375</v>
      </c>
      <c r="G39" s="49" t="s">
        <v>43</v>
      </c>
      <c r="H39" s="235">
        <v>0</v>
      </c>
      <c r="J39" s="62">
        <f t="shared" si="0"/>
        <v>-1</v>
      </c>
      <c r="K39" s="235"/>
      <c r="L39" s="281">
        <f t="shared" si="1"/>
        <v>1</v>
      </c>
      <c r="M39" s="281">
        <f t="shared" si="2"/>
        <v>-1</v>
      </c>
    </row>
    <row r="40" spans="1:13">
      <c r="A40" s="46" t="s">
        <v>12</v>
      </c>
      <c r="B40" s="46" t="s">
        <v>27</v>
      </c>
      <c r="C40" s="46" t="s">
        <v>182</v>
      </c>
      <c r="D40" s="46" t="s">
        <v>34</v>
      </c>
      <c r="E40" s="47">
        <v>1</v>
      </c>
      <c r="F40" s="48">
        <f>((4.1-1)*0.95)+1</f>
        <v>3.9449999999999994</v>
      </c>
      <c r="G40" s="49" t="s">
        <v>36</v>
      </c>
      <c r="H40" s="235">
        <v>0</v>
      </c>
      <c r="J40" s="62">
        <f t="shared" si="0"/>
        <v>-1</v>
      </c>
      <c r="K40" s="235"/>
      <c r="L40" s="281">
        <f t="shared" si="1"/>
        <v>1</v>
      </c>
      <c r="M40" s="281">
        <f t="shared" si="2"/>
        <v>-1</v>
      </c>
    </row>
    <row r="41" spans="1:13">
      <c r="A41" s="87" t="s">
        <v>12</v>
      </c>
      <c r="B41" s="87" t="s">
        <v>239</v>
      </c>
      <c r="C41" s="87" t="s">
        <v>16</v>
      </c>
      <c r="D41" s="87" t="s">
        <v>48</v>
      </c>
      <c r="E41" s="88">
        <v>1</v>
      </c>
      <c r="F41" s="89">
        <f>((24-1)*0.95)+1</f>
        <v>22.849999999999998</v>
      </c>
      <c r="G41" s="90" t="s">
        <v>246</v>
      </c>
      <c r="H41" s="235">
        <v>0</v>
      </c>
      <c r="J41" s="62">
        <f t="shared" si="0"/>
        <v>-1</v>
      </c>
      <c r="K41" s="235"/>
      <c r="L41" s="281">
        <f t="shared" si="1"/>
        <v>1</v>
      </c>
      <c r="M41" s="281">
        <f t="shared" si="2"/>
        <v>-1</v>
      </c>
    </row>
    <row r="42" spans="1:13">
      <c r="A42" s="42" t="s">
        <v>12</v>
      </c>
      <c r="B42" s="42" t="s">
        <v>182</v>
      </c>
      <c r="C42" s="42" t="s">
        <v>1</v>
      </c>
      <c r="D42" s="42" t="s">
        <v>49</v>
      </c>
      <c r="E42" s="43">
        <v>1</v>
      </c>
      <c r="F42" s="44">
        <f>((1.82-1)*0.95)+1</f>
        <v>1.7789999999999999</v>
      </c>
      <c r="G42" s="45" t="s">
        <v>41</v>
      </c>
      <c r="H42" s="235">
        <v>1</v>
      </c>
      <c r="J42" s="62">
        <f t="shared" si="0"/>
        <v>0.77899999999999991</v>
      </c>
      <c r="K42" s="235"/>
      <c r="L42" s="281">
        <f t="shared" si="1"/>
        <v>0</v>
      </c>
      <c r="M42" s="281">
        <f t="shared" si="2"/>
        <v>0</v>
      </c>
    </row>
    <row r="43" spans="1:13">
      <c r="A43" s="54" t="s">
        <v>12</v>
      </c>
      <c r="B43" s="54" t="s">
        <v>3</v>
      </c>
      <c r="C43" s="54" t="s">
        <v>5</v>
      </c>
      <c r="D43" s="54" t="s">
        <v>49</v>
      </c>
      <c r="E43" s="55">
        <v>1</v>
      </c>
      <c r="F43" s="56">
        <v>3.25</v>
      </c>
      <c r="G43" s="57" t="s">
        <v>122</v>
      </c>
      <c r="H43" s="235">
        <v>1</v>
      </c>
      <c r="J43" s="62">
        <f t="shared" si="0"/>
        <v>2.25</v>
      </c>
      <c r="K43" s="235"/>
      <c r="L43" s="281">
        <f t="shared" si="1"/>
        <v>1</v>
      </c>
      <c r="M43" s="281">
        <f t="shared" si="2"/>
        <v>2.25</v>
      </c>
    </row>
    <row r="44" spans="1:13">
      <c r="A44" s="54" t="s">
        <v>12</v>
      </c>
      <c r="B44" s="54" t="s">
        <v>73</v>
      </c>
      <c r="C44" s="54" t="s">
        <v>181</v>
      </c>
      <c r="D44" s="54" t="s">
        <v>48</v>
      </c>
      <c r="E44" s="55">
        <v>1</v>
      </c>
      <c r="F44" s="56">
        <f>((4.3-1)*0.95)+1</f>
        <v>4.1349999999999998</v>
      </c>
      <c r="G44" s="57" t="s">
        <v>39</v>
      </c>
      <c r="H44" s="235">
        <v>1</v>
      </c>
      <c r="J44" s="62">
        <f t="shared" si="0"/>
        <v>3.1349999999999998</v>
      </c>
      <c r="K44" s="235"/>
      <c r="L44" s="281">
        <f t="shared" si="1"/>
        <v>1</v>
      </c>
      <c r="M44" s="281">
        <f t="shared" si="2"/>
        <v>3.1349999999999998</v>
      </c>
    </row>
    <row r="45" spans="1:13">
      <c r="A45" s="54" t="s">
        <v>12</v>
      </c>
      <c r="B45" s="54" t="s">
        <v>16</v>
      </c>
      <c r="C45" s="54" t="s">
        <v>2</v>
      </c>
      <c r="D45" s="54" t="s">
        <v>49</v>
      </c>
      <c r="E45" s="55">
        <v>1</v>
      </c>
      <c r="F45" s="56">
        <f>((2.24-1)*0.95)+1</f>
        <v>2.1779999999999999</v>
      </c>
      <c r="G45" s="57" t="s">
        <v>146</v>
      </c>
      <c r="H45" s="235">
        <v>1</v>
      </c>
      <c r="J45" s="62">
        <f t="shared" si="0"/>
        <v>1.1779999999999999</v>
      </c>
      <c r="K45" s="235"/>
      <c r="L45" s="281">
        <f t="shared" si="1"/>
        <v>1</v>
      </c>
      <c r="M45" s="281">
        <f t="shared" si="2"/>
        <v>1.1779999999999999</v>
      </c>
    </row>
    <row r="46" spans="1:13">
      <c r="A46" s="46" t="s">
        <v>12</v>
      </c>
      <c r="B46" s="46" t="s">
        <v>26</v>
      </c>
      <c r="C46" s="46" t="s">
        <v>27</v>
      </c>
      <c r="D46" s="46" t="s">
        <v>48</v>
      </c>
      <c r="E46" s="47">
        <v>1</v>
      </c>
      <c r="F46" s="48">
        <f>((2.66-1)*0.95)+1</f>
        <v>2.577</v>
      </c>
      <c r="G46" s="49" t="s">
        <v>42</v>
      </c>
      <c r="H46" s="235">
        <v>0</v>
      </c>
      <c r="J46" s="62">
        <f t="shared" si="0"/>
        <v>-1</v>
      </c>
      <c r="K46" s="235"/>
      <c r="L46" s="281">
        <f t="shared" si="1"/>
        <v>1</v>
      </c>
      <c r="M46" s="281">
        <f t="shared" si="2"/>
        <v>-1</v>
      </c>
    </row>
    <row r="47" spans="1:13">
      <c r="A47" s="87" t="s">
        <v>12</v>
      </c>
      <c r="B47" s="87" t="s">
        <v>134</v>
      </c>
      <c r="C47" s="87" t="s">
        <v>15</v>
      </c>
      <c r="D47" s="87" t="s">
        <v>48</v>
      </c>
      <c r="E47" s="88">
        <v>1</v>
      </c>
      <c r="F47" s="89">
        <f>((11.5-1)*0.95)+1</f>
        <v>10.975</v>
      </c>
      <c r="G47" s="90" t="s">
        <v>36</v>
      </c>
      <c r="H47" s="235">
        <v>0</v>
      </c>
      <c r="J47" s="62">
        <f t="shared" si="0"/>
        <v>-1</v>
      </c>
      <c r="K47" s="235"/>
      <c r="L47" s="281">
        <f t="shared" si="1"/>
        <v>1</v>
      </c>
      <c r="M47" s="281">
        <f t="shared" si="2"/>
        <v>-1</v>
      </c>
    </row>
    <row r="48" spans="1:13">
      <c r="A48" s="50" t="s">
        <v>12</v>
      </c>
      <c r="B48" s="50" t="s">
        <v>1</v>
      </c>
      <c r="C48" s="50" t="s">
        <v>26</v>
      </c>
      <c r="D48" s="50" t="s">
        <v>49</v>
      </c>
      <c r="E48" s="51">
        <v>1</v>
      </c>
      <c r="F48" s="52">
        <f>((2.64-1)*0.95)+1</f>
        <v>2.5579999999999998</v>
      </c>
      <c r="G48" s="53" t="s">
        <v>38</v>
      </c>
      <c r="H48" s="235">
        <v>0</v>
      </c>
      <c r="J48" s="62">
        <f t="shared" si="0"/>
        <v>-1</v>
      </c>
      <c r="K48" s="235"/>
      <c r="L48" s="281">
        <f t="shared" si="1"/>
        <v>1</v>
      </c>
      <c r="M48" s="281">
        <f t="shared" si="2"/>
        <v>-1</v>
      </c>
    </row>
    <row r="49" spans="1:13">
      <c r="A49" s="46" t="s">
        <v>12</v>
      </c>
      <c r="B49" s="46" t="s">
        <v>27</v>
      </c>
      <c r="C49" s="46" t="s">
        <v>4</v>
      </c>
      <c r="D49" s="46" t="s">
        <v>49</v>
      </c>
      <c r="E49" s="47">
        <v>1</v>
      </c>
      <c r="F49" s="48">
        <f>((2.4-1)*0.95)+1</f>
        <v>2.33</v>
      </c>
      <c r="G49" s="49" t="s">
        <v>366</v>
      </c>
      <c r="H49" s="235">
        <v>0</v>
      </c>
      <c r="J49" s="62">
        <f t="shared" si="0"/>
        <v>-1</v>
      </c>
      <c r="K49" s="235"/>
      <c r="L49" s="281">
        <f t="shared" si="1"/>
        <v>1</v>
      </c>
      <c r="M49" s="281">
        <f t="shared" si="2"/>
        <v>-1</v>
      </c>
    </row>
    <row r="50" spans="1:13">
      <c r="A50" s="54" t="s">
        <v>12</v>
      </c>
      <c r="B50" s="54" t="s">
        <v>15</v>
      </c>
      <c r="C50" s="54" t="s">
        <v>3</v>
      </c>
      <c r="D50" s="54" t="s">
        <v>49</v>
      </c>
      <c r="E50" s="55">
        <v>1</v>
      </c>
      <c r="F50" s="56">
        <f>((2.08-1)*0.95)+1</f>
        <v>2.0259999999999998</v>
      </c>
      <c r="G50" s="57" t="s">
        <v>42</v>
      </c>
      <c r="H50" s="235">
        <v>1</v>
      </c>
      <c r="J50" s="62">
        <f t="shared" si="0"/>
        <v>1.0259999999999998</v>
      </c>
      <c r="K50" s="235"/>
      <c r="L50" s="281">
        <f t="shared" si="1"/>
        <v>1</v>
      </c>
      <c r="M50" s="281">
        <f t="shared" si="2"/>
        <v>1.0259999999999998</v>
      </c>
    </row>
    <row r="51" spans="1:13">
      <c r="A51" s="46" t="s">
        <v>12</v>
      </c>
      <c r="B51" s="46" t="s">
        <v>2</v>
      </c>
      <c r="C51" s="46" t="s">
        <v>0</v>
      </c>
      <c r="D51" s="46" t="s">
        <v>34</v>
      </c>
      <c r="E51" s="47">
        <v>1</v>
      </c>
      <c r="F51" s="48">
        <f>((3.45-1)*0.95)+1</f>
        <v>3.3275000000000001</v>
      </c>
      <c r="G51" s="49" t="s">
        <v>41</v>
      </c>
      <c r="H51" s="235">
        <v>0</v>
      </c>
      <c r="J51" s="62">
        <f t="shared" si="0"/>
        <v>-1</v>
      </c>
      <c r="K51" s="235"/>
      <c r="L51" s="281">
        <f t="shared" si="1"/>
        <v>1</v>
      </c>
      <c r="M51" s="281">
        <f t="shared" si="2"/>
        <v>-1</v>
      </c>
    </row>
    <row r="52" spans="1:13">
      <c r="A52" s="87" t="s">
        <v>12</v>
      </c>
      <c r="B52" s="87" t="s">
        <v>181</v>
      </c>
      <c r="C52" s="87" t="s">
        <v>182</v>
      </c>
      <c r="D52" s="87" t="s">
        <v>34</v>
      </c>
      <c r="E52" s="88">
        <v>1</v>
      </c>
      <c r="F52" s="89">
        <f>((3.5-1)*0.95)+1</f>
        <v>3.375</v>
      </c>
      <c r="G52" s="90" t="s">
        <v>122</v>
      </c>
      <c r="H52" s="235">
        <v>0</v>
      </c>
      <c r="J52" s="62">
        <f t="shared" si="0"/>
        <v>-1</v>
      </c>
      <c r="K52" s="235"/>
      <c r="L52" s="281">
        <f t="shared" si="1"/>
        <v>1</v>
      </c>
      <c r="M52" s="281">
        <f t="shared" si="2"/>
        <v>-1</v>
      </c>
    </row>
    <row r="53" spans="1:13">
      <c r="A53" s="50" t="s">
        <v>12</v>
      </c>
      <c r="B53" s="50" t="s">
        <v>182</v>
      </c>
      <c r="C53" s="50" t="s">
        <v>28</v>
      </c>
      <c r="D53" s="50" t="s">
        <v>49</v>
      </c>
      <c r="E53" s="51">
        <v>1</v>
      </c>
      <c r="F53" s="52">
        <f>((2.06-1)*0.95)+1</f>
        <v>2.0069999999999997</v>
      </c>
      <c r="G53" s="53" t="s">
        <v>243</v>
      </c>
      <c r="H53" s="235">
        <v>0</v>
      </c>
      <c r="J53" s="62">
        <f t="shared" si="0"/>
        <v>-1</v>
      </c>
      <c r="K53" s="235"/>
      <c r="L53" s="281">
        <f t="shared" si="1"/>
        <v>1</v>
      </c>
      <c r="M53" s="281">
        <f t="shared" si="2"/>
        <v>-1</v>
      </c>
    </row>
    <row r="54" spans="1:13">
      <c r="A54" s="46" t="s">
        <v>12</v>
      </c>
      <c r="B54" s="46" t="s">
        <v>3</v>
      </c>
      <c r="C54" s="46" t="s">
        <v>47</v>
      </c>
      <c r="D54" s="46" t="s">
        <v>49</v>
      </c>
      <c r="E54" s="47">
        <v>1</v>
      </c>
      <c r="F54" s="48">
        <v>2.35</v>
      </c>
      <c r="G54" s="49" t="s">
        <v>121</v>
      </c>
      <c r="H54" s="235">
        <v>0</v>
      </c>
      <c r="J54" s="62">
        <f t="shared" si="0"/>
        <v>-1</v>
      </c>
      <c r="K54" s="235"/>
      <c r="L54" s="281">
        <f t="shared" si="1"/>
        <v>1</v>
      </c>
      <c r="M54" s="281">
        <f t="shared" si="2"/>
        <v>-1</v>
      </c>
    </row>
    <row r="55" spans="1:13">
      <c r="A55" s="54" t="s">
        <v>12</v>
      </c>
      <c r="B55" s="54" t="s">
        <v>67</v>
      </c>
      <c r="C55" s="54" t="s">
        <v>2</v>
      </c>
      <c r="D55" s="54" t="s">
        <v>49</v>
      </c>
      <c r="E55" s="55">
        <v>1</v>
      </c>
      <c r="F55" s="56">
        <f>((1.72-1)*0.95)+1</f>
        <v>1.6839999999999999</v>
      </c>
      <c r="G55" s="57" t="s">
        <v>244</v>
      </c>
      <c r="H55" s="235">
        <v>1</v>
      </c>
      <c r="J55" s="62">
        <f t="shared" si="0"/>
        <v>0.68399999999999994</v>
      </c>
      <c r="K55" s="235"/>
      <c r="L55" s="281">
        <f t="shared" si="1"/>
        <v>0</v>
      </c>
      <c r="M55" s="281">
        <f t="shared" si="2"/>
        <v>0</v>
      </c>
    </row>
    <row r="56" spans="1:13">
      <c r="A56" s="91" t="s">
        <v>12</v>
      </c>
      <c r="B56" s="91" t="s">
        <v>10</v>
      </c>
      <c r="C56" s="91" t="s">
        <v>5</v>
      </c>
      <c r="D56" s="91" t="s">
        <v>48</v>
      </c>
      <c r="E56" s="92">
        <v>1</v>
      </c>
      <c r="F56" s="93">
        <f>((2.36-1)*0.95)+1</f>
        <v>2.2919999999999998</v>
      </c>
      <c r="G56" s="94" t="s">
        <v>366</v>
      </c>
      <c r="H56" s="235">
        <v>1</v>
      </c>
      <c r="J56" s="62">
        <f t="shared" si="0"/>
        <v>1.2919999999999998</v>
      </c>
      <c r="K56" s="235"/>
      <c r="L56" s="281">
        <f t="shared" si="1"/>
        <v>1</v>
      </c>
      <c r="M56" s="281">
        <f t="shared" si="2"/>
        <v>1.2919999999999998</v>
      </c>
    </row>
    <row r="57" spans="1:13">
      <c r="A57" s="286" t="s">
        <v>12</v>
      </c>
      <c r="B57" s="286" t="s">
        <v>1</v>
      </c>
      <c r="C57" s="286" t="s">
        <v>134</v>
      </c>
      <c r="D57" s="286" t="s">
        <v>460</v>
      </c>
      <c r="E57" s="287">
        <v>1</v>
      </c>
      <c r="F57" s="288">
        <f>((2.16-1)*0.95)+1</f>
        <v>2.1020000000000003</v>
      </c>
      <c r="G57" s="289" t="s">
        <v>122</v>
      </c>
      <c r="H57" s="235">
        <v>1</v>
      </c>
      <c r="J57" s="62">
        <f t="shared" si="0"/>
        <v>1.1020000000000003</v>
      </c>
      <c r="K57" s="235"/>
      <c r="L57" s="281">
        <f t="shared" si="1"/>
        <v>1</v>
      </c>
      <c r="M57" s="281">
        <f t="shared" si="2"/>
        <v>1.1020000000000003</v>
      </c>
    </row>
    <row r="58" spans="1:13">
      <c r="A58" s="42" t="s">
        <v>12</v>
      </c>
      <c r="B58" s="42" t="s">
        <v>504</v>
      </c>
      <c r="C58" s="42" t="s">
        <v>0</v>
      </c>
      <c r="D58" s="42" t="s">
        <v>48</v>
      </c>
      <c r="E58" s="43">
        <v>1</v>
      </c>
      <c r="F58" s="44">
        <f>((6.4-1)*0.95)+1</f>
        <v>6.13</v>
      </c>
      <c r="G58" s="45" t="s">
        <v>82</v>
      </c>
      <c r="H58" s="235">
        <v>1</v>
      </c>
      <c r="J58" s="62">
        <f t="shared" si="0"/>
        <v>5.13</v>
      </c>
      <c r="K58" s="235"/>
      <c r="L58" s="281">
        <f t="shared" si="1"/>
        <v>1</v>
      </c>
      <c r="M58" s="281">
        <f t="shared" si="2"/>
        <v>5.13</v>
      </c>
    </row>
    <row r="59" spans="1:13">
      <c r="A59" s="87" t="s">
        <v>12</v>
      </c>
      <c r="B59" s="87" t="s">
        <v>5</v>
      </c>
      <c r="C59" s="87" t="s">
        <v>47</v>
      </c>
      <c r="D59" s="87" t="s">
        <v>530</v>
      </c>
      <c r="E59" s="88">
        <v>1</v>
      </c>
      <c r="F59" s="89">
        <f>((3.85-1)*0.95)+1</f>
        <v>3.7075</v>
      </c>
      <c r="G59" s="90" t="s">
        <v>187</v>
      </c>
      <c r="H59" s="235">
        <v>0</v>
      </c>
      <c r="J59" s="62">
        <f t="shared" si="0"/>
        <v>-1</v>
      </c>
      <c r="K59" s="235"/>
      <c r="L59" s="281">
        <f t="shared" si="1"/>
        <v>1</v>
      </c>
      <c r="M59" s="281">
        <f t="shared" si="2"/>
        <v>-1</v>
      </c>
    </row>
    <row r="60" spans="1:13">
      <c r="A60" s="42" t="s">
        <v>12</v>
      </c>
      <c r="B60" s="42" t="s">
        <v>2</v>
      </c>
      <c r="C60" s="42" t="s">
        <v>26</v>
      </c>
      <c r="D60" s="42" t="s">
        <v>49</v>
      </c>
      <c r="E60" s="43">
        <v>1</v>
      </c>
      <c r="F60" s="44">
        <v>2.0499999999999998</v>
      </c>
      <c r="G60" s="45" t="s">
        <v>571</v>
      </c>
      <c r="H60" s="235">
        <v>1</v>
      </c>
      <c r="J60" s="62">
        <f t="shared" si="0"/>
        <v>1.0499999999999998</v>
      </c>
      <c r="K60" s="235"/>
      <c r="L60" s="281">
        <f t="shared" si="1"/>
        <v>1</v>
      </c>
      <c r="M60" s="281">
        <f t="shared" si="2"/>
        <v>1.0499999999999998</v>
      </c>
    </row>
    <row r="61" spans="1:13">
      <c r="A61" s="46" t="s">
        <v>12</v>
      </c>
      <c r="B61" s="46" t="s">
        <v>47</v>
      </c>
      <c r="C61" s="46" t="s">
        <v>15</v>
      </c>
      <c r="D61" s="46" t="s">
        <v>49</v>
      </c>
      <c r="E61" s="47">
        <v>1</v>
      </c>
      <c r="F61" s="48">
        <f>((1.95-1)*0.95)+1</f>
        <v>1.9024999999999999</v>
      </c>
      <c r="G61" s="49" t="s">
        <v>37</v>
      </c>
      <c r="H61" s="235">
        <v>0</v>
      </c>
      <c r="J61" s="62">
        <f t="shared" si="0"/>
        <v>-1</v>
      </c>
      <c r="K61" s="235"/>
      <c r="L61" s="281">
        <f t="shared" si="1"/>
        <v>0</v>
      </c>
      <c r="M61" s="281">
        <f t="shared" si="2"/>
        <v>0</v>
      </c>
    </row>
    <row r="62" spans="1:13">
      <c r="A62" s="54" t="s">
        <v>12</v>
      </c>
      <c r="B62" s="54" t="s">
        <v>27</v>
      </c>
      <c r="C62" s="54" t="s">
        <v>5</v>
      </c>
      <c r="D62" s="54" t="s">
        <v>49</v>
      </c>
      <c r="E62" s="55">
        <v>1</v>
      </c>
      <c r="F62" s="56">
        <f>((2.42-1)*0.95)+1</f>
        <v>2.3490000000000002</v>
      </c>
      <c r="G62" s="57" t="s">
        <v>122</v>
      </c>
      <c r="H62" s="235">
        <v>1</v>
      </c>
      <c r="J62" s="62">
        <f t="shared" si="0"/>
        <v>1.3490000000000002</v>
      </c>
      <c r="K62" s="235"/>
      <c r="L62" s="281">
        <f t="shared" si="1"/>
        <v>1</v>
      </c>
      <c r="M62" s="281">
        <f t="shared" si="2"/>
        <v>1.3490000000000002</v>
      </c>
    </row>
    <row r="63" spans="1:13">
      <c r="A63" s="91" t="s">
        <v>12</v>
      </c>
      <c r="B63" s="91" t="s">
        <v>28</v>
      </c>
      <c r="C63" s="91" t="s">
        <v>134</v>
      </c>
      <c r="D63" s="91" t="s">
        <v>49</v>
      </c>
      <c r="E63" s="92">
        <v>1</v>
      </c>
      <c r="F63" s="93">
        <f>((3.2-1)*0.95)+1</f>
        <v>3.09</v>
      </c>
      <c r="G63" s="94" t="s">
        <v>36</v>
      </c>
      <c r="H63" s="235">
        <v>1</v>
      </c>
      <c r="J63" s="62">
        <f t="shared" si="0"/>
        <v>2.09</v>
      </c>
      <c r="K63" s="235"/>
      <c r="L63" s="281">
        <f t="shared" si="1"/>
        <v>1</v>
      </c>
      <c r="M63" s="281">
        <f t="shared" si="2"/>
        <v>2.09</v>
      </c>
    </row>
    <row r="64" spans="1:13">
      <c r="A64" s="42" t="s">
        <v>12</v>
      </c>
      <c r="B64" s="42" t="s">
        <v>3</v>
      </c>
      <c r="C64" s="42" t="s">
        <v>28</v>
      </c>
      <c r="D64" s="42" t="s">
        <v>49</v>
      </c>
      <c r="E64" s="43">
        <v>1</v>
      </c>
      <c r="F64" s="44">
        <f>((2.74-1)*0.95)+1</f>
        <v>2.653</v>
      </c>
      <c r="G64" s="45" t="s">
        <v>630</v>
      </c>
      <c r="H64" s="235">
        <v>1</v>
      </c>
      <c r="J64" s="62">
        <f t="shared" si="0"/>
        <v>1.653</v>
      </c>
      <c r="K64" s="235"/>
      <c r="L64" s="281">
        <f t="shared" si="1"/>
        <v>1</v>
      </c>
      <c r="M64" s="281">
        <f t="shared" si="2"/>
        <v>1.653</v>
      </c>
    </row>
    <row r="65" spans="1:13">
      <c r="A65" s="54" t="s">
        <v>12</v>
      </c>
      <c r="B65" s="54" t="s">
        <v>73</v>
      </c>
      <c r="C65" s="54" t="s">
        <v>67</v>
      </c>
      <c r="D65" s="54" t="s">
        <v>49</v>
      </c>
      <c r="E65" s="55">
        <v>1</v>
      </c>
      <c r="F65" s="56">
        <v>2.4500000000000002</v>
      </c>
      <c r="G65" s="57" t="s">
        <v>42</v>
      </c>
      <c r="H65" s="235">
        <v>1</v>
      </c>
      <c r="J65" s="62">
        <f t="shared" si="0"/>
        <v>1.4500000000000002</v>
      </c>
      <c r="K65" s="235"/>
      <c r="L65" s="281">
        <f t="shared" si="1"/>
        <v>1</v>
      </c>
      <c r="M65" s="281">
        <f t="shared" si="2"/>
        <v>1.4500000000000002</v>
      </c>
    </row>
    <row r="66" spans="1:13">
      <c r="A66" s="91" t="s">
        <v>12</v>
      </c>
      <c r="B66" s="91" t="s">
        <v>10</v>
      </c>
      <c r="C66" s="91" t="s">
        <v>47</v>
      </c>
      <c r="D66" s="91" t="s">
        <v>48</v>
      </c>
      <c r="E66" s="92">
        <v>1</v>
      </c>
      <c r="F66" s="93">
        <f>((2.8-1)*0.95)+1</f>
        <v>2.71</v>
      </c>
      <c r="G66" s="94" t="s">
        <v>366</v>
      </c>
      <c r="H66" s="235">
        <v>1</v>
      </c>
      <c r="J66" s="62">
        <f t="shared" ref="J66:J110" si="3">IF(H66=1,E66*(F66-1),-E66)</f>
        <v>1.71</v>
      </c>
      <c r="K66" s="235"/>
      <c r="L66" s="281">
        <f t="shared" ref="L66:L81" si="4">IF(M66=0,0,E66)</f>
        <v>1</v>
      </c>
      <c r="M66" s="281">
        <f t="shared" ref="M66:M81" si="5">IF(F66&gt;2,J66,0)</f>
        <v>1.71</v>
      </c>
    </row>
    <row r="67" spans="1:13">
      <c r="A67" s="42" t="s">
        <v>12</v>
      </c>
      <c r="B67" s="42" t="s">
        <v>47</v>
      </c>
      <c r="C67" s="42" t="s">
        <v>1</v>
      </c>
      <c r="D67" s="42" t="s">
        <v>49</v>
      </c>
      <c r="E67" s="43">
        <v>1</v>
      </c>
      <c r="F67" s="44">
        <f>((1.89-1)*0.95)+1</f>
        <v>1.8454999999999999</v>
      </c>
      <c r="G67" s="45" t="s">
        <v>122</v>
      </c>
      <c r="H67" s="235">
        <v>1</v>
      </c>
      <c r="J67" s="62">
        <f t="shared" si="3"/>
        <v>0.84549999999999992</v>
      </c>
      <c r="K67" s="235"/>
      <c r="L67" s="281">
        <f t="shared" si="4"/>
        <v>0</v>
      </c>
      <c r="M67" s="281">
        <f t="shared" si="5"/>
        <v>0</v>
      </c>
    </row>
    <row r="68" spans="1:13">
      <c r="A68" s="91" t="s">
        <v>12</v>
      </c>
      <c r="B68" s="91" t="s">
        <v>15</v>
      </c>
      <c r="C68" s="91" t="s">
        <v>181</v>
      </c>
      <c r="D68" s="91" t="s">
        <v>49</v>
      </c>
      <c r="E68" s="92">
        <v>1</v>
      </c>
      <c r="F68" s="93">
        <f>((2.32-1)*0.95)+1</f>
        <v>2.2539999999999996</v>
      </c>
      <c r="G68" s="94" t="s">
        <v>122</v>
      </c>
      <c r="H68" s="235">
        <v>1</v>
      </c>
      <c r="J68" s="62">
        <f t="shared" si="3"/>
        <v>1.2539999999999996</v>
      </c>
      <c r="K68" s="235"/>
      <c r="L68" s="281">
        <f t="shared" si="4"/>
        <v>1</v>
      </c>
      <c r="M68" s="281">
        <f t="shared" si="5"/>
        <v>1.2539999999999996</v>
      </c>
    </row>
    <row r="69" spans="1:13">
      <c r="A69" s="50" t="s">
        <v>12</v>
      </c>
      <c r="B69" s="50" t="s">
        <v>181</v>
      </c>
      <c r="C69" s="50" t="s">
        <v>47</v>
      </c>
      <c r="D69" s="50" t="s">
        <v>49</v>
      </c>
      <c r="E69" s="51">
        <v>1</v>
      </c>
      <c r="F69" s="52">
        <v>1.9</v>
      </c>
      <c r="G69" s="53" t="s">
        <v>243</v>
      </c>
      <c r="H69" s="235">
        <v>0</v>
      </c>
      <c r="J69" s="62">
        <f t="shared" si="3"/>
        <v>-1</v>
      </c>
      <c r="K69" s="235"/>
      <c r="L69" s="281">
        <f t="shared" si="4"/>
        <v>0</v>
      </c>
      <c r="M69" s="281">
        <f t="shared" si="5"/>
        <v>0</v>
      </c>
    </row>
    <row r="70" spans="1:13">
      <c r="A70" s="54" t="s">
        <v>12</v>
      </c>
      <c r="B70" s="54" t="s">
        <v>28</v>
      </c>
      <c r="C70" s="54" t="s">
        <v>15</v>
      </c>
      <c r="D70" s="54" t="s">
        <v>49</v>
      </c>
      <c r="E70" s="55">
        <v>1</v>
      </c>
      <c r="F70" s="56">
        <f>((1.92-1)*0.95)+1</f>
        <v>1.8739999999999999</v>
      </c>
      <c r="G70" s="57" t="s">
        <v>187</v>
      </c>
      <c r="H70" s="235">
        <v>1</v>
      </c>
      <c r="J70" s="62">
        <f t="shared" si="3"/>
        <v>0.87399999999999989</v>
      </c>
      <c r="K70" s="235"/>
      <c r="L70" s="281">
        <f t="shared" si="4"/>
        <v>0</v>
      </c>
      <c r="M70" s="281">
        <f t="shared" si="5"/>
        <v>0</v>
      </c>
    </row>
    <row r="71" spans="1:13">
      <c r="A71" s="46" t="s">
        <v>12</v>
      </c>
      <c r="B71" s="46" t="s">
        <v>422</v>
      </c>
      <c r="C71" s="46" t="s">
        <v>5</v>
      </c>
      <c r="D71" s="46" t="s">
        <v>692</v>
      </c>
      <c r="E71" s="47">
        <v>1</v>
      </c>
      <c r="F71" s="48">
        <f>((10-1)*0.95)+1</f>
        <v>9.5499999999999989</v>
      </c>
      <c r="G71" s="49" t="s">
        <v>41</v>
      </c>
      <c r="H71" s="235">
        <v>0</v>
      </c>
      <c r="J71" s="62">
        <f t="shared" si="3"/>
        <v>-1</v>
      </c>
      <c r="K71" s="235"/>
      <c r="L71" s="281">
        <f t="shared" si="4"/>
        <v>1</v>
      </c>
      <c r="M71" s="281">
        <f t="shared" si="5"/>
        <v>-1</v>
      </c>
    </row>
    <row r="72" spans="1:13">
      <c r="A72" s="46" t="s">
        <v>12</v>
      </c>
      <c r="B72" s="46" t="s">
        <v>0</v>
      </c>
      <c r="C72" s="46" t="s">
        <v>134</v>
      </c>
      <c r="D72" s="46" t="s">
        <v>49</v>
      </c>
      <c r="E72" s="47">
        <v>1</v>
      </c>
      <c r="F72" s="48">
        <f>((3.5-1)*0.95)+1</f>
        <v>3.375</v>
      </c>
      <c r="G72" s="49" t="s">
        <v>145</v>
      </c>
      <c r="H72" s="235">
        <v>0</v>
      </c>
      <c r="J72" s="62">
        <f t="shared" si="3"/>
        <v>-1</v>
      </c>
      <c r="K72" s="235"/>
      <c r="L72" s="281">
        <f t="shared" si="4"/>
        <v>1</v>
      </c>
      <c r="M72" s="281">
        <f t="shared" si="5"/>
        <v>-1</v>
      </c>
    </row>
    <row r="73" spans="1:13">
      <c r="A73" s="54" t="s">
        <v>12</v>
      </c>
      <c r="B73" s="54" t="s">
        <v>73</v>
      </c>
      <c r="C73" s="54" t="s">
        <v>26</v>
      </c>
      <c r="D73" s="54" t="s">
        <v>693</v>
      </c>
      <c r="E73" s="55">
        <v>1</v>
      </c>
      <c r="F73" s="56">
        <v>2.2349999999999999</v>
      </c>
      <c r="G73" s="57" t="s">
        <v>38</v>
      </c>
      <c r="H73" s="235">
        <v>1</v>
      </c>
      <c r="J73" s="62">
        <f t="shared" si="3"/>
        <v>1.2349999999999999</v>
      </c>
      <c r="K73" s="235"/>
      <c r="L73" s="281">
        <f t="shared" si="4"/>
        <v>1</v>
      </c>
      <c r="M73" s="281">
        <f t="shared" si="5"/>
        <v>1.2349999999999999</v>
      </c>
    </row>
    <row r="74" spans="1:13">
      <c r="A74" s="91" t="s">
        <v>12</v>
      </c>
      <c r="B74" s="91" t="s">
        <v>1</v>
      </c>
      <c r="C74" s="91" t="s">
        <v>27</v>
      </c>
      <c r="D74" s="91" t="s">
        <v>49</v>
      </c>
      <c r="E74" s="92">
        <v>1</v>
      </c>
      <c r="F74" s="93">
        <f>((3.35-1)*0.95)+1</f>
        <v>3.2324999999999999</v>
      </c>
      <c r="G74" s="94" t="s">
        <v>36</v>
      </c>
      <c r="H74" s="235">
        <v>1</v>
      </c>
      <c r="J74" s="62">
        <f t="shared" si="3"/>
        <v>2.2324999999999999</v>
      </c>
      <c r="K74" s="235"/>
      <c r="L74" s="281">
        <f t="shared" si="4"/>
        <v>1</v>
      </c>
      <c r="M74" s="281">
        <f t="shared" si="5"/>
        <v>2.2324999999999999</v>
      </c>
    </row>
    <row r="75" spans="1:13">
      <c r="A75" s="42" t="s">
        <v>12</v>
      </c>
      <c r="B75" s="42" t="s">
        <v>5</v>
      </c>
      <c r="C75" s="42" t="s">
        <v>2</v>
      </c>
      <c r="D75" s="42" t="s">
        <v>49</v>
      </c>
      <c r="E75" s="43">
        <v>1</v>
      </c>
      <c r="F75" s="44">
        <f>((1.9-1)*0.95)+1</f>
        <v>1.855</v>
      </c>
      <c r="G75" s="45" t="s">
        <v>743</v>
      </c>
      <c r="H75" s="235">
        <v>1</v>
      </c>
      <c r="J75" s="62">
        <f t="shared" si="3"/>
        <v>0.85499999999999998</v>
      </c>
      <c r="K75" s="235"/>
      <c r="L75" s="281">
        <f t="shared" si="4"/>
        <v>0</v>
      </c>
      <c r="M75" s="281">
        <f t="shared" si="5"/>
        <v>0</v>
      </c>
    </row>
    <row r="76" spans="1:13">
      <c r="A76" s="46" t="s">
        <v>12</v>
      </c>
      <c r="B76" s="46" t="s">
        <v>520</v>
      </c>
      <c r="C76" s="46" t="s">
        <v>504</v>
      </c>
      <c r="D76" s="46" t="s">
        <v>742</v>
      </c>
      <c r="E76" s="47">
        <v>1</v>
      </c>
      <c r="F76" s="46">
        <v>1.89</v>
      </c>
      <c r="G76" s="49" t="s">
        <v>42</v>
      </c>
      <c r="H76" s="235">
        <v>0</v>
      </c>
      <c r="J76" s="62">
        <f t="shared" si="3"/>
        <v>-1</v>
      </c>
      <c r="K76" s="235"/>
      <c r="L76" s="281">
        <f t="shared" si="4"/>
        <v>0</v>
      </c>
      <c r="M76" s="281">
        <f t="shared" si="5"/>
        <v>0</v>
      </c>
    </row>
    <row r="77" spans="1:13">
      <c r="A77" s="46" t="s">
        <v>12</v>
      </c>
      <c r="B77" s="46" t="s">
        <v>47</v>
      </c>
      <c r="C77" s="46" t="s">
        <v>28</v>
      </c>
      <c r="D77" s="46" t="s">
        <v>742</v>
      </c>
      <c r="E77" s="47">
        <v>1</v>
      </c>
      <c r="F77" s="48">
        <v>2.09</v>
      </c>
      <c r="G77" s="49" t="s">
        <v>122</v>
      </c>
      <c r="H77" s="235">
        <v>0</v>
      </c>
      <c r="J77" s="62">
        <f t="shared" si="3"/>
        <v>-1</v>
      </c>
      <c r="K77" s="235"/>
      <c r="L77" s="281">
        <f t="shared" si="4"/>
        <v>1</v>
      </c>
      <c r="M77" s="281">
        <f t="shared" si="5"/>
        <v>-1</v>
      </c>
    </row>
    <row r="78" spans="1:13">
      <c r="A78" s="46" t="s">
        <v>12</v>
      </c>
      <c r="B78" s="46" t="s">
        <v>1</v>
      </c>
      <c r="C78" s="46" t="s">
        <v>10</v>
      </c>
      <c r="D78" s="46" t="s">
        <v>742</v>
      </c>
      <c r="E78" s="47">
        <v>1</v>
      </c>
      <c r="F78" s="48">
        <v>3.56</v>
      </c>
      <c r="G78" s="49" t="s">
        <v>42</v>
      </c>
      <c r="H78" s="235">
        <v>0</v>
      </c>
      <c r="J78" s="62">
        <f t="shared" si="3"/>
        <v>-1</v>
      </c>
      <c r="K78" s="235"/>
      <c r="L78" s="281">
        <f t="shared" si="4"/>
        <v>1</v>
      </c>
      <c r="M78" s="281">
        <f t="shared" si="5"/>
        <v>-1</v>
      </c>
    </row>
    <row r="79" spans="1:13">
      <c r="A79" s="87" t="s">
        <v>12</v>
      </c>
      <c r="B79" s="87" t="s">
        <v>308</v>
      </c>
      <c r="C79" s="87" t="s">
        <v>16</v>
      </c>
      <c r="D79" s="87" t="s">
        <v>742</v>
      </c>
      <c r="E79" s="88">
        <v>1</v>
      </c>
      <c r="F79" s="89">
        <v>7.67</v>
      </c>
      <c r="G79" s="90" t="s">
        <v>204</v>
      </c>
      <c r="H79" s="235">
        <v>0</v>
      </c>
      <c r="J79" s="62">
        <f t="shared" si="3"/>
        <v>-1</v>
      </c>
      <c r="K79" s="235"/>
      <c r="L79" s="281">
        <f t="shared" si="4"/>
        <v>1</v>
      </c>
      <c r="M79" s="281">
        <f t="shared" si="5"/>
        <v>-1</v>
      </c>
    </row>
    <row r="80" spans="1:13">
      <c r="A80" s="50" t="s">
        <v>12</v>
      </c>
      <c r="B80" s="50" t="s">
        <v>10</v>
      </c>
      <c r="C80" s="50" t="s">
        <v>26</v>
      </c>
      <c r="D80" s="50" t="s">
        <v>767</v>
      </c>
      <c r="E80" s="51">
        <v>1</v>
      </c>
      <c r="F80" s="52">
        <v>2.5099999999999998</v>
      </c>
      <c r="G80" s="53" t="s">
        <v>769</v>
      </c>
      <c r="H80" s="235">
        <v>0</v>
      </c>
      <c r="J80" s="62">
        <f t="shared" si="3"/>
        <v>-1</v>
      </c>
      <c r="K80" s="235"/>
      <c r="L80" s="281">
        <f t="shared" si="4"/>
        <v>1</v>
      </c>
      <c r="M80" s="281">
        <f t="shared" si="5"/>
        <v>-1</v>
      </c>
    </row>
    <row r="81" spans="1:14">
      <c r="A81" s="87" t="s">
        <v>12</v>
      </c>
      <c r="B81" s="87" t="s">
        <v>28</v>
      </c>
      <c r="C81" s="87" t="s">
        <v>27</v>
      </c>
      <c r="D81" s="87" t="s">
        <v>692</v>
      </c>
      <c r="E81" s="88">
        <v>1</v>
      </c>
      <c r="F81" s="89">
        <f>((4.4-1)*0.95)+1</f>
        <v>4.2300000000000004</v>
      </c>
      <c r="G81" s="90" t="s">
        <v>41</v>
      </c>
      <c r="H81" s="235">
        <v>0</v>
      </c>
      <c r="J81" s="62">
        <f t="shared" si="3"/>
        <v>-1</v>
      </c>
      <c r="K81" s="235"/>
      <c r="L81" s="281">
        <f t="shared" si="4"/>
        <v>1</v>
      </c>
      <c r="M81" s="281">
        <f t="shared" si="5"/>
        <v>-1</v>
      </c>
    </row>
    <row r="83" spans="1:14">
      <c r="E83" s="61">
        <f>SUM(E1:E82)</f>
        <v>81</v>
      </c>
      <c r="H83" s="281">
        <f>SUM(H1:H82)</f>
        <v>39</v>
      </c>
      <c r="I83" s="233">
        <f>COUNTIF(E1:E82,"&gt;0")</f>
        <v>81</v>
      </c>
      <c r="J83" s="62">
        <f>SUM(J1:J82)</f>
        <v>18.439999999999994</v>
      </c>
      <c r="L83" s="62">
        <f>SUM(L1:L82)</f>
        <v>58</v>
      </c>
      <c r="M83" s="62">
        <f>SUM(M1:M82)</f>
        <v>17.359000000000002</v>
      </c>
      <c r="N83" s="233">
        <f>COUNTIF(L1:L82,"&gt;0")</f>
        <v>58</v>
      </c>
    </row>
    <row r="84" spans="1:14">
      <c r="H84" s="63">
        <f>+H83/I83</f>
        <v>0.48148148148148145</v>
      </c>
      <c r="J84" s="65">
        <f>+J83/E83</f>
        <v>0.22765432098765426</v>
      </c>
      <c r="M84" s="65">
        <f>+M83/L83</f>
        <v>0.29929310344827587</v>
      </c>
    </row>
    <row r="85" spans="1:14">
      <c r="J85" s="6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sheetPr codeName="Hoja6"/>
  <dimension ref="A1:H25"/>
  <sheetViews>
    <sheetView workbookViewId="0">
      <selection activeCell="C9" sqref="C9"/>
    </sheetView>
  </sheetViews>
  <sheetFormatPr baseColWidth="10" defaultRowHeight="15"/>
  <cols>
    <col min="1" max="1" width="4.28515625" customWidth="1"/>
    <col min="2" max="3" width="13.5703125" customWidth="1"/>
    <col min="5" max="7" width="7.85546875" customWidth="1"/>
  </cols>
  <sheetData>
    <row r="1" spans="1:8">
      <c r="A1" s="12" t="s">
        <v>12</v>
      </c>
      <c r="B1" s="12" t="s">
        <v>10</v>
      </c>
      <c r="C1" s="12" t="s">
        <v>3</v>
      </c>
      <c r="D1" s="12" t="s">
        <v>49</v>
      </c>
      <c r="E1" s="13">
        <v>2</v>
      </c>
      <c r="F1" s="14">
        <f>((2.14-1)*0.95)+1</f>
        <v>2.0830000000000002</v>
      </c>
      <c r="G1" s="15" t="s">
        <v>38</v>
      </c>
      <c r="H1" t="s">
        <v>223</v>
      </c>
    </row>
    <row r="2" spans="1:8">
      <c r="A2" s="4" t="s">
        <v>12</v>
      </c>
      <c r="B2" s="4" t="s">
        <v>67</v>
      </c>
      <c r="C2" s="4" t="s">
        <v>1</v>
      </c>
      <c r="D2" s="4" t="s">
        <v>49</v>
      </c>
      <c r="E2" s="5">
        <v>3</v>
      </c>
      <c r="F2" s="9">
        <f>((1.49-1)*0.95)+1</f>
        <v>1.4655</v>
      </c>
      <c r="G2" s="10" t="s">
        <v>146</v>
      </c>
      <c r="H2" t="s">
        <v>215</v>
      </c>
    </row>
    <row r="3" spans="1:8">
      <c r="A3" s="4" t="s">
        <v>12</v>
      </c>
      <c r="B3" s="4" t="s">
        <v>26</v>
      </c>
      <c r="C3" s="4" t="s">
        <v>15</v>
      </c>
      <c r="D3" s="4" t="s">
        <v>49</v>
      </c>
      <c r="E3" s="5">
        <v>1</v>
      </c>
      <c r="F3" s="9">
        <f>((2-1)*0.95)+1</f>
        <v>1.95</v>
      </c>
      <c r="G3" s="10" t="s">
        <v>42</v>
      </c>
      <c r="H3" t="s">
        <v>216</v>
      </c>
    </row>
    <row r="4" spans="1:8">
      <c r="A4" s="4" t="s">
        <v>12</v>
      </c>
      <c r="B4" s="4" t="s">
        <v>182</v>
      </c>
      <c r="C4" s="4" t="s">
        <v>47</v>
      </c>
      <c r="D4" s="4" t="s">
        <v>49</v>
      </c>
      <c r="E4" s="5">
        <v>2.5</v>
      </c>
      <c r="F4" s="9">
        <f>((2.26-1)*0.95)+1</f>
        <v>2.1970000000000001</v>
      </c>
      <c r="G4" s="10" t="s">
        <v>122</v>
      </c>
      <c r="H4" t="s">
        <v>217</v>
      </c>
    </row>
    <row r="5" spans="1:8">
      <c r="A5" s="12" t="s">
        <v>12</v>
      </c>
      <c r="B5" s="12" t="s">
        <v>4</v>
      </c>
      <c r="C5" s="12" t="s">
        <v>5</v>
      </c>
      <c r="D5" s="12" t="s">
        <v>49</v>
      </c>
      <c r="E5" s="13">
        <v>1</v>
      </c>
      <c r="F5" s="14">
        <f>((1.88-1)*0.95)+1</f>
        <v>1.8359999999999999</v>
      </c>
      <c r="G5" s="15" t="s">
        <v>39</v>
      </c>
      <c r="H5" t="s">
        <v>218</v>
      </c>
    </row>
    <row r="6" spans="1:8">
      <c r="A6" s="12" t="s">
        <v>12</v>
      </c>
      <c r="B6" s="12" t="s">
        <v>16</v>
      </c>
      <c r="C6" s="12" t="s">
        <v>28</v>
      </c>
      <c r="D6" s="12" t="s">
        <v>34</v>
      </c>
      <c r="E6" s="13">
        <v>0.5</v>
      </c>
      <c r="F6" s="14">
        <f>((3.75-1)*0.95)+1</f>
        <v>3.6124999999999998</v>
      </c>
      <c r="G6" s="15" t="s">
        <v>39</v>
      </c>
      <c r="H6" t="s">
        <v>222</v>
      </c>
    </row>
    <row r="7" spans="1:8">
      <c r="A7" s="2"/>
      <c r="B7" s="2"/>
      <c r="C7" s="2"/>
      <c r="D7" s="2"/>
      <c r="E7" s="3"/>
      <c r="F7" s="86"/>
      <c r="G7" s="30"/>
    </row>
    <row r="8" spans="1:8">
      <c r="A8" t="s">
        <v>219</v>
      </c>
      <c r="C8" t="s">
        <v>214</v>
      </c>
    </row>
    <row r="9" spans="1:8">
      <c r="A9" t="s">
        <v>220</v>
      </c>
      <c r="C9" t="s">
        <v>221</v>
      </c>
    </row>
    <row r="11" spans="1:8">
      <c r="A11" s="18" t="s">
        <v>224</v>
      </c>
    </row>
    <row r="12" spans="1:8">
      <c r="A12" s="18" t="s">
        <v>229</v>
      </c>
    </row>
    <row r="13" spans="1:8">
      <c r="A13" s="18" t="s">
        <v>225</v>
      </c>
    </row>
    <row r="14" spans="1:8">
      <c r="A14" s="73" t="s">
        <v>227</v>
      </c>
    </row>
    <row r="15" spans="1:8">
      <c r="A15" s="18" t="s">
        <v>226</v>
      </c>
    </row>
    <row r="16" spans="1:8">
      <c r="A16" s="18" t="s">
        <v>228</v>
      </c>
    </row>
    <row r="18" spans="1:1">
      <c r="A18" t="s">
        <v>207</v>
      </c>
    </row>
    <row r="20" spans="1:1">
      <c r="A20" t="s">
        <v>213</v>
      </c>
    </row>
    <row r="21" spans="1:1">
      <c r="A21" t="s">
        <v>208</v>
      </c>
    </row>
    <row r="22" spans="1:1">
      <c r="A22" t="s">
        <v>209</v>
      </c>
    </row>
    <row r="23" spans="1:1">
      <c r="A23" t="s">
        <v>210</v>
      </c>
    </row>
    <row r="24" spans="1:1">
      <c r="A24" t="s">
        <v>211</v>
      </c>
    </row>
    <row r="25" spans="1:1">
      <c r="A25" t="s">
        <v>212</v>
      </c>
    </row>
  </sheetData>
  <pageMargins left="0.7" right="0.7" top="0.75" bottom="0.75" header="0.3" footer="0.3"/>
  <pageSetup paperSize="9" orientation="portrait" horizontalDpi="0" verticalDpi="0" r:id="rId1"/>
  <legacyDrawing r:id="rId2"/>
</worksheet>
</file>

<file path=xl/worksheets/sheet50.xml><?xml version="1.0" encoding="utf-8"?>
<worksheet xmlns="http://schemas.openxmlformats.org/spreadsheetml/2006/main" xmlns:r="http://schemas.openxmlformats.org/officeDocument/2006/relationships">
  <dimension ref="A1:Q85"/>
  <sheetViews>
    <sheetView topLeftCell="A61" zoomScaleNormal="100" workbookViewId="0">
      <selection activeCell="F88" sqref="F88"/>
    </sheetView>
  </sheetViews>
  <sheetFormatPr baseColWidth="10" defaultRowHeight="15"/>
  <cols>
    <col min="1" max="7" width="11.42578125" style="281"/>
    <col min="8" max="8" width="4.5703125" style="281" bestFit="1" customWidth="1"/>
    <col min="9" max="9" width="4.5703125" style="281" customWidth="1"/>
    <col min="10" max="16384" width="11.42578125" style="281"/>
  </cols>
  <sheetData>
    <row r="1" spans="1:17">
      <c r="A1" s="4" t="s">
        <v>12</v>
      </c>
      <c r="B1" s="4" t="s">
        <v>0</v>
      </c>
      <c r="C1" s="4" t="s">
        <v>3</v>
      </c>
      <c r="D1" s="4" t="s">
        <v>49</v>
      </c>
      <c r="E1" s="5">
        <f t="shared" ref="E1:E64" si="0">IF(O1&gt;0,O1,0)</f>
        <v>3.8947368421052624</v>
      </c>
      <c r="F1" s="4">
        <v>1.95</v>
      </c>
      <c r="G1" s="10" t="s">
        <v>36</v>
      </c>
      <c r="H1" s="281">
        <v>1</v>
      </c>
      <c r="I1" s="281">
        <f>IF(E1&gt;0,H1,"")</f>
        <v>1</v>
      </c>
      <c r="K1" s="62">
        <f>IF(H1=1,E1*(F1-1),-E1)</f>
        <v>3.6999999999999993</v>
      </c>
      <c r="M1" s="61">
        <v>3</v>
      </c>
      <c r="N1" s="67">
        <f>M1*$N$83/3</f>
        <v>75</v>
      </c>
      <c r="O1" s="41">
        <f>((F1*(N1/100)-1)/(F1 -1))*40/5</f>
        <v>3.8947368421052624</v>
      </c>
      <c r="Q1" s="62">
        <f>IF(E1&gt;0,IF(H1=1,(F1-1),-1),0)</f>
        <v>0.95</v>
      </c>
    </row>
    <row r="2" spans="1:17">
      <c r="A2" s="12" t="s">
        <v>6</v>
      </c>
      <c r="B2" s="12" t="s">
        <v>10</v>
      </c>
      <c r="C2" s="12" t="s">
        <v>13</v>
      </c>
      <c r="D2" s="12" t="s">
        <v>49</v>
      </c>
      <c r="E2" s="13">
        <f t="shared" si="0"/>
        <v>0.37023593466424787</v>
      </c>
      <c r="F2" s="14">
        <f>((2.16-1)*0.95)+1</f>
        <v>2.1020000000000003</v>
      </c>
      <c r="G2" s="15" t="s">
        <v>38</v>
      </c>
      <c r="H2" s="281">
        <v>0</v>
      </c>
      <c r="I2" s="281">
        <f t="shared" ref="I2:I65" si="1">IF(E2&gt;0,H2,"")</f>
        <v>0</v>
      </c>
      <c r="K2" s="62">
        <f t="shared" ref="K2:K65" si="2">IF(H2=1,E2*(F2-1),-E2)</f>
        <v>-0.37023593466424787</v>
      </c>
      <c r="M2" s="61">
        <v>2</v>
      </c>
      <c r="N2" s="67">
        <f t="shared" ref="N2:N65" si="3">M2*$N$83/3</f>
        <v>50</v>
      </c>
      <c r="O2" s="41">
        <f t="shared" ref="O2:O65" si="4">((F2*(N2/100)-1)/(F2 -1))*40/5</f>
        <v>0.37023593466424787</v>
      </c>
      <c r="Q2" s="62">
        <f t="shared" ref="Q2:Q65" si="5">IF(E2&gt;0,IF(H2=1,(F2-1),-1),0)</f>
        <v>-1</v>
      </c>
    </row>
    <row r="3" spans="1:17">
      <c r="A3" s="4" t="s">
        <v>12</v>
      </c>
      <c r="B3" s="4" t="s">
        <v>15</v>
      </c>
      <c r="C3" s="4" t="s">
        <v>2</v>
      </c>
      <c r="D3" s="4" t="s">
        <v>48</v>
      </c>
      <c r="E3" s="5">
        <f t="shared" si="0"/>
        <v>0.97570850202429171</v>
      </c>
      <c r="F3" s="9">
        <f>((3.6-1)*0.95)+1</f>
        <v>3.4699999999999998</v>
      </c>
      <c r="G3" s="10" t="s">
        <v>39</v>
      </c>
      <c r="H3" s="281">
        <v>1</v>
      </c>
      <c r="I3" s="281">
        <f t="shared" si="1"/>
        <v>1</v>
      </c>
      <c r="K3" s="62">
        <f t="shared" si="2"/>
        <v>2.41</v>
      </c>
      <c r="M3" s="61">
        <v>1.5</v>
      </c>
      <c r="N3" s="67">
        <f t="shared" si="3"/>
        <v>37.5</v>
      </c>
      <c r="O3" s="41">
        <f t="shared" si="4"/>
        <v>0.97570850202429171</v>
      </c>
      <c r="Q3" s="62">
        <f t="shared" si="5"/>
        <v>2.4699999999999998</v>
      </c>
    </row>
    <row r="4" spans="1:17">
      <c r="A4" s="12" t="s">
        <v>12</v>
      </c>
      <c r="B4" s="12" t="s">
        <v>5</v>
      </c>
      <c r="C4" s="12" t="s">
        <v>16</v>
      </c>
      <c r="D4" s="12" t="s">
        <v>48</v>
      </c>
      <c r="E4" s="13">
        <f t="shared" si="0"/>
        <v>0.53121175030599754</v>
      </c>
      <c r="F4" s="14">
        <f>((5.3-1)*0.95)+1</f>
        <v>5.085</v>
      </c>
      <c r="G4" s="15" t="s">
        <v>37</v>
      </c>
      <c r="H4" s="281">
        <v>0</v>
      </c>
      <c r="I4" s="281">
        <f t="shared" si="1"/>
        <v>0</v>
      </c>
      <c r="K4" s="62">
        <f t="shared" si="2"/>
        <v>-0.53121175030599754</v>
      </c>
      <c r="M4" s="61">
        <v>1</v>
      </c>
      <c r="N4" s="67">
        <f t="shared" si="3"/>
        <v>25</v>
      </c>
      <c r="O4" s="41">
        <f t="shared" si="4"/>
        <v>0.53121175030599754</v>
      </c>
      <c r="Q4" s="62">
        <f t="shared" si="5"/>
        <v>-1</v>
      </c>
    </row>
    <row r="5" spans="1:17">
      <c r="A5" s="12" t="s">
        <v>12</v>
      </c>
      <c r="B5" s="12" t="s">
        <v>26</v>
      </c>
      <c r="C5" s="12" t="s">
        <v>10</v>
      </c>
      <c r="D5" s="13" t="s">
        <v>49</v>
      </c>
      <c r="E5" s="13">
        <f t="shared" si="0"/>
        <v>3.3333333333333335</v>
      </c>
      <c r="F5" s="12">
        <v>1.75</v>
      </c>
      <c r="G5" s="15" t="s">
        <v>82</v>
      </c>
      <c r="H5" s="281">
        <v>0</v>
      </c>
      <c r="I5" s="281">
        <f t="shared" si="1"/>
        <v>0</v>
      </c>
      <c r="K5" s="62">
        <f t="shared" si="2"/>
        <v>-3.3333333333333335</v>
      </c>
      <c r="M5" s="61">
        <v>3</v>
      </c>
      <c r="N5" s="67">
        <f t="shared" si="3"/>
        <v>75</v>
      </c>
      <c r="O5" s="41">
        <f t="shared" si="4"/>
        <v>3.3333333333333335</v>
      </c>
      <c r="Q5" s="62">
        <f t="shared" si="5"/>
        <v>-1</v>
      </c>
    </row>
    <row r="6" spans="1:17">
      <c r="A6" s="4" t="s">
        <v>12</v>
      </c>
      <c r="B6" s="4" t="s">
        <v>27</v>
      </c>
      <c r="C6" s="4" t="s">
        <v>28</v>
      </c>
      <c r="D6" s="5" t="s">
        <v>49</v>
      </c>
      <c r="E6" s="5">
        <f t="shared" si="0"/>
        <v>2.6666666666666687</v>
      </c>
      <c r="F6" s="4">
        <v>1.6</v>
      </c>
      <c r="G6" s="10" t="s">
        <v>41</v>
      </c>
      <c r="H6" s="281">
        <v>1</v>
      </c>
      <c r="I6" s="281">
        <f t="shared" si="1"/>
        <v>1</v>
      </c>
      <c r="K6" s="62">
        <f t="shared" si="2"/>
        <v>1.6000000000000014</v>
      </c>
      <c r="M6" s="61">
        <v>3</v>
      </c>
      <c r="N6" s="67">
        <f t="shared" si="3"/>
        <v>75</v>
      </c>
      <c r="O6" s="41">
        <f t="shared" si="4"/>
        <v>2.6666666666666687</v>
      </c>
      <c r="Q6" s="62">
        <f t="shared" si="5"/>
        <v>0.60000000000000009</v>
      </c>
    </row>
    <row r="7" spans="1:17">
      <c r="A7" s="12" t="s">
        <v>12</v>
      </c>
      <c r="B7" s="12" t="s">
        <v>3</v>
      </c>
      <c r="C7" s="12" t="s">
        <v>67</v>
      </c>
      <c r="D7" s="12" t="s">
        <v>34</v>
      </c>
      <c r="E7" s="13">
        <f t="shared" si="0"/>
        <v>0</v>
      </c>
      <c r="F7" s="14">
        <v>3.3</v>
      </c>
      <c r="G7" s="15" t="s">
        <v>42</v>
      </c>
      <c r="H7" s="281">
        <v>0</v>
      </c>
      <c r="I7" s="281" t="str">
        <f t="shared" si="1"/>
        <v/>
      </c>
      <c r="K7" s="62">
        <f t="shared" si="2"/>
        <v>0</v>
      </c>
      <c r="M7" s="61">
        <v>0.6</v>
      </c>
      <c r="N7" s="67">
        <f t="shared" si="3"/>
        <v>15</v>
      </c>
      <c r="O7" s="41">
        <f t="shared" si="4"/>
        <v>-1.7565217391304351</v>
      </c>
      <c r="Q7" s="62">
        <f t="shared" si="5"/>
        <v>0</v>
      </c>
    </row>
    <row r="8" spans="1:17">
      <c r="A8" s="4" t="s">
        <v>12</v>
      </c>
      <c r="B8" s="4" t="s">
        <v>134</v>
      </c>
      <c r="C8" s="4" t="s">
        <v>73</v>
      </c>
      <c r="D8" s="4" t="s">
        <v>49</v>
      </c>
      <c r="E8" s="5">
        <f t="shared" si="0"/>
        <v>0</v>
      </c>
      <c r="F8" s="9">
        <f>((1.74-1)*0.95)+1</f>
        <v>1.7029999999999998</v>
      </c>
      <c r="G8" s="16" t="s">
        <v>41</v>
      </c>
      <c r="H8" s="281">
        <v>1</v>
      </c>
      <c r="I8" s="281" t="str">
        <f t="shared" si="1"/>
        <v/>
      </c>
      <c r="K8" s="62">
        <f t="shared" si="2"/>
        <v>0</v>
      </c>
      <c r="M8" s="61">
        <v>2</v>
      </c>
      <c r="N8" s="67">
        <f t="shared" si="3"/>
        <v>50</v>
      </c>
      <c r="O8" s="41">
        <f t="shared" si="4"/>
        <v>-1.6899004267425333</v>
      </c>
      <c r="Q8" s="62">
        <f t="shared" si="5"/>
        <v>0</v>
      </c>
    </row>
    <row r="9" spans="1:17">
      <c r="A9" s="42" t="s">
        <v>12</v>
      </c>
      <c r="B9" s="42" t="s">
        <v>2</v>
      </c>
      <c r="C9" s="42" t="s">
        <v>47</v>
      </c>
      <c r="D9" s="42" t="s">
        <v>48</v>
      </c>
      <c r="E9" s="43">
        <f t="shared" si="0"/>
        <v>1.2158786797502232</v>
      </c>
      <c r="F9" s="44">
        <f>((3.95-1)*0.95)+1</f>
        <v>3.8025000000000002</v>
      </c>
      <c r="G9" s="45" t="s">
        <v>43</v>
      </c>
      <c r="H9" s="281">
        <v>1</v>
      </c>
      <c r="I9" s="281">
        <f t="shared" si="1"/>
        <v>1</v>
      </c>
      <c r="K9" s="62">
        <f t="shared" si="2"/>
        <v>3.4075000000000011</v>
      </c>
      <c r="M9" s="61">
        <v>1.5</v>
      </c>
      <c r="N9" s="67">
        <f t="shared" si="3"/>
        <v>37.5</v>
      </c>
      <c r="O9" s="41">
        <f t="shared" si="4"/>
        <v>1.2158786797502232</v>
      </c>
      <c r="Q9" s="62">
        <f t="shared" si="5"/>
        <v>2.8025000000000002</v>
      </c>
    </row>
    <row r="10" spans="1:17">
      <c r="A10" s="46" t="s">
        <v>12</v>
      </c>
      <c r="B10" s="46" t="s">
        <v>28</v>
      </c>
      <c r="C10" s="46" t="s">
        <v>1</v>
      </c>
      <c r="D10" s="46" t="s">
        <v>49</v>
      </c>
      <c r="E10" s="47">
        <f t="shared" si="0"/>
        <v>0</v>
      </c>
      <c r="F10" s="48">
        <f>((1.96-1)*0.95)+1</f>
        <v>1.9119999999999999</v>
      </c>
      <c r="G10" s="49" t="s">
        <v>37</v>
      </c>
      <c r="H10" s="281">
        <v>0</v>
      </c>
      <c r="I10" s="281" t="str">
        <f t="shared" si="1"/>
        <v/>
      </c>
      <c r="K10" s="62">
        <f t="shared" si="2"/>
        <v>0</v>
      </c>
      <c r="M10" s="61">
        <v>2</v>
      </c>
      <c r="N10" s="67">
        <f t="shared" si="3"/>
        <v>50</v>
      </c>
      <c r="O10" s="41">
        <f t="shared" si="4"/>
        <v>-0.38596491228070212</v>
      </c>
      <c r="Q10" s="62">
        <f t="shared" si="5"/>
        <v>0</v>
      </c>
    </row>
    <row r="11" spans="1:17">
      <c r="A11" s="46" t="s">
        <v>12</v>
      </c>
      <c r="B11" s="46" t="s">
        <v>26</v>
      </c>
      <c r="C11" s="46" t="s">
        <v>4</v>
      </c>
      <c r="D11" s="46" t="s">
        <v>48</v>
      </c>
      <c r="E11" s="47">
        <f t="shared" si="0"/>
        <v>0</v>
      </c>
      <c r="F11" s="48">
        <v>2.2000000000000002</v>
      </c>
      <c r="G11" s="49" t="s">
        <v>38</v>
      </c>
      <c r="H11" s="281">
        <v>0</v>
      </c>
      <c r="I11" s="281" t="str">
        <f t="shared" si="1"/>
        <v/>
      </c>
      <c r="K11" s="62">
        <f t="shared" si="2"/>
        <v>0</v>
      </c>
      <c r="M11" s="61">
        <v>1.5</v>
      </c>
      <c r="N11" s="67">
        <f t="shared" si="3"/>
        <v>37.5</v>
      </c>
      <c r="O11" s="41">
        <f t="shared" si="4"/>
        <v>-1.1666666666666661</v>
      </c>
      <c r="Q11" s="62">
        <f t="shared" si="5"/>
        <v>0</v>
      </c>
    </row>
    <row r="12" spans="1:17">
      <c r="A12" s="50" t="s">
        <v>12</v>
      </c>
      <c r="B12" s="50" t="s">
        <v>2</v>
      </c>
      <c r="C12" s="50" t="s">
        <v>27</v>
      </c>
      <c r="D12" s="50" t="s">
        <v>49</v>
      </c>
      <c r="E12" s="51">
        <f t="shared" si="0"/>
        <v>0.36842105263157859</v>
      </c>
      <c r="F12" s="52">
        <v>2.9</v>
      </c>
      <c r="G12" s="53" t="s">
        <v>121</v>
      </c>
      <c r="H12" s="281">
        <v>0</v>
      </c>
      <c r="I12" s="281">
        <f t="shared" si="1"/>
        <v>0</v>
      </c>
      <c r="K12" s="62">
        <f t="shared" si="2"/>
        <v>-0.36842105263157859</v>
      </c>
      <c r="M12" s="61">
        <v>1.5</v>
      </c>
      <c r="N12" s="67">
        <f t="shared" si="3"/>
        <v>37.5</v>
      </c>
      <c r="O12" s="41">
        <f t="shared" si="4"/>
        <v>0.36842105263157859</v>
      </c>
      <c r="Q12" s="62">
        <f t="shared" si="5"/>
        <v>-1</v>
      </c>
    </row>
    <row r="13" spans="1:17">
      <c r="A13" s="54" t="s">
        <v>12</v>
      </c>
      <c r="B13" s="54" t="s">
        <v>16</v>
      </c>
      <c r="C13" s="54" t="s">
        <v>47</v>
      </c>
      <c r="D13" s="54" t="s">
        <v>49</v>
      </c>
      <c r="E13" s="55">
        <f t="shared" si="0"/>
        <v>0.17224880382775093</v>
      </c>
      <c r="F13" s="56">
        <f>((2.1-1)*0.95)+1</f>
        <v>2.0449999999999999</v>
      </c>
      <c r="G13" s="57" t="s">
        <v>122</v>
      </c>
      <c r="H13" s="281">
        <v>1</v>
      </c>
      <c r="I13" s="281">
        <f t="shared" si="1"/>
        <v>1</v>
      </c>
      <c r="K13" s="62">
        <f t="shared" si="2"/>
        <v>0.17999999999999972</v>
      </c>
      <c r="M13" s="61">
        <v>2</v>
      </c>
      <c r="N13" s="67">
        <f t="shared" si="3"/>
        <v>50</v>
      </c>
      <c r="O13" s="41">
        <f t="shared" si="4"/>
        <v>0.17224880382775093</v>
      </c>
      <c r="Q13" s="62">
        <f t="shared" si="5"/>
        <v>1.0449999999999999</v>
      </c>
    </row>
    <row r="14" spans="1:17">
      <c r="A14" s="54" t="s">
        <v>12</v>
      </c>
      <c r="B14" s="54" t="s">
        <v>0</v>
      </c>
      <c r="C14" s="54" t="s">
        <v>15</v>
      </c>
      <c r="D14" s="54" t="s">
        <v>48</v>
      </c>
      <c r="E14" s="55">
        <f t="shared" si="0"/>
        <v>0.25000000000000011</v>
      </c>
      <c r="F14" s="56">
        <v>6.2</v>
      </c>
      <c r="G14" s="57" t="s">
        <v>39</v>
      </c>
      <c r="H14" s="281">
        <v>1</v>
      </c>
      <c r="I14" s="281">
        <f t="shared" si="1"/>
        <v>1</v>
      </c>
      <c r="K14" s="62">
        <f t="shared" si="2"/>
        <v>1.3000000000000007</v>
      </c>
      <c r="M14" s="61">
        <v>0.75</v>
      </c>
      <c r="N14" s="67">
        <f t="shared" si="3"/>
        <v>18.75</v>
      </c>
      <c r="O14" s="41">
        <f t="shared" si="4"/>
        <v>0.25000000000000011</v>
      </c>
      <c r="Q14" s="62">
        <f t="shared" si="5"/>
        <v>5.2</v>
      </c>
    </row>
    <row r="15" spans="1:17">
      <c r="A15" s="46" t="s">
        <v>12</v>
      </c>
      <c r="B15" s="46" t="s">
        <v>67</v>
      </c>
      <c r="C15" s="46" t="s">
        <v>5</v>
      </c>
      <c r="D15" s="46" t="s">
        <v>48</v>
      </c>
      <c r="E15" s="47">
        <f t="shared" si="0"/>
        <v>1.0139026812313798</v>
      </c>
      <c r="F15" s="48">
        <f>((3.65-1)*0.95)+1</f>
        <v>3.5174999999999996</v>
      </c>
      <c r="G15" s="49" t="s">
        <v>42</v>
      </c>
      <c r="H15" s="281">
        <v>0</v>
      </c>
      <c r="I15" s="281">
        <f t="shared" si="1"/>
        <v>0</v>
      </c>
      <c r="K15" s="62">
        <f t="shared" si="2"/>
        <v>-1.0139026812313798</v>
      </c>
      <c r="M15" s="61">
        <v>1.5</v>
      </c>
      <c r="N15" s="67">
        <f t="shared" si="3"/>
        <v>37.5</v>
      </c>
      <c r="O15" s="41">
        <f t="shared" si="4"/>
        <v>1.0139026812313798</v>
      </c>
      <c r="Q15" s="62">
        <f t="shared" si="5"/>
        <v>-1</v>
      </c>
    </row>
    <row r="16" spans="1:17">
      <c r="A16" s="91" t="s">
        <v>12</v>
      </c>
      <c r="B16" s="91" t="s">
        <v>26</v>
      </c>
      <c r="C16" s="91" t="s">
        <v>119</v>
      </c>
      <c r="D16" s="91" t="s">
        <v>48</v>
      </c>
      <c r="E16" s="92">
        <f t="shared" si="0"/>
        <v>0</v>
      </c>
      <c r="F16" s="93">
        <v>2.2999999999999998</v>
      </c>
      <c r="G16" s="94" t="s">
        <v>43</v>
      </c>
      <c r="H16" s="281">
        <v>1</v>
      </c>
      <c r="I16" s="281" t="str">
        <f t="shared" si="1"/>
        <v/>
      </c>
      <c r="K16" s="62">
        <f t="shared" si="2"/>
        <v>0</v>
      </c>
      <c r="M16" s="61">
        <v>1</v>
      </c>
      <c r="N16" s="67">
        <f t="shared" si="3"/>
        <v>25</v>
      </c>
      <c r="O16" s="41">
        <f t="shared" si="4"/>
        <v>-2.6153846153846159</v>
      </c>
      <c r="Q16" s="62">
        <f t="shared" si="5"/>
        <v>0</v>
      </c>
    </row>
    <row r="17" spans="1:17" s="235" customFormat="1">
      <c r="A17" s="12" t="s">
        <v>12</v>
      </c>
      <c r="B17" s="12" t="s">
        <v>28</v>
      </c>
      <c r="C17" s="12" t="s">
        <v>10</v>
      </c>
      <c r="D17" s="12" t="s">
        <v>49</v>
      </c>
      <c r="E17" s="13">
        <f t="shared" si="0"/>
        <v>0</v>
      </c>
      <c r="F17" s="14">
        <f>((2.28-1)*0.95)+1</f>
        <v>2.2159999999999997</v>
      </c>
      <c r="G17" s="15" t="s">
        <v>38</v>
      </c>
      <c r="H17" s="235">
        <v>0</v>
      </c>
      <c r="I17" s="281" t="str">
        <f t="shared" si="1"/>
        <v/>
      </c>
      <c r="K17" s="62">
        <f t="shared" si="2"/>
        <v>0</v>
      </c>
      <c r="L17" s="281"/>
      <c r="M17" s="61">
        <v>1</v>
      </c>
      <c r="N17" s="67">
        <f t="shared" si="3"/>
        <v>25</v>
      </c>
      <c r="O17" s="41">
        <f t="shared" si="4"/>
        <v>-2.9342105263157907</v>
      </c>
      <c r="P17" s="281"/>
      <c r="Q17" s="62">
        <f t="shared" si="5"/>
        <v>0</v>
      </c>
    </row>
    <row r="18" spans="1:17" s="235" customFormat="1">
      <c r="A18" s="4" t="s">
        <v>12</v>
      </c>
      <c r="B18" s="4" t="s">
        <v>47</v>
      </c>
      <c r="C18" s="4" t="s">
        <v>0</v>
      </c>
      <c r="D18" s="4" t="s">
        <v>49</v>
      </c>
      <c r="E18" s="5">
        <f t="shared" si="0"/>
        <v>0</v>
      </c>
      <c r="F18" s="9">
        <f>((2.32-1)*0.95)+1</f>
        <v>2.2539999999999996</v>
      </c>
      <c r="G18" s="10" t="s">
        <v>122</v>
      </c>
      <c r="H18" s="235">
        <v>1</v>
      </c>
      <c r="I18" s="281" t="str">
        <f t="shared" si="1"/>
        <v/>
      </c>
      <c r="K18" s="62">
        <f t="shared" si="2"/>
        <v>0</v>
      </c>
      <c r="L18" s="281"/>
      <c r="M18" s="61">
        <v>1</v>
      </c>
      <c r="N18" s="67">
        <f t="shared" si="3"/>
        <v>25</v>
      </c>
      <c r="O18" s="41">
        <f t="shared" si="4"/>
        <v>-2.7846889952153129</v>
      </c>
      <c r="P18" s="281"/>
      <c r="Q18" s="62">
        <f t="shared" si="5"/>
        <v>0</v>
      </c>
    </row>
    <row r="19" spans="1:17" s="235" customFormat="1">
      <c r="A19" s="12" t="s">
        <v>12</v>
      </c>
      <c r="B19" s="12" t="s">
        <v>5</v>
      </c>
      <c r="C19" s="12" t="s">
        <v>73</v>
      </c>
      <c r="D19" s="12" t="s">
        <v>49</v>
      </c>
      <c r="E19" s="13">
        <f t="shared" si="0"/>
        <v>0</v>
      </c>
      <c r="F19" s="14">
        <f>((1.86-1)*0.95)+1</f>
        <v>1.8170000000000002</v>
      </c>
      <c r="G19" s="15" t="s">
        <v>39</v>
      </c>
      <c r="H19" s="235">
        <v>0</v>
      </c>
      <c r="I19" s="281" t="str">
        <f t="shared" si="1"/>
        <v/>
      </c>
      <c r="K19" s="62">
        <f t="shared" si="2"/>
        <v>0</v>
      </c>
      <c r="L19" s="281"/>
      <c r="M19" s="61">
        <v>2</v>
      </c>
      <c r="N19" s="67">
        <f t="shared" si="3"/>
        <v>50</v>
      </c>
      <c r="O19" s="41">
        <f t="shared" si="4"/>
        <v>-0.89596083231334034</v>
      </c>
      <c r="P19" s="281"/>
      <c r="Q19" s="62">
        <f t="shared" si="5"/>
        <v>0</v>
      </c>
    </row>
    <row r="20" spans="1:17" s="235" customFormat="1">
      <c r="A20" s="12" t="s">
        <v>12</v>
      </c>
      <c r="B20" s="12" t="s">
        <v>175</v>
      </c>
      <c r="C20" s="12" t="s">
        <v>4</v>
      </c>
      <c r="D20" s="12" t="s">
        <v>49</v>
      </c>
      <c r="E20" s="13">
        <f t="shared" si="0"/>
        <v>0</v>
      </c>
      <c r="F20" s="14">
        <v>2</v>
      </c>
      <c r="G20" s="15" t="s">
        <v>37</v>
      </c>
      <c r="H20" s="235">
        <v>0</v>
      </c>
      <c r="I20" s="281" t="str">
        <f t="shared" si="1"/>
        <v/>
      </c>
      <c r="K20" s="62">
        <f t="shared" si="2"/>
        <v>0</v>
      </c>
      <c r="L20" s="281"/>
      <c r="M20" s="61">
        <v>1.5</v>
      </c>
      <c r="N20" s="67">
        <f t="shared" si="3"/>
        <v>37.5</v>
      </c>
      <c r="O20" s="41">
        <f t="shared" si="4"/>
        <v>-2</v>
      </c>
      <c r="P20" s="281"/>
      <c r="Q20" s="62">
        <f t="shared" si="5"/>
        <v>0</v>
      </c>
    </row>
    <row r="21" spans="1:17" s="235" customFormat="1">
      <c r="A21" s="87" t="s">
        <v>12</v>
      </c>
      <c r="B21" s="87" t="s">
        <v>27</v>
      </c>
      <c r="C21" s="87" t="s">
        <v>16</v>
      </c>
      <c r="D21" s="87" t="s">
        <v>49</v>
      </c>
      <c r="E21" s="88">
        <f t="shared" si="0"/>
        <v>0</v>
      </c>
      <c r="F21" s="89">
        <v>1.75</v>
      </c>
      <c r="G21" s="90" t="s">
        <v>179</v>
      </c>
      <c r="H21" s="235">
        <v>0</v>
      </c>
      <c r="I21" s="281" t="str">
        <f t="shared" si="1"/>
        <v/>
      </c>
      <c r="K21" s="62">
        <f t="shared" si="2"/>
        <v>0</v>
      </c>
      <c r="L21" s="281"/>
      <c r="M21" s="61">
        <v>1.5</v>
      </c>
      <c r="N21" s="67">
        <f t="shared" si="3"/>
        <v>37.5</v>
      </c>
      <c r="O21" s="41">
        <f t="shared" si="4"/>
        <v>-3.6666666666666665</v>
      </c>
      <c r="P21" s="281"/>
      <c r="Q21" s="62">
        <f t="shared" si="5"/>
        <v>0</v>
      </c>
    </row>
    <row r="22" spans="1:17" s="235" customFormat="1">
      <c r="A22" s="12" t="s">
        <v>12</v>
      </c>
      <c r="B22" s="12" t="s">
        <v>2</v>
      </c>
      <c r="C22" s="12" t="s">
        <v>181</v>
      </c>
      <c r="D22" s="12" t="s">
        <v>48</v>
      </c>
      <c r="E22" s="13">
        <f t="shared" si="0"/>
        <v>0.36842105263157859</v>
      </c>
      <c r="F22" s="14">
        <v>2.9</v>
      </c>
      <c r="G22" s="15" t="s">
        <v>36</v>
      </c>
      <c r="H22" s="235">
        <v>0</v>
      </c>
      <c r="I22" s="281">
        <f t="shared" si="1"/>
        <v>0</v>
      </c>
      <c r="K22" s="62">
        <f t="shared" si="2"/>
        <v>-0.36842105263157859</v>
      </c>
      <c r="L22" s="281"/>
      <c r="M22" s="61">
        <v>1.5</v>
      </c>
      <c r="N22" s="67">
        <f t="shared" si="3"/>
        <v>37.5</v>
      </c>
      <c r="O22" s="41">
        <f t="shared" si="4"/>
        <v>0.36842105263157859</v>
      </c>
      <c r="P22" s="281"/>
      <c r="Q22" s="62">
        <f t="shared" si="5"/>
        <v>-1</v>
      </c>
    </row>
    <row r="23" spans="1:17" s="235" customFormat="1">
      <c r="A23" s="4" t="s">
        <v>12</v>
      </c>
      <c r="B23" s="4" t="s">
        <v>67</v>
      </c>
      <c r="C23" s="4" t="s">
        <v>47</v>
      </c>
      <c r="D23" s="4" t="s">
        <v>49</v>
      </c>
      <c r="E23" s="5">
        <f t="shared" si="0"/>
        <v>0</v>
      </c>
      <c r="F23" s="9">
        <f>((1.8-1)*0.95)+1</f>
        <v>1.76</v>
      </c>
      <c r="G23" s="10" t="s">
        <v>187</v>
      </c>
      <c r="H23" s="235">
        <v>1</v>
      </c>
      <c r="I23" s="281" t="str">
        <f t="shared" si="1"/>
        <v/>
      </c>
      <c r="K23" s="62">
        <f t="shared" si="2"/>
        <v>0</v>
      </c>
      <c r="L23" s="281"/>
      <c r="M23" s="61">
        <v>1.5</v>
      </c>
      <c r="N23" s="67">
        <f t="shared" si="3"/>
        <v>37.5</v>
      </c>
      <c r="O23" s="41">
        <f t="shared" si="4"/>
        <v>-3.5789473684210522</v>
      </c>
      <c r="P23" s="281"/>
      <c r="Q23" s="62">
        <f t="shared" si="5"/>
        <v>0</v>
      </c>
    </row>
    <row r="24" spans="1:17" s="235" customFormat="1">
      <c r="A24" s="4" t="s">
        <v>12</v>
      </c>
      <c r="B24" s="4" t="s">
        <v>182</v>
      </c>
      <c r="C24" s="4" t="s">
        <v>5</v>
      </c>
      <c r="D24" s="4" t="s">
        <v>49</v>
      </c>
      <c r="E24" s="5">
        <f t="shared" si="0"/>
        <v>0.17034521788341833</v>
      </c>
      <c r="F24" s="9">
        <f>((2.86-1)*0.95)+1</f>
        <v>2.7669999999999999</v>
      </c>
      <c r="G24" s="10" t="s">
        <v>36</v>
      </c>
      <c r="H24" s="235">
        <v>1</v>
      </c>
      <c r="I24" s="281">
        <f t="shared" si="1"/>
        <v>1</v>
      </c>
      <c r="K24" s="62">
        <f t="shared" si="2"/>
        <v>0.30100000000000016</v>
      </c>
      <c r="L24" s="281"/>
      <c r="M24" s="61">
        <v>1.5</v>
      </c>
      <c r="N24" s="67">
        <f t="shared" si="3"/>
        <v>37.5</v>
      </c>
      <c r="O24" s="41">
        <f t="shared" si="4"/>
        <v>0.17034521788341833</v>
      </c>
      <c r="P24" s="281"/>
      <c r="Q24" s="62">
        <f t="shared" si="5"/>
        <v>1.7669999999999999</v>
      </c>
    </row>
    <row r="25" spans="1:17" s="235" customFormat="1">
      <c r="A25" s="4" t="s">
        <v>12</v>
      </c>
      <c r="B25" s="4" t="s">
        <v>0</v>
      </c>
      <c r="C25" s="4" t="s">
        <v>27</v>
      </c>
      <c r="D25" s="4" t="s">
        <v>49</v>
      </c>
      <c r="E25" s="5">
        <f t="shared" si="0"/>
        <v>1.7777777777777775</v>
      </c>
      <c r="F25" s="9">
        <v>2.8</v>
      </c>
      <c r="G25" s="10" t="s">
        <v>42</v>
      </c>
      <c r="H25" s="235">
        <v>1</v>
      </c>
      <c r="I25" s="281">
        <f t="shared" si="1"/>
        <v>1</v>
      </c>
      <c r="K25" s="62">
        <f t="shared" si="2"/>
        <v>3.1999999999999993</v>
      </c>
      <c r="L25" s="281"/>
      <c r="M25" s="61">
        <v>2</v>
      </c>
      <c r="N25" s="67">
        <f t="shared" si="3"/>
        <v>50</v>
      </c>
      <c r="O25" s="41">
        <f t="shared" si="4"/>
        <v>1.7777777777777775</v>
      </c>
      <c r="P25" s="281"/>
      <c r="Q25" s="62">
        <f t="shared" si="5"/>
        <v>1.7999999999999998</v>
      </c>
    </row>
    <row r="26" spans="1:17" s="235" customFormat="1">
      <c r="A26" s="87" t="s">
        <v>12</v>
      </c>
      <c r="B26" s="87" t="s">
        <v>10</v>
      </c>
      <c r="C26" s="87" t="s">
        <v>134</v>
      </c>
      <c r="D26" s="87" t="s">
        <v>49</v>
      </c>
      <c r="E26" s="88">
        <f t="shared" si="0"/>
        <v>0</v>
      </c>
      <c r="F26" s="89">
        <f>((4.2-1)*0.95)+1</f>
        <v>4.04</v>
      </c>
      <c r="G26" s="90" t="s">
        <v>37</v>
      </c>
      <c r="H26" s="235">
        <v>0</v>
      </c>
      <c r="I26" s="281" t="str">
        <f t="shared" si="1"/>
        <v/>
      </c>
      <c r="K26" s="62">
        <f t="shared" si="2"/>
        <v>0</v>
      </c>
      <c r="L26" s="281"/>
      <c r="M26" s="61">
        <v>0.75</v>
      </c>
      <c r="N26" s="67">
        <f t="shared" si="3"/>
        <v>18.75</v>
      </c>
      <c r="O26" s="41">
        <f t="shared" si="4"/>
        <v>-0.63815789473684192</v>
      </c>
      <c r="P26" s="281"/>
      <c r="Q26" s="62">
        <f t="shared" si="5"/>
        <v>0</v>
      </c>
    </row>
    <row r="27" spans="1:17" s="235" customFormat="1">
      <c r="A27" s="4" t="s">
        <v>12</v>
      </c>
      <c r="B27" s="4" t="s">
        <v>5</v>
      </c>
      <c r="C27" s="4" t="s">
        <v>26</v>
      </c>
      <c r="D27" s="4" t="s">
        <v>49</v>
      </c>
      <c r="E27" s="5">
        <f t="shared" si="0"/>
        <v>3.11607786589762</v>
      </c>
      <c r="F27" s="9">
        <f>((1.73-1)*0.95)+1</f>
        <v>1.6935</v>
      </c>
      <c r="G27" s="10" t="s">
        <v>36</v>
      </c>
      <c r="H27" s="235">
        <v>1</v>
      </c>
      <c r="I27" s="281">
        <f t="shared" si="1"/>
        <v>1</v>
      </c>
      <c r="K27" s="62">
        <f t="shared" si="2"/>
        <v>2.1609999999999996</v>
      </c>
      <c r="L27" s="281"/>
      <c r="M27" s="61">
        <v>3</v>
      </c>
      <c r="N27" s="67">
        <f t="shared" si="3"/>
        <v>75</v>
      </c>
      <c r="O27" s="41">
        <f t="shared" si="4"/>
        <v>3.11607786589762</v>
      </c>
      <c r="P27" s="281"/>
      <c r="Q27" s="62">
        <f t="shared" si="5"/>
        <v>0.69350000000000001</v>
      </c>
    </row>
    <row r="28" spans="1:17" s="235" customFormat="1">
      <c r="A28" s="4" t="s">
        <v>12</v>
      </c>
      <c r="B28" s="4" t="s">
        <v>15</v>
      </c>
      <c r="C28" s="4" t="s">
        <v>182</v>
      </c>
      <c r="D28" s="4" t="s">
        <v>49</v>
      </c>
      <c r="E28" s="5">
        <f t="shared" si="0"/>
        <v>1.1160778658976207</v>
      </c>
      <c r="F28" s="9">
        <f>((2.46-1)*0.95)+1</f>
        <v>2.387</v>
      </c>
      <c r="G28" s="10" t="s">
        <v>201</v>
      </c>
      <c r="H28" s="235">
        <v>1</v>
      </c>
      <c r="I28" s="281">
        <f t="shared" si="1"/>
        <v>1</v>
      </c>
      <c r="K28" s="62">
        <f t="shared" si="2"/>
        <v>1.5479999999999998</v>
      </c>
      <c r="L28" s="281"/>
      <c r="M28" s="61">
        <v>2</v>
      </c>
      <c r="N28" s="67">
        <f t="shared" si="3"/>
        <v>50</v>
      </c>
      <c r="O28" s="41">
        <f t="shared" si="4"/>
        <v>1.1160778658976207</v>
      </c>
      <c r="P28" s="281"/>
      <c r="Q28" s="62">
        <f t="shared" si="5"/>
        <v>1.387</v>
      </c>
    </row>
    <row r="29" spans="1:17" s="235" customFormat="1">
      <c r="A29" s="4" t="s">
        <v>12</v>
      </c>
      <c r="B29" s="4" t="s">
        <v>27</v>
      </c>
      <c r="C29" s="4" t="s">
        <v>67</v>
      </c>
      <c r="D29" s="4" t="s">
        <v>49</v>
      </c>
      <c r="E29" s="5">
        <f t="shared" si="0"/>
        <v>0</v>
      </c>
      <c r="F29" s="9">
        <f>((1.97-1)*0.95)+1</f>
        <v>1.9215</v>
      </c>
      <c r="G29" s="10" t="s">
        <v>41</v>
      </c>
      <c r="H29" s="235">
        <v>1</v>
      </c>
      <c r="I29" s="281" t="str">
        <f t="shared" si="1"/>
        <v/>
      </c>
      <c r="K29" s="62">
        <f t="shared" si="2"/>
        <v>0</v>
      </c>
      <c r="L29" s="281"/>
      <c r="M29" s="61">
        <v>1.25</v>
      </c>
      <c r="N29" s="67">
        <f t="shared" si="3"/>
        <v>31.25</v>
      </c>
      <c r="O29" s="41">
        <f t="shared" si="4"/>
        <v>-3.4685295713510582</v>
      </c>
      <c r="P29" s="281"/>
      <c r="Q29" s="62">
        <f t="shared" si="5"/>
        <v>0</v>
      </c>
    </row>
    <row r="30" spans="1:17" s="235" customFormat="1">
      <c r="A30" s="87" t="s">
        <v>12</v>
      </c>
      <c r="B30" s="87" t="s">
        <v>28</v>
      </c>
      <c r="C30" s="87" t="s">
        <v>2</v>
      </c>
      <c r="D30" s="87" t="s">
        <v>49</v>
      </c>
      <c r="E30" s="88">
        <f t="shared" si="0"/>
        <v>0</v>
      </c>
      <c r="F30" s="89">
        <v>2.2999999999999998</v>
      </c>
      <c r="G30" s="90" t="s">
        <v>206</v>
      </c>
      <c r="H30" s="235">
        <v>0</v>
      </c>
      <c r="I30" s="281" t="str">
        <f t="shared" si="1"/>
        <v/>
      </c>
      <c r="K30" s="62">
        <f t="shared" si="2"/>
        <v>0</v>
      </c>
      <c r="L30" s="281"/>
      <c r="M30" s="61">
        <v>1</v>
      </c>
      <c r="N30" s="67">
        <f t="shared" si="3"/>
        <v>25</v>
      </c>
      <c r="O30" s="41">
        <f t="shared" si="4"/>
        <v>-2.6153846153846159</v>
      </c>
      <c r="P30" s="281"/>
      <c r="Q30" s="62">
        <f t="shared" si="5"/>
        <v>0</v>
      </c>
    </row>
    <row r="31" spans="1:17" s="235" customFormat="1">
      <c r="A31" s="50" t="s">
        <v>12</v>
      </c>
      <c r="B31" s="50" t="s">
        <v>10</v>
      </c>
      <c r="C31" s="50" t="s">
        <v>3</v>
      </c>
      <c r="D31" s="50" t="s">
        <v>49</v>
      </c>
      <c r="E31" s="51">
        <f t="shared" si="0"/>
        <v>0.30655586334256757</v>
      </c>
      <c r="F31" s="52">
        <f>((2.14-1)*0.95)+1</f>
        <v>2.0830000000000002</v>
      </c>
      <c r="G31" s="53" t="s">
        <v>38</v>
      </c>
      <c r="H31" s="235">
        <v>0</v>
      </c>
      <c r="I31" s="281">
        <f t="shared" si="1"/>
        <v>0</v>
      </c>
      <c r="K31" s="62">
        <f t="shared" si="2"/>
        <v>-0.30655586334256757</v>
      </c>
      <c r="L31" s="281"/>
      <c r="M31" s="61">
        <v>2</v>
      </c>
      <c r="N31" s="67">
        <f t="shared" si="3"/>
        <v>50</v>
      </c>
      <c r="O31" s="41">
        <f t="shared" si="4"/>
        <v>0.30655586334256757</v>
      </c>
      <c r="P31" s="281"/>
      <c r="Q31" s="62">
        <f t="shared" si="5"/>
        <v>-1</v>
      </c>
    </row>
    <row r="32" spans="1:17" s="235" customFormat="1">
      <c r="A32" s="54" t="s">
        <v>12</v>
      </c>
      <c r="B32" s="54" t="s">
        <v>67</v>
      </c>
      <c r="C32" s="54" t="s">
        <v>1</v>
      </c>
      <c r="D32" s="54" t="s">
        <v>49</v>
      </c>
      <c r="E32" s="55">
        <f t="shared" si="0"/>
        <v>1.7035445757250252</v>
      </c>
      <c r="F32" s="56">
        <f>((1.49-1)*0.95)+1</f>
        <v>1.4655</v>
      </c>
      <c r="G32" s="57" t="s">
        <v>146</v>
      </c>
      <c r="H32" s="235">
        <v>1</v>
      </c>
      <c r="I32" s="281">
        <f t="shared" si="1"/>
        <v>1</v>
      </c>
      <c r="K32" s="62">
        <f t="shared" si="2"/>
        <v>0.79299999999999926</v>
      </c>
      <c r="L32" s="281"/>
      <c r="M32" s="61">
        <v>3</v>
      </c>
      <c r="N32" s="67">
        <f t="shared" si="3"/>
        <v>75</v>
      </c>
      <c r="O32" s="41">
        <f t="shared" si="4"/>
        <v>1.7035445757250252</v>
      </c>
      <c r="P32" s="281"/>
      <c r="Q32" s="62">
        <f t="shared" si="5"/>
        <v>0.46550000000000002</v>
      </c>
    </row>
    <row r="33" spans="1:17" s="235" customFormat="1">
      <c r="A33" s="54" t="s">
        <v>12</v>
      </c>
      <c r="B33" s="54" t="s">
        <v>26</v>
      </c>
      <c r="C33" s="54" t="s">
        <v>15</v>
      </c>
      <c r="D33" s="54" t="s">
        <v>49</v>
      </c>
      <c r="E33" s="55">
        <f t="shared" si="0"/>
        <v>0</v>
      </c>
      <c r="F33" s="56">
        <f>((2-1)*0.95)+1</f>
        <v>1.95</v>
      </c>
      <c r="G33" s="57" t="s">
        <v>42</v>
      </c>
      <c r="H33" s="235">
        <v>1</v>
      </c>
      <c r="I33" s="281" t="str">
        <f t="shared" si="1"/>
        <v/>
      </c>
      <c r="K33" s="62">
        <f t="shared" si="2"/>
        <v>0</v>
      </c>
      <c r="L33" s="281"/>
      <c r="M33" s="61">
        <v>1</v>
      </c>
      <c r="N33" s="67">
        <f t="shared" si="3"/>
        <v>25</v>
      </c>
      <c r="O33" s="41">
        <f t="shared" si="4"/>
        <v>-4.3157894736842106</v>
      </c>
      <c r="P33" s="281"/>
      <c r="Q33" s="62">
        <f t="shared" si="5"/>
        <v>0</v>
      </c>
    </row>
    <row r="34" spans="1:17" s="235" customFormat="1">
      <c r="A34" s="54" t="s">
        <v>12</v>
      </c>
      <c r="B34" s="54" t="s">
        <v>182</v>
      </c>
      <c r="C34" s="54" t="s">
        <v>47</v>
      </c>
      <c r="D34" s="54" t="s">
        <v>49</v>
      </c>
      <c r="E34" s="55">
        <f t="shared" si="0"/>
        <v>2.4937343358395982</v>
      </c>
      <c r="F34" s="56">
        <f>((2.26-1)*0.95)+1</f>
        <v>2.1970000000000001</v>
      </c>
      <c r="G34" s="57" t="s">
        <v>122</v>
      </c>
      <c r="H34" s="235">
        <v>1</v>
      </c>
      <c r="I34" s="281">
        <f t="shared" si="1"/>
        <v>1</v>
      </c>
      <c r="K34" s="62">
        <f t="shared" si="2"/>
        <v>2.9849999999999994</v>
      </c>
      <c r="L34" s="281"/>
      <c r="M34" s="61">
        <v>2.5</v>
      </c>
      <c r="N34" s="67">
        <f t="shared" si="3"/>
        <v>62.5</v>
      </c>
      <c r="O34" s="41">
        <f t="shared" si="4"/>
        <v>2.4937343358395982</v>
      </c>
      <c r="P34" s="281"/>
      <c r="Q34" s="62">
        <f t="shared" si="5"/>
        <v>1.1970000000000001</v>
      </c>
    </row>
    <row r="35" spans="1:17" s="235" customFormat="1">
      <c r="A35" s="46" t="s">
        <v>12</v>
      </c>
      <c r="B35" s="46" t="s">
        <v>4</v>
      </c>
      <c r="C35" s="46" t="s">
        <v>5</v>
      </c>
      <c r="D35" s="46" t="s">
        <v>49</v>
      </c>
      <c r="E35" s="47">
        <f t="shared" si="0"/>
        <v>0</v>
      </c>
      <c r="F35" s="48">
        <f>((1.88-1)*0.95)+1</f>
        <v>1.8359999999999999</v>
      </c>
      <c r="G35" s="49" t="s">
        <v>39</v>
      </c>
      <c r="H35" s="235">
        <v>0</v>
      </c>
      <c r="I35" s="281" t="str">
        <f t="shared" si="1"/>
        <v/>
      </c>
      <c r="K35" s="62">
        <f t="shared" si="2"/>
        <v>0</v>
      </c>
      <c r="L35" s="281"/>
      <c r="M35" s="61">
        <v>1</v>
      </c>
      <c r="N35" s="67">
        <f t="shared" si="3"/>
        <v>25</v>
      </c>
      <c r="O35" s="41">
        <f t="shared" si="4"/>
        <v>-5.177033492822968</v>
      </c>
      <c r="P35" s="281"/>
      <c r="Q35" s="62">
        <f t="shared" si="5"/>
        <v>0</v>
      </c>
    </row>
    <row r="36" spans="1:17" s="235" customFormat="1" ht="15.75" thickBot="1">
      <c r="A36" s="206" t="s">
        <v>12</v>
      </c>
      <c r="B36" s="206" t="s">
        <v>16</v>
      </c>
      <c r="C36" s="206" t="s">
        <v>28</v>
      </c>
      <c r="D36" s="206" t="s">
        <v>34</v>
      </c>
      <c r="E36" s="290">
        <f t="shared" si="0"/>
        <v>0</v>
      </c>
      <c r="F36" s="291">
        <f>((3.75-1)*0.95)+1</f>
        <v>3.6124999999999998</v>
      </c>
      <c r="G36" s="292" t="s">
        <v>39</v>
      </c>
      <c r="H36" s="235">
        <v>0</v>
      </c>
      <c r="I36" s="281" t="str">
        <f t="shared" si="1"/>
        <v/>
      </c>
      <c r="K36" s="62">
        <f t="shared" si="2"/>
        <v>0</v>
      </c>
      <c r="L36" s="281"/>
      <c r="M36" s="61">
        <v>0.5</v>
      </c>
      <c r="N36" s="67">
        <f t="shared" si="3"/>
        <v>12.5</v>
      </c>
      <c r="O36" s="41">
        <f t="shared" si="4"/>
        <v>-1.6794258373205744</v>
      </c>
      <c r="P36" s="281"/>
      <c r="Q36" s="62">
        <f t="shared" si="5"/>
        <v>0</v>
      </c>
    </row>
    <row r="37" spans="1:17">
      <c r="A37" s="46" t="s">
        <v>12</v>
      </c>
      <c r="B37" s="46" t="s">
        <v>181</v>
      </c>
      <c r="C37" s="46" t="s">
        <v>67</v>
      </c>
      <c r="D37" s="46" t="s">
        <v>49</v>
      </c>
      <c r="E37" s="47">
        <f t="shared" si="0"/>
        <v>1.1550497866287335</v>
      </c>
      <c r="F37" s="48">
        <f>((2.48-1)*0.95)+1</f>
        <v>2.4059999999999997</v>
      </c>
      <c r="G37" s="49" t="s">
        <v>243</v>
      </c>
      <c r="H37" s="235">
        <v>0</v>
      </c>
      <c r="I37" s="281">
        <f t="shared" si="1"/>
        <v>0</v>
      </c>
      <c r="K37" s="62">
        <f t="shared" si="2"/>
        <v>-1.1550497866287335</v>
      </c>
      <c r="M37" s="61">
        <v>2</v>
      </c>
      <c r="N37" s="67">
        <f t="shared" si="3"/>
        <v>50</v>
      </c>
      <c r="O37" s="41">
        <f t="shared" si="4"/>
        <v>1.1550497866287335</v>
      </c>
      <c r="Q37" s="62">
        <f t="shared" si="5"/>
        <v>-1</v>
      </c>
    </row>
    <row r="38" spans="1:17">
      <c r="A38" s="46" t="s">
        <v>12</v>
      </c>
      <c r="B38" s="46" t="s">
        <v>5</v>
      </c>
      <c r="C38" s="46" t="s">
        <v>134</v>
      </c>
      <c r="D38" s="46" t="s">
        <v>48</v>
      </c>
      <c r="E38" s="47">
        <f t="shared" si="0"/>
        <v>0.89473684210526316</v>
      </c>
      <c r="F38" s="48">
        <f>((3.5-1)*0.95)+1</f>
        <v>3.375</v>
      </c>
      <c r="G38" s="49" t="s">
        <v>38</v>
      </c>
      <c r="H38" s="235">
        <v>0</v>
      </c>
      <c r="I38" s="281">
        <f t="shared" si="1"/>
        <v>0</v>
      </c>
      <c r="J38" s="233"/>
      <c r="K38" s="62">
        <f t="shared" si="2"/>
        <v>-0.89473684210526316</v>
      </c>
      <c r="M38" s="61">
        <v>1.5</v>
      </c>
      <c r="N38" s="67">
        <f t="shared" si="3"/>
        <v>37.5</v>
      </c>
      <c r="O38" s="41">
        <f t="shared" si="4"/>
        <v>0.89473684210526316</v>
      </c>
      <c r="Q38" s="62">
        <f t="shared" si="5"/>
        <v>-1</v>
      </c>
    </row>
    <row r="39" spans="1:17">
      <c r="A39" s="46" t="s">
        <v>12</v>
      </c>
      <c r="B39" s="46" t="s">
        <v>15</v>
      </c>
      <c r="C39" s="46" t="s">
        <v>4</v>
      </c>
      <c r="D39" s="46" t="s">
        <v>34</v>
      </c>
      <c r="E39" s="47">
        <f t="shared" si="0"/>
        <v>0</v>
      </c>
      <c r="F39" s="48">
        <f>((3.5-1)*0.95)+1</f>
        <v>3.375</v>
      </c>
      <c r="G39" s="49" t="s">
        <v>43</v>
      </c>
      <c r="H39" s="235">
        <v>0</v>
      </c>
      <c r="I39" s="281" t="str">
        <f t="shared" si="1"/>
        <v/>
      </c>
      <c r="K39" s="62">
        <f t="shared" si="2"/>
        <v>0</v>
      </c>
      <c r="M39" s="61">
        <v>0.5</v>
      </c>
      <c r="N39" s="67">
        <f t="shared" si="3"/>
        <v>12.5</v>
      </c>
      <c r="O39" s="41">
        <f t="shared" si="4"/>
        <v>-1.9473684210526314</v>
      </c>
      <c r="Q39" s="62">
        <f t="shared" si="5"/>
        <v>0</v>
      </c>
    </row>
    <row r="40" spans="1:17">
      <c r="A40" s="46" t="s">
        <v>12</v>
      </c>
      <c r="B40" s="46" t="s">
        <v>27</v>
      </c>
      <c r="C40" s="46" t="s">
        <v>182</v>
      </c>
      <c r="D40" s="46" t="s">
        <v>34</v>
      </c>
      <c r="E40" s="47">
        <f t="shared" si="0"/>
        <v>0</v>
      </c>
      <c r="F40" s="48">
        <f>((4.1-1)*0.95)+1</f>
        <v>3.9449999999999994</v>
      </c>
      <c r="G40" s="49" t="s">
        <v>36</v>
      </c>
      <c r="H40" s="235">
        <v>0</v>
      </c>
      <c r="I40" s="281" t="str">
        <f t="shared" si="1"/>
        <v/>
      </c>
      <c r="K40" s="62">
        <f t="shared" si="2"/>
        <v>0</v>
      </c>
      <c r="M40" s="61">
        <v>0.5</v>
      </c>
      <c r="N40" s="67">
        <f t="shared" si="3"/>
        <v>12.5</v>
      </c>
      <c r="O40" s="41">
        <f t="shared" si="4"/>
        <v>-1.3769100169779291</v>
      </c>
      <c r="Q40" s="62">
        <f t="shared" si="5"/>
        <v>0</v>
      </c>
    </row>
    <row r="41" spans="1:17">
      <c r="A41" s="87" t="s">
        <v>12</v>
      </c>
      <c r="B41" s="87" t="s">
        <v>239</v>
      </c>
      <c r="C41" s="87" t="s">
        <v>16</v>
      </c>
      <c r="D41" s="87" t="s">
        <v>48</v>
      </c>
      <c r="E41" s="88">
        <f t="shared" si="0"/>
        <v>0.67963386727688779</v>
      </c>
      <c r="F41" s="89">
        <f>((24-1)*0.95)+1</f>
        <v>22.849999999999998</v>
      </c>
      <c r="G41" s="90" t="s">
        <v>246</v>
      </c>
      <c r="H41" s="235">
        <v>0</v>
      </c>
      <c r="I41" s="281">
        <f t="shared" si="1"/>
        <v>0</v>
      </c>
      <c r="K41" s="62">
        <f t="shared" si="2"/>
        <v>-0.67963386727688779</v>
      </c>
      <c r="M41" s="61">
        <v>0.5</v>
      </c>
      <c r="N41" s="67">
        <f t="shared" si="3"/>
        <v>12.5</v>
      </c>
      <c r="O41" s="41">
        <f t="shared" si="4"/>
        <v>0.67963386727688779</v>
      </c>
      <c r="Q41" s="62">
        <f t="shared" si="5"/>
        <v>-1</v>
      </c>
    </row>
    <row r="42" spans="1:17">
      <c r="A42" s="42" t="s">
        <v>12</v>
      </c>
      <c r="B42" s="42" t="s">
        <v>182</v>
      </c>
      <c r="C42" s="42" t="s">
        <v>1</v>
      </c>
      <c r="D42" s="42" t="s">
        <v>49</v>
      </c>
      <c r="E42" s="43">
        <f t="shared" si="0"/>
        <v>7.0603337612318573E-3</v>
      </c>
      <c r="F42" s="44">
        <f>((1.82-1)*0.95)+1</f>
        <v>1.7789999999999999</v>
      </c>
      <c r="G42" s="45" t="s">
        <v>41</v>
      </c>
      <c r="H42" s="235">
        <v>1</v>
      </c>
      <c r="I42" s="281">
        <f t="shared" si="1"/>
        <v>1</v>
      </c>
      <c r="K42" s="62">
        <f t="shared" si="2"/>
        <v>5.4999999999996163E-3</v>
      </c>
      <c r="M42" s="61">
        <v>2.25</v>
      </c>
      <c r="N42" s="67">
        <f t="shared" si="3"/>
        <v>56.25</v>
      </c>
      <c r="O42" s="41">
        <f t="shared" si="4"/>
        <v>7.0603337612318573E-3</v>
      </c>
      <c r="Q42" s="62">
        <f t="shared" si="5"/>
        <v>0.77899999999999991</v>
      </c>
    </row>
    <row r="43" spans="1:17">
      <c r="A43" s="54" t="s">
        <v>12</v>
      </c>
      <c r="B43" s="54" t="s">
        <v>3</v>
      </c>
      <c r="C43" s="54" t="s">
        <v>5</v>
      </c>
      <c r="D43" s="54" t="s">
        <v>49</v>
      </c>
      <c r="E43" s="55">
        <f t="shared" si="0"/>
        <v>5.5555555555555559E-2</v>
      </c>
      <c r="F43" s="56">
        <v>3.25</v>
      </c>
      <c r="G43" s="57" t="s">
        <v>122</v>
      </c>
      <c r="H43" s="235">
        <v>1</v>
      </c>
      <c r="I43" s="281">
        <f t="shared" si="1"/>
        <v>1</v>
      </c>
      <c r="K43" s="62">
        <f t="shared" si="2"/>
        <v>0.125</v>
      </c>
      <c r="M43" s="61">
        <v>1.25</v>
      </c>
      <c r="N43" s="67">
        <f t="shared" si="3"/>
        <v>31.25</v>
      </c>
      <c r="O43" s="41">
        <f t="shared" si="4"/>
        <v>5.5555555555555559E-2</v>
      </c>
      <c r="Q43" s="62">
        <f t="shared" si="5"/>
        <v>2.25</v>
      </c>
    </row>
    <row r="44" spans="1:17">
      <c r="A44" s="54" t="s">
        <v>12</v>
      </c>
      <c r="B44" s="54" t="s">
        <v>73</v>
      </c>
      <c r="C44" s="54" t="s">
        <v>181</v>
      </c>
      <c r="D44" s="54" t="s">
        <v>48</v>
      </c>
      <c r="E44" s="55">
        <f t="shared" si="0"/>
        <v>0.74561403508771884</v>
      </c>
      <c r="F44" s="56">
        <f>((4.3-1)*0.95)+1</f>
        <v>4.1349999999999998</v>
      </c>
      <c r="G44" s="57" t="s">
        <v>39</v>
      </c>
      <c r="H44" s="235">
        <v>1</v>
      </c>
      <c r="I44" s="281">
        <f t="shared" si="1"/>
        <v>1</v>
      </c>
      <c r="K44" s="62">
        <f t="shared" si="2"/>
        <v>2.3374999999999986</v>
      </c>
      <c r="M44" s="61">
        <v>1.25</v>
      </c>
      <c r="N44" s="67">
        <f t="shared" si="3"/>
        <v>31.25</v>
      </c>
      <c r="O44" s="41">
        <f t="shared" si="4"/>
        <v>0.74561403508771884</v>
      </c>
      <c r="Q44" s="62">
        <f t="shared" si="5"/>
        <v>3.1349999999999998</v>
      </c>
    </row>
    <row r="45" spans="1:17">
      <c r="A45" s="54" t="s">
        <v>12</v>
      </c>
      <c r="B45" s="54" t="s">
        <v>16</v>
      </c>
      <c r="C45" s="54" t="s">
        <v>2</v>
      </c>
      <c r="D45" s="54" t="s">
        <v>49</v>
      </c>
      <c r="E45" s="55">
        <f t="shared" si="0"/>
        <v>2.4533106960950772</v>
      </c>
      <c r="F45" s="56">
        <f>((2.24-1)*0.95)+1</f>
        <v>2.1779999999999999</v>
      </c>
      <c r="G45" s="57" t="s">
        <v>146</v>
      </c>
      <c r="H45" s="235">
        <v>1</v>
      </c>
      <c r="I45" s="281">
        <f t="shared" si="1"/>
        <v>1</v>
      </c>
      <c r="K45" s="62">
        <f t="shared" si="2"/>
        <v>2.890000000000001</v>
      </c>
      <c r="M45" s="61">
        <v>2.5</v>
      </c>
      <c r="N45" s="67">
        <f t="shared" si="3"/>
        <v>62.5</v>
      </c>
      <c r="O45" s="41">
        <f t="shared" si="4"/>
        <v>2.4533106960950772</v>
      </c>
      <c r="Q45" s="62">
        <f t="shared" si="5"/>
        <v>1.1779999999999999</v>
      </c>
    </row>
    <row r="46" spans="1:17">
      <c r="A46" s="46" t="s">
        <v>12</v>
      </c>
      <c r="B46" s="46" t="s">
        <v>26</v>
      </c>
      <c r="C46" s="46" t="s">
        <v>27</v>
      </c>
      <c r="D46" s="46" t="s">
        <v>48</v>
      </c>
      <c r="E46" s="47">
        <f t="shared" si="0"/>
        <v>3.0976537729866833</v>
      </c>
      <c r="F46" s="48">
        <f>((2.66-1)*0.95)+1</f>
        <v>2.577</v>
      </c>
      <c r="G46" s="49" t="s">
        <v>42</v>
      </c>
      <c r="H46" s="235">
        <v>0</v>
      </c>
      <c r="I46" s="281">
        <f t="shared" si="1"/>
        <v>0</v>
      </c>
      <c r="K46" s="62">
        <f t="shared" si="2"/>
        <v>-3.0976537729866833</v>
      </c>
      <c r="M46" s="61">
        <v>2.5</v>
      </c>
      <c r="N46" s="67">
        <f t="shared" si="3"/>
        <v>62.5</v>
      </c>
      <c r="O46" s="41">
        <f t="shared" si="4"/>
        <v>3.0976537729866833</v>
      </c>
      <c r="Q46" s="62">
        <f t="shared" si="5"/>
        <v>-1</v>
      </c>
    </row>
    <row r="47" spans="1:17">
      <c r="A47" s="87" t="s">
        <v>12</v>
      </c>
      <c r="B47" s="87" t="s">
        <v>134</v>
      </c>
      <c r="C47" s="87" t="s">
        <v>15</v>
      </c>
      <c r="D47" s="87" t="s">
        <v>48</v>
      </c>
      <c r="E47" s="88">
        <f t="shared" si="0"/>
        <v>0.2982456140350877</v>
      </c>
      <c r="F47" s="89">
        <f>((11.5-1)*0.95)+1</f>
        <v>10.975</v>
      </c>
      <c r="G47" s="90" t="s">
        <v>36</v>
      </c>
      <c r="H47" s="235">
        <v>0</v>
      </c>
      <c r="I47" s="281">
        <f t="shared" si="1"/>
        <v>0</v>
      </c>
      <c r="K47" s="62">
        <f t="shared" si="2"/>
        <v>-0.2982456140350877</v>
      </c>
      <c r="M47" s="61">
        <v>0.5</v>
      </c>
      <c r="N47" s="67">
        <f t="shared" si="3"/>
        <v>12.5</v>
      </c>
      <c r="O47" s="41">
        <f t="shared" si="4"/>
        <v>0.2982456140350877</v>
      </c>
      <c r="Q47" s="62">
        <f t="shared" si="5"/>
        <v>-1</v>
      </c>
    </row>
    <row r="48" spans="1:17">
      <c r="A48" s="50" t="s">
        <v>12</v>
      </c>
      <c r="B48" s="50" t="s">
        <v>1</v>
      </c>
      <c r="C48" s="50" t="s">
        <v>26</v>
      </c>
      <c r="D48" s="50" t="s">
        <v>49</v>
      </c>
      <c r="E48" s="51">
        <f t="shared" si="0"/>
        <v>0</v>
      </c>
      <c r="F48" s="52">
        <f>((2.64-1)*0.95)+1</f>
        <v>2.5579999999999998</v>
      </c>
      <c r="G48" s="53" t="s">
        <v>38</v>
      </c>
      <c r="H48" s="235">
        <v>0</v>
      </c>
      <c r="I48" s="281" t="str">
        <f t="shared" si="1"/>
        <v/>
      </c>
      <c r="K48" s="62">
        <f t="shared" si="2"/>
        <v>0</v>
      </c>
      <c r="M48" s="61">
        <v>1</v>
      </c>
      <c r="N48" s="67">
        <f t="shared" si="3"/>
        <v>25</v>
      </c>
      <c r="O48" s="41">
        <f t="shared" si="4"/>
        <v>-1.8510911424903724</v>
      </c>
      <c r="Q48" s="62">
        <f t="shared" si="5"/>
        <v>0</v>
      </c>
    </row>
    <row r="49" spans="1:17">
      <c r="A49" s="46" t="s">
        <v>12</v>
      </c>
      <c r="B49" s="46" t="s">
        <v>27</v>
      </c>
      <c r="C49" s="46" t="s">
        <v>4</v>
      </c>
      <c r="D49" s="46" t="s">
        <v>49</v>
      </c>
      <c r="E49" s="47">
        <f t="shared" si="0"/>
        <v>0.1165413533834595</v>
      </c>
      <c r="F49" s="48">
        <f>((2.4-1)*0.95)+1</f>
        <v>2.33</v>
      </c>
      <c r="G49" s="49" t="s">
        <v>366</v>
      </c>
      <c r="H49" s="235">
        <v>0</v>
      </c>
      <c r="I49" s="281">
        <f t="shared" si="1"/>
        <v>0</v>
      </c>
      <c r="K49" s="62">
        <f t="shared" si="2"/>
        <v>-0.1165413533834595</v>
      </c>
      <c r="M49" s="61">
        <v>1.75</v>
      </c>
      <c r="N49" s="67">
        <f t="shared" si="3"/>
        <v>43.75</v>
      </c>
      <c r="O49" s="41">
        <f t="shared" si="4"/>
        <v>0.1165413533834595</v>
      </c>
      <c r="Q49" s="62">
        <f t="shared" si="5"/>
        <v>-1</v>
      </c>
    </row>
    <row r="50" spans="1:17">
      <c r="A50" s="54" t="s">
        <v>12</v>
      </c>
      <c r="B50" s="54" t="s">
        <v>15</v>
      </c>
      <c r="C50" s="54" t="s">
        <v>3</v>
      </c>
      <c r="D50" s="54" t="s">
        <v>49</v>
      </c>
      <c r="E50" s="55">
        <f t="shared" si="0"/>
        <v>0</v>
      </c>
      <c r="F50" s="56">
        <f>((2.08-1)*0.95)+1</f>
        <v>2.0259999999999998</v>
      </c>
      <c r="G50" s="57" t="s">
        <v>42</v>
      </c>
      <c r="H50" s="235">
        <v>1</v>
      </c>
      <c r="I50" s="281" t="str">
        <f t="shared" si="1"/>
        <v/>
      </c>
      <c r="K50" s="62">
        <f t="shared" si="2"/>
        <v>0</v>
      </c>
      <c r="M50" s="61">
        <v>1.25</v>
      </c>
      <c r="N50" s="67">
        <f t="shared" si="3"/>
        <v>31.25</v>
      </c>
      <c r="O50" s="41">
        <f t="shared" si="4"/>
        <v>-2.8606237816764142</v>
      </c>
      <c r="Q50" s="62">
        <f t="shared" si="5"/>
        <v>0</v>
      </c>
    </row>
    <row r="51" spans="1:17">
      <c r="A51" s="46" t="s">
        <v>12</v>
      </c>
      <c r="B51" s="46" t="s">
        <v>2</v>
      </c>
      <c r="C51" s="46" t="s">
        <v>0</v>
      </c>
      <c r="D51" s="46" t="s">
        <v>34</v>
      </c>
      <c r="E51" s="47">
        <f t="shared" si="0"/>
        <v>0</v>
      </c>
      <c r="F51" s="48">
        <f>((3.45-1)*0.95)+1</f>
        <v>3.3275000000000001</v>
      </c>
      <c r="G51" s="49" t="s">
        <v>41</v>
      </c>
      <c r="H51" s="235">
        <v>0</v>
      </c>
      <c r="I51" s="281" t="str">
        <f t="shared" si="1"/>
        <v/>
      </c>
      <c r="K51" s="62">
        <f t="shared" si="2"/>
        <v>0</v>
      </c>
      <c r="M51" s="61">
        <v>0.75</v>
      </c>
      <c r="N51" s="67">
        <f t="shared" si="3"/>
        <v>18.75</v>
      </c>
      <c r="O51" s="41">
        <f t="shared" si="4"/>
        <v>-1.2926960257787325</v>
      </c>
      <c r="Q51" s="62">
        <f t="shared" si="5"/>
        <v>0</v>
      </c>
    </row>
    <row r="52" spans="1:17">
      <c r="A52" s="87" t="s">
        <v>12</v>
      </c>
      <c r="B52" s="87" t="s">
        <v>181</v>
      </c>
      <c r="C52" s="87" t="s">
        <v>182</v>
      </c>
      <c r="D52" s="87" t="s">
        <v>34</v>
      </c>
      <c r="E52" s="88">
        <f t="shared" si="0"/>
        <v>0</v>
      </c>
      <c r="F52" s="89">
        <f>((3.5-1)*0.95)+1</f>
        <v>3.375</v>
      </c>
      <c r="G52" s="90" t="s">
        <v>122</v>
      </c>
      <c r="H52" s="235">
        <v>0</v>
      </c>
      <c r="I52" s="281" t="str">
        <f t="shared" si="1"/>
        <v/>
      </c>
      <c r="K52" s="62">
        <f t="shared" si="2"/>
        <v>0</v>
      </c>
      <c r="M52" s="61">
        <v>0.5</v>
      </c>
      <c r="N52" s="67">
        <f t="shared" si="3"/>
        <v>12.5</v>
      </c>
      <c r="O52" s="41">
        <f t="shared" si="4"/>
        <v>-1.9473684210526314</v>
      </c>
      <c r="Q52" s="62">
        <f t="shared" si="5"/>
        <v>0</v>
      </c>
    </row>
    <row r="53" spans="1:17">
      <c r="A53" s="50" t="s">
        <v>12</v>
      </c>
      <c r="B53" s="50" t="s">
        <v>182</v>
      </c>
      <c r="C53" s="50" t="s">
        <v>28</v>
      </c>
      <c r="D53" s="50" t="s">
        <v>49</v>
      </c>
      <c r="E53" s="51">
        <f t="shared" si="0"/>
        <v>2.0208540218470694</v>
      </c>
      <c r="F53" s="52">
        <f>((2.06-1)*0.95)+1</f>
        <v>2.0069999999999997</v>
      </c>
      <c r="G53" s="53" t="s">
        <v>243</v>
      </c>
      <c r="H53" s="235">
        <v>0</v>
      </c>
      <c r="I53" s="281">
        <f t="shared" si="1"/>
        <v>0</v>
      </c>
      <c r="K53" s="62">
        <f t="shared" si="2"/>
        <v>-2.0208540218470694</v>
      </c>
      <c r="M53" s="61">
        <v>2.5</v>
      </c>
      <c r="N53" s="67">
        <f t="shared" si="3"/>
        <v>62.5</v>
      </c>
      <c r="O53" s="41">
        <f t="shared" si="4"/>
        <v>2.0208540218470694</v>
      </c>
      <c r="Q53" s="62">
        <f t="shared" si="5"/>
        <v>-1</v>
      </c>
    </row>
    <row r="54" spans="1:17">
      <c r="A54" s="46" t="s">
        <v>12</v>
      </c>
      <c r="B54" s="46" t="s">
        <v>3</v>
      </c>
      <c r="C54" s="46" t="s">
        <v>47</v>
      </c>
      <c r="D54" s="46" t="s">
        <v>49</v>
      </c>
      <c r="E54" s="47">
        <f t="shared" si="0"/>
        <v>0</v>
      </c>
      <c r="F54" s="48">
        <v>2.35</v>
      </c>
      <c r="G54" s="49" t="s">
        <v>121</v>
      </c>
      <c r="H54" s="235">
        <v>0</v>
      </c>
      <c r="I54" s="281" t="str">
        <f t="shared" si="1"/>
        <v/>
      </c>
      <c r="K54" s="62">
        <f t="shared" si="2"/>
        <v>0</v>
      </c>
      <c r="M54" s="61">
        <v>1.5</v>
      </c>
      <c r="N54" s="67">
        <f t="shared" si="3"/>
        <v>37.5</v>
      </c>
      <c r="O54" s="41">
        <f t="shared" si="4"/>
        <v>-0.70370370370370317</v>
      </c>
      <c r="Q54" s="62">
        <f t="shared" si="5"/>
        <v>0</v>
      </c>
    </row>
    <row r="55" spans="1:17">
      <c r="A55" s="54" t="s">
        <v>12</v>
      </c>
      <c r="B55" s="54" t="s">
        <v>67</v>
      </c>
      <c r="C55" s="54" t="s">
        <v>2</v>
      </c>
      <c r="D55" s="54" t="s">
        <v>49</v>
      </c>
      <c r="E55" s="55">
        <f t="shared" si="0"/>
        <v>0</v>
      </c>
      <c r="F55" s="56">
        <f>((1.72-1)*0.95)+1</f>
        <v>1.6839999999999999</v>
      </c>
      <c r="G55" s="57" t="s">
        <v>244</v>
      </c>
      <c r="H55" s="235">
        <v>1</v>
      </c>
      <c r="I55" s="281" t="str">
        <f t="shared" si="1"/>
        <v/>
      </c>
      <c r="K55" s="62">
        <f t="shared" si="2"/>
        <v>0</v>
      </c>
      <c r="M55" s="61">
        <v>1</v>
      </c>
      <c r="N55" s="67">
        <f t="shared" si="3"/>
        <v>25</v>
      </c>
      <c r="O55" s="41">
        <f t="shared" si="4"/>
        <v>-6.7719298245614024</v>
      </c>
      <c r="Q55" s="62">
        <f t="shared" si="5"/>
        <v>0</v>
      </c>
    </row>
    <row r="56" spans="1:17">
      <c r="A56" s="91" t="s">
        <v>12</v>
      </c>
      <c r="B56" s="91" t="s">
        <v>10</v>
      </c>
      <c r="C56" s="91" t="s">
        <v>5</v>
      </c>
      <c r="D56" s="91" t="s">
        <v>48</v>
      </c>
      <c r="E56" s="92">
        <f t="shared" si="0"/>
        <v>0.90402476780185714</v>
      </c>
      <c r="F56" s="93">
        <f>((2.36-1)*0.95)+1</f>
        <v>2.2919999999999998</v>
      </c>
      <c r="G56" s="94" t="s">
        <v>366</v>
      </c>
      <c r="H56" s="235">
        <v>1</v>
      </c>
      <c r="I56" s="281">
        <f t="shared" si="1"/>
        <v>1</v>
      </c>
      <c r="K56" s="62">
        <f t="shared" si="2"/>
        <v>1.1679999999999993</v>
      </c>
      <c r="M56" s="61">
        <v>2</v>
      </c>
      <c r="N56" s="67">
        <f t="shared" si="3"/>
        <v>50</v>
      </c>
      <c r="O56" s="41">
        <f t="shared" si="4"/>
        <v>0.90402476780185714</v>
      </c>
      <c r="Q56" s="62">
        <f t="shared" si="5"/>
        <v>1.2919999999999998</v>
      </c>
    </row>
    <row r="57" spans="1:17">
      <c r="A57" s="286" t="s">
        <v>12</v>
      </c>
      <c r="B57" s="286" t="s">
        <v>1</v>
      </c>
      <c r="C57" s="286" t="s">
        <v>134</v>
      </c>
      <c r="D57" s="286" t="s">
        <v>460</v>
      </c>
      <c r="E57" s="287">
        <f t="shared" si="0"/>
        <v>0</v>
      </c>
      <c r="F57" s="288">
        <f>((2.16-1)*0.95)+1</f>
        <v>2.1020000000000003</v>
      </c>
      <c r="G57" s="289" t="s">
        <v>122</v>
      </c>
      <c r="H57" s="235">
        <v>1</v>
      </c>
      <c r="I57" s="281" t="str">
        <f t="shared" si="1"/>
        <v/>
      </c>
      <c r="K57" s="62">
        <f t="shared" si="2"/>
        <v>0</v>
      </c>
      <c r="M57" s="61">
        <v>1</v>
      </c>
      <c r="N57" s="67">
        <f t="shared" si="3"/>
        <v>25</v>
      </c>
      <c r="O57" s="41">
        <f t="shared" si="4"/>
        <v>-3.4446460980036284</v>
      </c>
      <c r="Q57" s="62">
        <f t="shared" si="5"/>
        <v>0</v>
      </c>
    </row>
    <row r="58" spans="1:17">
      <c r="A58" s="42" t="s">
        <v>12</v>
      </c>
      <c r="B58" s="42" t="s">
        <v>504</v>
      </c>
      <c r="C58" s="42" t="s">
        <v>0</v>
      </c>
      <c r="D58" s="42" t="s">
        <v>48</v>
      </c>
      <c r="E58" s="43">
        <f t="shared" si="0"/>
        <v>1.4278752436647173</v>
      </c>
      <c r="F58" s="44">
        <f>((6.4-1)*0.95)+1</f>
        <v>6.13</v>
      </c>
      <c r="G58" s="45" t="s">
        <v>82</v>
      </c>
      <c r="H58" s="235">
        <v>1</v>
      </c>
      <c r="I58" s="281">
        <f t="shared" si="1"/>
        <v>1</v>
      </c>
      <c r="K58" s="62">
        <f t="shared" si="2"/>
        <v>7.3249999999999993</v>
      </c>
      <c r="M58" s="61">
        <v>1.25</v>
      </c>
      <c r="N58" s="67">
        <f t="shared" si="3"/>
        <v>31.25</v>
      </c>
      <c r="O58" s="41">
        <f t="shared" si="4"/>
        <v>1.4278752436647173</v>
      </c>
      <c r="Q58" s="62">
        <f t="shared" si="5"/>
        <v>5.13</v>
      </c>
    </row>
    <row r="59" spans="1:17">
      <c r="A59" s="87" t="s">
        <v>12</v>
      </c>
      <c r="B59" s="87" t="s">
        <v>5</v>
      </c>
      <c r="C59" s="87" t="s">
        <v>47</v>
      </c>
      <c r="D59" s="87" t="s">
        <v>530</v>
      </c>
      <c r="E59" s="88">
        <f t="shared" si="0"/>
        <v>0.46860572483841201</v>
      </c>
      <c r="F59" s="89">
        <f>((3.85-1)*0.95)+1</f>
        <v>3.7075</v>
      </c>
      <c r="G59" s="90" t="s">
        <v>187</v>
      </c>
      <c r="H59" s="235">
        <v>0</v>
      </c>
      <c r="I59" s="281">
        <f t="shared" si="1"/>
        <v>0</v>
      </c>
      <c r="K59" s="62">
        <f t="shared" si="2"/>
        <v>-0.46860572483841201</v>
      </c>
      <c r="M59" s="61">
        <v>1.25</v>
      </c>
      <c r="N59" s="67">
        <f t="shared" si="3"/>
        <v>31.25</v>
      </c>
      <c r="O59" s="41">
        <f t="shared" si="4"/>
        <v>0.46860572483841201</v>
      </c>
      <c r="Q59" s="62">
        <f t="shared" si="5"/>
        <v>-1</v>
      </c>
    </row>
    <row r="60" spans="1:17">
      <c r="A60" s="42" t="s">
        <v>12</v>
      </c>
      <c r="B60" s="42" t="s">
        <v>2</v>
      </c>
      <c r="C60" s="42" t="s">
        <v>26</v>
      </c>
      <c r="D60" s="42" t="s">
        <v>49</v>
      </c>
      <c r="E60" s="43">
        <f t="shared" si="0"/>
        <v>0</v>
      </c>
      <c r="F60" s="44">
        <v>2.0499999999999998</v>
      </c>
      <c r="G60" s="45" t="s">
        <v>571</v>
      </c>
      <c r="H60" s="235">
        <v>1</v>
      </c>
      <c r="I60" s="281" t="str">
        <f t="shared" si="1"/>
        <v/>
      </c>
      <c r="K60" s="62">
        <f t="shared" si="2"/>
        <v>0</v>
      </c>
      <c r="M60" s="61">
        <v>1.5</v>
      </c>
      <c r="N60" s="67">
        <f t="shared" si="3"/>
        <v>37.5</v>
      </c>
      <c r="O60" s="41">
        <f t="shared" si="4"/>
        <v>-1.7619047619047628</v>
      </c>
      <c r="Q60" s="62">
        <f t="shared" si="5"/>
        <v>0</v>
      </c>
    </row>
    <row r="61" spans="1:17">
      <c r="A61" s="46" t="s">
        <v>12</v>
      </c>
      <c r="B61" s="46" t="s">
        <v>47</v>
      </c>
      <c r="C61" s="46" t="s">
        <v>15</v>
      </c>
      <c r="D61" s="46" t="s">
        <v>49</v>
      </c>
      <c r="E61" s="47">
        <f t="shared" si="0"/>
        <v>1.6759002770083096</v>
      </c>
      <c r="F61" s="48">
        <f>((1.95-1)*0.95)+1</f>
        <v>1.9024999999999999</v>
      </c>
      <c r="G61" s="49" t="s">
        <v>37</v>
      </c>
      <c r="H61" s="235">
        <v>0</v>
      </c>
      <c r="I61" s="281">
        <f t="shared" si="1"/>
        <v>0</v>
      </c>
      <c r="K61" s="62">
        <f t="shared" si="2"/>
        <v>-1.6759002770083096</v>
      </c>
      <c r="M61" s="61">
        <v>2.5</v>
      </c>
      <c r="N61" s="67">
        <f t="shared" si="3"/>
        <v>62.5</v>
      </c>
      <c r="O61" s="41">
        <f t="shared" si="4"/>
        <v>1.6759002770083096</v>
      </c>
      <c r="Q61" s="62">
        <f t="shared" si="5"/>
        <v>-1</v>
      </c>
    </row>
    <row r="62" spans="1:17">
      <c r="A62" s="54" t="s">
        <v>12</v>
      </c>
      <c r="B62" s="54" t="s">
        <v>27</v>
      </c>
      <c r="C62" s="54" t="s">
        <v>5</v>
      </c>
      <c r="D62" s="54" t="s">
        <v>49</v>
      </c>
      <c r="E62" s="55">
        <f t="shared" si="0"/>
        <v>0</v>
      </c>
      <c r="F62" s="56">
        <f>((2.42-1)*0.95)+1</f>
        <v>2.3490000000000002</v>
      </c>
      <c r="G62" s="57" t="s">
        <v>122</v>
      </c>
      <c r="H62" s="235">
        <v>1</v>
      </c>
      <c r="I62" s="281" t="str">
        <f t="shared" si="1"/>
        <v/>
      </c>
      <c r="K62" s="62">
        <f t="shared" si="2"/>
        <v>0</v>
      </c>
      <c r="M62" s="61">
        <v>1.25</v>
      </c>
      <c r="N62" s="67">
        <f t="shared" si="3"/>
        <v>31.25</v>
      </c>
      <c r="O62" s="41">
        <f t="shared" si="4"/>
        <v>-1.5770941438102293</v>
      </c>
      <c r="Q62" s="62">
        <f t="shared" si="5"/>
        <v>0</v>
      </c>
    </row>
    <row r="63" spans="1:17">
      <c r="A63" s="91" t="s">
        <v>12</v>
      </c>
      <c r="B63" s="91" t="s">
        <v>28</v>
      </c>
      <c r="C63" s="91" t="s">
        <v>134</v>
      </c>
      <c r="D63" s="91" t="s">
        <v>49</v>
      </c>
      <c r="E63" s="92">
        <f t="shared" si="0"/>
        <v>1.3468899521531099</v>
      </c>
      <c r="F63" s="93">
        <f>((3.2-1)*0.95)+1</f>
        <v>3.09</v>
      </c>
      <c r="G63" s="94" t="s">
        <v>36</v>
      </c>
      <c r="H63" s="235">
        <v>1</v>
      </c>
      <c r="I63" s="281">
        <f t="shared" si="1"/>
        <v>1</v>
      </c>
      <c r="K63" s="62">
        <f t="shared" si="2"/>
        <v>2.8149999999999995</v>
      </c>
      <c r="M63" s="61">
        <v>1.75</v>
      </c>
      <c r="N63" s="67">
        <f t="shared" si="3"/>
        <v>43.75</v>
      </c>
      <c r="O63" s="41">
        <f t="shared" si="4"/>
        <v>1.3468899521531099</v>
      </c>
      <c r="Q63" s="62">
        <f t="shared" si="5"/>
        <v>2.09</v>
      </c>
    </row>
    <row r="64" spans="1:17">
      <c r="A64" s="42" t="s">
        <v>12</v>
      </c>
      <c r="B64" s="42" t="s">
        <v>3</v>
      </c>
      <c r="C64" s="42" t="s">
        <v>28</v>
      </c>
      <c r="D64" s="42" t="s">
        <v>49</v>
      </c>
      <c r="E64" s="43">
        <f t="shared" si="0"/>
        <v>0</v>
      </c>
      <c r="F64" s="44">
        <f>((2.74-1)*0.95)+1</f>
        <v>2.653</v>
      </c>
      <c r="G64" s="45" t="s">
        <v>630</v>
      </c>
      <c r="H64" s="235">
        <v>1</v>
      </c>
      <c r="I64" s="281" t="str">
        <f t="shared" si="1"/>
        <v/>
      </c>
      <c r="K64" s="62">
        <f t="shared" si="2"/>
        <v>0</v>
      </c>
      <c r="M64" s="61">
        <v>1.5</v>
      </c>
      <c r="N64" s="67">
        <f t="shared" si="3"/>
        <v>37.5</v>
      </c>
      <c r="O64" s="41">
        <f t="shared" si="4"/>
        <v>-2.4803387779794538E-2</v>
      </c>
      <c r="Q64" s="62">
        <f t="shared" si="5"/>
        <v>0</v>
      </c>
    </row>
    <row r="65" spans="1:17">
      <c r="A65" s="54" t="s">
        <v>12</v>
      </c>
      <c r="B65" s="54" t="s">
        <v>73</v>
      </c>
      <c r="C65" s="54" t="s">
        <v>67</v>
      </c>
      <c r="D65" s="54" t="s">
        <v>49</v>
      </c>
      <c r="E65" s="55">
        <f t="shared" ref="E65:E81" si="6">IF(O65&gt;0,O65,0)</f>
        <v>0.39655172413793172</v>
      </c>
      <c r="F65" s="56">
        <v>2.4500000000000002</v>
      </c>
      <c r="G65" s="57" t="s">
        <v>42</v>
      </c>
      <c r="H65" s="235">
        <v>1</v>
      </c>
      <c r="I65" s="281">
        <f t="shared" si="1"/>
        <v>1</v>
      </c>
      <c r="K65" s="62">
        <f t="shared" si="2"/>
        <v>0.57500000000000107</v>
      </c>
      <c r="M65" s="61">
        <v>1.75</v>
      </c>
      <c r="N65" s="67">
        <f t="shared" si="3"/>
        <v>43.75</v>
      </c>
      <c r="O65" s="41">
        <f t="shared" si="4"/>
        <v>0.39655172413793172</v>
      </c>
      <c r="Q65" s="62">
        <f t="shared" si="5"/>
        <v>1.4500000000000002</v>
      </c>
    </row>
    <row r="66" spans="1:17">
      <c r="A66" s="91" t="s">
        <v>12</v>
      </c>
      <c r="B66" s="91" t="s">
        <v>10</v>
      </c>
      <c r="C66" s="91" t="s">
        <v>47</v>
      </c>
      <c r="D66" s="91" t="s">
        <v>48</v>
      </c>
      <c r="E66" s="92">
        <f t="shared" si="6"/>
        <v>0.86842105263157854</v>
      </c>
      <c r="F66" s="93">
        <f>((2.8-1)*0.95)+1</f>
        <v>2.71</v>
      </c>
      <c r="G66" s="94" t="s">
        <v>366</v>
      </c>
      <c r="H66" s="235">
        <v>1</v>
      </c>
      <c r="I66" s="281">
        <f t="shared" ref="I66:I81" si="7">IF(E66&gt;0,H66,"")</f>
        <v>1</v>
      </c>
      <c r="K66" s="62">
        <f t="shared" ref="K66:K81" si="8">IF(H66=1,E66*(F66-1),-E66)</f>
        <v>1.4849999999999992</v>
      </c>
      <c r="M66" s="61">
        <v>1.75</v>
      </c>
      <c r="N66" s="67">
        <f t="shared" ref="N66:N81" si="9">M66*$N$83/3</f>
        <v>43.75</v>
      </c>
      <c r="O66" s="41">
        <f t="shared" ref="O66:O81" si="10">((F66*(N66/100)-1)/(F66 -1))*40/5</f>
        <v>0.86842105263157854</v>
      </c>
      <c r="Q66" s="62">
        <f t="shared" ref="Q66:Q81" si="11">IF(E66&gt;0,IF(H66=1,(F66-1),-1),0)</f>
        <v>1.71</v>
      </c>
    </row>
    <row r="67" spans="1:17">
      <c r="A67" s="42" t="s">
        <v>12</v>
      </c>
      <c r="B67" s="42" t="s">
        <v>47</v>
      </c>
      <c r="C67" s="42" t="s">
        <v>1</v>
      </c>
      <c r="D67" s="42" t="s">
        <v>49</v>
      </c>
      <c r="E67" s="43">
        <f t="shared" si="6"/>
        <v>0.36043761088113579</v>
      </c>
      <c r="F67" s="44">
        <f>((1.89-1)*0.95)+1</f>
        <v>1.8454999999999999</v>
      </c>
      <c r="G67" s="45" t="s">
        <v>122</v>
      </c>
      <c r="H67" s="235">
        <v>1</v>
      </c>
      <c r="I67" s="281">
        <f t="shared" si="7"/>
        <v>1</v>
      </c>
      <c r="K67" s="62">
        <f t="shared" si="8"/>
        <v>0.3047500000000003</v>
      </c>
      <c r="M67" s="61">
        <v>2.25</v>
      </c>
      <c r="N67" s="67">
        <f t="shared" si="9"/>
        <v>56.25</v>
      </c>
      <c r="O67" s="41">
        <f t="shared" si="10"/>
        <v>0.36043761088113579</v>
      </c>
      <c r="Q67" s="62">
        <f t="shared" si="11"/>
        <v>0.84549999999999992</v>
      </c>
    </row>
    <row r="68" spans="1:17">
      <c r="A68" s="91" t="s">
        <v>12</v>
      </c>
      <c r="B68" s="91" t="s">
        <v>15</v>
      </c>
      <c r="C68" s="91" t="s">
        <v>181</v>
      </c>
      <c r="D68" s="91" t="s">
        <v>49</v>
      </c>
      <c r="E68" s="92">
        <f t="shared" si="6"/>
        <v>0</v>
      </c>
      <c r="F68" s="93">
        <f>((2.32-1)*0.95)+1</f>
        <v>2.2539999999999996</v>
      </c>
      <c r="G68" s="94" t="s">
        <v>122</v>
      </c>
      <c r="H68" s="235">
        <v>1</v>
      </c>
      <c r="I68" s="281" t="str">
        <f t="shared" si="7"/>
        <v/>
      </c>
      <c r="K68" s="62">
        <f t="shared" si="8"/>
        <v>0</v>
      </c>
      <c r="M68" s="61">
        <v>1.75</v>
      </c>
      <c r="N68" s="67">
        <f t="shared" si="9"/>
        <v>43.75</v>
      </c>
      <c r="O68" s="41">
        <f t="shared" si="10"/>
        <v>-8.851674641148452E-2</v>
      </c>
      <c r="Q68" s="62">
        <f t="shared" si="11"/>
        <v>0</v>
      </c>
    </row>
    <row r="69" spans="1:17">
      <c r="A69" s="50" t="s">
        <v>12</v>
      </c>
      <c r="B69" s="50" t="s">
        <v>181</v>
      </c>
      <c r="C69" s="50" t="s">
        <v>47</v>
      </c>
      <c r="D69" s="50" t="s">
        <v>49</v>
      </c>
      <c r="E69" s="51">
        <f t="shared" si="6"/>
        <v>0</v>
      </c>
      <c r="F69" s="52">
        <v>1.9</v>
      </c>
      <c r="G69" s="53" t="s">
        <v>243</v>
      </c>
      <c r="H69" s="235">
        <v>0</v>
      </c>
      <c r="I69" s="281" t="str">
        <f t="shared" si="7"/>
        <v/>
      </c>
      <c r="K69" s="62">
        <f t="shared" si="8"/>
        <v>0</v>
      </c>
      <c r="M69" s="61">
        <v>2</v>
      </c>
      <c r="N69" s="67">
        <f t="shared" si="9"/>
        <v>50</v>
      </c>
      <c r="O69" s="41">
        <f t="shared" si="10"/>
        <v>-0.44444444444444481</v>
      </c>
      <c r="Q69" s="62">
        <f t="shared" si="11"/>
        <v>0</v>
      </c>
    </row>
    <row r="70" spans="1:17">
      <c r="A70" s="54" t="s">
        <v>12</v>
      </c>
      <c r="B70" s="54" t="s">
        <v>28</v>
      </c>
      <c r="C70" s="54" t="s">
        <v>15</v>
      </c>
      <c r="D70" s="54" t="s">
        <v>49</v>
      </c>
      <c r="E70" s="55">
        <f t="shared" si="6"/>
        <v>0</v>
      </c>
      <c r="F70" s="56">
        <f>((1.92-1)*0.95)+1</f>
        <v>1.8739999999999999</v>
      </c>
      <c r="G70" s="57" t="s">
        <v>187</v>
      </c>
      <c r="H70" s="235">
        <v>1</v>
      </c>
      <c r="I70" s="281" t="str">
        <f t="shared" si="7"/>
        <v/>
      </c>
      <c r="K70" s="62">
        <f t="shared" si="8"/>
        <v>0</v>
      </c>
      <c r="M70" s="61">
        <v>1.75</v>
      </c>
      <c r="N70" s="67">
        <f t="shared" si="9"/>
        <v>43.75</v>
      </c>
      <c r="O70" s="41">
        <f t="shared" si="10"/>
        <v>-1.648741418764303</v>
      </c>
      <c r="Q70" s="62">
        <f t="shared" si="11"/>
        <v>0</v>
      </c>
    </row>
    <row r="71" spans="1:17">
      <c r="A71" s="46" t="s">
        <v>12</v>
      </c>
      <c r="B71" s="46" t="s">
        <v>422</v>
      </c>
      <c r="C71" s="46" t="s">
        <v>5</v>
      </c>
      <c r="D71" s="46" t="s">
        <v>692</v>
      </c>
      <c r="E71" s="47">
        <f t="shared" si="6"/>
        <v>0.73976608187134507</v>
      </c>
      <c r="F71" s="48">
        <f>((10-1)*0.95)+1</f>
        <v>9.5499999999999989</v>
      </c>
      <c r="G71" s="49" t="s">
        <v>41</v>
      </c>
      <c r="H71" s="235">
        <v>0</v>
      </c>
      <c r="I71" s="281">
        <f t="shared" si="7"/>
        <v>0</v>
      </c>
      <c r="K71" s="62">
        <f t="shared" si="8"/>
        <v>-0.73976608187134507</v>
      </c>
      <c r="M71" s="61">
        <v>0.75</v>
      </c>
      <c r="N71" s="67">
        <f t="shared" si="9"/>
        <v>18.75</v>
      </c>
      <c r="O71" s="41">
        <f t="shared" si="10"/>
        <v>0.73976608187134507</v>
      </c>
      <c r="Q71" s="62">
        <f t="shared" si="11"/>
        <v>-1</v>
      </c>
    </row>
    <row r="72" spans="1:17">
      <c r="A72" s="46" t="s">
        <v>12</v>
      </c>
      <c r="B72" s="46" t="s">
        <v>0</v>
      </c>
      <c r="C72" s="46" t="s">
        <v>134</v>
      </c>
      <c r="D72" s="46" t="s">
        <v>49</v>
      </c>
      <c r="E72" s="47">
        <f t="shared" si="6"/>
        <v>0</v>
      </c>
      <c r="F72" s="48">
        <f>((3.5-1)*0.95)+1</f>
        <v>3.375</v>
      </c>
      <c r="G72" s="49" t="s">
        <v>145</v>
      </c>
      <c r="H72" s="235">
        <v>0</v>
      </c>
      <c r="I72" s="281" t="str">
        <f t="shared" si="7"/>
        <v/>
      </c>
      <c r="K72" s="62">
        <f t="shared" si="8"/>
        <v>0</v>
      </c>
      <c r="M72" s="61">
        <v>1</v>
      </c>
      <c r="N72" s="67">
        <f t="shared" si="9"/>
        <v>25</v>
      </c>
      <c r="O72" s="41">
        <f t="shared" si="10"/>
        <v>-0.52631578947368418</v>
      </c>
      <c r="Q72" s="62">
        <f t="shared" si="11"/>
        <v>0</v>
      </c>
    </row>
    <row r="73" spans="1:17">
      <c r="A73" s="54" t="s">
        <v>12</v>
      </c>
      <c r="B73" s="54" t="s">
        <v>73</v>
      </c>
      <c r="C73" s="54" t="s">
        <v>26</v>
      </c>
      <c r="D73" s="54" t="s">
        <v>693</v>
      </c>
      <c r="E73" s="55">
        <f t="shared" si="6"/>
        <v>0</v>
      </c>
      <c r="F73" s="56">
        <v>2.2349999999999999</v>
      </c>
      <c r="G73" s="57" t="s">
        <v>38</v>
      </c>
      <c r="H73" s="235">
        <v>1</v>
      </c>
      <c r="I73" s="281" t="str">
        <f t="shared" si="7"/>
        <v/>
      </c>
      <c r="K73" s="62">
        <f t="shared" si="8"/>
        <v>0</v>
      </c>
      <c r="M73" s="61">
        <v>1.3</v>
      </c>
      <c r="N73" s="67">
        <f t="shared" si="9"/>
        <v>32.5</v>
      </c>
      <c r="O73" s="41">
        <f t="shared" si="10"/>
        <v>-1.7724696356275307</v>
      </c>
      <c r="Q73" s="62">
        <f t="shared" si="11"/>
        <v>0</v>
      </c>
    </row>
    <row r="74" spans="1:17">
      <c r="A74" s="91" t="s">
        <v>12</v>
      </c>
      <c r="B74" s="91" t="s">
        <v>1</v>
      </c>
      <c r="C74" s="91" t="s">
        <v>27</v>
      </c>
      <c r="D74" s="91" t="s">
        <v>49</v>
      </c>
      <c r="E74" s="92">
        <f t="shared" si="6"/>
        <v>0</v>
      </c>
      <c r="F74" s="93">
        <f>((3.35-1)*0.95)+1</f>
        <v>3.2324999999999999</v>
      </c>
      <c r="G74" s="94" t="s">
        <v>36</v>
      </c>
      <c r="H74" s="235">
        <v>1</v>
      </c>
      <c r="I74" s="281" t="str">
        <f t="shared" si="7"/>
        <v/>
      </c>
      <c r="K74" s="62">
        <f t="shared" si="8"/>
        <v>0</v>
      </c>
      <c r="M74" s="61">
        <v>0.75</v>
      </c>
      <c r="N74" s="67">
        <f t="shared" si="9"/>
        <v>18.75</v>
      </c>
      <c r="O74" s="41">
        <f t="shared" si="10"/>
        <v>-1.4115341545352744</v>
      </c>
      <c r="Q74" s="62">
        <f t="shared" si="11"/>
        <v>0</v>
      </c>
    </row>
    <row r="75" spans="1:17">
      <c r="A75" s="42" t="s">
        <v>12</v>
      </c>
      <c r="B75" s="42" t="s">
        <v>5</v>
      </c>
      <c r="C75" s="42" t="s">
        <v>2</v>
      </c>
      <c r="D75" s="42" t="s">
        <v>49</v>
      </c>
      <c r="E75" s="43">
        <f t="shared" si="6"/>
        <v>0</v>
      </c>
      <c r="F75" s="44">
        <f>((1.9-1)*0.95)+1</f>
        <v>1.855</v>
      </c>
      <c r="G75" s="45" t="s">
        <v>743</v>
      </c>
      <c r="H75" s="235">
        <v>1</v>
      </c>
      <c r="I75" s="281" t="str">
        <f t="shared" si="7"/>
        <v/>
      </c>
      <c r="K75" s="62">
        <f t="shared" si="8"/>
        <v>0</v>
      </c>
      <c r="M75" s="61">
        <v>2</v>
      </c>
      <c r="N75" s="67">
        <f t="shared" si="9"/>
        <v>50</v>
      </c>
      <c r="O75" s="41">
        <f t="shared" si="10"/>
        <v>-0.67836257309941528</v>
      </c>
      <c r="Q75" s="62">
        <f t="shared" si="11"/>
        <v>0</v>
      </c>
    </row>
    <row r="76" spans="1:17">
      <c r="A76" s="46" t="s">
        <v>12</v>
      </c>
      <c r="B76" s="46" t="s">
        <v>520</v>
      </c>
      <c r="C76" s="46" t="s">
        <v>504</v>
      </c>
      <c r="D76" s="46" t="s">
        <v>742</v>
      </c>
      <c r="E76" s="47">
        <f t="shared" si="6"/>
        <v>0</v>
      </c>
      <c r="F76" s="46">
        <v>1.89</v>
      </c>
      <c r="G76" s="49" t="s">
        <v>42</v>
      </c>
      <c r="H76" s="235">
        <v>0</v>
      </c>
      <c r="I76" s="281" t="str">
        <f t="shared" si="7"/>
        <v/>
      </c>
      <c r="K76" s="62">
        <f t="shared" si="8"/>
        <v>0</v>
      </c>
      <c r="M76" s="61">
        <v>1</v>
      </c>
      <c r="N76" s="67">
        <f t="shared" si="9"/>
        <v>25</v>
      </c>
      <c r="O76" s="41">
        <f t="shared" si="10"/>
        <v>-4.7415730337078665</v>
      </c>
      <c r="Q76" s="62">
        <f t="shared" si="11"/>
        <v>0</v>
      </c>
    </row>
    <row r="77" spans="1:17">
      <c r="A77" s="46" t="s">
        <v>12</v>
      </c>
      <c r="B77" s="46" t="s">
        <v>47</v>
      </c>
      <c r="C77" s="46" t="s">
        <v>28</v>
      </c>
      <c r="D77" s="46" t="s">
        <v>742</v>
      </c>
      <c r="E77" s="47">
        <f t="shared" si="6"/>
        <v>0</v>
      </c>
      <c r="F77" s="48">
        <v>2.09</v>
      </c>
      <c r="G77" s="49" t="s">
        <v>122</v>
      </c>
      <c r="H77" s="235">
        <v>0</v>
      </c>
      <c r="I77" s="281" t="str">
        <f t="shared" si="7"/>
        <v/>
      </c>
      <c r="K77" s="62">
        <f t="shared" si="8"/>
        <v>0</v>
      </c>
      <c r="M77" s="61">
        <v>0.75</v>
      </c>
      <c r="N77" s="67">
        <f t="shared" si="9"/>
        <v>18.75</v>
      </c>
      <c r="O77" s="41">
        <f t="shared" si="10"/>
        <v>-4.4633027522935791</v>
      </c>
      <c r="Q77" s="62">
        <f t="shared" si="11"/>
        <v>0</v>
      </c>
    </row>
    <row r="78" spans="1:17">
      <c r="A78" s="46" t="s">
        <v>12</v>
      </c>
      <c r="B78" s="46" t="s">
        <v>1</v>
      </c>
      <c r="C78" s="46" t="s">
        <v>10</v>
      </c>
      <c r="D78" s="46" t="s">
        <v>742</v>
      </c>
      <c r="E78" s="47">
        <f t="shared" si="6"/>
        <v>0</v>
      </c>
      <c r="F78" s="48">
        <v>3.56</v>
      </c>
      <c r="G78" s="49" t="s">
        <v>42</v>
      </c>
      <c r="H78" s="235">
        <v>0</v>
      </c>
      <c r="I78" s="281" t="str">
        <f t="shared" si="7"/>
        <v/>
      </c>
      <c r="K78" s="62">
        <f t="shared" si="8"/>
        <v>0</v>
      </c>
      <c r="M78" s="61">
        <v>0.75</v>
      </c>
      <c r="N78" s="67">
        <f t="shared" si="9"/>
        <v>18.75</v>
      </c>
      <c r="O78" s="41">
        <f t="shared" si="10"/>
        <v>-1.0390625</v>
      </c>
      <c r="Q78" s="62">
        <f t="shared" si="11"/>
        <v>0</v>
      </c>
    </row>
    <row r="79" spans="1:17">
      <c r="A79" s="87" t="s">
        <v>12</v>
      </c>
      <c r="B79" s="87" t="s">
        <v>308</v>
      </c>
      <c r="C79" s="87" t="s">
        <v>16</v>
      </c>
      <c r="D79" s="87" t="s">
        <v>742</v>
      </c>
      <c r="E79" s="88">
        <f t="shared" si="6"/>
        <v>0</v>
      </c>
      <c r="F79" s="89">
        <v>7.67</v>
      </c>
      <c r="G79" s="90" t="s">
        <v>204</v>
      </c>
      <c r="H79" s="235">
        <v>0</v>
      </c>
      <c r="I79" s="281" t="str">
        <f t="shared" si="7"/>
        <v/>
      </c>
      <c r="K79" s="62">
        <f t="shared" si="8"/>
        <v>0</v>
      </c>
      <c r="M79" s="61">
        <v>0.5</v>
      </c>
      <c r="N79" s="67">
        <f t="shared" si="9"/>
        <v>12.5</v>
      </c>
      <c r="O79" s="41">
        <f t="shared" si="10"/>
        <v>-4.9475262368815602E-2</v>
      </c>
      <c r="Q79" s="62">
        <f t="shared" si="11"/>
        <v>0</v>
      </c>
    </row>
    <row r="80" spans="1:17">
      <c r="A80" s="50" t="s">
        <v>12</v>
      </c>
      <c r="B80" s="50" t="s">
        <v>10</v>
      </c>
      <c r="C80" s="50" t="s">
        <v>26</v>
      </c>
      <c r="D80" s="50" t="s">
        <v>767</v>
      </c>
      <c r="E80" s="51">
        <f t="shared" si="6"/>
        <v>0</v>
      </c>
      <c r="F80" s="52">
        <v>2.5099999999999998</v>
      </c>
      <c r="G80" s="53" t="s">
        <v>769</v>
      </c>
      <c r="H80" s="235">
        <v>0</v>
      </c>
      <c r="I80" s="281" t="str">
        <f t="shared" si="7"/>
        <v/>
      </c>
      <c r="K80" s="62">
        <f t="shared" si="8"/>
        <v>0</v>
      </c>
      <c r="M80" s="61">
        <v>1</v>
      </c>
      <c r="N80" s="67">
        <f t="shared" si="9"/>
        <v>25</v>
      </c>
      <c r="O80" s="41">
        <f t="shared" si="10"/>
        <v>-1.9735099337748347</v>
      </c>
      <c r="Q80" s="62">
        <f t="shared" si="11"/>
        <v>0</v>
      </c>
    </row>
    <row r="81" spans="1:17">
      <c r="A81" s="87" t="s">
        <v>12</v>
      </c>
      <c r="B81" s="87" t="s">
        <v>28</v>
      </c>
      <c r="C81" s="87" t="s">
        <v>27</v>
      </c>
      <c r="D81" s="87" t="s">
        <v>692</v>
      </c>
      <c r="E81" s="88">
        <f t="shared" si="6"/>
        <v>1.4520123839009289</v>
      </c>
      <c r="F81" s="89">
        <f>((4.4-1)*0.95)+1</f>
        <v>4.2300000000000004</v>
      </c>
      <c r="G81" s="90" t="s">
        <v>41</v>
      </c>
      <c r="H81" s="235">
        <v>0</v>
      </c>
      <c r="I81" s="281">
        <f t="shared" si="7"/>
        <v>0</v>
      </c>
      <c r="K81" s="62">
        <f t="shared" si="8"/>
        <v>-1.4520123839009289</v>
      </c>
      <c r="M81" s="61">
        <v>1.5</v>
      </c>
      <c r="N81" s="67">
        <f t="shared" si="9"/>
        <v>37.5</v>
      </c>
      <c r="O81" s="41">
        <f t="shared" si="10"/>
        <v>1.4520123839009289</v>
      </c>
      <c r="Q81" s="62">
        <f t="shared" si="11"/>
        <v>-1</v>
      </c>
    </row>
    <row r="83" spans="1:17">
      <c r="E83" s="61">
        <f>SUM(E1:E82)</f>
        <v>47.009619499188034</v>
      </c>
      <c r="I83" s="281">
        <f>SUM(I1:I82)</f>
        <v>22</v>
      </c>
      <c r="J83" s="233">
        <f>COUNTIF(E1:E82,"&gt;0")</f>
        <v>40</v>
      </c>
      <c r="K83" s="62">
        <f>SUM(K1:K82)</f>
        <v>23.725168605977132</v>
      </c>
      <c r="N83" s="308">
        <v>75</v>
      </c>
      <c r="Q83" s="62">
        <f>SUM(Q1:Q82)</f>
        <v>22.237000000000002</v>
      </c>
    </row>
    <row r="84" spans="1:17">
      <c r="H84" s="63"/>
      <c r="I84" s="63">
        <f>+I83/J83</f>
        <v>0.55000000000000004</v>
      </c>
      <c r="K84" s="65">
        <f>+K83/E83</f>
        <v>0.50468752690897489</v>
      </c>
      <c r="Q84" s="65">
        <f>+Q83/COUNTIF(Q1:Q81,"&lt;&gt;0")</f>
        <v>0.555925</v>
      </c>
    </row>
    <row r="85" spans="1:17">
      <c r="K85" s="64"/>
    </row>
  </sheetData>
  <pageMargins left="0.7" right="0.7" top="0.75" bottom="0.75" header="0.3" footer="0.3"/>
  <pageSetup paperSize="9" orientation="portrait" horizontalDpi="0" verticalDpi="0" r:id="rId1"/>
  <legacyDrawing r:id="rId2"/>
</worksheet>
</file>

<file path=xl/worksheets/sheet51.xml><?xml version="1.0" encoding="utf-8"?>
<worksheet xmlns="http://schemas.openxmlformats.org/spreadsheetml/2006/main" xmlns:r="http://schemas.openxmlformats.org/officeDocument/2006/relationships">
  <dimension ref="A1:Q85"/>
  <sheetViews>
    <sheetView tabSelected="1" topLeftCell="A60" zoomScaleNormal="100" workbookViewId="0">
      <selection activeCell="Q81" sqref="A1:Q81"/>
    </sheetView>
  </sheetViews>
  <sheetFormatPr baseColWidth="10" defaultRowHeight="15"/>
  <cols>
    <col min="1" max="7" width="11.42578125" style="281"/>
    <col min="8" max="8" width="4.5703125" style="281" bestFit="1" customWidth="1"/>
    <col min="9" max="9" width="4.5703125" style="281" customWidth="1"/>
    <col min="10" max="16384" width="11.42578125" style="281"/>
  </cols>
  <sheetData>
    <row r="1" spans="1:17">
      <c r="A1" s="4" t="s">
        <v>12</v>
      </c>
      <c r="B1" s="4" t="s">
        <v>0</v>
      </c>
      <c r="C1" s="4" t="s">
        <v>3</v>
      </c>
      <c r="D1" s="4" t="s">
        <v>49</v>
      </c>
      <c r="E1" s="5">
        <f>IF(O1&gt;0,O1,0)</f>
        <v>3.8947368421052624</v>
      </c>
      <c r="F1" s="4">
        <v>1.95</v>
      </c>
      <c r="G1" s="10" t="s">
        <v>36</v>
      </c>
      <c r="H1" s="281">
        <v>1</v>
      </c>
      <c r="I1" s="281">
        <f>IF(E1&gt;0,H1,"")</f>
        <v>1</v>
      </c>
      <c r="K1" s="62">
        <f>IF(H1=1,E1*(F1-1),-E1)</f>
        <v>3.6999999999999993</v>
      </c>
      <c r="M1" s="61">
        <v>3</v>
      </c>
      <c r="N1" s="67">
        <f>M1*$N$83/3</f>
        <v>75</v>
      </c>
      <c r="O1" s="41">
        <f>((F1*(N1/100)-1)/(F1 -1))*40/5</f>
        <v>3.8947368421052624</v>
      </c>
      <c r="Q1" s="62">
        <f>IF(E1&gt;0,IF(H1=1,(F1-1),-1),0)</f>
        <v>0.95</v>
      </c>
    </row>
    <row r="2" spans="1:17">
      <c r="A2" s="12" t="s">
        <v>12</v>
      </c>
      <c r="B2" s="12" t="s">
        <v>26</v>
      </c>
      <c r="C2" s="12" t="s">
        <v>10</v>
      </c>
      <c r="D2" s="13" t="s">
        <v>49</v>
      </c>
      <c r="E2" s="13">
        <f>IF(O2&gt;0,O2,0)</f>
        <v>3.3333333333333335</v>
      </c>
      <c r="F2" s="12">
        <v>1.75</v>
      </c>
      <c r="G2" s="15" t="s">
        <v>82</v>
      </c>
      <c r="H2" s="281">
        <v>0</v>
      </c>
      <c r="I2" s="281">
        <f>IF(E2&gt;0,H2,"")</f>
        <v>0</v>
      </c>
      <c r="K2" s="62">
        <f>IF(H2=1,E2*(F2-1),-E2)</f>
        <v>-3.3333333333333335</v>
      </c>
      <c r="M2" s="61">
        <v>3</v>
      </c>
      <c r="N2" s="67">
        <f>M2*$N$83/3</f>
        <v>75</v>
      </c>
      <c r="O2" s="41">
        <f>((F2*(N2/100)-1)/(F2 -1))*40/5</f>
        <v>3.3333333333333335</v>
      </c>
      <c r="Q2" s="62">
        <f>IF(E2&gt;0,IF(H2=1,(F2-1),-1),0)</f>
        <v>-1</v>
      </c>
    </row>
    <row r="3" spans="1:17">
      <c r="A3" s="4" t="s">
        <v>12</v>
      </c>
      <c r="B3" s="4" t="s">
        <v>5</v>
      </c>
      <c r="C3" s="4" t="s">
        <v>26</v>
      </c>
      <c r="D3" s="4" t="s">
        <v>49</v>
      </c>
      <c r="E3" s="5">
        <f>IF(O3&gt;0,O3,0)</f>
        <v>3.11607786589762</v>
      </c>
      <c r="F3" s="9">
        <f>((1.73-1)*0.95)+1</f>
        <v>1.6935</v>
      </c>
      <c r="G3" s="10" t="s">
        <v>36</v>
      </c>
      <c r="H3" s="235">
        <v>1</v>
      </c>
      <c r="I3" s="281">
        <f>IF(E3&gt;0,H3,"")</f>
        <v>1</v>
      </c>
      <c r="J3" s="235"/>
      <c r="K3" s="62">
        <f>IF(H3=1,E3*(F3-1),-E3)</f>
        <v>2.1609999999999996</v>
      </c>
      <c r="M3" s="61">
        <v>3</v>
      </c>
      <c r="N3" s="67">
        <f>M3*$N$83/3</f>
        <v>75</v>
      </c>
      <c r="O3" s="41">
        <f>((F3*(N3/100)-1)/(F3 -1))*40/5</f>
        <v>3.11607786589762</v>
      </c>
      <c r="Q3" s="62">
        <f>IF(E3&gt;0,IF(H3=1,(F3-1),-1),0)</f>
        <v>0.69350000000000001</v>
      </c>
    </row>
    <row r="4" spans="1:17">
      <c r="A4" s="46" t="s">
        <v>12</v>
      </c>
      <c r="B4" s="46" t="s">
        <v>26</v>
      </c>
      <c r="C4" s="46" t="s">
        <v>27</v>
      </c>
      <c r="D4" s="46" t="s">
        <v>48</v>
      </c>
      <c r="E4" s="47">
        <f>IF(O4&gt;0,O4,0)</f>
        <v>3.0976537729866833</v>
      </c>
      <c r="F4" s="48">
        <f>((2.66-1)*0.95)+1</f>
        <v>2.577</v>
      </c>
      <c r="G4" s="49" t="s">
        <v>42</v>
      </c>
      <c r="H4" s="235">
        <v>0</v>
      </c>
      <c r="I4" s="281">
        <f>IF(E4&gt;0,H4,"")</f>
        <v>0</v>
      </c>
      <c r="K4" s="62">
        <f>IF(H4=1,E4*(F4-1),-E4)</f>
        <v>-3.0976537729866833</v>
      </c>
      <c r="M4" s="61">
        <v>2.5</v>
      </c>
      <c r="N4" s="67">
        <f>M4*$N$83/3</f>
        <v>62.5</v>
      </c>
      <c r="O4" s="41">
        <f>((F4*(N4/100)-1)/(F4 -1))*40/5</f>
        <v>3.0976537729866833</v>
      </c>
      <c r="Q4" s="62">
        <f>IF(E4&gt;0,IF(H4=1,(F4-1),-1),0)</f>
        <v>-1</v>
      </c>
    </row>
    <row r="5" spans="1:17">
      <c r="A5" s="4" t="s">
        <v>12</v>
      </c>
      <c r="B5" s="4" t="s">
        <v>27</v>
      </c>
      <c r="C5" s="4" t="s">
        <v>28</v>
      </c>
      <c r="D5" s="5" t="s">
        <v>49</v>
      </c>
      <c r="E5" s="5">
        <f>IF(O5&gt;0,O5,0)</f>
        <v>2.6666666666666687</v>
      </c>
      <c r="F5" s="4">
        <v>1.6</v>
      </c>
      <c r="G5" s="10" t="s">
        <v>41</v>
      </c>
      <c r="H5" s="281">
        <v>1</v>
      </c>
      <c r="I5" s="281">
        <f>IF(E5&gt;0,H5,"")</f>
        <v>1</v>
      </c>
      <c r="K5" s="62">
        <f>IF(H5=1,E5*(F5-1),-E5)</f>
        <v>1.6000000000000014</v>
      </c>
      <c r="M5" s="61">
        <v>3</v>
      </c>
      <c r="N5" s="67">
        <f>M5*$N$83/3</f>
        <v>75</v>
      </c>
      <c r="O5" s="41">
        <f>((F5*(N5/100)-1)/(F5 -1))*40/5</f>
        <v>2.6666666666666687</v>
      </c>
      <c r="Q5" s="62">
        <f>IF(E5&gt;0,IF(H5=1,(F5-1),-1),0)</f>
        <v>0.60000000000000009</v>
      </c>
    </row>
    <row r="6" spans="1:17">
      <c r="A6" s="54" t="s">
        <v>12</v>
      </c>
      <c r="B6" s="54" t="s">
        <v>182</v>
      </c>
      <c r="C6" s="54" t="s">
        <v>47</v>
      </c>
      <c r="D6" s="54" t="s">
        <v>49</v>
      </c>
      <c r="E6" s="55">
        <f>IF(O6&gt;0,O6,0)</f>
        <v>2.4937343358395982</v>
      </c>
      <c r="F6" s="56">
        <f>((2.26-1)*0.95)+1</f>
        <v>2.1970000000000001</v>
      </c>
      <c r="G6" s="57" t="s">
        <v>122</v>
      </c>
      <c r="H6" s="235">
        <v>1</v>
      </c>
      <c r="I6" s="281">
        <f>IF(E6&gt;0,H6,"")</f>
        <v>1</v>
      </c>
      <c r="J6" s="235"/>
      <c r="K6" s="62">
        <f>IF(H6=1,E6*(F6-1),-E6)</f>
        <v>2.9849999999999994</v>
      </c>
      <c r="M6" s="61">
        <v>2.5</v>
      </c>
      <c r="N6" s="67">
        <f>M6*$N$83/3</f>
        <v>62.5</v>
      </c>
      <c r="O6" s="41">
        <f>((F6*(N6/100)-1)/(F6 -1))*40/5</f>
        <v>2.4937343358395982</v>
      </c>
      <c r="Q6" s="62">
        <f>IF(E6&gt;0,IF(H6=1,(F6-1),-1),0)</f>
        <v>1.1970000000000001</v>
      </c>
    </row>
    <row r="7" spans="1:17">
      <c r="A7" s="54" t="s">
        <v>12</v>
      </c>
      <c r="B7" s="54" t="s">
        <v>16</v>
      </c>
      <c r="C7" s="54" t="s">
        <v>2</v>
      </c>
      <c r="D7" s="54" t="s">
        <v>49</v>
      </c>
      <c r="E7" s="55">
        <f>IF(O7&gt;0,O7,0)</f>
        <v>2.4533106960950772</v>
      </c>
      <c r="F7" s="56">
        <f>((2.24-1)*0.95)+1</f>
        <v>2.1779999999999999</v>
      </c>
      <c r="G7" s="57" t="s">
        <v>146</v>
      </c>
      <c r="H7" s="235">
        <v>1</v>
      </c>
      <c r="I7" s="281">
        <f>IF(E7&gt;0,H7,"")</f>
        <v>1</v>
      </c>
      <c r="K7" s="62">
        <f>IF(H7=1,E7*(F7-1),-E7)</f>
        <v>2.890000000000001</v>
      </c>
      <c r="M7" s="61">
        <v>2.5</v>
      </c>
      <c r="N7" s="67">
        <f>M7*$N$83/3</f>
        <v>62.5</v>
      </c>
      <c r="O7" s="41">
        <f>((F7*(N7/100)-1)/(F7 -1))*40/5</f>
        <v>2.4533106960950772</v>
      </c>
      <c r="Q7" s="62">
        <f>IF(E7&gt;0,IF(H7=1,(F7-1),-1),0)</f>
        <v>1.1779999999999999</v>
      </c>
    </row>
    <row r="8" spans="1:17">
      <c r="A8" s="12" t="s">
        <v>12</v>
      </c>
      <c r="B8" s="12" t="s">
        <v>182</v>
      </c>
      <c r="C8" s="12" t="s">
        <v>28</v>
      </c>
      <c r="D8" s="12" t="s">
        <v>49</v>
      </c>
      <c r="E8" s="13">
        <f>IF(O8&gt;0,O8,0)</f>
        <v>2.0208540218470694</v>
      </c>
      <c r="F8" s="14">
        <f>((2.06-1)*0.95)+1</f>
        <v>2.0069999999999997</v>
      </c>
      <c r="G8" s="15" t="s">
        <v>243</v>
      </c>
      <c r="H8" s="235">
        <v>0</v>
      </c>
      <c r="I8" s="281">
        <f>IF(E8&gt;0,H8,"")</f>
        <v>0</v>
      </c>
      <c r="K8" s="62">
        <f>IF(H8=1,E8*(F8-1),-E8)</f>
        <v>-2.0208540218470694</v>
      </c>
      <c r="M8" s="61">
        <v>2.5</v>
      </c>
      <c r="N8" s="67">
        <f>M8*$N$83/3</f>
        <v>62.5</v>
      </c>
      <c r="O8" s="41">
        <f>((F8*(N8/100)-1)/(F8 -1))*40/5</f>
        <v>2.0208540218470694</v>
      </c>
      <c r="Q8" s="62">
        <f>IF(E8&gt;0,IF(H8=1,(F8-1),-1),0)</f>
        <v>-1</v>
      </c>
    </row>
    <row r="9" spans="1:17">
      <c r="A9" s="42" t="s">
        <v>12</v>
      </c>
      <c r="B9" s="42" t="s">
        <v>0</v>
      </c>
      <c r="C9" s="42" t="s">
        <v>27</v>
      </c>
      <c r="D9" s="42" t="s">
        <v>49</v>
      </c>
      <c r="E9" s="43">
        <f>IF(O9&gt;0,O9,0)</f>
        <v>1.7777777777777775</v>
      </c>
      <c r="F9" s="44">
        <v>2.8</v>
      </c>
      <c r="G9" s="45" t="s">
        <v>42</v>
      </c>
      <c r="H9" s="235">
        <v>1</v>
      </c>
      <c r="I9" s="281">
        <f>IF(E9&gt;0,H9,"")</f>
        <v>1</v>
      </c>
      <c r="J9" s="235"/>
      <c r="K9" s="62">
        <f>IF(H9=1,E9*(F9-1),-E9)</f>
        <v>3.1999999999999993</v>
      </c>
      <c r="M9" s="61">
        <v>2</v>
      </c>
      <c r="N9" s="67">
        <f>M9*$N$83/3</f>
        <v>50</v>
      </c>
      <c r="O9" s="41">
        <f>((F9*(N9/100)-1)/(F9 -1))*40/5</f>
        <v>1.7777777777777775</v>
      </c>
      <c r="Q9" s="62">
        <f>IF(E9&gt;0,IF(H9=1,(F9-1),-1),0)</f>
        <v>1.7999999999999998</v>
      </c>
    </row>
    <row r="10" spans="1:17">
      <c r="A10" s="54" t="s">
        <v>12</v>
      </c>
      <c r="B10" s="54" t="s">
        <v>67</v>
      </c>
      <c r="C10" s="54" t="s">
        <v>1</v>
      </c>
      <c r="D10" s="54" t="s">
        <v>49</v>
      </c>
      <c r="E10" s="55">
        <f>IF(O10&gt;0,O10,0)</f>
        <v>1.7035445757250252</v>
      </c>
      <c r="F10" s="56">
        <f>((1.49-1)*0.95)+1</f>
        <v>1.4655</v>
      </c>
      <c r="G10" s="57" t="s">
        <v>146</v>
      </c>
      <c r="H10" s="235">
        <v>1</v>
      </c>
      <c r="I10" s="281">
        <f>IF(E10&gt;0,H10,"")</f>
        <v>1</v>
      </c>
      <c r="J10" s="235"/>
      <c r="K10" s="62">
        <f>IF(H10=1,E10*(F10-1),-E10)</f>
        <v>0.79299999999999926</v>
      </c>
      <c r="M10" s="61">
        <v>3</v>
      </c>
      <c r="N10" s="67">
        <f>M10*$N$83/3</f>
        <v>75</v>
      </c>
      <c r="O10" s="41">
        <f>((F10*(N10/100)-1)/(F10 -1))*40/5</f>
        <v>1.7035445757250252</v>
      </c>
      <c r="Q10" s="62">
        <f>IF(E10&gt;0,IF(H10=1,(F10-1),-1),0)</f>
        <v>0.46550000000000002</v>
      </c>
    </row>
    <row r="11" spans="1:17">
      <c r="A11" s="46" t="s">
        <v>12</v>
      </c>
      <c r="B11" s="46" t="s">
        <v>47</v>
      </c>
      <c r="C11" s="46" t="s">
        <v>15</v>
      </c>
      <c r="D11" s="46" t="s">
        <v>49</v>
      </c>
      <c r="E11" s="47">
        <f>IF(O11&gt;0,O11,0)</f>
        <v>1.6759002770083096</v>
      </c>
      <c r="F11" s="48">
        <f>((1.95-1)*0.95)+1</f>
        <v>1.9024999999999999</v>
      </c>
      <c r="G11" s="49" t="s">
        <v>37</v>
      </c>
      <c r="H11" s="235">
        <v>0</v>
      </c>
      <c r="I11" s="281">
        <f>IF(E11&gt;0,H11,"")</f>
        <v>0</v>
      </c>
      <c r="K11" s="62">
        <f>IF(H11=1,E11*(F11-1),-E11)</f>
        <v>-1.6759002770083096</v>
      </c>
      <c r="M11" s="61">
        <v>2.5</v>
      </c>
      <c r="N11" s="67">
        <f>M11*$N$83/3</f>
        <v>62.5</v>
      </c>
      <c r="O11" s="41">
        <f>((F11*(N11/100)-1)/(F11 -1))*40/5</f>
        <v>1.6759002770083096</v>
      </c>
      <c r="Q11" s="62">
        <f>IF(E11&gt;0,IF(H11=1,(F11-1),-1),0)</f>
        <v>-1</v>
      </c>
    </row>
    <row r="12" spans="1:17">
      <c r="A12" s="50" t="s">
        <v>12</v>
      </c>
      <c r="B12" s="50" t="s">
        <v>28</v>
      </c>
      <c r="C12" s="50" t="s">
        <v>27</v>
      </c>
      <c r="D12" s="50" t="s">
        <v>692</v>
      </c>
      <c r="E12" s="51">
        <f>IF(O12&gt;0,O12,0)</f>
        <v>1.4520123839009289</v>
      </c>
      <c r="F12" s="52">
        <f>((4.4-1)*0.95)+1</f>
        <v>4.2300000000000004</v>
      </c>
      <c r="G12" s="53" t="s">
        <v>41</v>
      </c>
      <c r="H12" s="235">
        <v>0</v>
      </c>
      <c r="I12" s="281">
        <f>IF(E12&gt;0,H12,"")</f>
        <v>0</v>
      </c>
      <c r="K12" s="62">
        <f>IF(H12=1,E12*(F12-1),-E12)</f>
        <v>-1.4520123839009289</v>
      </c>
      <c r="M12" s="61">
        <v>1.5</v>
      </c>
      <c r="N12" s="67">
        <f>M12*$N$83/3</f>
        <v>37.5</v>
      </c>
      <c r="O12" s="41">
        <f>((F12*(N12/100)-1)/(F12 -1))*40/5</f>
        <v>1.4520123839009289</v>
      </c>
      <c r="Q12" s="62">
        <f>IF(E12&gt;0,IF(H12=1,(F12-1),-1),0)</f>
        <v>-1</v>
      </c>
    </row>
    <row r="13" spans="1:17">
      <c r="A13" s="4" t="s">
        <v>12</v>
      </c>
      <c r="B13" s="4" t="s">
        <v>504</v>
      </c>
      <c r="C13" s="4" t="s">
        <v>0</v>
      </c>
      <c r="D13" s="4" t="s">
        <v>48</v>
      </c>
      <c r="E13" s="5">
        <f>IF(O13&gt;0,O13,0)</f>
        <v>1.4278752436647173</v>
      </c>
      <c r="F13" s="9">
        <f>((6.4-1)*0.95)+1</f>
        <v>6.13</v>
      </c>
      <c r="G13" s="10" t="s">
        <v>82</v>
      </c>
      <c r="H13" s="235">
        <v>1</v>
      </c>
      <c r="I13" s="281">
        <f>IF(E13&gt;0,H13,"")</f>
        <v>1</v>
      </c>
      <c r="K13" s="62">
        <f>IF(H13=1,E13*(F13-1),-E13)</f>
        <v>7.3249999999999993</v>
      </c>
      <c r="M13" s="61">
        <v>1.25</v>
      </c>
      <c r="N13" s="67">
        <f>M13*$N$83/3</f>
        <v>31.25</v>
      </c>
      <c r="O13" s="41">
        <f>((F13*(N13/100)-1)/(F13 -1))*40/5</f>
        <v>1.4278752436647173</v>
      </c>
      <c r="Q13" s="62">
        <f>IF(E13&gt;0,IF(H13=1,(F13-1),-1),0)</f>
        <v>5.13</v>
      </c>
    </row>
    <row r="14" spans="1:17">
      <c r="A14" s="54" t="s">
        <v>12</v>
      </c>
      <c r="B14" s="54" t="s">
        <v>28</v>
      </c>
      <c r="C14" s="54" t="s">
        <v>134</v>
      </c>
      <c r="D14" s="54" t="s">
        <v>49</v>
      </c>
      <c r="E14" s="55">
        <f>IF(O14&gt;0,O14,0)</f>
        <v>1.3468899521531099</v>
      </c>
      <c r="F14" s="56">
        <f>((3.2-1)*0.95)+1</f>
        <v>3.09</v>
      </c>
      <c r="G14" s="57" t="s">
        <v>36</v>
      </c>
      <c r="H14" s="235">
        <v>1</v>
      </c>
      <c r="I14" s="281">
        <f>IF(E14&gt;0,H14,"")</f>
        <v>1</v>
      </c>
      <c r="K14" s="62">
        <f>IF(H14=1,E14*(F14-1),-E14)</f>
        <v>2.8149999999999995</v>
      </c>
      <c r="M14" s="61">
        <v>1.75</v>
      </c>
      <c r="N14" s="67">
        <f>M14*$N$83/3</f>
        <v>43.75</v>
      </c>
      <c r="O14" s="41">
        <f>((F14*(N14/100)-1)/(F14 -1))*40/5</f>
        <v>1.3468899521531099</v>
      </c>
      <c r="Q14" s="62">
        <f>IF(E14&gt;0,IF(H14=1,(F14-1),-1),0)</f>
        <v>2.09</v>
      </c>
    </row>
    <row r="15" spans="1:17">
      <c r="A15" s="4" t="s">
        <v>12</v>
      </c>
      <c r="B15" s="4" t="s">
        <v>2</v>
      </c>
      <c r="C15" s="4" t="s">
        <v>47</v>
      </c>
      <c r="D15" s="4" t="s">
        <v>48</v>
      </c>
      <c r="E15" s="5">
        <f>IF(O15&gt;0,O15,0)</f>
        <v>1.2158786797502232</v>
      </c>
      <c r="F15" s="9">
        <f>((3.95-1)*0.95)+1</f>
        <v>3.8025000000000002</v>
      </c>
      <c r="G15" s="10" t="s">
        <v>43</v>
      </c>
      <c r="H15" s="281">
        <v>1</v>
      </c>
      <c r="I15" s="281">
        <f>IF(E15&gt;0,H15,"")</f>
        <v>1</v>
      </c>
      <c r="K15" s="62">
        <f>IF(H15=1,E15*(F15-1),-E15)</f>
        <v>3.4075000000000011</v>
      </c>
      <c r="M15" s="61">
        <v>1.5</v>
      </c>
      <c r="N15" s="67">
        <f>M15*$N$83/3</f>
        <v>37.5</v>
      </c>
      <c r="O15" s="41">
        <f>((F15*(N15/100)-1)/(F15 -1))*40/5</f>
        <v>1.2158786797502232</v>
      </c>
      <c r="Q15" s="62">
        <f>IF(E15&gt;0,IF(H15=1,(F15-1),-1),0)</f>
        <v>2.8025000000000002</v>
      </c>
    </row>
    <row r="16" spans="1:17">
      <c r="A16" s="87" t="s">
        <v>12</v>
      </c>
      <c r="B16" s="87" t="s">
        <v>181</v>
      </c>
      <c r="C16" s="87" t="s">
        <v>67</v>
      </c>
      <c r="D16" s="87" t="s">
        <v>49</v>
      </c>
      <c r="E16" s="88">
        <f>IF(O16&gt;0,O16,0)</f>
        <v>1.1550497866287335</v>
      </c>
      <c r="F16" s="89">
        <f>((2.48-1)*0.95)+1</f>
        <v>2.4059999999999997</v>
      </c>
      <c r="G16" s="90" t="s">
        <v>243</v>
      </c>
      <c r="H16" s="235">
        <v>0</v>
      </c>
      <c r="I16" s="281">
        <f>IF(E16&gt;0,H16,"")</f>
        <v>0</v>
      </c>
      <c r="K16" s="62">
        <f>IF(H16=1,E16*(F16-1),-E16)</f>
        <v>-1.1550497866287335</v>
      </c>
      <c r="M16" s="61">
        <v>2</v>
      </c>
      <c r="N16" s="67">
        <f>M16*$N$83/3</f>
        <v>50</v>
      </c>
      <c r="O16" s="41">
        <f>((F16*(N16/100)-1)/(F16 -1))*40/5</f>
        <v>1.1550497866287335</v>
      </c>
      <c r="Q16" s="62">
        <f>IF(E16&gt;0,IF(H16=1,(F16-1),-1),0)</f>
        <v>-1</v>
      </c>
    </row>
    <row r="17" spans="1:17" s="235" customFormat="1">
      <c r="A17" s="54" t="s">
        <v>12</v>
      </c>
      <c r="B17" s="54" t="s">
        <v>15</v>
      </c>
      <c r="C17" s="54" t="s">
        <v>182</v>
      </c>
      <c r="D17" s="54" t="s">
        <v>49</v>
      </c>
      <c r="E17" s="55">
        <f>IF(O17&gt;0,O17,0)</f>
        <v>1.1160778658976207</v>
      </c>
      <c r="F17" s="56">
        <f>((2.46-1)*0.95)+1</f>
        <v>2.387</v>
      </c>
      <c r="G17" s="57" t="s">
        <v>201</v>
      </c>
      <c r="H17" s="235">
        <v>1</v>
      </c>
      <c r="I17" s="281">
        <f>IF(E17&gt;0,H17,"")</f>
        <v>1</v>
      </c>
      <c r="K17" s="62">
        <f>IF(H17=1,E17*(F17-1),-E17)</f>
        <v>1.5479999999999998</v>
      </c>
      <c r="L17" s="281"/>
      <c r="M17" s="61">
        <v>2</v>
      </c>
      <c r="N17" s="67">
        <f>M17*$N$83/3</f>
        <v>50</v>
      </c>
      <c r="O17" s="41">
        <f>((F17*(N17/100)-1)/(F17 -1))*40/5</f>
        <v>1.1160778658976207</v>
      </c>
      <c r="P17" s="281"/>
      <c r="Q17" s="62">
        <f>IF(E17&gt;0,IF(H17=1,(F17-1),-1),0)</f>
        <v>1.387</v>
      </c>
    </row>
    <row r="18" spans="1:17" s="235" customFormat="1">
      <c r="A18" s="46" t="s">
        <v>12</v>
      </c>
      <c r="B18" s="46" t="s">
        <v>67</v>
      </c>
      <c r="C18" s="46" t="s">
        <v>5</v>
      </c>
      <c r="D18" s="46" t="s">
        <v>48</v>
      </c>
      <c r="E18" s="47">
        <f>IF(O18&gt;0,O18,0)</f>
        <v>1.0139026812313798</v>
      </c>
      <c r="F18" s="48">
        <f>((3.65-1)*0.95)+1</f>
        <v>3.5174999999999996</v>
      </c>
      <c r="G18" s="49" t="s">
        <v>42</v>
      </c>
      <c r="H18" s="281">
        <v>0</v>
      </c>
      <c r="I18" s="281">
        <f>IF(E18&gt;0,H18,"")</f>
        <v>0</v>
      </c>
      <c r="J18" s="281"/>
      <c r="K18" s="62">
        <f>IF(H18=1,E18*(F18-1),-E18)</f>
        <v>-1.0139026812313798</v>
      </c>
      <c r="L18" s="281"/>
      <c r="M18" s="61">
        <v>1.5</v>
      </c>
      <c r="N18" s="67">
        <f>M18*$N$83/3</f>
        <v>37.5</v>
      </c>
      <c r="O18" s="41">
        <f>((F18*(N18/100)-1)/(F18 -1))*40/5</f>
        <v>1.0139026812313798</v>
      </c>
      <c r="P18" s="281"/>
      <c r="Q18" s="62">
        <f>IF(E18&gt;0,IF(H18=1,(F18-1),-1),0)</f>
        <v>-1</v>
      </c>
    </row>
    <row r="19" spans="1:17" s="235" customFormat="1">
      <c r="A19" s="4" t="s">
        <v>12</v>
      </c>
      <c r="B19" s="4" t="s">
        <v>15</v>
      </c>
      <c r="C19" s="4" t="s">
        <v>2</v>
      </c>
      <c r="D19" s="4" t="s">
        <v>48</v>
      </c>
      <c r="E19" s="5">
        <f>IF(O19&gt;0,O19,0)</f>
        <v>0.97570850202429171</v>
      </c>
      <c r="F19" s="9">
        <f>((3.6-1)*0.95)+1</f>
        <v>3.4699999999999998</v>
      </c>
      <c r="G19" s="10" t="s">
        <v>39</v>
      </c>
      <c r="H19" s="281">
        <v>1</v>
      </c>
      <c r="I19" s="281">
        <f>IF(E19&gt;0,H19,"")</f>
        <v>1</v>
      </c>
      <c r="J19" s="281"/>
      <c r="K19" s="62">
        <f>IF(H19=1,E19*(F19-1),-E19)</f>
        <v>2.41</v>
      </c>
      <c r="L19" s="281"/>
      <c r="M19" s="61">
        <v>1.5</v>
      </c>
      <c r="N19" s="67">
        <f>M19*$N$83/3</f>
        <v>37.5</v>
      </c>
      <c r="O19" s="41">
        <f>((F19*(N19/100)-1)/(F19 -1))*40/5</f>
        <v>0.97570850202429171</v>
      </c>
      <c r="P19" s="281"/>
      <c r="Q19" s="62">
        <f>IF(E19&gt;0,IF(H19=1,(F19-1),-1),0)</f>
        <v>2.4699999999999998</v>
      </c>
    </row>
    <row r="20" spans="1:17" s="235" customFormat="1">
      <c r="A20" s="54" t="s">
        <v>12</v>
      </c>
      <c r="B20" s="54" t="s">
        <v>10</v>
      </c>
      <c r="C20" s="54" t="s">
        <v>5</v>
      </c>
      <c r="D20" s="54" t="s">
        <v>48</v>
      </c>
      <c r="E20" s="55">
        <f>IF(O20&gt;0,O20,0)</f>
        <v>0.90402476780185714</v>
      </c>
      <c r="F20" s="56">
        <f>((2.36-1)*0.95)+1</f>
        <v>2.2919999999999998</v>
      </c>
      <c r="G20" s="57" t="s">
        <v>366</v>
      </c>
      <c r="H20" s="235">
        <v>1</v>
      </c>
      <c r="I20" s="281">
        <f>IF(E20&gt;0,H20,"")</f>
        <v>1</v>
      </c>
      <c r="J20" s="281"/>
      <c r="K20" s="62">
        <f>IF(H20=1,E20*(F20-1),-E20)</f>
        <v>1.1679999999999993</v>
      </c>
      <c r="L20" s="281"/>
      <c r="M20" s="61">
        <v>2</v>
      </c>
      <c r="N20" s="67">
        <f>M20*$N$83/3</f>
        <v>50</v>
      </c>
      <c r="O20" s="41">
        <f>((F20*(N20/100)-1)/(F20 -1))*40/5</f>
        <v>0.90402476780185714</v>
      </c>
      <c r="P20" s="281"/>
      <c r="Q20" s="62">
        <f>IF(E20&gt;0,IF(H20=1,(F20-1),-1),0)</f>
        <v>1.2919999999999998</v>
      </c>
    </row>
    <row r="21" spans="1:17" s="235" customFormat="1">
      <c r="A21" s="87" t="s">
        <v>12</v>
      </c>
      <c r="B21" s="87" t="s">
        <v>5</v>
      </c>
      <c r="C21" s="87" t="s">
        <v>134</v>
      </c>
      <c r="D21" s="87" t="s">
        <v>48</v>
      </c>
      <c r="E21" s="88">
        <f>IF(O21&gt;0,O21,0)</f>
        <v>0.89473684210526316</v>
      </c>
      <c r="F21" s="89">
        <f>((3.5-1)*0.95)+1</f>
        <v>3.375</v>
      </c>
      <c r="G21" s="90" t="s">
        <v>38</v>
      </c>
      <c r="H21" s="235">
        <v>0</v>
      </c>
      <c r="I21" s="281">
        <f>IF(E21&gt;0,H21,"")</f>
        <v>0</v>
      </c>
      <c r="J21" s="233"/>
      <c r="K21" s="62">
        <f>IF(H21=1,E21*(F21-1),-E21)</f>
        <v>-0.89473684210526316</v>
      </c>
      <c r="L21" s="281"/>
      <c r="M21" s="61">
        <v>1.5</v>
      </c>
      <c r="N21" s="67">
        <f>M21*$N$83/3</f>
        <v>37.5</v>
      </c>
      <c r="O21" s="41">
        <f>((F21*(N21/100)-1)/(F21 -1))*40/5</f>
        <v>0.89473684210526316</v>
      </c>
      <c r="P21" s="281"/>
      <c r="Q21" s="62">
        <f>IF(E21&gt;0,IF(H21=1,(F21-1),-1),0)</f>
        <v>-1</v>
      </c>
    </row>
    <row r="22" spans="1:17" s="235" customFormat="1">
      <c r="A22" s="54" t="s">
        <v>12</v>
      </c>
      <c r="B22" s="54" t="s">
        <v>10</v>
      </c>
      <c r="C22" s="54" t="s">
        <v>47</v>
      </c>
      <c r="D22" s="54" t="s">
        <v>48</v>
      </c>
      <c r="E22" s="55">
        <f>IF(O22&gt;0,O22,0)</f>
        <v>0.86842105263157854</v>
      </c>
      <c r="F22" s="56">
        <f>((2.8-1)*0.95)+1</f>
        <v>2.71</v>
      </c>
      <c r="G22" s="57" t="s">
        <v>366</v>
      </c>
      <c r="H22" s="235">
        <v>1</v>
      </c>
      <c r="I22" s="281">
        <f>IF(E22&gt;0,H22,"")</f>
        <v>1</v>
      </c>
      <c r="J22" s="281"/>
      <c r="K22" s="62">
        <f>IF(H22=1,E22*(F22-1),-E22)</f>
        <v>1.4849999999999992</v>
      </c>
      <c r="L22" s="281"/>
      <c r="M22" s="61">
        <v>1.75</v>
      </c>
      <c r="N22" s="67">
        <f>M22*$N$83/3</f>
        <v>43.75</v>
      </c>
      <c r="O22" s="41">
        <f>((F22*(N22/100)-1)/(F22 -1))*40/5</f>
        <v>0.86842105263157854</v>
      </c>
      <c r="P22" s="281"/>
      <c r="Q22" s="62">
        <f>IF(E22&gt;0,IF(H22=1,(F22-1),-1),0)</f>
        <v>1.71</v>
      </c>
    </row>
    <row r="23" spans="1:17" s="235" customFormat="1">
      <c r="A23" s="54" t="s">
        <v>12</v>
      </c>
      <c r="B23" s="54" t="s">
        <v>73</v>
      </c>
      <c r="C23" s="54" t="s">
        <v>181</v>
      </c>
      <c r="D23" s="54" t="s">
        <v>48</v>
      </c>
      <c r="E23" s="55">
        <f>IF(O23&gt;0,O23,0)</f>
        <v>0.74561403508771884</v>
      </c>
      <c r="F23" s="56">
        <f>((4.3-1)*0.95)+1</f>
        <v>4.1349999999999998</v>
      </c>
      <c r="G23" s="57" t="s">
        <v>39</v>
      </c>
      <c r="H23" s="235">
        <v>1</v>
      </c>
      <c r="I23" s="281">
        <f>IF(E23&gt;0,H23,"")</f>
        <v>1</v>
      </c>
      <c r="J23" s="281"/>
      <c r="K23" s="62">
        <f>IF(H23=1,E23*(F23-1),-E23)</f>
        <v>2.3374999999999986</v>
      </c>
      <c r="L23" s="281"/>
      <c r="M23" s="61">
        <v>1.25</v>
      </c>
      <c r="N23" s="67">
        <f>M23*$N$83/3</f>
        <v>31.25</v>
      </c>
      <c r="O23" s="41">
        <f>((F23*(N23/100)-1)/(F23 -1))*40/5</f>
        <v>0.74561403508771884</v>
      </c>
      <c r="P23" s="281"/>
      <c r="Q23" s="62">
        <f>IF(E23&gt;0,IF(H23=1,(F23-1),-1),0)</f>
        <v>3.1349999999999998</v>
      </c>
    </row>
    <row r="24" spans="1:17" s="235" customFormat="1">
      <c r="A24" s="46" t="s">
        <v>12</v>
      </c>
      <c r="B24" s="46" t="s">
        <v>422</v>
      </c>
      <c r="C24" s="46" t="s">
        <v>5</v>
      </c>
      <c r="D24" s="46" t="s">
        <v>692</v>
      </c>
      <c r="E24" s="47">
        <f>IF(O24&gt;0,O24,0)</f>
        <v>0.73976608187134507</v>
      </c>
      <c r="F24" s="48">
        <f>((10-1)*0.95)+1</f>
        <v>9.5499999999999989</v>
      </c>
      <c r="G24" s="49" t="s">
        <v>41</v>
      </c>
      <c r="H24" s="235">
        <v>0</v>
      </c>
      <c r="I24" s="281">
        <f>IF(E24&gt;0,H24,"")</f>
        <v>0</v>
      </c>
      <c r="J24" s="281"/>
      <c r="K24" s="62">
        <f>IF(H24=1,E24*(F24-1),-E24)</f>
        <v>-0.73976608187134507</v>
      </c>
      <c r="L24" s="281"/>
      <c r="M24" s="61">
        <v>0.75</v>
      </c>
      <c r="N24" s="67">
        <f>M24*$N$83/3</f>
        <v>18.75</v>
      </c>
      <c r="O24" s="41">
        <f>((F24*(N24/100)-1)/(F24 -1))*40/5</f>
        <v>0.73976608187134507</v>
      </c>
      <c r="P24" s="281"/>
      <c r="Q24" s="62">
        <f>IF(E24&gt;0,IF(H24=1,(F24-1),-1),0)</f>
        <v>-1</v>
      </c>
    </row>
    <row r="25" spans="1:17" s="235" customFormat="1">
      <c r="A25" s="46" t="s">
        <v>12</v>
      </c>
      <c r="B25" s="46" t="s">
        <v>239</v>
      </c>
      <c r="C25" s="46" t="s">
        <v>16</v>
      </c>
      <c r="D25" s="46" t="s">
        <v>48</v>
      </c>
      <c r="E25" s="47">
        <f>IF(O25&gt;0,O25,0)</f>
        <v>0.67963386727688779</v>
      </c>
      <c r="F25" s="48">
        <f>((24-1)*0.95)+1</f>
        <v>22.849999999999998</v>
      </c>
      <c r="G25" s="49" t="s">
        <v>246</v>
      </c>
      <c r="H25" s="235">
        <v>0</v>
      </c>
      <c r="I25" s="281">
        <f>IF(E25&gt;0,H25,"")</f>
        <v>0</v>
      </c>
      <c r="J25" s="281"/>
      <c r="K25" s="62">
        <f>IF(H25=1,E25*(F25-1),-E25)</f>
        <v>-0.67963386727688779</v>
      </c>
      <c r="L25" s="281"/>
      <c r="M25" s="61">
        <v>0.5</v>
      </c>
      <c r="N25" s="67">
        <f>M25*$N$83/3</f>
        <v>12.5</v>
      </c>
      <c r="O25" s="41">
        <f>((F25*(N25/100)-1)/(F25 -1))*40/5</f>
        <v>0.67963386727688779</v>
      </c>
      <c r="P25" s="281"/>
      <c r="Q25" s="62">
        <f>IF(E25&gt;0,IF(H25=1,(F25-1),-1),0)</f>
        <v>-1</v>
      </c>
    </row>
    <row r="26" spans="1:17" s="235" customFormat="1">
      <c r="A26" s="87" t="s">
        <v>12</v>
      </c>
      <c r="B26" s="87" t="s">
        <v>5</v>
      </c>
      <c r="C26" s="87" t="s">
        <v>16</v>
      </c>
      <c r="D26" s="87" t="s">
        <v>48</v>
      </c>
      <c r="E26" s="88">
        <f>IF(O26&gt;0,O26,0)</f>
        <v>0.53121175030599754</v>
      </c>
      <c r="F26" s="89">
        <f>((5.3-1)*0.95)+1</f>
        <v>5.085</v>
      </c>
      <c r="G26" s="90" t="s">
        <v>37</v>
      </c>
      <c r="H26" s="281">
        <v>0</v>
      </c>
      <c r="I26" s="281">
        <f>IF(E26&gt;0,H26,"")</f>
        <v>0</v>
      </c>
      <c r="J26" s="281"/>
      <c r="K26" s="62">
        <f>IF(H26=1,E26*(F26-1),-E26)</f>
        <v>-0.53121175030599754</v>
      </c>
      <c r="L26" s="281"/>
      <c r="M26" s="61">
        <v>1</v>
      </c>
      <c r="N26" s="67">
        <f>M26*$N$83/3</f>
        <v>25</v>
      </c>
      <c r="O26" s="41">
        <f>((F26*(N26/100)-1)/(F26 -1))*40/5</f>
        <v>0.53121175030599754</v>
      </c>
      <c r="P26" s="281"/>
      <c r="Q26" s="62">
        <f>IF(E26&gt;0,IF(H26=1,(F26-1),-1),0)</f>
        <v>-1</v>
      </c>
    </row>
    <row r="27" spans="1:17" s="235" customFormat="1">
      <c r="A27" s="12" t="s">
        <v>12</v>
      </c>
      <c r="B27" s="12" t="s">
        <v>5</v>
      </c>
      <c r="C27" s="12" t="s">
        <v>47</v>
      </c>
      <c r="D27" s="12" t="s">
        <v>530</v>
      </c>
      <c r="E27" s="13">
        <f>IF(O27&gt;0,O27,0)</f>
        <v>0.46860572483841201</v>
      </c>
      <c r="F27" s="14">
        <f>((3.85-1)*0.95)+1</f>
        <v>3.7075</v>
      </c>
      <c r="G27" s="15" t="s">
        <v>187</v>
      </c>
      <c r="H27" s="235">
        <v>0</v>
      </c>
      <c r="I27" s="281">
        <f>IF(E27&gt;0,H27,"")</f>
        <v>0</v>
      </c>
      <c r="J27" s="281"/>
      <c r="K27" s="62">
        <f>IF(H27=1,E27*(F27-1),-E27)</f>
        <v>-0.46860572483841201</v>
      </c>
      <c r="L27" s="281"/>
      <c r="M27" s="61">
        <v>1.25</v>
      </c>
      <c r="N27" s="67">
        <f>M27*$N$83/3</f>
        <v>31.25</v>
      </c>
      <c r="O27" s="41">
        <f>((F27*(N27/100)-1)/(F27 -1))*40/5</f>
        <v>0.46860572483841201</v>
      </c>
      <c r="P27" s="281"/>
      <c r="Q27" s="62">
        <f>IF(E27&gt;0,IF(H27=1,(F27-1),-1),0)</f>
        <v>-1</v>
      </c>
    </row>
    <row r="28" spans="1:17" s="235" customFormat="1">
      <c r="A28" s="54" t="s">
        <v>12</v>
      </c>
      <c r="B28" s="54" t="s">
        <v>73</v>
      </c>
      <c r="C28" s="54" t="s">
        <v>67</v>
      </c>
      <c r="D28" s="54" t="s">
        <v>49</v>
      </c>
      <c r="E28" s="55">
        <f>IF(O28&gt;0,O28,0)</f>
        <v>0.39655172413793172</v>
      </c>
      <c r="F28" s="56">
        <v>2.4500000000000002</v>
      </c>
      <c r="G28" s="57" t="s">
        <v>42</v>
      </c>
      <c r="H28" s="235">
        <v>1</v>
      </c>
      <c r="I28" s="281">
        <f>IF(E28&gt;0,H28,"")</f>
        <v>1</v>
      </c>
      <c r="J28" s="281"/>
      <c r="K28" s="62">
        <f>IF(H28=1,E28*(F28-1),-E28)</f>
        <v>0.57500000000000107</v>
      </c>
      <c r="L28" s="281"/>
      <c r="M28" s="61">
        <v>1.75</v>
      </c>
      <c r="N28" s="67">
        <f>M28*$N$83/3</f>
        <v>43.75</v>
      </c>
      <c r="O28" s="41">
        <f>((F28*(N28/100)-1)/(F28 -1))*40/5</f>
        <v>0.39655172413793172</v>
      </c>
      <c r="P28" s="281"/>
      <c r="Q28" s="62">
        <f>IF(E28&gt;0,IF(H28=1,(F28-1),-1),0)</f>
        <v>1.4500000000000002</v>
      </c>
    </row>
    <row r="29" spans="1:17" s="235" customFormat="1">
      <c r="A29" s="12" t="s">
        <v>6</v>
      </c>
      <c r="B29" s="12" t="s">
        <v>10</v>
      </c>
      <c r="C29" s="12" t="s">
        <v>13</v>
      </c>
      <c r="D29" s="12" t="s">
        <v>49</v>
      </c>
      <c r="E29" s="13">
        <f>IF(O29&gt;0,O29,0)</f>
        <v>0.37023593466424787</v>
      </c>
      <c r="F29" s="14">
        <f>((2.16-1)*0.95)+1</f>
        <v>2.1020000000000003</v>
      </c>
      <c r="G29" s="15" t="s">
        <v>38</v>
      </c>
      <c r="H29" s="281">
        <v>0</v>
      </c>
      <c r="I29" s="281">
        <f>IF(E29&gt;0,H29,"")</f>
        <v>0</v>
      </c>
      <c r="J29" s="281"/>
      <c r="K29" s="62">
        <f>IF(H29=1,E29*(F29-1),-E29)</f>
        <v>-0.37023593466424787</v>
      </c>
      <c r="L29" s="281"/>
      <c r="M29" s="61">
        <v>2</v>
      </c>
      <c r="N29" s="67">
        <f>M29*$N$83/3</f>
        <v>50</v>
      </c>
      <c r="O29" s="41">
        <f>((F29*(N29/100)-1)/(F29 -1))*40/5</f>
        <v>0.37023593466424787</v>
      </c>
      <c r="P29" s="281"/>
      <c r="Q29" s="62">
        <f>IF(E29&gt;0,IF(H29=1,(F29-1),-1),0)</f>
        <v>-1</v>
      </c>
    </row>
    <row r="30" spans="1:17" s="235" customFormat="1">
      <c r="A30" s="87" t="s">
        <v>12</v>
      </c>
      <c r="B30" s="87" t="s">
        <v>2</v>
      </c>
      <c r="C30" s="87" t="s">
        <v>27</v>
      </c>
      <c r="D30" s="87" t="s">
        <v>49</v>
      </c>
      <c r="E30" s="88">
        <f>IF(O30&gt;0,O30,0)</f>
        <v>0.36842105263157859</v>
      </c>
      <c r="F30" s="89">
        <v>2.9</v>
      </c>
      <c r="G30" s="90" t="s">
        <v>121</v>
      </c>
      <c r="H30" s="281">
        <v>0</v>
      </c>
      <c r="I30" s="281">
        <f>IF(E30&gt;0,H30,"")</f>
        <v>0</v>
      </c>
      <c r="J30" s="281"/>
      <c r="K30" s="62">
        <f>IF(H30=1,E30*(F30-1),-E30)</f>
        <v>-0.36842105263157859</v>
      </c>
      <c r="L30" s="281"/>
      <c r="M30" s="61">
        <v>1.5</v>
      </c>
      <c r="N30" s="67">
        <f>M30*$N$83/3</f>
        <v>37.5</v>
      </c>
      <c r="O30" s="41">
        <f>((F30*(N30/100)-1)/(F30 -1))*40/5</f>
        <v>0.36842105263157859</v>
      </c>
      <c r="P30" s="281"/>
      <c r="Q30" s="62">
        <f>IF(E30&gt;0,IF(H30=1,(F30-1),-1),0)</f>
        <v>-1</v>
      </c>
    </row>
    <row r="31" spans="1:17" s="235" customFormat="1">
      <c r="A31" s="50" t="s">
        <v>12</v>
      </c>
      <c r="B31" s="50" t="s">
        <v>2</v>
      </c>
      <c r="C31" s="50" t="s">
        <v>181</v>
      </c>
      <c r="D31" s="50" t="s">
        <v>48</v>
      </c>
      <c r="E31" s="51">
        <f>IF(O31&gt;0,O31,0)</f>
        <v>0.36842105263157859</v>
      </c>
      <c r="F31" s="52">
        <v>2.9</v>
      </c>
      <c r="G31" s="53" t="s">
        <v>36</v>
      </c>
      <c r="H31" s="235">
        <v>0</v>
      </c>
      <c r="I31" s="281">
        <f>IF(E31&gt;0,H31,"")</f>
        <v>0</v>
      </c>
      <c r="K31" s="62">
        <f>IF(H31=1,E31*(F31-1),-E31)</f>
        <v>-0.36842105263157859</v>
      </c>
      <c r="L31" s="281"/>
      <c r="M31" s="61">
        <v>1.5</v>
      </c>
      <c r="N31" s="67">
        <f>M31*$N$83/3</f>
        <v>37.5</v>
      </c>
      <c r="O31" s="41">
        <f>((F31*(N31/100)-1)/(F31 -1))*40/5</f>
        <v>0.36842105263157859</v>
      </c>
      <c r="P31" s="281"/>
      <c r="Q31" s="62">
        <f>IF(E31&gt;0,IF(H31=1,(F31-1),-1),0)</f>
        <v>-1</v>
      </c>
    </row>
    <row r="32" spans="1:17" s="235" customFormat="1">
      <c r="A32" s="4" t="s">
        <v>12</v>
      </c>
      <c r="B32" s="4" t="s">
        <v>47</v>
      </c>
      <c r="C32" s="4" t="s">
        <v>1</v>
      </c>
      <c r="D32" s="4" t="s">
        <v>49</v>
      </c>
      <c r="E32" s="5">
        <f>IF(O32&gt;0,O32,0)</f>
        <v>0.36043761088113579</v>
      </c>
      <c r="F32" s="9">
        <f>((1.89-1)*0.95)+1</f>
        <v>1.8454999999999999</v>
      </c>
      <c r="G32" s="10" t="s">
        <v>122</v>
      </c>
      <c r="H32" s="235">
        <v>1</v>
      </c>
      <c r="I32" s="281">
        <f>IF(E32&gt;0,H32,"")</f>
        <v>1</v>
      </c>
      <c r="J32" s="281"/>
      <c r="K32" s="62">
        <f>IF(H32=1,E32*(F32-1),-E32)</f>
        <v>0.3047500000000003</v>
      </c>
      <c r="L32" s="281"/>
      <c r="M32" s="61">
        <v>2.25</v>
      </c>
      <c r="N32" s="67">
        <f>M32*$N$83/3</f>
        <v>56.25</v>
      </c>
      <c r="O32" s="41">
        <f>((F32*(N32/100)-1)/(F32 -1))*40/5</f>
        <v>0.36043761088113579</v>
      </c>
      <c r="P32" s="281"/>
      <c r="Q32" s="62">
        <f>IF(E32&gt;0,IF(H32=1,(F32-1),-1),0)</f>
        <v>0.84549999999999992</v>
      </c>
    </row>
    <row r="33" spans="1:17" s="235" customFormat="1">
      <c r="A33" s="46" t="s">
        <v>12</v>
      </c>
      <c r="B33" s="46" t="s">
        <v>10</v>
      </c>
      <c r="C33" s="46" t="s">
        <v>3</v>
      </c>
      <c r="D33" s="46" t="s">
        <v>49</v>
      </c>
      <c r="E33" s="47">
        <f>IF(O33&gt;0,O33,0)</f>
        <v>0.30655586334256757</v>
      </c>
      <c r="F33" s="48">
        <f>((2.14-1)*0.95)+1</f>
        <v>2.0830000000000002</v>
      </c>
      <c r="G33" s="49" t="s">
        <v>38</v>
      </c>
      <c r="H33" s="235">
        <v>0</v>
      </c>
      <c r="I33" s="281">
        <f>IF(E33&gt;0,H33,"")</f>
        <v>0</v>
      </c>
      <c r="K33" s="62">
        <f>IF(H33=1,E33*(F33-1),-E33)</f>
        <v>-0.30655586334256757</v>
      </c>
      <c r="L33" s="281"/>
      <c r="M33" s="61">
        <v>2</v>
      </c>
      <c r="N33" s="67">
        <f>M33*$N$83/3</f>
        <v>50</v>
      </c>
      <c r="O33" s="41">
        <f>((F33*(N33/100)-1)/(F33 -1))*40/5</f>
        <v>0.30655586334256757</v>
      </c>
      <c r="P33" s="281"/>
      <c r="Q33" s="62">
        <f>IF(E33&gt;0,IF(H33=1,(F33-1),-1),0)</f>
        <v>-1</v>
      </c>
    </row>
    <row r="34" spans="1:17" s="235" customFormat="1">
      <c r="A34" s="12" t="s">
        <v>12</v>
      </c>
      <c r="B34" s="12" t="s">
        <v>134</v>
      </c>
      <c r="C34" s="12" t="s">
        <v>15</v>
      </c>
      <c r="D34" s="12" t="s">
        <v>48</v>
      </c>
      <c r="E34" s="13">
        <f>IF(O34&gt;0,O34,0)</f>
        <v>0.2982456140350877</v>
      </c>
      <c r="F34" s="14">
        <f>((11.5-1)*0.95)+1</f>
        <v>10.975</v>
      </c>
      <c r="G34" s="15" t="s">
        <v>36</v>
      </c>
      <c r="H34" s="235">
        <v>0</v>
      </c>
      <c r="I34" s="281">
        <f>IF(E34&gt;0,H34,"")</f>
        <v>0</v>
      </c>
      <c r="J34" s="281"/>
      <c r="K34" s="62">
        <f>IF(H34=1,E34*(F34-1),-E34)</f>
        <v>-0.2982456140350877</v>
      </c>
      <c r="L34" s="281"/>
      <c r="M34" s="61">
        <v>0.5</v>
      </c>
      <c r="N34" s="67">
        <f>M34*$N$83/3</f>
        <v>12.5</v>
      </c>
      <c r="O34" s="41">
        <f>((F34*(N34/100)-1)/(F34 -1))*40/5</f>
        <v>0.2982456140350877</v>
      </c>
      <c r="P34" s="281"/>
      <c r="Q34" s="62">
        <f>IF(E34&gt;0,IF(H34=1,(F34-1),-1),0)</f>
        <v>-1</v>
      </c>
    </row>
    <row r="35" spans="1:17" s="235" customFormat="1">
      <c r="A35" s="54" t="s">
        <v>12</v>
      </c>
      <c r="B35" s="54" t="s">
        <v>0</v>
      </c>
      <c r="C35" s="54" t="s">
        <v>15</v>
      </c>
      <c r="D35" s="54" t="s">
        <v>48</v>
      </c>
      <c r="E35" s="55">
        <f>IF(O35&gt;0,O35,0)</f>
        <v>0.25000000000000011</v>
      </c>
      <c r="F35" s="56">
        <v>6.2</v>
      </c>
      <c r="G35" s="57" t="s">
        <v>39</v>
      </c>
      <c r="H35" s="281">
        <v>1</v>
      </c>
      <c r="I35" s="281">
        <f>IF(E35&gt;0,H35,"")</f>
        <v>1</v>
      </c>
      <c r="J35" s="281"/>
      <c r="K35" s="62">
        <f>IF(H35=1,E35*(F35-1),-E35)</f>
        <v>1.3000000000000007</v>
      </c>
      <c r="L35" s="281"/>
      <c r="M35" s="61">
        <v>0.75</v>
      </c>
      <c r="N35" s="67">
        <f>M35*$N$83/3</f>
        <v>18.75</v>
      </c>
      <c r="O35" s="41">
        <f>((F35*(N35/100)-1)/(F35 -1))*40/5</f>
        <v>0.25000000000000011</v>
      </c>
      <c r="P35" s="281"/>
      <c r="Q35" s="62">
        <f>IF(E35&gt;0,IF(H35=1,(F35-1),-1),0)</f>
        <v>5.2</v>
      </c>
    </row>
    <row r="36" spans="1:17" s="235" customFormat="1" ht="15.75" thickBot="1">
      <c r="A36" s="205" t="s">
        <v>12</v>
      </c>
      <c r="B36" s="205" t="s">
        <v>16</v>
      </c>
      <c r="C36" s="205" t="s">
        <v>47</v>
      </c>
      <c r="D36" s="205" t="s">
        <v>49</v>
      </c>
      <c r="E36" s="309">
        <f>IF(O36&gt;0,O36,0)</f>
        <v>0.17224880382775093</v>
      </c>
      <c r="F36" s="310">
        <f>((2.1-1)*0.95)+1</f>
        <v>2.0449999999999999</v>
      </c>
      <c r="G36" s="311" t="s">
        <v>122</v>
      </c>
      <c r="H36" s="281">
        <v>1</v>
      </c>
      <c r="I36" s="281">
        <f>IF(E36&gt;0,H36,"")</f>
        <v>1</v>
      </c>
      <c r="J36" s="281"/>
      <c r="K36" s="62">
        <f>IF(H36=1,E36*(F36-1),-E36)</f>
        <v>0.17999999999999972</v>
      </c>
      <c r="L36" s="281"/>
      <c r="M36" s="61">
        <v>2</v>
      </c>
      <c r="N36" s="67">
        <f>M36*$N$83/3</f>
        <v>50</v>
      </c>
      <c r="O36" s="41">
        <f>((F36*(N36/100)-1)/(F36 -1))*40/5</f>
        <v>0.17224880382775093</v>
      </c>
      <c r="P36" s="281"/>
      <c r="Q36" s="62">
        <f>IF(E36&gt;0,IF(H36=1,(F36-1),-1),0)</f>
        <v>1.0449999999999999</v>
      </c>
    </row>
    <row r="37" spans="1:17">
      <c r="A37" s="4" t="s">
        <v>12</v>
      </c>
      <c r="B37" s="4" t="s">
        <v>182</v>
      </c>
      <c r="C37" s="4" t="s">
        <v>5</v>
      </c>
      <c r="D37" s="4" t="s">
        <v>49</v>
      </c>
      <c r="E37" s="5">
        <f>IF(O37&gt;0,O37,0)</f>
        <v>0.17034521788341833</v>
      </c>
      <c r="F37" s="9">
        <f>((2.86-1)*0.95)+1</f>
        <v>2.7669999999999999</v>
      </c>
      <c r="G37" s="10" t="s">
        <v>36</v>
      </c>
      <c r="H37" s="235">
        <v>1</v>
      </c>
      <c r="I37" s="281">
        <f>IF(E37&gt;0,H37,"")</f>
        <v>1</v>
      </c>
      <c r="J37" s="235"/>
      <c r="K37" s="62">
        <f>IF(H37=1,E37*(F37-1),-E37)</f>
        <v>0.30100000000000016</v>
      </c>
      <c r="M37" s="61">
        <v>1.5</v>
      </c>
      <c r="N37" s="67">
        <f>M37*$N$83/3</f>
        <v>37.5</v>
      </c>
      <c r="O37" s="41">
        <f>((F37*(N37/100)-1)/(F37 -1))*40/5</f>
        <v>0.17034521788341833</v>
      </c>
      <c r="Q37" s="62">
        <f>IF(E37&gt;0,IF(H37=1,(F37-1),-1),0)</f>
        <v>1.7669999999999999</v>
      </c>
    </row>
    <row r="38" spans="1:17">
      <c r="A38" s="46" t="s">
        <v>12</v>
      </c>
      <c r="B38" s="46" t="s">
        <v>27</v>
      </c>
      <c r="C38" s="46" t="s">
        <v>4</v>
      </c>
      <c r="D38" s="46" t="s">
        <v>49</v>
      </c>
      <c r="E38" s="47">
        <f>IF(O38&gt;0,O38,0)</f>
        <v>0.1165413533834595</v>
      </c>
      <c r="F38" s="48">
        <f>((2.4-1)*0.95)+1</f>
        <v>2.33</v>
      </c>
      <c r="G38" s="49" t="s">
        <v>366</v>
      </c>
      <c r="H38" s="235">
        <v>0</v>
      </c>
      <c r="I38" s="281">
        <f>IF(E38&gt;0,H38,"")</f>
        <v>0</v>
      </c>
      <c r="K38" s="62">
        <f>IF(H38=1,E38*(F38-1),-E38)</f>
        <v>-0.1165413533834595</v>
      </c>
      <c r="M38" s="61">
        <v>1.75</v>
      </c>
      <c r="N38" s="67">
        <f>M38*$N$83/3</f>
        <v>43.75</v>
      </c>
      <c r="O38" s="41">
        <f>((F38*(N38/100)-1)/(F38 -1))*40/5</f>
        <v>0.1165413533834595</v>
      </c>
      <c r="Q38" s="62">
        <f>IF(E38&gt;0,IF(H38=1,(F38-1),-1),0)</f>
        <v>-1</v>
      </c>
    </row>
    <row r="39" spans="1:17">
      <c r="A39" s="54" t="s">
        <v>12</v>
      </c>
      <c r="B39" s="54" t="s">
        <v>3</v>
      </c>
      <c r="C39" s="54" t="s">
        <v>5</v>
      </c>
      <c r="D39" s="54" t="s">
        <v>49</v>
      </c>
      <c r="E39" s="55">
        <f>IF(O39&gt;0,O39,0)</f>
        <v>5.5555555555555559E-2</v>
      </c>
      <c r="F39" s="56">
        <v>3.25</v>
      </c>
      <c r="G39" s="57" t="s">
        <v>122</v>
      </c>
      <c r="H39" s="235">
        <v>1</v>
      </c>
      <c r="I39" s="281">
        <f>IF(E39&gt;0,H39,"")</f>
        <v>1</v>
      </c>
      <c r="K39" s="62">
        <f>IF(H39=1,E39*(F39-1),-E39)</f>
        <v>0.125</v>
      </c>
      <c r="M39" s="61">
        <v>1.25</v>
      </c>
      <c r="N39" s="67">
        <f>M39*$N$83/3</f>
        <v>31.25</v>
      </c>
      <c r="O39" s="41">
        <f>((F39*(N39/100)-1)/(F39 -1))*40/5</f>
        <v>5.5555555555555559E-2</v>
      </c>
      <c r="Q39" s="62">
        <f>IF(E39&gt;0,IF(H39=1,(F39-1),-1),0)</f>
        <v>2.25</v>
      </c>
    </row>
    <row r="40" spans="1:17">
      <c r="A40" s="54" t="s">
        <v>12</v>
      </c>
      <c r="B40" s="54" t="s">
        <v>182</v>
      </c>
      <c r="C40" s="54" t="s">
        <v>1</v>
      </c>
      <c r="D40" s="54" t="s">
        <v>49</v>
      </c>
      <c r="E40" s="55">
        <f>IF(O40&gt;0,O40,0)</f>
        <v>7.0603337612318573E-3</v>
      </c>
      <c r="F40" s="56">
        <f>((1.82-1)*0.95)+1</f>
        <v>1.7789999999999999</v>
      </c>
      <c r="G40" s="57" t="s">
        <v>41</v>
      </c>
      <c r="H40" s="235">
        <v>1</v>
      </c>
      <c r="I40" s="281">
        <f>IF(E40&gt;0,H40,"")</f>
        <v>1</v>
      </c>
      <c r="K40" s="62">
        <f>IF(H40=1,E40*(F40-1),-E40)</f>
        <v>5.4999999999996163E-3</v>
      </c>
      <c r="M40" s="61">
        <v>2.25</v>
      </c>
      <c r="N40" s="67">
        <f>M40*$N$83/3</f>
        <v>56.25</v>
      </c>
      <c r="O40" s="41">
        <f>((F40*(N40/100)-1)/(F40 -1))*40/5</f>
        <v>7.0603337612318573E-3</v>
      </c>
      <c r="Q40" s="62">
        <f>IF(E40&gt;0,IF(H40=1,(F40-1),-1),0)</f>
        <v>0.77899999999999991</v>
      </c>
    </row>
    <row r="41" spans="1:17">
      <c r="A41" s="91" t="s">
        <v>12</v>
      </c>
      <c r="B41" s="91" t="s">
        <v>15</v>
      </c>
      <c r="C41" s="91" t="s">
        <v>181</v>
      </c>
      <c r="D41" s="91" t="s">
        <v>49</v>
      </c>
      <c r="E41" s="92">
        <f>IF(O41&gt;0,O41,0)</f>
        <v>0</v>
      </c>
      <c r="F41" s="93">
        <f>((2.32-1)*0.95)+1</f>
        <v>2.2539999999999996</v>
      </c>
      <c r="G41" s="94" t="s">
        <v>122</v>
      </c>
      <c r="H41" s="235">
        <v>1</v>
      </c>
      <c r="I41" s="281" t="str">
        <f>IF(E41&gt;0,H41,"")</f>
        <v/>
      </c>
      <c r="K41" s="62">
        <f>IF(H41=1,E41*(F41-1),-E41)</f>
        <v>0</v>
      </c>
      <c r="M41" s="61">
        <v>1.75</v>
      </c>
      <c r="N41" s="67">
        <f>M41*$N$83/3</f>
        <v>43.75</v>
      </c>
      <c r="O41" s="41">
        <f>((F41*(N41/100)-1)/(F41 -1))*40/5</f>
        <v>-8.851674641148452E-2</v>
      </c>
      <c r="Q41" s="62">
        <f>IF(E41&gt;0,IF(H41=1,(F41-1),-1),0)</f>
        <v>0</v>
      </c>
    </row>
    <row r="42" spans="1:17">
      <c r="A42" s="42" t="s">
        <v>12</v>
      </c>
      <c r="B42" s="42" t="s">
        <v>3</v>
      </c>
      <c r="C42" s="42" t="s">
        <v>28</v>
      </c>
      <c r="D42" s="42" t="s">
        <v>49</v>
      </c>
      <c r="E42" s="43">
        <f>IF(O42&gt;0,O42,0)</f>
        <v>0</v>
      </c>
      <c r="F42" s="44">
        <f>((2.74-1)*0.95)+1</f>
        <v>2.653</v>
      </c>
      <c r="G42" s="45" t="s">
        <v>630</v>
      </c>
      <c r="H42" s="235">
        <v>1</v>
      </c>
      <c r="I42" s="281" t="str">
        <f>IF(E42&gt;0,H42,"")</f>
        <v/>
      </c>
      <c r="K42" s="62">
        <f>IF(H42=1,E42*(F42-1),-E42)</f>
        <v>0</v>
      </c>
      <c r="M42" s="61">
        <v>1.5</v>
      </c>
      <c r="N42" s="67">
        <f>M42*$N$83/3</f>
        <v>37.5</v>
      </c>
      <c r="O42" s="41">
        <f>((F42*(N42/100)-1)/(F42 -1))*40/5</f>
        <v>-2.4803387779794538E-2</v>
      </c>
      <c r="Q42" s="62">
        <f>IF(E42&gt;0,IF(H42=1,(F42-1),-1),0)</f>
        <v>0</v>
      </c>
    </row>
    <row r="43" spans="1:17">
      <c r="A43" s="46" t="s">
        <v>12</v>
      </c>
      <c r="B43" s="46" t="s">
        <v>28</v>
      </c>
      <c r="C43" s="46" t="s">
        <v>1</v>
      </c>
      <c r="D43" s="46" t="s">
        <v>49</v>
      </c>
      <c r="E43" s="47">
        <f>IF(O43&gt;0,O43,0)</f>
        <v>0</v>
      </c>
      <c r="F43" s="48">
        <f>((1.96-1)*0.95)+1</f>
        <v>1.9119999999999999</v>
      </c>
      <c r="G43" s="49" t="s">
        <v>37</v>
      </c>
      <c r="H43" s="281">
        <v>0</v>
      </c>
      <c r="I43" s="281" t="str">
        <f>IF(E43&gt;0,H43,"")</f>
        <v/>
      </c>
      <c r="K43" s="62">
        <f>IF(H43=1,E43*(F43-1),-E43)</f>
        <v>0</v>
      </c>
      <c r="M43" s="61">
        <v>2</v>
      </c>
      <c r="N43" s="67">
        <f>M43*$N$83/3</f>
        <v>50</v>
      </c>
      <c r="O43" s="41">
        <f>((F43*(N43/100)-1)/(F43 -1))*40/5</f>
        <v>-0.38596491228070212</v>
      </c>
      <c r="Q43" s="62">
        <f>IF(E43&gt;0,IF(H43=1,(F43-1),-1),0)</f>
        <v>0</v>
      </c>
    </row>
    <row r="44" spans="1:17">
      <c r="A44" s="46" t="s">
        <v>12</v>
      </c>
      <c r="B44" s="46" t="s">
        <v>181</v>
      </c>
      <c r="C44" s="46" t="s">
        <v>47</v>
      </c>
      <c r="D44" s="46" t="s">
        <v>49</v>
      </c>
      <c r="E44" s="47">
        <f>IF(O44&gt;0,O44,0)</f>
        <v>0</v>
      </c>
      <c r="F44" s="48">
        <v>1.9</v>
      </c>
      <c r="G44" s="49" t="s">
        <v>243</v>
      </c>
      <c r="H44" s="235">
        <v>0</v>
      </c>
      <c r="I44" s="281" t="str">
        <f>IF(E44&gt;0,H44,"")</f>
        <v/>
      </c>
      <c r="K44" s="62">
        <f>IF(H44=1,E44*(F44-1),-E44)</f>
        <v>0</v>
      </c>
      <c r="M44" s="61">
        <v>2</v>
      </c>
      <c r="N44" s="67">
        <f>M44*$N$83/3</f>
        <v>50</v>
      </c>
      <c r="O44" s="41">
        <f>((F44*(N44/100)-1)/(F44 -1))*40/5</f>
        <v>-0.44444444444444481</v>
      </c>
      <c r="Q44" s="62">
        <f>IF(E44&gt;0,IF(H44=1,(F44-1),-1),0)</f>
        <v>0</v>
      </c>
    </row>
    <row r="45" spans="1:17">
      <c r="A45" s="46" t="s">
        <v>12</v>
      </c>
      <c r="B45" s="46" t="s">
        <v>308</v>
      </c>
      <c r="C45" s="46" t="s">
        <v>16</v>
      </c>
      <c r="D45" s="46" t="s">
        <v>742</v>
      </c>
      <c r="E45" s="47">
        <f>IF(O45&gt;0,O45,0)</f>
        <v>0</v>
      </c>
      <c r="F45" s="48">
        <v>7.67</v>
      </c>
      <c r="G45" s="49" t="s">
        <v>204</v>
      </c>
      <c r="H45" s="235">
        <v>0</v>
      </c>
      <c r="I45" s="281" t="str">
        <f>IF(E45&gt;0,H45,"")</f>
        <v/>
      </c>
      <c r="K45" s="62">
        <f>IF(H45=1,E45*(F45-1),-E45)</f>
        <v>0</v>
      </c>
      <c r="M45" s="61">
        <v>0.5</v>
      </c>
      <c r="N45" s="67">
        <f>M45*$N$83/3</f>
        <v>12.5</v>
      </c>
      <c r="O45" s="41">
        <f>((F45*(N45/100)-1)/(F45 -1))*40/5</f>
        <v>-4.9475262368815602E-2</v>
      </c>
      <c r="Q45" s="62">
        <f>IF(E45&gt;0,IF(H45=1,(F45-1),-1),0)</f>
        <v>0</v>
      </c>
    </row>
    <row r="46" spans="1:17">
      <c r="A46" s="12" t="s">
        <v>12</v>
      </c>
      <c r="B46" s="12" t="s">
        <v>3</v>
      </c>
      <c r="C46" s="12" t="s">
        <v>67</v>
      </c>
      <c r="D46" s="12" t="s">
        <v>34</v>
      </c>
      <c r="E46" s="13">
        <f>IF(O46&gt;0,O46,0)</f>
        <v>0</v>
      </c>
      <c r="F46" s="14">
        <v>3.3</v>
      </c>
      <c r="G46" s="15" t="s">
        <v>42</v>
      </c>
      <c r="H46" s="281">
        <v>0</v>
      </c>
      <c r="I46" s="281" t="str">
        <f>IF(E46&gt;0,H46,"")</f>
        <v/>
      </c>
      <c r="K46" s="62">
        <f>IF(H46=1,E46*(F46-1),-E46)</f>
        <v>0</v>
      </c>
      <c r="M46" s="61">
        <v>0.6</v>
      </c>
      <c r="N46" s="67">
        <f>M46*$N$83/3</f>
        <v>15</v>
      </c>
      <c r="O46" s="41">
        <f>((F46*(N46/100)-1)/(F46 -1))*40/5</f>
        <v>-1.7565217391304351</v>
      </c>
      <c r="Q46" s="62">
        <f>IF(E46&gt;0,IF(H46=1,(F46-1),-1),0)</f>
        <v>0</v>
      </c>
    </row>
    <row r="47" spans="1:17">
      <c r="A47" s="91" t="s">
        <v>12</v>
      </c>
      <c r="B47" s="91" t="s">
        <v>134</v>
      </c>
      <c r="C47" s="91" t="s">
        <v>73</v>
      </c>
      <c r="D47" s="91" t="s">
        <v>49</v>
      </c>
      <c r="E47" s="92">
        <f>IF(O47&gt;0,O47,0)</f>
        <v>0</v>
      </c>
      <c r="F47" s="93">
        <f>((1.74-1)*0.95)+1</f>
        <v>1.7029999999999998</v>
      </c>
      <c r="G47" s="307" t="s">
        <v>41</v>
      </c>
      <c r="H47" s="281">
        <v>1</v>
      </c>
      <c r="I47" s="281" t="str">
        <f>IF(E47&gt;0,H47,"")</f>
        <v/>
      </c>
      <c r="K47" s="62">
        <f>IF(H47=1,E47*(F47-1),-E47)</f>
        <v>0</v>
      </c>
      <c r="M47" s="61">
        <v>2</v>
      </c>
      <c r="N47" s="67">
        <f>M47*$N$83/3</f>
        <v>50</v>
      </c>
      <c r="O47" s="41">
        <f>((F47*(N47/100)-1)/(F47 -1))*40/5</f>
        <v>-1.6899004267425333</v>
      </c>
      <c r="Q47" s="62">
        <f>IF(E47&gt;0,IF(H47=1,(F47-1),-1),0)</f>
        <v>0</v>
      </c>
    </row>
    <row r="48" spans="1:17">
      <c r="A48" s="50" t="s">
        <v>12</v>
      </c>
      <c r="B48" s="50" t="s">
        <v>26</v>
      </c>
      <c r="C48" s="50" t="s">
        <v>4</v>
      </c>
      <c r="D48" s="50" t="s">
        <v>48</v>
      </c>
      <c r="E48" s="51">
        <f>IF(O48&gt;0,O48,0)</f>
        <v>0</v>
      </c>
      <c r="F48" s="52">
        <v>2.2000000000000002</v>
      </c>
      <c r="G48" s="53" t="s">
        <v>38</v>
      </c>
      <c r="H48" s="281">
        <v>0</v>
      </c>
      <c r="I48" s="281" t="str">
        <f>IF(E48&gt;0,H48,"")</f>
        <v/>
      </c>
      <c r="K48" s="62">
        <f>IF(H48=1,E48*(F48-1),-E48)</f>
        <v>0</v>
      </c>
      <c r="M48" s="61">
        <v>1.5</v>
      </c>
      <c r="N48" s="67">
        <f>M48*$N$83/3</f>
        <v>37.5</v>
      </c>
      <c r="O48" s="41">
        <f>((F48*(N48/100)-1)/(F48 -1))*40/5</f>
        <v>-1.1666666666666661</v>
      </c>
      <c r="Q48" s="62">
        <f>IF(E48&gt;0,IF(H48=1,(F48-1),-1),0)</f>
        <v>0</v>
      </c>
    </row>
    <row r="49" spans="1:17">
      <c r="A49" s="4" t="s">
        <v>12</v>
      </c>
      <c r="B49" s="4" t="s">
        <v>26</v>
      </c>
      <c r="C49" s="4" t="s">
        <v>119</v>
      </c>
      <c r="D49" s="4" t="s">
        <v>48</v>
      </c>
      <c r="E49" s="5">
        <f>IF(O49&gt;0,O49,0)</f>
        <v>0</v>
      </c>
      <c r="F49" s="9">
        <v>2.2999999999999998</v>
      </c>
      <c r="G49" s="10" t="s">
        <v>43</v>
      </c>
      <c r="H49" s="281">
        <v>1</v>
      </c>
      <c r="I49" s="281" t="str">
        <f>IF(E49&gt;0,H49,"")</f>
        <v/>
      </c>
      <c r="K49" s="62">
        <f>IF(H49=1,E49*(F49-1),-E49)</f>
        <v>0</v>
      </c>
      <c r="M49" s="61">
        <v>1</v>
      </c>
      <c r="N49" s="67">
        <f>M49*$N$83/3</f>
        <v>25</v>
      </c>
      <c r="O49" s="41">
        <f>((F49*(N49/100)-1)/(F49 -1))*40/5</f>
        <v>-2.6153846153846159</v>
      </c>
      <c r="Q49" s="62">
        <f>IF(E49&gt;0,IF(H49=1,(F49-1),-1),0)</f>
        <v>0</v>
      </c>
    </row>
    <row r="50" spans="1:17">
      <c r="A50" s="12" t="s">
        <v>12</v>
      </c>
      <c r="B50" s="12" t="s">
        <v>28</v>
      </c>
      <c r="C50" s="12" t="s">
        <v>10</v>
      </c>
      <c r="D50" s="12" t="s">
        <v>49</v>
      </c>
      <c r="E50" s="13">
        <f>IF(O50&gt;0,O50,0)</f>
        <v>0</v>
      </c>
      <c r="F50" s="14">
        <f>((2.28-1)*0.95)+1</f>
        <v>2.2159999999999997</v>
      </c>
      <c r="G50" s="15" t="s">
        <v>38</v>
      </c>
      <c r="H50" s="235">
        <v>0</v>
      </c>
      <c r="I50" s="281" t="str">
        <f>IF(E50&gt;0,H50,"")</f>
        <v/>
      </c>
      <c r="J50" s="235"/>
      <c r="K50" s="62">
        <f>IF(H50=1,E50*(F50-1),-E50)</f>
        <v>0</v>
      </c>
      <c r="M50" s="61">
        <v>1</v>
      </c>
      <c r="N50" s="67">
        <f>M50*$N$83/3</f>
        <v>25</v>
      </c>
      <c r="O50" s="41">
        <f>((F50*(N50/100)-1)/(F50 -1))*40/5</f>
        <v>-2.9342105263157907</v>
      </c>
      <c r="Q50" s="62">
        <f>IF(E50&gt;0,IF(H50=1,(F50-1),-1),0)</f>
        <v>0</v>
      </c>
    </row>
    <row r="51" spans="1:17">
      <c r="A51" s="4" t="s">
        <v>12</v>
      </c>
      <c r="B51" s="4" t="s">
        <v>47</v>
      </c>
      <c r="C51" s="4" t="s">
        <v>0</v>
      </c>
      <c r="D51" s="4" t="s">
        <v>49</v>
      </c>
      <c r="E51" s="5">
        <f>IF(O51&gt;0,O51,0)</f>
        <v>0</v>
      </c>
      <c r="F51" s="9">
        <f>((2.32-1)*0.95)+1</f>
        <v>2.2539999999999996</v>
      </c>
      <c r="G51" s="10" t="s">
        <v>122</v>
      </c>
      <c r="H51" s="235">
        <v>1</v>
      </c>
      <c r="I51" s="281" t="str">
        <f>IF(E51&gt;0,H51,"")</f>
        <v/>
      </c>
      <c r="J51" s="235"/>
      <c r="K51" s="62">
        <f>IF(H51=1,E51*(F51-1),-E51)</f>
        <v>0</v>
      </c>
      <c r="M51" s="61">
        <v>1</v>
      </c>
      <c r="N51" s="67">
        <f>M51*$N$83/3</f>
        <v>25</v>
      </c>
      <c r="O51" s="41">
        <f>((F51*(N51/100)-1)/(F51 -1))*40/5</f>
        <v>-2.7846889952153129</v>
      </c>
      <c r="Q51" s="62">
        <f>IF(E51&gt;0,IF(H51=1,(F51-1),-1),0)</f>
        <v>0</v>
      </c>
    </row>
    <row r="52" spans="1:17">
      <c r="A52" s="87" t="s">
        <v>12</v>
      </c>
      <c r="B52" s="87" t="s">
        <v>5</v>
      </c>
      <c r="C52" s="87" t="s">
        <v>73</v>
      </c>
      <c r="D52" s="87" t="s">
        <v>49</v>
      </c>
      <c r="E52" s="88">
        <f>IF(O52&gt;0,O52,0)</f>
        <v>0</v>
      </c>
      <c r="F52" s="89">
        <f>((1.86-1)*0.95)+1</f>
        <v>1.8170000000000002</v>
      </c>
      <c r="G52" s="90" t="s">
        <v>39</v>
      </c>
      <c r="H52" s="235">
        <v>0</v>
      </c>
      <c r="I52" s="281" t="str">
        <f>IF(E52&gt;0,H52,"")</f>
        <v/>
      </c>
      <c r="J52" s="235"/>
      <c r="K52" s="62">
        <f>IF(H52=1,E52*(F52-1),-E52)</f>
        <v>0</v>
      </c>
      <c r="M52" s="61">
        <v>2</v>
      </c>
      <c r="N52" s="67">
        <f>M52*$N$83/3</f>
        <v>50</v>
      </c>
      <c r="O52" s="41">
        <f>((F52*(N52/100)-1)/(F52 -1))*40/5</f>
        <v>-0.89596083231334034</v>
      </c>
      <c r="Q52" s="62">
        <f>IF(E52&gt;0,IF(H52=1,(F52-1),-1),0)</f>
        <v>0</v>
      </c>
    </row>
    <row r="53" spans="1:17">
      <c r="A53" s="50" t="s">
        <v>12</v>
      </c>
      <c r="B53" s="50" t="s">
        <v>175</v>
      </c>
      <c r="C53" s="50" t="s">
        <v>4</v>
      </c>
      <c r="D53" s="50" t="s">
        <v>49</v>
      </c>
      <c r="E53" s="51">
        <f>IF(O53&gt;0,O53,0)</f>
        <v>0</v>
      </c>
      <c r="F53" s="52">
        <v>2</v>
      </c>
      <c r="G53" s="53" t="s">
        <v>37</v>
      </c>
      <c r="H53" s="235">
        <v>0</v>
      </c>
      <c r="I53" s="281" t="str">
        <f>IF(E53&gt;0,H53,"")</f>
        <v/>
      </c>
      <c r="J53" s="235"/>
      <c r="K53" s="62">
        <f>IF(H53=1,E53*(F53-1),-E53)</f>
        <v>0</v>
      </c>
      <c r="M53" s="61">
        <v>1.5</v>
      </c>
      <c r="N53" s="67">
        <f>M53*$N$83/3</f>
        <v>37.5</v>
      </c>
      <c r="O53" s="41">
        <f>((F53*(N53/100)-1)/(F53 -1))*40/5</f>
        <v>-2</v>
      </c>
      <c r="Q53" s="62">
        <f>IF(E53&gt;0,IF(H53=1,(F53-1),-1),0)</f>
        <v>0</v>
      </c>
    </row>
    <row r="54" spans="1:17">
      <c r="A54" s="46" t="s">
        <v>12</v>
      </c>
      <c r="B54" s="46" t="s">
        <v>27</v>
      </c>
      <c r="C54" s="46" t="s">
        <v>16</v>
      </c>
      <c r="D54" s="46" t="s">
        <v>49</v>
      </c>
      <c r="E54" s="47">
        <f>IF(O54&gt;0,O54,0)</f>
        <v>0</v>
      </c>
      <c r="F54" s="48">
        <v>1.75</v>
      </c>
      <c r="G54" s="49" t="s">
        <v>179</v>
      </c>
      <c r="H54" s="235">
        <v>0</v>
      </c>
      <c r="I54" s="281" t="str">
        <f>IF(E54&gt;0,H54,"")</f>
        <v/>
      </c>
      <c r="J54" s="235"/>
      <c r="K54" s="62">
        <f>IF(H54=1,E54*(F54-1),-E54)</f>
        <v>0</v>
      </c>
      <c r="M54" s="61">
        <v>1.5</v>
      </c>
      <c r="N54" s="67">
        <f>M54*$N$83/3</f>
        <v>37.5</v>
      </c>
      <c r="O54" s="41">
        <f>((F54*(N54/100)-1)/(F54 -1))*40/5</f>
        <v>-3.6666666666666665</v>
      </c>
      <c r="Q54" s="62">
        <f>IF(E54&gt;0,IF(H54=1,(F54-1),-1),0)</f>
        <v>0</v>
      </c>
    </row>
    <row r="55" spans="1:17">
      <c r="A55" s="4" t="s">
        <v>12</v>
      </c>
      <c r="B55" s="4" t="s">
        <v>67</v>
      </c>
      <c r="C55" s="4" t="s">
        <v>47</v>
      </c>
      <c r="D55" s="4" t="s">
        <v>49</v>
      </c>
      <c r="E55" s="5">
        <f>IF(O55&gt;0,O55,0)</f>
        <v>0</v>
      </c>
      <c r="F55" s="9">
        <f>((1.8-1)*0.95)+1</f>
        <v>1.76</v>
      </c>
      <c r="G55" s="10" t="s">
        <v>187</v>
      </c>
      <c r="H55" s="235">
        <v>1</v>
      </c>
      <c r="I55" s="281" t="str">
        <f>IF(E55&gt;0,H55,"")</f>
        <v/>
      </c>
      <c r="J55" s="235"/>
      <c r="K55" s="62">
        <f>IF(H55=1,E55*(F55-1),-E55)</f>
        <v>0</v>
      </c>
      <c r="M55" s="61">
        <v>1.5</v>
      </c>
      <c r="N55" s="67">
        <f>M55*$N$83/3</f>
        <v>37.5</v>
      </c>
      <c r="O55" s="41">
        <f>((F55*(N55/100)-1)/(F55 -1))*40/5</f>
        <v>-3.5789473684210522</v>
      </c>
      <c r="Q55" s="62">
        <f>IF(E55&gt;0,IF(H55=1,(F55-1),-1),0)</f>
        <v>0</v>
      </c>
    </row>
    <row r="56" spans="1:17">
      <c r="A56" s="87" t="s">
        <v>12</v>
      </c>
      <c r="B56" s="87" t="s">
        <v>10</v>
      </c>
      <c r="C56" s="87" t="s">
        <v>134</v>
      </c>
      <c r="D56" s="87" t="s">
        <v>49</v>
      </c>
      <c r="E56" s="88">
        <f>IF(O56&gt;0,O56,0)</f>
        <v>0</v>
      </c>
      <c r="F56" s="89">
        <f>((4.2-1)*0.95)+1</f>
        <v>4.04</v>
      </c>
      <c r="G56" s="90" t="s">
        <v>37</v>
      </c>
      <c r="H56" s="235">
        <v>0</v>
      </c>
      <c r="I56" s="281" t="str">
        <f>IF(E56&gt;0,H56,"")</f>
        <v/>
      </c>
      <c r="J56" s="235"/>
      <c r="K56" s="62">
        <f>IF(H56=1,E56*(F56-1),-E56)</f>
        <v>0</v>
      </c>
      <c r="M56" s="61">
        <v>0.75</v>
      </c>
      <c r="N56" s="67">
        <f>M56*$N$83/3</f>
        <v>18.75</v>
      </c>
      <c r="O56" s="41">
        <f>((F56*(N56/100)-1)/(F56 -1))*40/5</f>
        <v>-0.63815789473684192</v>
      </c>
      <c r="Q56" s="62">
        <f>IF(E56&gt;0,IF(H56=1,(F56-1),-1),0)</f>
        <v>0</v>
      </c>
    </row>
    <row r="57" spans="1:17">
      <c r="A57" s="286" t="s">
        <v>12</v>
      </c>
      <c r="B57" s="286" t="s">
        <v>27</v>
      </c>
      <c r="C57" s="286" t="s">
        <v>67</v>
      </c>
      <c r="D57" s="286" t="s">
        <v>49</v>
      </c>
      <c r="E57" s="287">
        <f>IF(O57&gt;0,O57,0)</f>
        <v>0</v>
      </c>
      <c r="F57" s="288">
        <f>((1.97-1)*0.95)+1</f>
        <v>1.9215</v>
      </c>
      <c r="G57" s="289" t="s">
        <v>41</v>
      </c>
      <c r="H57" s="235">
        <v>1</v>
      </c>
      <c r="I57" s="281" t="str">
        <f>IF(E57&gt;0,H57,"")</f>
        <v/>
      </c>
      <c r="J57" s="235"/>
      <c r="K57" s="62">
        <f>IF(H57=1,E57*(F57-1),-E57)</f>
        <v>0</v>
      </c>
      <c r="M57" s="61">
        <v>1.25</v>
      </c>
      <c r="N57" s="67">
        <f>M57*$N$83/3</f>
        <v>31.25</v>
      </c>
      <c r="O57" s="41">
        <f>((F57*(N57/100)-1)/(F57 -1))*40/5</f>
        <v>-3.4685295713510582</v>
      </c>
      <c r="Q57" s="62">
        <f>IF(E57&gt;0,IF(H57=1,(F57-1),-1),0)</f>
        <v>0</v>
      </c>
    </row>
    <row r="58" spans="1:17">
      <c r="A58" s="50" t="s">
        <v>12</v>
      </c>
      <c r="B58" s="50" t="s">
        <v>28</v>
      </c>
      <c r="C58" s="50" t="s">
        <v>2</v>
      </c>
      <c r="D58" s="50" t="s">
        <v>49</v>
      </c>
      <c r="E58" s="51">
        <f>IF(O58&gt;0,O58,0)</f>
        <v>0</v>
      </c>
      <c r="F58" s="52">
        <v>2.2999999999999998</v>
      </c>
      <c r="G58" s="53" t="s">
        <v>206</v>
      </c>
      <c r="H58" s="235">
        <v>0</v>
      </c>
      <c r="I58" s="281" t="str">
        <f>IF(E58&gt;0,H58,"")</f>
        <v/>
      </c>
      <c r="J58" s="235"/>
      <c r="K58" s="62">
        <f>IF(H58=1,E58*(F58-1),-E58)</f>
        <v>0</v>
      </c>
      <c r="M58" s="61">
        <v>1</v>
      </c>
      <c r="N58" s="67">
        <f>M58*$N$83/3</f>
        <v>25</v>
      </c>
      <c r="O58" s="41">
        <f>((F58*(N58/100)-1)/(F58 -1))*40/5</f>
        <v>-2.6153846153846159</v>
      </c>
      <c r="Q58" s="62">
        <f>IF(E58&gt;0,IF(H58=1,(F58-1),-1),0)</f>
        <v>0</v>
      </c>
    </row>
    <row r="59" spans="1:17">
      <c r="A59" s="91" t="s">
        <v>12</v>
      </c>
      <c r="B59" s="91" t="s">
        <v>26</v>
      </c>
      <c r="C59" s="91" t="s">
        <v>15</v>
      </c>
      <c r="D59" s="91" t="s">
        <v>49</v>
      </c>
      <c r="E59" s="92">
        <f>IF(O59&gt;0,O59,0)</f>
        <v>0</v>
      </c>
      <c r="F59" s="93">
        <f>((2-1)*0.95)+1</f>
        <v>1.95</v>
      </c>
      <c r="G59" s="94" t="s">
        <v>42</v>
      </c>
      <c r="H59" s="235">
        <v>1</v>
      </c>
      <c r="I59" s="281" t="str">
        <f>IF(E59&gt;0,H59,"")</f>
        <v/>
      </c>
      <c r="J59" s="235"/>
      <c r="K59" s="62">
        <f>IF(H59=1,E59*(F59-1),-E59)</f>
        <v>0</v>
      </c>
      <c r="M59" s="61">
        <v>1</v>
      </c>
      <c r="N59" s="67">
        <f>M59*$N$83/3</f>
        <v>25</v>
      </c>
      <c r="O59" s="41">
        <f>((F59*(N59/100)-1)/(F59 -1))*40/5</f>
        <v>-4.3157894736842106</v>
      </c>
      <c r="Q59" s="62">
        <f>IF(E59&gt;0,IF(H59=1,(F59-1),-1),0)</f>
        <v>0</v>
      </c>
    </row>
    <row r="60" spans="1:17">
      <c r="A60" s="50" t="s">
        <v>12</v>
      </c>
      <c r="B60" s="50" t="s">
        <v>4</v>
      </c>
      <c r="C60" s="50" t="s">
        <v>5</v>
      </c>
      <c r="D60" s="50" t="s">
        <v>49</v>
      </c>
      <c r="E60" s="51">
        <f>IF(O60&gt;0,O60,0)</f>
        <v>0</v>
      </c>
      <c r="F60" s="52">
        <f>((1.88-1)*0.95)+1</f>
        <v>1.8359999999999999</v>
      </c>
      <c r="G60" s="53" t="s">
        <v>39</v>
      </c>
      <c r="H60" s="235">
        <v>0</v>
      </c>
      <c r="I60" s="281" t="str">
        <f>IF(E60&gt;0,H60,"")</f>
        <v/>
      </c>
      <c r="J60" s="235"/>
      <c r="K60" s="62">
        <f>IF(H60=1,E60*(F60-1),-E60)</f>
        <v>0</v>
      </c>
      <c r="M60" s="61">
        <v>1</v>
      </c>
      <c r="N60" s="67">
        <f>M60*$N$83/3</f>
        <v>25</v>
      </c>
      <c r="O60" s="41">
        <f>((F60*(N60/100)-1)/(F60 -1))*40/5</f>
        <v>-5.177033492822968</v>
      </c>
      <c r="Q60" s="62">
        <f>IF(E60&gt;0,IF(H60=1,(F60-1),-1),0)</f>
        <v>0</v>
      </c>
    </row>
    <row r="61" spans="1:17">
      <c r="A61" s="46" t="s">
        <v>12</v>
      </c>
      <c r="B61" s="46" t="s">
        <v>16</v>
      </c>
      <c r="C61" s="46" t="s">
        <v>28</v>
      </c>
      <c r="D61" s="46" t="s">
        <v>34</v>
      </c>
      <c r="E61" s="47">
        <f>IF(O61&gt;0,O61,0)</f>
        <v>0</v>
      </c>
      <c r="F61" s="48">
        <f>((3.75-1)*0.95)+1</f>
        <v>3.6124999999999998</v>
      </c>
      <c r="G61" s="49" t="s">
        <v>39</v>
      </c>
      <c r="H61" s="235">
        <v>0</v>
      </c>
      <c r="I61" s="281" t="str">
        <f>IF(E61&gt;0,H61,"")</f>
        <v/>
      </c>
      <c r="J61" s="235"/>
      <c r="K61" s="62">
        <f>IF(H61=1,E61*(F61-1),-E61)</f>
        <v>0</v>
      </c>
      <c r="M61" s="61">
        <v>0.5</v>
      </c>
      <c r="N61" s="67">
        <f>M61*$N$83/3</f>
        <v>12.5</v>
      </c>
      <c r="O61" s="41">
        <f>((F61*(N61/100)-1)/(F61 -1))*40/5</f>
        <v>-1.6794258373205744</v>
      </c>
      <c r="Q61" s="62">
        <f>IF(E61&gt;0,IF(H61=1,(F61-1),-1),0)</f>
        <v>0</v>
      </c>
    </row>
    <row r="62" spans="1:17">
      <c r="A62" s="46" t="s">
        <v>12</v>
      </c>
      <c r="B62" s="46" t="s">
        <v>15</v>
      </c>
      <c r="C62" s="46" t="s">
        <v>4</v>
      </c>
      <c r="D62" s="46" t="s">
        <v>34</v>
      </c>
      <c r="E62" s="47">
        <f>IF(O62&gt;0,O62,0)</f>
        <v>0</v>
      </c>
      <c r="F62" s="48">
        <f>((3.5-1)*0.95)+1</f>
        <v>3.375</v>
      </c>
      <c r="G62" s="49" t="s">
        <v>43</v>
      </c>
      <c r="H62" s="235">
        <v>0</v>
      </c>
      <c r="I62" s="281" t="str">
        <f>IF(E62&gt;0,H62,"")</f>
        <v/>
      </c>
      <c r="K62" s="62">
        <f>IF(H62=1,E62*(F62-1),-E62)</f>
        <v>0</v>
      </c>
      <c r="M62" s="61">
        <v>0.5</v>
      </c>
      <c r="N62" s="67">
        <f>M62*$N$83/3</f>
        <v>12.5</v>
      </c>
      <c r="O62" s="41">
        <f>((F62*(N62/100)-1)/(F62 -1))*40/5</f>
        <v>-1.9473684210526314</v>
      </c>
      <c r="Q62" s="62">
        <f>IF(E62&gt;0,IF(H62=1,(F62-1),-1),0)</f>
        <v>0</v>
      </c>
    </row>
    <row r="63" spans="1:17">
      <c r="A63" s="87" t="s">
        <v>12</v>
      </c>
      <c r="B63" s="87" t="s">
        <v>27</v>
      </c>
      <c r="C63" s="87" t="s">
        <v>182</v>
      </c>
      <c r="D63" s="87" t="s">
        <v>34</v>
      </c>
      <c r="E63" s="88">
        <f>IF(O63&gt;0,O63,0)</f>
        <v>0</v>
      </c>
      <c r="F63" s="89">
        <f>((4.1-1)*0.95)+1</f>
        <v>3.9449999999999994</v>
      </c>
      <c r="G63" s="90" t="s">
        <v>36</v>
      </c>
      <c r="H63" s="235">
        <v>0</v>
      </c>
      <c r="I63" s="281" t="str">
        <f>IF(E63&gt;0,H63,"")</f>
        <v/>
      </c>
      <c r="K63" s="62">
        <f>IF(H63=1,E63*(F63-1),-E63)</f>
        <v>0</v>
      </c>
      <c r="M63" s="61">
        <v>0.5</v>
      </c>
      <c r="N63" s="67">
        <f>M63*$N$83/3</f>
        <v>12.5</v>
      </c>
      <c r="O63" s="41">
        <f>((F63*(N63/100)-1)/(F63 -1))*40/5</f>
        <v>-1.3769100169779291</v>
      </c>
      <c r="Q63" s="62">
        <f>IF(E63&gt;0,IF(H63=1,(F63-1),-1),0)</f>
        <v>0</v>
      </c>
    </row>
    <row r="64" spans="1:17">
      <c r="A64" s="50" t="s">
        <v>12</v>
      </c>
      <c r="B64" s="50" t="s">
        <v>1</v>
      </c>
      <c r="C64" s="50" t="s">
        <v>26</v>
      </c>
      <c r="D64" s="50" t="s">
        <v>49</v>
      </c>
      <c r="E64" s="51">
        <f>IF(O64&gt;0,O64,0)</f>
        <v>0</v>
      </c>
      <c r="F64" s="52">
        <f>((2.64-1)*0.95)+1</f>
        <v>2.5579999999999998</v>
      </c>
      <c r="G64" s="53" t="s">
        <v>38</v>
      </c>
      <c r="H64" s="235">
        <v>0</v>
      </c>
      <c r="I64" s="281" t="str">
        <f>IF(E64&gt;0,H64,"")</f>
        <v/>
      </c>
      <c r="K64" s="62">
        <f>IF(H64=1,E64*(F64-1),-E64)</f>
        <v>0</v>
      </c>
      <c r="M64" s="61">
        <v>1</v>
      </c>
      <c r="N64" s="67">
        <f>M64*$N$83/3</f>
        <v>25</v>
      </c>
      <c r="O64" s="41">
        <f>((F64*(N64/100)-1)/(F64 -1))*40/5</f>
        <v>-1.8510911424903724</v>
      </c>
      <c r="Q64" s="62">
        <f>IF(E64&gt;0,IF(H64=1,(F64-1),-1),0)</f>
        <v>0</v>
      </c>
    </row>
    <row r="65" spans="1:17">
      <c r="A65" s="54" t="s">
        <v>12</v>
      </c>
      <c r="B65" s="54" t="s">
        <v>15</v>
      </c>
      <c r="C65" s="54" t="s">
        <v>3</v>
      </c>
      <c r="D65" s="54" t="s">
        <v>49</v>
      </c>
      <c r="E65" s="55">
        <f>IF(O65&gt;0,O65,0)</f>
        <v>0</v>
      </c>
      <c r="F65" s="56">
        <f>((2.08-1)*0.95)+1</f>
        <v>2.0259999999999998</v>
      </c>
      <c r="G65" s="57" t="s">
        <v>42</v>
      </c>
      <c r="H65" s="235">
        <v>1</v>
      </c>
      <c r="I65" s="281" t="str">
        <f>IF(E65&gt;0,H65,"")</f>
        <v/>
      </c>
      <c r="K65" s="62">
        <f>IF(H65=1,E65*(F65-1),-E65)</f>
        <v>0</v>
      </c>
      <c r="M65" s="61">
        <v>1.25</v>
      </c>
      <c r="N65" s="67">
        <f>M65*$N$83/3</f>
        <v>31.25</v>
      </c>
      <c r="O65" s="41">
        <f>((F65*(N65/100)-1)/(F65 -1))*40/5</f>
        <v>-2.8606237816764142</v>
      </c>
      <c r="Q65" s="62">
        <f>IF(E65&gt;0,IF(H65=1,(F65-1),-1),0)</f>
        <v>0</v>
      </c>
    </row>
    <row r="66" spans="1:17">
      <c r="A66" s="87" t="s">
        <v>12</v>
      </c>
      <c r="B66" s="87" t="s">
        <v>2</v>
      </c>
      <c r="C66" s="87" t="s">
        <v>0</v>
      </c>
      <c r="D66" s="87" t="s">
        <v>34</v>
      </c>
      <c r="E66" s="88">
        <f>IF(O66&gt;0,O66,0)</f>
        <v>0</v>
      </c>
      <c r="F66" s="89">
        <f>((3.45-1)*0.95)+1</f>
        <v>3.3275000000000001</v>
      </c>
      <c r="G66" s="90" t="s">
        <v>41</v>
      </c>
      <c r="H66" s="235">
        <v>0</v>
      </c>
      <c r="I66" s="281" t="str">
        <f>IF(E66&gt;0,H66,"")</f>
        <v/>
      </c>
      <c r="K66" s="62">
        <f>IF(H66=1,E66*(F66-1),-E66)</f>
        <v>0</v>
      </c>
      <c r="M66" s="61">
        <v>0.75</v>
      </c>
      <c r="N66" s="67">
        <f>M66*$N$83/3</f>
        <v>18.75</v>
      </c>
      <c r="O66" s="41">
        <f>((F66*(N66/100)-1)/(F66 -1))*40/5</f>
        <v>-1.2926960257787325</v>
      </c>
      <c r="Q66" s="62">
        <f>IF(E66&gt;0,IF(H66=1,(F66-1),-1),0)</f>
        <v>0</v>
      </c>
    </row>
    <row r="67" spans="1:17">
      <c r="A67" s="50" t="s">
        <v>12</v>
      </c>
      <c r="B67" s="50" t="s">
        <v>181</v>
      </c>
      <c r="C67" s="50" t="s">
        <v>182</v>
      </c>
      <c r="D67" s="50" t="s">
        <v>34</v>
      </c>
      <c r="E67" s="51">
        <f>IF(O67&gt;0,O67,0)</f>
        <v>0</v>
      </c>
      <c r="F67" s="52">
        <f>((3.5-1)*0.95)+1</f>
        <v>3.375</v>
      </c>
      <c r="G67" s="53" t="s">
        <v>122</v>
      </c>
      <c r="H67" s="235">
        <v>0</v>
      </c>
      <c r="I67" s="281" t="str">
        <f>IF(E67&gt;0,H67,"")</f>
        <v/>
      </c>
      <c r="K67" s="62">
        <f>IF(H67=1,E67*(F67-1),-E67)</f>
        <v>0</v>
      </c>
      <c r="M67" s="61">
        <v>0.5</v>
      </c>
      <c r="N67" s="67">
        <f>M67*$N$83/3</f>
        <v>12.5</v>
      </c>
      <c r="O67" s="41">
        <f>((F67*(N67/100)-1)/(F67 -1))*40/5</f>
        <v>-1.9473684210526314</v>
      </c>
      <c r="Q67" s="62">
        <f>IF(E67&gt;0,IF(H67=1,(F67-1),-1),0)</f>
        <v>0</v>
      </c>
    </row>
    <row r="68" spans="1:17">
      <c r="A68" s="87" t="s">
        <v>12</v>
      </c>
      <c r="B68" s="87" t="s">
        <v>3</v>
      </c>
      <c r="C68" s="87" t="s">
        <v>47</v>
      </c>
      <c r="D68" s="87" t="s">
        <v>49</v>
      </c>
      <c r="E68" s="88">
        <f>IF(O68&gt;0,O68,0)</f>
        <v>0</v>
      </c>
      <c r="F68" s="89">
        <v>2.35</v>
      </c>
      <c r="G68" s="90" t="s">
        <v>121</v>
      </c>
      <c r="H68" s="235">
        <v>0</v>
      </c>
      <c r="I68" s="281" t="str">
        <f>IF(E68&gt;0,H68,"")</f>
        <v/>
      </c>
      <c r="K68" s="62">
        <f>IF(H68=1,E68*(F68-1),-E68)</f>
        <v>0</v>
      </c>
      <c r="M68" s="61">
        <v>1.5</v>
      </c>
      <c r="N68" s="67">
        <f>M68*$N$83/3</f>
        <v>37.5</v>
      </c>
      <c r="O68" s="41">
        <f>((F68*(N68/100)-1)/(F68 -1))*40/5</f>
        <v>-0.70370370370370317</v>
      </c>
      <c r="Q68" s="62">
        <f>IF(E68&gt;0,IF(H68=1,(F68-1),-1),0)</f>
        <v>0</v>
      </c>
    </row>
    <row r="69" spans="1:17">
      <c r="A69" s="42" t="s">
        <v>12</v>
      </c>
      <c r="B69" s="42" t="s">
        <v>67</v>
      </c>
      <c r="C69" s="42" t="s">
        <v>2</v>
      </c>
      <c r="D69" s="42" t="s">
        <v>49</v>
      </c>
      <c r="E69" s="43">
        <f>IF(O69&gt;0,O69,0)</f>
        <v>0</v>
      </c>
      <c r="F69" s="44">
        <f>((1.72-1)*0.95)+1</f>
        <v>1.6839999999999999</v>
      </c>
      <c r="G69" s="45" t="s">
        <v>244</v>
      </c>
      <c r="H69" s="235">
        <v>1</v>
      </c>
      <c r="I69" s="281" t="str">
        <f>IF(E69&gt;0,H69,"")</f>
        <v/>
      </c>
      <c r="K69" s="62">
        <f>IF(H69=1,E69*(F69-1),-E69)</f>
        <v>0</v>
      </c>
      <c r="M69" s="61">
        <v>1</v>
      </c>
      <c r="N69" s="67">
        <f>M69*$N$83/3</f>
        <v>25</v>
      </c>
      <c r="O69" s="41">
        <f>((F69*(N69/100)-1)/(F69 -1))*40/5</f>
        <v>-6.7719298245614024</v>
      </c>
      <c r="Q69" s="62">
        <f>IF(E69&gt;0,IF(H69=1,(F69-1),-1),0)</f>
        <v>0</v>
      </c>
    </row>
    <row r="70" spans="1:17">
      <c r="A70" s="4" t="s">
        <v>12</v>
      </c>
      <c r="B70" s="4" t="s">
        <v>1</v>
      </c>
      <c r="C70" s="4" t="s">
        <v>134</v>
      </c>
      <c r="D70" s="4" t="s">
        <v>460</v>
      </c>
      <c r="E70" s="5">
        <f>IF(O70&gt;0,O70,0)</f>
        <v>0</v>
      </c>
      <c r="F70" s="9">
        <f>((2.16-1)*0.95)+1</f>
        <v>2.1020000000000003</v>
      </c>
      <c r="G70" s="10" t="s">
        <v>122</v>
      </c>
      <c r="H70" s="235">
        <v>1</v>
      </c>
      <c r="I70" s="281" t="str">
        <f>IF(E70&gt;0,H70,"")</f>
        <v/>
      </c>
      <c r="K70" s="62">
        <f>IF(H70=1,E70*(F70-1),-E70)</f>
        <v>0</v>
      </c>
      <c r="M70" s="61">
        <v>1</v>
      </c>
      <c r="N70" s="67">
        <f>M70*$N$83/3</f>
        <v>25</v>
      </c>
      <c r="O70" s="41">
        <f>((F70*(N70/100)-1)/(F70 -1))*40/5</f>
        <v>-3.4446460980036284</v>
      </c>
      <c r="Q70" s="62">
        <f>IF(E70&gt;0,IF(H70=1,(F70-1),-1),0)</f>
        <v>0</v>
      </c>
    </row>
    <row r="71" spans="1:17">
      <c r="A71" s="54" t="s">
        <v>12</v>
      </c>
      <c r="B71" s="54" t="s">
        <v>2</v>
      </c>
      <c r="C71" s="54" t="s">
        <v>26</v>
      </c>
      <c r="D71" s="54" t="s">
        <v>49</v>
      </c>
      <c r="E71" s="55">
        <f>IF(O71&gt;0,O71,0)</f>
        <v>0</v>
      </c>
      <c r="F71" s="56">
        <v>2.0499999999999998</v>
      </c>
      <c r="G71" s="57" t="s">
        <v>571</v>
      </c>
      <c r="H71" s="235">
        <v>1</v>
      </c>
      <c r="I71" s="281" t="str">
        <f>IF(E71&gt;0,H71,"")</f>
        <v/>
      </c>
      <c r="K71" s="62">
        <f>IF(H71=1,E71*(F71-1),-E71)</f>
        <v>0</v>
      </c>
      <c r="M71" s="61">
        <v>1.5</v>
      </c>
      <c r="N71" s="67">
        <f>M71*$N$83/3</f>
        <v>37.5</v>
      </c>
      <c r="O71" s="41">
        <f>((F71*(N71/100)-1)/(F71 -1))*40/5</f>
        <v>-1.7619047619047628</v>
      </c>
      <c r="Q71" s="62">
        <f>IF(E71&gt;0,IF(H71=1,(F71-1),-1),0)</f>
        <v>0</v>
      </c>
    </row>
    <row r="72" spans="1:17">
      <c r="A72" s="54" t="s">
        <v>12</v>
      </c>
      <c r="B72" s="54" t="s">
        <v>27</v>
      </c>
      <c r="C72" s="54" t="s">
        <v>5</v>
      </c>
      <c r="D72" s="54" t="s">
        <v>49</v>
      </c>
      <c r="E72" s="55">
        <f>IF(O72&gt;0,O72,0)</f>
        <v>0</v>
      </c>
      <c r="F72" s="56">
        <f>((2.42-1)*0.95)+1</f>
        <v>2.3490000000000002</v>
      </c>
      <c r="G72" s="57" t="s">
        <v>122</v>
      </c>
      <c r="H72" s="235">
        <v>1</v>
      </c>
      <c r="I72" s="281" t="str">
        <f>IF(E72&gt;0,H72,"")</f>
        <v/>
      </c>
      <c r="K72" s="62">
        <f>IF(H72=1,E72*(F72-1),-E72)</f>
        <v>0</v>
      </c>
      <c r="M72" s="61">
        <v>1.25</v>
      </c>
      <c r="N72" s="67">
        <f>M72*$N$83/3</f>
        <v>31.25</v>
      </c>
      <c r="O72" s="41">
        <f>((F72*(N72/100)-1)/(F72 -1))*40/5</f>
        <v>-1.5770941438102293</v>
      </c>
      <c r="Q72" s="62">
        <f>IF(E72&gt;0,IF(H72=1,(F72-1),-1),0)</f>
        <v>0</v>
      </c>
    </row>
    <row r="73" spans="1:17">
      <c r="A73" s="54" t="s">
        <v>12</v>
      </c>
      <c r="B73" s="54" t="s">
        <v>28</v>
      </c>
      <c r="C73" s="54" t="s">
        <v>15</v>
      </c>
      <c r="D73" s="54" t="s">
        <v>49</v>
      </c>
      <c r="E73" s="55">
        <f>IF(O73&gt;0,O73,0)</f>
        <v>0</v>
      </c>
      <c r="F73" s="56">
        <f>((1.92-1)*0.95)+1</f>
        <v>1.8739999999999999</v>
      </c>
      <c r="G73" s="57" t="s">
        <v>187</v>
      </c>
      <c r="H73" s="235">
        <v>1</v>
      </c>
      <c r="I73" s="281" t="str">
        <f>IF(E73&gt;0,H73,"")</f>
        <v/>
      </c>
      <c r="K73" s="62">
        <f>IF(H73=1,E73*(F73-1),-E73)</f>
        <v>0</v>
      </c>
      <c r="M73" s="61">
        <v>1.75</v>
      </c>
      <c r="N73" s="67">
        <f>M73*$N$83/3</f>
        <v>43.75</v>
      </c>
      <c r="O73" s="41">
        <f>((F73*(N73/100)-1)/(F73 -1))*40/5</f>
        <v>-1.648741418764303</v>
      </c>
      <c r="Q73" s="62">
        <f>IF(E73&gt;0,IF(H73=1,(F73-1),-1),0)</f>
        <v>0</v>
      </c>
    </row>
    <row r="74" spans="1:17">
      <c r="A74" s="87" t="s">
        <v>12</v>
      </c>
      <c r="B74" s="87" t="s">
        <v>0</v>
      </c>
      <c r="C74" s="87" t="s">
        <v>134</v>
      </c>
      <c r="D74" s="87" t="s">
        <v>49</v>
      </c>
      <c r="E74" s="88">
        <f>IF(O74&gt;0,O74,0)</f>
        <v>0</v>
      </c>
      <c r="F74" s="89">
        <f>((3.5-1)*0.95)+1</f>
        <v>3.375</v>
      </c>
      <c r="G74" s="90" t="s">
        <v>145</v>
      </c>
      <c r="H74" s="235">
        <v>0</v>
      </c>
      <c r="I74" s="281" t="str">
        <f>IF(E74&gt;0,H74,"")</f>
        <v/>
      </c>
      <c r="K74" s="62">
        <f>IF(H74=1,E74*(F74-1),-E74)</f>
        <v>0</v>
      </c>
      <c r="M74" s="61">
        <v>1</v>
      </c>
      <c r="N74" s="67">
        <f>M74*$N$83/3</f>
        <v>25</v>
      </c>
      <c r="O74" s="41">
        <f>((F74*(N74/100)-1)/(F74 -1))*40/5</f>
        <v>-0.52631578947368418</v>
      </c>
      <c r="Q74" s="62">
        <f>IF(E74&gt;0,IF(H74=1,(F74-1),-1),0)</f>
        <v>0</v>
      </c>
    </row>
    <row r="75" spans="1:17">
      <c r="A75" s="42" t="s">
        <v>12</v>
      </c>
      <c r="B75" s="42" t="s">
        <v>73</v>
      </c>
      <c r="C75" s="42" t="s">
        <v>26</v>
      </c>
      <c r="D75" s="42" t="s">
        <v>693</v>
      </c>
      <c r="E75" s="43">
        <f>IF(O75&gt;0,O75,0)</f>
        <v>0</v>
      </c>
      <c r="F75" s="44">
        <v>2.2349999999999999</v>
      </c>
      <c r="G75" s="45" t="s">
        <v>38</v>
      </c>
      <c r="H75" s="235">
        <v>1</v>
      </c>
      <c r="I75" s="281" t="str">
        <f>IF(E75&gt;0,H75,"")</f>
        <v/>
      </c>
      <c r="K75" s="62">
        <f>IF(H75=1,E75*(F75-1),-E75)</f>
        <v>0</v>
      </c>
      <c r="M75" s="61">
        <v>1.3</v>
      </c>
      <c r="N75" s="67">
        <f>M75*$N$83/3</f>
        <v>32.5</v>
      </c>
      <c r="O75" s="41">
        <f>((F75*(N75/100)-1)/(F75 -1))*40/5</f>
        <v>-1.7724696356275307</v>
      </c>
      <c r="Q75" s="62">
        <f>IF(E75&gt;0,IF(H75=1,(F75-1),-1),0)</f>
        <v>0</v>
      </c>
    </row>
    <row r="76" spans="1:17">
      <c r="A76" s="54" t="s">
        <v>12</v>
      </c>
      <c r="B76" s="54" t="s">
        <v>1</v>
      </c>
      <c r="C76" s="54" t="s">
        <v>27</v>
      </c>
      <c r="D76" s="54" t="s">
        <v>49</v>
      </c>
      <c r="E76" s="55">
        <f>IF(O76&gt;0,O76,0)</f>
        <v>0</v>
      </c>
      <c r="F76" s="56">
        <f>((3.35-1)*0.95)+1</f>
        <v>3.2324999999999999</v>
      </c>
      <c r="G76" s="57" t="s">
        <v>36</v>
      </c>
      <c r="H76" s="235">
        <v>1</v>
      </c>
      <c r="I76" s="281" t="str">
        <f>IF(E76&gt;0,H76,"")</f>
        <v/>
      </c>
      <c r="K76" s="62">
        <f>IF(H76=1,E76*(F76-1),-E76)</f>
        <v>0</v>
      </c>
      <c r="M76" s="61">
        <v>0.75</v>
      </c>
      <c r="N76" s="67">
        <f>M76*$N$83/3</f>
        <v>18.75</v>
      </c>
      <c r="O76" s="41">
        <f>((F76*(N76/100)-1)/(F76 -1))*40/5</f>
        <v>-1.4115341545352744</v>
      </c>
      <c r="Q76" s="62">
        <f>IF(E76&gt;0,IF(H76=1,(F76-1),-1),0)</f>
        <v>0</v>
      </c>
    </row>
    <row r="77" spans="1:17">
      <c r="A77" s="54" t="s">
        <v>12</v>
      </c>
      <c r="B77" s="54" t="s">
        <v>5</v>
      </c>
      <c r="C77" s="54" t="s">
        <v>2</v>
      </c>
      <c r="D77" s="54" t="s">
        <v>49</v>
      </c>
      <c r="E77" s="55">
        <f>IF(O77&gt;0,O77,0)</f>
        <v>0</v>
      </c>
      <c r="F77" s="56">
        <f>((1.9-1)*0.95)+1</f>
        <v>1.855</v>
      </c>
      <c r="G77" s="57" t="s">
        <v>743</v>
      </c>
      <c r="H77" s="235">
        <v>1</v>
      </c>
      <c r="I77" s="281" t="str">
        <f>IF(E77&gt;0,H77,"")</f>
        <v/>
      </c>
      <c r="K77" s="62">
        <f>IF(H77=1,E77*(F77-1),-E77)</f>
        <v>0</v>
      </c>
      <c r="M77" s="61">
        <v>2</v>
      </c>
      <c r="N77" s="67">
        <f>M77*$N$83/3</f>
        <v>50</v>
      </c>
      <c r="O77" s="41">
        <f>((F77*(N77/100)-1)/(F77 -1))*40/5</f>
        <v>-0.67836257309941528</v>
      </c>
      <c r="Q77" s="62">
        <f>IF(E77&gt;0,IF(H77=1,(F77-1),-1),0)</f>
        <v>0</v>
      </c>
    </row>
    <row r="78" spans="1:17">
      <c r="A78" s="46" t="s">
        <v>12</v>
      </c>
      <c r="B78" s="46" t="s">
        <v>520</v>
      </c>
      <c r="C78" s="46" t="s">
        <v>504</v>
      </c>
      <c r="D78" s="46" t="s">
        <v>742</v>
      </c>
      <c r="E78" s="47">
        <f>IF(O78&gt;0,O78,0)</f>
        <v>0</v>
      </c>
      <c r="F78" s="46">
        <v>1.89</v>
      </c>
      <c r="G78" s="49" t="s">
        <v>42</v>
      </c>
      <c r="H78" s="235">
        <v>0</v>
      </c>
      <c r="I78" s="281" t="str">
        <f>IF(E78&gt;0,H78,"")</f>
        <v/>
      </c>
      <c r="K78" s="62">
        <f>IF(H78=1,E78*(F78-1),-E78)</f>
        <v>0</v>
      </c>
      <c r="M78" s="61">
        <v>1</v>
      </c>
      <c r="N78" s="67">
        <f>M78*$N$83/3</f>
        <v>25</v>
      </c>
      <c r="O78" s="41">
        <f>((F78*(N78/100)-1)/(F78 -1))*40/5</f>
        <v>-4.7415730337078665</v>
      </c>
      <c r="Q78" s="62">
        <f>IF(E78&gt;0,IF(H78=1,(F78-1),-1),0)</f>
        <v>0</v>
      </c>
    </row>
    <row r="79" spans="1:17">
      <c r="A79" s="87" t="s">
        <v>12</v>
      </c>
      <c r="B79" s="87" t="s">
        <v>47</v>
      </c>
      <c r="C79" s="87" t="s">
        <v>28</v>
      </c>
      <c r="D79" s="87" t="s">
        <v>742</v>
      </c>
      <c r="E79" s="88">
        <f>IF(O79&gt;0,O79,0)</f>
        <v>0</v>
      </c>
      <c r="F79" s="89">
        <v>2.09</v>
      </c>
      <c r="G79" s="90" t="s">
        <v>122</v>
      </c>
      <c r="H79" s="235">
        <v>0</v>
      </c>
      <c r="I79" s="281" t="str">
        <f>IF(E79&gt;0,H79,"")</f>
        <v/>
      </c>
      <c r="K79" s="62">
        <f>IF(H79=1,E79*(F79-1),-E79)</f>
        <v>0</v>
      </c>
      <c r="M79" s="61">
        <v>0.75</v>
      </c>
      <c r="N79" s="67">
        <f>M79*$N$83/3</f>
        <v>18.75</v>
      </c>
      <c r="O79" s="41">
        <f>((F79*(N79/100)-1)/(F79 -1))*40/5</f>
        <v>-4.4633027522935791</v>
      </c>
      <c r="Q79" s="62">
        <f>IF(E79&gt;0,IF(H79=1,(F79-1),-1),0)</f>
        <v>0</v>
      </c>
    </row>
    <row r="80" spans="1:17">
      <c r="A80" s="50" t="s">
        <v>12</v>
      </c>
      <c r="B80" s="50" t="s">
        <v>1</v>
      </c>
      <c r="C80" s="50" t="s">
        <v>10</v>
      </c>
      <c r="D80" s="50" t="s">
        <v>742</v>
      </c>
      <c r="E80" s="51">
        <f>IF(O80&gt;0,O80,0)</f>
        <v>0</v>
      </c>
      <c r="F80" s="52">
        <v>3.56</v>
      </c>
      <c r="G80" s="53" t="s">
        <v>42</v>
      </c>
      <c r="H80" s="235">
        <v>0</v>
      </c>
      <c r="I80" s="281" t="str">
        <f>IF(E80&gt;0,H80,"")</f>
        <v/>
      </c>
      <c r="K80" s="62">
        <f>IF(H80=1,E80*(F80-1),-E80)</f>
        <v>0</v>
      </c>
      <c r="M80" s="61">
        <v>0.75</v>
      </c>
      <c r="N80" s="67">
        <f>M80*$N$83/3</f>
        <v>18.75</v>
      </c>
      <c r="O80" s="41">
        <f>((F80*(N80/100)-1)/(F80 -1))*40/5</f>
        <v>-1.0390625</v>
      </c>
      <c r="Q80" s="62">
        <f>IF(E80&gt;0,IF(H80=1,(F80-1),-1),0)</f>
        <v>0</v>
      </c>
    </row>
    <row r="81" spans="1:17">
      <c r="A81" s="87" t="s">
        <v>12</v>
      </c>
      <c r="B81" s="87" t="s">
        <v>10</v>
      </c>
      <c r="C81" s="87" t="s">
        <v>26</v>
      </c>
      <c r="D81" s="87" t="s">
        <v>767</v>
      </c>
      <c r="E81" s="88">
        <f>IF(O81&gt;0,O81,0)</f>
        <v>0</v>
      </c>
      <c r="F81" s="89">
        <v>2.5099999999999998</v>
      </c>
      <c r="G81" s="90" t="s">
        <v>769</v>
      </c>
      <c r="H81" s="235">
        <v>0</v>
      </c>
      <c r="I81" s="281" t="str">
        <f>IF(E81&gt;0,H81,"")</f>
        <v/>
      </c>
      <c r="K81" s="62">
        <f>IF(H81=1,E81*(F81-1),-E81)</f>
        <v>0</v>
      </c>
      <c r="M81" s="61">
        <v>1</v>
      </c>
      <c r="N81" s="67">
        <f>M81*$N$83/3</f>
        <v>25</v>
      </c>
      <c r="O81" s="41">
        <f>((F81*(N81/100)-1)/(F81 -1))*40/5</f>
        <v>-1.9735099337748347</v>
      </c>
      <c r="Q81" s="62">
        <f>IF(E81&gt;0,IF(H81=1,(F81-1),-1),0)</f>
        <v>0</v>
      </c>
    </row>
    <row r="83" spans="1:17">
      <c r="E83" s="61">
        <f>SUM(E1:E82)</f>
        <v>47.009619499188027</v>
      </c>
      <c r="I83" s="281">
        <f>SUM(I1:I82)</f>
        <v>22</v>
      </c>
      <c r="J83" s="233">
        <f>COUNTIF(E1:E82,"&gt;0")</f>
        <v>40</v>
      </c>
      <c r="K83" s="62">
        <f>SUM(K1:K82)</f>
        <v>23.725168605977132</v>
      </c>
      <c r="N83" s="308">
        <v>75</v>
      </c>
      <c r="Q83" s="62">
        <f>SUM(Q1:Q82)</f>
        <v>22.237000000000002</v>
      </c>
    </row>
    <row r="84" spans="1:17">
      <c r="H84" s="63"/>
      <c r="I84" s="63">
        <f>+I83/J83</f>
        <v>0.55000000000000004</v>
      </c>
      <c r="K84" s="65">
        <f>+K83/E83</f>
        <v>0.504687526908975</v>
      </c>
      <c r="Q84" s="65">
        <f>+Q83/COUNTIF(Q1:Q81,"&lt;&gt;0")</f>
        <v>0.555925</v>
      </c>
    </row>
    <row r="85" spans="1:17">
      <c r="K85" s="64"/>
    </row>
  </sheetData>
  <sortState ref="A1:Q81">
    <sortCondition descending="1" ref="E1:E81"/>
  </sortState>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sheetPr codeName="Hoja38"/>
  <dimension ref="A1:G24"/>
  <sheetViews>
    <sheetView workbookViewId="0">
      <selection activeCell="F22" sqref="F22"/>
    </sheetView>
  </sheetViews>
  <sheetFormatPr baseColWidth="10" defaultRowHeight="15"/>
  <sheetData>
    <row r="1" spans="1:7">
      <c r="B1" t="s">
        <v>383</v>
      </c>
      <c r="C1" t="s">
        <v>385</v>
      </c>
      <c r="D1" t="s">
        <v>382</v>
      </c>
      <c r="E1" t="s">
        <v>386</v>
      </c>
      <c r="F1" t="s">
        <v>384</v>
      </c>
      <c r="G1" t="s">
        <v>387</v>
      </c>
    </row>
    <row r="2" spans="1:7">
      <c r="A2" s="137" t="s">
        <v>578</v>
      </c>
      <c r="B2" s="62">
        <v>0</v>
      </c>
      <c r="C2" s="108">
        <v>0</v>
      </c>
      <c r="D2" s="63">
        <v>0</v>
      </c>
      <c r="E2" s="62">
        <v>0</v>
      </c>
      <c r="F2" s="61">
        <v>50</v>
      </c>
      <c r="G2" s="108">
        <v>0</v>
      </c>
    </row>
    <row r="3" spans="1:7">
      <c r="A3" t="s">
        <v>375</v>
      </c>
      <c r="B3" s="62">
        <v>-4.75</v>
      </c>
      <c r="C3" s="108">
        <v>-0.67859999999999998</v>
      </c>
      <c r="D3" s="63">
        <v>0.2</v>
      </c>
      <c r="E3" s="62">
        <v>-4.75</v>
      </c>
      <c r="F3" s="61">
        <v>45.25</v>
      </c>
      <c r="G3" s="108">
        <v>-0.67859999999999998</v>
      </c>
    </row>
    <row r="4" spans="1:7">
      <c r="A4" t="s">
        <v>376</v>
      </c>
      <c r="B4" s="62">
        <v>5.14</v>
      </c>
      <c r="C4" s="108">
        <v>0.70899999999999996</v>
      </c>
      <c r="D4" s="63">
        <v>0.4</v>
      </c>
      <c r="E4" s="62">
        <v>0.39</v>
      </c>
      <c r="F4" s="61">
        <v>50.39</v>
      </c>
      <c r="G4" s="108">
        <v>2.7300000000000001E-2</v>
      </c>
    </row>
    <row r="5" spans="1:7">
      <c r="A5" t="s">
        <v>377</v>
      </c>
      <c r="B5" s="62">
        <v>5</v>
      </c>
      <c r="C5" s="108">
        <v>0.68969999999999998</v>
      </c>
      <c r="D5" s="63">
        <v>0.5</v>
      </c>
      <c r="E5" s="62">
        <v>5.39</v>
      </c>
      <c r="F5" s="61">
        <v>55.39</v>
      </c>
      <c r="G5" s="108">
        <v>0.25069999999999998</v>
      </c>
    </row>
    <row r="6" spans="1:7">
      <c r="A6" t="s">
        <v>378</v>
      </c>
      <c r="B6" s="62">
        <v>1.86</v>
      </c>
      <c r="C6" s="108">
        <v>0.186</v>
      </c>
      <c r="D6" s="63">
        <v>0.5</v>
      </c>
      <c r="E6" s="62">
        <v>7.25</v>
      </c>
      <c r="F6" s="61">
        <v>57.25</v>
      </c>
      <c r="G6" s="108">
        <v>0.23019999999999999</v>
      </c>
    </row>
    <row r="7" spans="1:7">
      <c r="A7" t="s">
        <v>379</v>
      </c>
      <c r="B7" s="62">
        <v>-4.34</v>
      </c>
      <c r="C7" s="108">
        <v>-0.72330000000000005</v>
      </c>
      <c r="D7" s="63">
        <v>0.41</v>
      </c>
      <c r="E7" s="62">
        <v>2.91</v>
      </c>
      <c r="F7" s="61">
        <v>52.91</v>
      </c>
      <c r="G7" s="108">
        <v>7.7600000000000002E-2</v>
      </c>
    </row>
    <row r="8" spans="1:7">
      <c r="A8" t="s">
        <v>380</v>
      </c>
      <c r="B8" s="62">
        <v>10.02</v>
      </c>
      <c r="C8" s="108">
        <v>0.93210000000000004</v>
      </c>
      <c r="D8" s="63">
        <v>0.47</v>
      </c>
      <c r="E8" s="62">
        <v>12.93</v>
      </c>
      <c r="F8" s="61">
        <v>62.93</v>
      </c>
      <c r="G8" s="108">
        <v>0.26800000000000002</v>
      </c>
    </row>
    <row r="9" spans="1:7">
      <c r="A9" t="s">
        <v>381</v>
      </c>
      <c r="B9" s="62">
        <v>-3.21</v>
      </c>
      <c r="C9" s="108">
        <v>-0.55869999999999997</v>
      </c>
      <c r="D9" s="63">
        <v>0.43</v>
      </c>
      <c r="E9" s="62">
        <v>9.7200000000000006</v>
      </c>
      <c r="F9" s="61">
        <v>59.72</v>
      </c>
      <c r="G9" s="108">
        <v>0.18</v>
      </c>
    </row>
    <row r="10" spans="1:7">
      <c r="A10" t="s">
        <v>388</v>
      </c>
      <c r="B10" s="62">
        <v>-0.14000000000000001</v>
      </c>
      <c r="C10" s="108">
        <v>-1.7500000000000002E-2</v>
      </c>
      <c r="D10" s="63">
        <v>0.435</v>
      </c>
      <c r="E10" s="62">
        <v>9.58</v>
      </c>
      <c r="F10" s="61">
        <v>59.58</v>
      </c>
      <c r="G10" s="108">
        <v>0.14449999999999999</v>
      </c>
    </row>
    <row r="11" spans="1:7">
      <c r="A11" t="s">
        <v>476</v>
      </c>
      <c r="B11" s="62">
        <v>1.1000000000000001</v>
      </c>
      <c r="C11" s="108">
        <v>1.1100000000000001</v>
      </c>
      <c r="D11" s="63">
        <v>0.44700000000000001</v>
      </c>
      <c r="E11" s="62">
        <v>10.68</v>
      </c>
      <c r="F11" s="61">
        <v>60.68</v>
      </c>
      <c r="G11" s="108">
        <v>0.16950000000000001</v>
      </c>
    </row>
    <row r="12" spans="1:7">
      <c r="A12" s="137" t="s">
        <v>538</v>
      </c>
      <c r="B12" s="62">
        <v>4.66</v>
      </c>
      <c r="C12" s="108">
        <v>1.55</v>
      </c>
      <c r="D12" s="63">
        <v>0.44</v>
      </c>
      <c r="E12" s="62">
        <v>15.34</v>
      </c>
      <c r="F12" s="61">
        <v>65.34</v>
      </c>
      <c r="G12" s="108">
        <v>0.2324</v>
      </c>
    </row>
    <row r="13" spans="1:7">
      <c r="A13" s="137" t="s">
        <v>577</v>
      </c>
      <c r="B13" s="62">
        <v>3.92</v>
      </c>
      <c r="C13" s="108">
        <v>0.52270000000000005</v>
      </c>
      <c r="D13" s="63">
        <v>0.45500000000000002</v>
      </c>
      <c r="E13" s="62">
        <v>19.260000000000002</v>
      </c>
      <c r="F13" s="61">
        <v>69.260000000000005</v>
      </c>
      <c r="G13" s="108">
        <v>0.26200000000000001</v>
      </c>
    </row>
    <row r="14" spans="1:7">
      <c r="A14" s="231" t="s">
        <v>631</v>
      </c>
      <c r="B14" s="62">
        <v>8.74</v>
      </c>
      <c r="C14" s="108">
        <v>1.4567000000000001</v>
      </c>
      <c r="D14" s="63">
        <v>0.48299999999999998</v>
      </c>
      <c r="E14" s="62">
        <v>28</v>
      </c>
      <c r="F14" s="61">
        <v>78</v>
      </c>
      <c r="G14" s="108">
        <v>0.35220000000000001</v>
      </c>
    </row>
    <row r="15" spans="1:7">
      <c r="A15" s="266" t="s">
        <v>672</v>
      </c>
      <c r="B15" s="62">
        <v>4.0999999999999996</v>
      </c>
      <c r="C15" s="108">
        <v>1.0249999999999999</v>
      </c>
      <c r="D15" s="63">
        <v>0.5</v>
      </c>
      <c r="E15" s="62">
        <v>32.1</v>
      </c>
      <c r="F15" s="61">
        <v>82.1</v>
      </c>
      <c r="G15" s="108">
        <v>0.38440000000000002</v>
      </c>
    </row>
    <row r="16" spans="1:7">
      <c r="A16" s="273" t="s">
        <v>697</v>
      </c>
      <c r="B16" s="62">
        <v>1.06</v>
      </c>
      <c r="C16" s="108">
        <v>0.14000000000000001</v>
      </c>
      <c r="D16" s="63">
        <v>0.5</v>
      </c>
      <c r="E16" s="62">
        <v>33.159999999999997</v>
      </c>
      <c r="F16" s="61">
        <v>83.16</v>
      </c>
      <c r="G16" s="108">
        <v>0.36420000000000002</v>
      </c>
    </row>
    <row r="17" spans="1:7">
      <c r="A17" s="278" t="s">
        <v>744</v>
      </c>
      <c r="B17" s="62">
        <v>-1.28</v>
      </c>
      <c r="C17" s="108">
        <v>-0.25600000000000001</v>
      </c>
      <c r="D17" s="63">
        <v>0.47899999999999998</v>
      </c>
      <c r="E17" s="62">
        <v>31.88</v>
      </c>
      <c r="F17" s="61">
        <v>81.88</v>
      </c>
      <c r="G17" s="108">
        <v>0.33189999999999997</v>
      </c>
    </row>
    <row r="18" spans="1:7">
      <c r="A18" s="281" t="s">
        <v>771</v>
      </c>
      <c r="B18" s="62">
        <v>-2.5</v>
      </c>
      <c r="C18" s="108">
        <v>-1</v>
      </c>
      <c r="D18" s="63">
        <v>0.46700000000000003</v>
      </c>
      <c r="E18" s="62">
        <v>29.38</v>
      </c>
      <c r="F18" s="61">
        <v>79.38</v>
      </c>
      <c r="G18" s="108">
        <v>0.29809999999999998</v>
      </c>
    </row>
    <row r="19" spans="1:7">
      <c r="B19" s="62"/>
      <c r="C19" s="108"/>
      <c r="D19" s="63"/>
      <c r="E19" s="62"/>
      <c r="F19" s="61"/>
      <c r="G19" s="108"/>
    </row>
    <row r="20" spans="1:7">
      <c r="B20" s="62"/>
      <c r="C20" s="108"/>
      <c r="D20" s="63"/>
      <c r="E20" s="62"/>
      <c r="F20" s="61"/>
      <c r="G20" s="108"/>
    </row>
    <row r="21" spans="1:7">
      <c r="B21" s="62"/>
      <c r="C21" s="108"/>
      <c r="D21" s="63"/>
      <c r="E21" s="62"/>
      <c r="F21" s="61"/>
      <c r="G21" s="108"/>
    </row>
    <row r="22" spans="1:7">
      <c r="B22" s="62"/>
      <c r="C22" s="108"/>
      <c r="D22" s="63"/>
      <c r="E22" s="62"/>
      <c r="F22" s="61"/>
      <c r="G22" s="108"/>
    </row>
    <row r="23" spans="1:7">
      <c r="B23" s="62"/>
      <c r="C23" s="108"/>
      <c r="D23" s="63"/>
      <c r="E23" s="62"/>
      <c r="F23" s="61"/>
      <c r="G23" s="108"/>
    </row>
    <row r="24" spans="1:7">
      <c r="B24" s="62"/>
      <c r="E24" s="62"/>
      <c r="F24" s="61"/>
    </row>
  </sheetData>
  <pageMargins left="0.7" right="0.7" top="0.75" bottom="0.75" header="0.3" footer="0.3"/>
  <drawing r:id="rId1"/>
  <legacyDrawing r:id="rId2"/>
</worksheet>
</file>

<file path=xl/worksheets/sheet53.xml><?xml version="1.0" encoding="utf-8"?>
<worksheet xmlns="http://schemas.openxmlformats.org/spreadsheetml/2006/main" xmlns:r="http://schemas.openxmlformats.org/officeDocument/2006/relationships">
  <sheetPr codeName="Hoja39"/>
  <dimension ref="A1:L35"/>
  <sheetViews>
    <sheetView topLeftCell="A13" workbookViewId="0">
      <selection activeCell="F30" sqref="F30"/>
    </sheetView>
  </sheetViews>
  <sheetFormatPr baseColWidth="10" defaultRowHeight="15"/>
  <cols>
    <col min="2" max="3" width="11.42578125" style="41"/>
  </cols>
  <sheetData>
    <row r="1" spans="1:12">
      <c r="A1" s="18" t="s">
        <v>140</v>
      </c>
      <c r="B1" s="264" t="s">
        <v>481</v>
      </c>
      <c r="C1" s="264" t="s">
        <v>482</v>
      </c>
      <c r="D1" s="18" t="s">
        <v>383</v>
      </c>
      <c r="E1" s="18" t="s">
        <v>483</v>
      </c>
      <c r="I1" s="137" t="s">
        <v>535</v>
      </c>
      <c r="J1" s="137" t="s">
        <v>536</v>
      </c>
    </row>
    <row r="2" spans="1:12">
      <c r="A2" s="35">
        <v>40995</v>
      </c>
      <c r="B2" s="41">
        <v>13.98</v>
      </c>
      <c r="C2" s="41">
        <v>26.1</v>
      </c>
      <c r="E2">
        <f t="shared" ref="E2:E7" si="0">+B2+C2</f>
        <v>40.08</v>
      </c>
    </row>
    <row r="3" spans="1:12">
      <c r="A3" s="35">
        <v>40996</v>
      </c>
      <c r="B3" s="41">
        <v>13.41</v>
      </c>
      <c r="C3" s="41">
        <v>25.97</v>
      </c>
      <c r="D3">
        <f t="shared" ref="D3:D8" si="1">+E3-E2</f>
        <v>-0.70000000000000284</v>
      </c>
      <c r="E3">
        <f t="shared" si="0"/>
        <v>39.379999999999995</v>
      </c>
    </row>
    <row r="4" spans="1:12">
      <c r="A4" s="35">
        <v>40997</v>
      </c>
      <c r="B4" s="41">
        <v>10.26</v>
      </c>
      <c r="C4" s="41">
        <v>21.29</v>
      </c>
      <c r="D4" s="137">
        <f t="shared" si="1"/>
        <v>-7.8299999999999983</v>
      </c>
      <c r="E4" s="137">
        <f t="shared" si="0"/>
        <v>31.549999999999997</v>
      </c>
    </row>
    <row r="5" spans="1:12">
      <c r="A5" s="35">
        <v>40998</v>
      </c>
      <c r="B5" s="41">
        <v>11.09</v>
      </c>
      <c r="C5" s="41">
        <v>24.32</v>
      </c>
      <c r="D5" s="137">
        <f t="shared" si="1"/>
        <v>3.8599999999999994</v>
      </c>
      <c r="E5" s="137">
        <f t="shared" si="0"/>
        <v>35.409999999999997</v>
      </c>
      <c r="G5">
        <v>7.19</v>
      </c>
      <c r="H5">
        <v>11.13</v>
      </c>
      <c r="I5">
        <f>+B5-G5</f>
        <v>3.8999999999999995</v>
      </c>
      <c r="J5">
        <f>+C5-H5</f>
        <v>13.19</v>
      </c>
      <c r="L5" s="18">
        <f>SUM(I5:J5)</f>
        <v>17.09</v>
      </c>
    </row>
    <row r="6" spans="1:12">
      <c r="A6" s="35">
        <v>40999</v>
      </c>
      <c r="B6" s="41">
        <v>12.68</v>
      </c>
      <c r="C6" s="41">
        <v>22.16</v>
      </c>
      <c r="D6" s="137">
        <f t="shared" si="1"/>
        <v>-0.56999999999999318</v>
      </c>
      <c r="E6" s="137">
        <f t="shared" si="0"/>
        <v>34.840000000000003</v>
      </c>
      <c r="G6">
        <v>11.98</v>
      </c>
      <c r="H6">
        <v>12.32</v>
      </c>
      <c r="I6" s="137">
        <f>+B6-G6</f>
        <v>0.69999999999999929</v>
      </c>
      <c r="J6" s="137">
        <f>+C6-H6</f>
        <v>9.84</v>
      </c>
      <c r="K6" s="137"/>
      <c r="L6" s="18">
        <f>SUM(I6:J6)</f>
        <v>10.54</v>
      </c>
    </row>
    <row r="7" spans="1:12">
      <c r="A7" s="35">
        <v>41001</v>
      </c>
      <c r="B7" s="41">
        <v>15.34</v>
      </c>
      <c r="C7" s="41">
        <v>25.67</v>
      </c>
      <c r="D7" s="137">
        <f t="shared" si="1"/>
        <v>6.1700000000000017</v>
      </c>
      <c r="E7" s="137">
        <f t="shared" si="0"/>
        <v>41.010000000000005</v>
      </c>
    </row>
    <row r="8" spans="1:12">
      <c r="A8" s="35">
        <v>41002</v>
      </c>
      <c r="B8" s="41">
        <v>15.87</v>
      </c>
      <c r="C8" s="41">
        <v>24.05</v>
      </c>
      <c r="D8" s="137">
        <f t="shared" si="1"/>
        <v>-1.0900000000000034</v>
      </c>
      <c r="E8" s="137">
        <f t="shared" ref="E8" si="2">+B8+C8</f>
        <v>39.92</v>
      </c>
    </row>
    <row r="9" spans="1:12">
      <c r="A9" s="35">
        <v>41004</v>
      </c>
      <c r="B9" s="41">
        <v>15.87</v>
      </c>
      <c r="C9" s="41">
        <v>26.12</v>
      </c>
      <c r="D9" s="137">
        <f t="shared" ref="D9" si="3">+E9-E8</f>
        <v>2.0700000000000003</v>
      </c>
      <c r="E9" s="137">
        <f t="shared" ref="E9" si="4">+B9+C9</f>
        <v>41.99</v>
      </c>
    </row>
    <row r="10" spans="1:12">
      <c r="A10" s="35">
        <v>41006</v>
      </c>
      <c r="B10" s="41">
        <v>16.2</v>
      </c>
      <c r="C10" s="41">
        <v>29.54</v>
      </c>
      <c r="D10" s="137">
        <f t="shared" ref="D10" si="5">+E10-E9</f>
        <v>3.7499999999999929</v>
      </c>
      <c r="E10" s="137">
        <f t="shared" ref="E10" si="6">+B10+C10</f>
        <v>45.739999999999995</v>
      </c>
    </row>
    <row r="11" spans="1:12">
      <c r="A11" s="35">
        <v>41007</v>
      </c>
      <c r="B11" s="41">
        <v>17.2</v>
      </c>
      <c r="C11" s="41">
        <v>31.14</v>
      </c>
      <c r="D11" s="137">
        <f t="shared" ref="D11:D12" si="7">+E11-E10</f>
        <v>2.6000000000000085</v>
      </c>
      <c r="E11" s="137">
        <f t="shared" ref="E11:E12" si="8">+B11+C11</f>
        <v>48.34</v>
      </c>
    </row>
    <row r="12" spans="1:12">
      <c r="A12" s="35">
        <v>41008</v>
      </c>
      <c r="B12" s="41">
        <v>16.260000000000002</v>
      </c>
      <c r="C12" s="41">
        <v>33.21</v>
      </c>
      <c r="D12" s="137">
        <f t="shared" si="7"/>
        <v>1.1299999999999955</v>
      </c>
      <c r="E12" s="137">
        <f t="shared" si="8"/>
        <v>49.47</v>
      </c>
    </row>
    <row r="13" spans="1:12">
      <c r="A13" s="35">
        <v>41009</v>
      </c>
      <c r="B13" s="41">
        <v>16.420000000000002</v>
      </c>
      <c r="C13" s="41">
        <v>31.55</v>
      </c>
      <c r="D13" s="230">
        <f t="shared" ref="D13" si="9">+E13-E12</f>
        <v>-1.5</v>
      </c>
      <c r="E13" s="230">
        <f t="shared" ref="E13" si="10">+B13+C13</f>
        <v>47.97</v>
      </c>
    </row>
    <row r="14" spans="1:12">
      <c r="A14" s="35">
        <v>41011</v>
      </c>
      <c r="B14" s="41">
        <v>18.600000000000001</v>
      </c>
      <c r="C14" s="41">
        <v>35.76</v>
      </c>
      <c r="D14" s="231">
        <f t="shared" ref="D14" si="11">+E14-E13</f>
        <v>6.3900000000000006</v>
      </c>
      <c r="E14" s="231">
        <f t="shared" ref="E14" si="12">+B14+C14</f>
        <v>54.36</v>
      </c>
    </row>
    <row r="15" spans="1:12">
      <c r="A15" s="35">
        <v>41012</v>
      </c>
      <c r="B15" s="41">
        <v>22.79</v>
      </c>
      <c r="C15" s="41">
        <v>37.47</v>
      </c>
      <c r="D15" s="231">
        <f t="shared" ref="D15" si="13">+E15-E14</f>
        <v>5.8999999999999986</v>
      </c>
      <c r="E15" s="231">
        <f t="shared" ref="E15" si="14">+B15+C15</f>
        <v>60.26</v>
      </c>
    </row>
    <row r="16" spans="1:12">
      <c r="A16" s="35">
        <v>41013</v>
      </c>
      <c r="B16" s="41">
        <v>21.95</v>
      </c>
      <c r="C16" s="41">
        <v>38.659999999999997</v>
      </c>
      <c r="D16" s="231">
        <f t="shared" ref="D16" si="15">+E16-E15</f>
        <v>0.35000000000000142</v>
      </c>
      <c r="E16" s="231">
        <f t="shared" ref="E16" si="16">+B16+C16</f>
        <v>60.61</v>
      </c>
    </row>
    <row r="17" spans="1:5">
      <c r="A17" s="35">
        <v>41014</v>
      </c>
      <c r="B17" s="41">
        <v>21.56</v>
      </c>
      <c r="C17" s="41">
        <v>37.049999999999997</v>
      </c>
      <c r="D17" s="231">
        <f t="shared" ref="D17" si="17">+E17-E16</f>
        <v>-2</v>
      </c>
      <c r="E17" s="231">
        <f t="shared" ref="E17" si="18">+B17+C17</f>
        <v>58.61</v>
      </c>
    </row>
    <row r="18" spans="1:5">
      <c r="A18" s="35">
        <v>41015</v>
      </c>
      <c r="B18" s="41">
        <v>20.22</v>
      </c>
      <c r="C18" s="41">
        <v>50.32</v>
      </c>
      <c r="D18" s="231">
        <f t="shared" ref="D18" si="19">+E18-E17</f>
        <v>11.929999999999993</v>
      </c>
      <c r="E18" s="231">
        <f t="shared" ref="E18" si="20">+B18+C18</f>
        <v>70.539999999999992</v>
      </c>
    </row>
    <row r="19" spans="1:5">
      <c r="A19" s="35">
        <v>41016</v>
      </c>
      <c r="B19" s="41">
        <v>22.37</v>
      </c>
      <c r="C19" s="41">
        <v>53.24</v>
      </c>
      <c r="D19" s="231">
        <f t="shared" ref="D19" si="21">+E19-E18</f>
        <v>5.0700000000000074</v>
      </c>
      <c r="E19" s="231">
        <f t="shared" ref="E19" si="22">+B19+C19</f>
        <v>75.61</v>
      </c>
    </row>
    <row r="20" spans="1:5">
      <c r="A20" s="35">
        <v>41017</v>
      </c>
      <c r="B20" s="41">
        <v>22.37</v>
      </c>
      <c r="C20" s="41">
        <v>51.98</v>
      </c>
      <c r="D20" s="231">
        <f t="shared" ref="D20" si="23">+E20-E19</f>
        <v>-1.2600000000000051</v>
      </c>
      <c r="E20" s="231">
        <f t="shared" ref="E20" si="24">+B20+C20</f>
        <v>74.349999999999994</v>
      </c>
    </row>
    <row r="21" spans="1:5">
      <c r="A21" s="35">
        <v>41018</v>
      </c>
      <c r="B21" s="41">
        <v>23.02</v>
      </c>
      <c r="C21" s="41">
        <v>44.43</v>
      </c>
      <c r="D21" s="231">
        <f t="shared" ref="D21" si="25">+E21-E20</f>
        <v>-6.8999999999999915</v>
      </c>
      <c r="E21" s="231">
        <f t="shared" ref="E21" si="26">+B21+C21</f>
        <v>67.45</v>
      </c>
    </row>
    <row r="22" spans="1:5">
      <c r="A22" s="35">
        <v>41019</v>
      </c>
      <c r="B22" s="41">
        <v>22.02</v>
      </c>
      <c r="C22" s="41">
        <v>53.08</v>
      </c>
      <c r="D22" s="231">
        <f t="shared" ref="D22" si="27">+E22-E21</f>
        <v>7.6499999999999915</v>
      </c>
      <c r="E22" s="231">
        <f t="shared" ref="E22" si="28">+B22+C22</f>
        <v>75.099999999999994</v>
      </c>
    </row>
    <row r="23" spans="1:5">
      <c r="A23" s="35">
        <v>41020</v>
      </c>
      <c r="B23" s="41">
        <v>22.02</v>
      </c>
      <c r="C23" s="41">
        <v>67.040000000000006</v>
      </c>
      <c r="D23" s="231">
        <f t="shared" ref="D23" si="29">+E23-E22</f>
        <v>13.960000000000008</v>
      </c>
      <c r="E23" s="231">
        <f t="shared" ref="E23" si="30">+B23+C23</f>
        <v>89.06</v>
      </c>
    </row>
    <row r="24" spans="1:5">
      <c r="A24" s="35">
        <v>41021</v>
      </c>
      <c r="B24" s="41">
        <v>21.05</v>
      </c>
      <c r="C24" s="41">
        <v>66.05</v>
      </c>
      <c r="D24" s="266">
        <f t="shared" ref="D24" si="31">+E24-E23</f>
        <v>-1.960000000000008</v>
      </c>
      <c r="E24" s="266">
        <f t="shared" ref="E24" si="32">+B24+C24</f>
        <v>87.1</v>
      </c>
    </row>
    <row r="25" spans="1:5">
      <c r="A25" s="35">
        <v>41022</v>
      </c>
      <c r="B25" s="41">
        <v>20.64</v>
      </c>
      <c r="C25" s="41">
        <v>52.06</v>
      </c>
      <c r="D25" s="266">
        <f t="shared" ref="D25" si="33">+E25-E24</f>
        <v>-14.399999999999991</v>
      </c>
      <c r="E25" s="266">
        <f t="shared" ref="E25" si="34">+B25+C25</f>
        <v>72.7</v>
      </c>
    </row>
    <row r="26" spans="1:5">
      <c r="A26" s="35">
        <v>41023</v>
      </c>
      <c r="B26" s="41">
        <v>19.14</v>
      </c>
      <c r="C26" s="41">
        <v>54.31</v>
      </c>
      <c r="D26" s="266">
        <f t="shared" ref="D26" si="35">+E26-E25</f>
        <v>0.75</v>
      </c>
      <c r="E26" s="266">
        <f t="shared" ref="E26" si="36">+B26+C26</f>
        <v>73.45</v>
      </c>
    </row>
    <row r="27" spans="1:5">
      <c r="A27" s="35">
        <v>41025</v>
      </c>
      <c r="B27" s="41">
        <v>19.14</v>
      </c>
      <c r="C27" s="41">
        <v>50.51</v>
      </c>
      <c r="D27" s="266">
        <f t="shared" ref="D27" si="37">+E27-E26</f>
        <v>-3.7999999999999972</v>
      </c>
      <c r="E27" s="266">
        <f t="shared" ref="E27" si="38">+B27+C27</f>
        <v>69.650000000000006</v>
      </c>
    </row>
    <row r="28" spans="1:5">
      <c r="A28" s="35">
        <v>41026</v>
      </c>
      <c r="B28" s="41">
        <v>17.64</v>
      </c>
      <c r="C28" s="41">
        <v>46.2</v>
      </c>
      <c r="D28" s="273">
        <f t="shared" ref="D28" si="39">+E28-E27</f>
        <v>-5.8100000000000023</v>
      </c>
      <c r="E28" s="273">
        <f t="shared" ref="E28" si="40">+B28+C28</f>
        <v>63.84</v>
      </c>
    </row>
    <row r="29" spans="1:5">
      <c r="A29" s="35">
        <v>41027</v>
      </c>
      <c r="B29" s="41">
        <v>17.89</v>
      </c>
      <c r="C29" s="41">
        <v>46.21</v>
      </c>
      <c r="D29" s="273">
        <f t="shared" ref="D29" si="41">+E29-E28</f>
        <v>0.25999999999999091</v>
      </c>
      <c r="E29" s="273">
        <f t="shared" ref="E29" si="42">+B29+C29</f>
        <v>64.099999999999994</v>
      </c>
    </row>
    <row r="30" spans="1:5">
      <c r="A30" s="35">
        <v>41028</v>
      </c>
      <c r="B30" s="41">
        <v>17.89</v>
      </c>
      <c r="C30" s="41">
        <v>33.21</v>
      </c>
      <c r="D30" s="273">
        <f t="shared" ref="D30" si="43">+E30-E29</f>
        <v>-12.999999999999993</v>
      </c>
      <c r="E30" s="273">
        <f t="shared" ref="E30" si="44">+B30+C30</f>
        <v>51.1</v>
      </c>
    </row>
    <row r="31" spans="1:5">
      <c r="A31" s="35"/>
      <c r="D31" s="231"/>
      <c r="E31" s="231"/>
    </row>
    <row r="32" spans="1:5">
      <c r="A32" s="35"/>
      <c r="D32" s="231"/>
      <c r="E32" s="231"/>
    </row>
    <row r="33" spans="1:5">
      <c r="A33" s="35"/>
      <c r="D33" s="231"/>
      <c r="E33" s="231"/>
    </row>
    <row r="34" spans="1:5">
      <c r="A34" s="35"/>
      <c r="D34" s="231"/>
      <c r="E34" s="231"/>
    </row>
    <row r="35" spans="1:5">
      <c r="A35" s="35"/>
      <c r="D35" s="231"/>
      <c r="E35" s="231"/>
    </row>
  </sheetData>
  <pageMargins left="0.7" right="0.7" top="0.75" bottom="0.75" header="0.3" footer="0.3"/>
  <pageSetup paperSize="9" orientation="portrait" horizontalDpi="0" verticalDpi="0" r:id="rId1"/>
</worksheet>
</file>

<file path=xl/worksheets/sheet54.xml><?xml version="1.0" encoding="utf-8"?>
<worksheet xmlns="http://schemas.openxmlformats.org/spreadsheetml/2006/main" xmlns:r="http://schemas.openxmlformats.org/officeDocument/2006/relationships">
  <sheetPr codeName="Hoja40"/>
  <dimension ref="A1:L37"/>
  <sheetViews>
    <sheetView topLeftCell="A16" workbookViewId="0">
      <selection activeCell="E36" sqref="E36:K37"/>
    </sheetView>
  </sheetViews>
  <sheetFormatPr baseColWidth="10" defaultRowHeight="15"/>
  <cols>
    <col min="7" max="7" width="3.5703125" customWidth="1"/>
    <col min="8" max="8" width="3.28515625" customWidth="1"/>
    <col min="9" max="9" width="4.5703125" customWidth="1"/>
    <col min="10" max="10" width="5.28515625" bestFit="1" customWidth="1"/>
    <col min="11" max="11" width="6.28515625" bestFit="1" customWidth="1"/>
  </cols>
  <sheetData>
    <row r="1" spans="1:12">
      <c r="A1" s="137"/>
      <c r="B1" s="137"/>
      <c r="C1" s="17" t="s">
        <v>250</v>
      </c>
      <c r="D1" s="17" t="s">
        <v>294</v>
      </c>
      <c r="E1" s="18" t="s">
        <v>251</v>
      </c>
      <c r="F1" s="18" t="s">
        <v>293</v>
      </c>
      <c r="G1" s="18" t="s">
        <v>303</v>
      </c>
      <c r="H1" s="18" t="s">
        <v>304</v>
      </c>
      <c r="I1" s="18" t="s">
        <v>314</v>
      </c>
      <c r="J1" s="18"/>
      <c r="K1" s="18"/>
      <c r="L1" s="137" t="s">
        <v>305</v>
      </c>
    </row>
    <row r="2" spans="1:12">
      <c r="A2" s="146" t="s">
        <v>266</v>
      </c>
      <c r="B2" s="146" t="s">
        <v>260</v>
      </c>
      <c r="C2" s="140" t="s">
        <v>257</v>
      </c>
      <c r="D2" s="124"/>
      <c r="E2" s="58"/>
      <c r="F2" s="58"/>
      <c r="G2" s="12">
        <v>2</v>
      </c>
      <c r="H2" s="67">
        <v>1</v>
      </c>
      <c r="I2" s="67">
        <v>3</v>
      </c>
      <c r="J2" s="41">
        <f>-H2</f>
        <v>-1</v>
      </c>
      <c r="K2" s="41">
        <f>-I2</f>
        <v>-3</v>
      </c>
      <c r="L2" s="137" t="s">
        <v>295</v>
      </c>
    </row>
    <row r="3" spans="1:12">
      <c r="A3" s="145" t="s">
        <v>263</v>
      </c>
      <c r="B3" s="58" t="s">
        <v>276</v>
      </c>
      <c r="C3" s="140">
        <v>1</v>
      </c>
      <c r="D3" s="124">
        <v>1.33</v>
      </c>
      <c r="E3" s="58">
        <v>3</v>
      </c>
      <c r="F3" s="58">
        <f>+(D3-1)*E3</f>
        <v>0.99000000000000021</v>
      </c>
      <c r="G3" s="141">
        <v>1</v>
      </c>
      <c r="H3" s="114">
        <v>3</v>
      </c>
      <c r="I3" s="114">
        <v>15</v>
      </c>
      <c r="J3" s="115">
        <f>(1.33-1)*H3</f>
        <v>0.99000000000000021</v>
      </c>
      <c r="K3" s="116">
        <f>(1.33-1)*I3</f>
        <v>4.9500000000000011</v>
      </c>
      <c r="L3" s="137"/>
    </row>
    <row r="4" spans="1:12">
      <c r="A4" s="58" t="s">
        <v>277</v>
      </c>
      <c r="B4" s="145" t="s">
        <v>264</v>
      </c>
      <c r="C4" s="140">
        <v>2</v>
      </c>
      <c r="D4" s="124">
        <v>4.33</v>
      </c>
      <c r="E4" s="58">
        <v>0.75</v>
      </c>
      <c r="F4" s="58">
        <f>+(D4-1)*E4</f>
        <v>2.4975000000000001</v>
      </c>
      <c r="G4" s="12">
        <v>1</v>
      </c>
      <c r="H4" s="67">
        <v>1</v>
      </c>
      <c r="I4" s="67">
        <v>3</v>
      </c>
      <c r="J4" s="41">
        <f>-H4</f>
        <v>-1</v>
      </c>
      <c r="K4" s="41">
        <f>-I4</f>
        <v>-3</v>
      </c>
      <c r="L4" s="137" t="s">
        <v>296</v>
      </c>
    </row>
    <row r="5" spans="1:12">
      <c r="A5" s="145" t="s">
        <v>255</v>
      </c>
      <c r="B5" s="58" t="s">
        <v>262</v>
      </c>
      <c r="C5" s="140">
        <v>1</v>
      </c>
      <c r="D5" s="124">
        <v>1.57</v>
      </c>
      <c r="E5" s="58">
        <v>1</v>
      </c>
      <c r="F5" s="58">
        <f>+(D5-1)*E5</f>
        <v>0.57000000000000006</v>
      </c>
      <c r="G5" s="141">
        <v>1</v>
      </c>
      <c r="H5" s="114">
        <v>1</v>
      </c>
      <c r="I5" s="114">
        <v>4</v>
      </c>
      <c r="J5" s="115">
        <f>(1.57-1)*H5</f>
        <v>0.57000000000000006</v>
      </c>
      <c r="K5" s="116">
        <f>(1.57-1)*I5</f>
        <v>2.2800000000000002</v>
      </c>
      <c r="L5" s="137" t="s">
        <v>297</v>
      </c>
    </row>
    <row r="6" spans="1:12">
      <c r="A6" s="145" t="s">
        <v>261</v>
      </c>
      <c r="B6" s="58" t="s">
        <v>252</v>
      </c>
      <c r="C6" s="123" t="s">
        <v>272</v>
      </c>
      <c r="D6" s="124"/>
      <c r="E6" s="58"/>
      <c r="F6" s="58"/>
      <c r="G6" s="4">
        <v>1</v>
      </c>
      <c r="H6" s="67">
        <v>1</v>
      </c>
      <c r="I6" s="67">
        <v>2</v>
      </c>
      <c r="J6" s="41">
        <f>(2.5-1)*H6</f>
        <v>1.5</v>
      </c>
      <c r="K6" s="41">
        <f>(2.5-1)*I6</f>
        <v>3</v>
      </c>
      <c r="L6" s="137" t="s">
        <v>278</v>
      </c>
    </row>
    <row r="7" spans="1:12">
      <c r="A7" s="145" t="s">
        <v>268</v>
      </c>
      <c r="B7" s="58" t="s">
        <v>248</v>
      </c>
      <c r="C7" s="123">
        <v>2</v>
      </c>
      <c r="D7" s="124">
        <v>2.36</v>
      </c>
      <c r="E7" s="58">
        <v>0.75</v>
      </c>
      <c r="F7" s="58">
        <f>-E7</f>
        <v>-0.75</v>
      </c>
      <c r="G7" s="139">
        <v>2</v>
      </c>
      <c r="H7" s="114">
        <v>2</v>
      </c>
      <c r="I7" s="114">
        <v>5</v>
      </c>
      <c r="J7" s="115">
        <f>-H7</f>
        <v>-2</v>
      </c>
      <c r="K7" s="116">
        <f>-I7</f>
        <v>-5</v>
      </c>
      <c r="L7" s="137" t="s">
        <v>298</v>
      </c>
    </row>
    <row r="8" spans="1:12">
      <c r="A8" s="145" t="s">
        <v>249</v>
      </c>
      <c r="B8" s="58" t="s">
        <v>273</v>
      </c>
      <c r="C8" s="123" t="s">
        <v>272</v>
      </c>
      <c r="D8" s="124"/>
      <c r="E8" s="58"/>
      <c r="F8" s="58"/>
      <c r="G8" s="4">
        <v>1</v>
      </c>
      <c r="H8" s="67">
        <v>1</v>
      </c>
      <c r="I8" s="67">
        <v>2</v>
      </c>
      <c r="J8" s="41">
        <f>(2.2-1)*H8</f>
        <v>1.2000000000000002</v>
      </c>
      <c r="K8" s="41">
        <f>(2.2-1)*I8</f>
        <v>2.4000000000000004</v>
      </c>
      <c r="L8" s="137" t="s">
        <v>278</v>
      </c>
    </row>
    <row r="9" spans="1:12">
      <c r="A9" s="146" t="s">
        <v>259</v>
      </c>
      <c r="B9" s="146" t="s">
        <v>270</v>
      </c>
      <c r="C9" s="140" t="s">
        <v>257</v>
      </c>
      <c r="D9" s="124"/>
      <c r="E9" s="58"/>
      <c r="F9" s="58"/>
      <c r="G9" s="12">
        <v>1</v>
      </c>
      <c r="H9" s="67">
        <v>1</v>
      </c>
      <c r="I9" s="67">
        <v>1</v>
      </c>
      <c r="J9" s="41">
        <f>-H9</f>
        <v>-1</v>
      </c>
      <c r="K9" s="41">
        <f>-I9</f>
        <v>-1</v>
      </c>
      <c r="L9" s="137" t="s">
        <v>299</v>
      </c>
    </row>
    <row r="10" spans="1:12">
      <c r="A10" s="145" t="s">
        <v>253</v>
      </c>
      <c r="B10" s="58" t="s">
        <v>267</v>
      </c>
      <c r="C10" s="124" t="s">
        <v>256</v>
      </c>
      <c r="D10" s="124"/>
      <c r="E10" s="58"/>
      <c r="F10" s="58"/>
      <c r="G10" s="4">
        <v>1</v>
      </c>
      <c r="H10" s="67">
        <v>3</v>
      </c>
      <c r="I10" s="67">
        <v>16</v>
      </c>
      <c r="J10" s="41">
        <f>(2-1)*H10</f>
        <v>3</v>
      </c>
      <c r="K10" s="41">
        <f>(2-1)*I10</f>
        <v>16</v>
      </c>
      <c r="L10" s="137" t="s">
        <v>300</v>
      </c>
    </row>
    <row r="11" spans="1:12">
      <c r="A11" s="146" t="s">
        <v>274</v>
      </c>
      <c r="B11" s="146" t="s">
        <v>258</v>
      </c>
      <c r="C11" s="140" t="s">
        <v>272</v>
      </c>
      <c r="D11" s="124"/>
      <c r="E11" s="58"/>
      <c r="F11" s="58"/>
      <c r="G11" s="12">
        <v>2</v>
      </c>
      <c r="H11" s="67">
        <v>2</v>
      </c>
      <c r="I11" s="67">
        <v>5</v>
      </c>
      <c r="J11" s="41">
        <f>-H11</f>
        <v>-2</v>
      </c>
      <c r="K11" s="41">
        <f>-I11</f>
        <v>-5</v>
      </c>
      <c r="L11" s="137" t="s">
        <v>278</v>
      </c>
    </row>
    <row r="12" spans="1:12" s="155" customFormat="1" ht="15.75" thickBot="1">
      <c r="A12" s="154" t="s">
        <v>271</v>
      </c>
      <c r="B12" s="155" t="s">
        <v>254</v>
      </c>
      <c r="C12" s="156">
        <v>2</v>
      </c>
      <c r="D12" s="157">
        <v>3.75</v>
      </c>
      <c r="E12" s="155">
        <v>1</v>
      </c>
      <c r="F12" s="155">
        <f>-E12</f>
        <v>-1</v>
      </c>
      <c r="G12" s="158">
        <v>2</v>
      </c>
      <c r="H12" s="159">
        <v>3</v>
      </c>
      <c r="I12" s="159">
        <v>15</v>
      </c>
      <c r="J12" s="160">
        <f>-H12</f>
        <v>-3</v>
      </c>
      <c r="K12" s="161">
        <f>-I12</f>
        <v>-15</v>
      </c>
      <c r="L12" s="155" t="s">
        <v>301</v>
      </c>
    </row>
    <row r="13" spans="1:12" s="58" customFormat="1">
      <c r="A13" s="138" t="s">
        <v>439</v>
      </c>
      <c r="B13" s="59" t="s">
        <v>440</v>
      </c>
      <c r="C13" s="140">
        <v>1</v>
      </c>
      <c r="D13" s="124">
        <v>2</v>
      </c>
      <c r="E13" s="59">
        <v>1.25</v>
      </c>
      <c r="F13" s="58">
        <f>+(D13-1)*E13</f>
        <v>1.25</v>
      </c>
      <c r="G13" s="144">
        <v>1</v>
      </c>
      <c r="H13" s="119">
        <v>3</v>
      </c>
      <c r="I13" s="119">
        <v>14</v>
      </c>
      <c r="J13" s="133">
        <f>+(2-1)*H13</f>
        <v>3</v>
      </c>
      <c r="K13" s="134">
        <f>+(2-1)*I13</f>
        <v>14</v>
      </c>
      <c r="L13" s="59" t="s">
        <v>441</v>
      </c>
    </row>
    <row r="14" spans="1:12" s="58" customFormat="1">
      <c r="A14" s="59" t="s">
        <v>255</v>
      </c>
      <c r="B14" s="138" t="s">
        <v>264</v>
      </c>
      <c r="C14" s="123">
        <v>1</v>
      </c>
      <c r="D14" s="124">
        <v>1.4</v>
      </c>
      <c r="E14" s="59">
        <v>1.5</v>
      </c>
      <c r="F14" s="59">
        <f t="shared" ref="F14:F16" si="0">-E14</f>
        <v>-1.5</v>
      </c>
      <c r="G14" s="139">
        <v>1</v>
      </c>
      <c r="H14" s="117">
        <v>3</v>
      </c>
      <c r="I14" s="117">
        <v>10</v>
      </c>
      <c r="J14" s="126">
        <f>-H14</f>
        <v>-3</v>
      </c>
      <c r="K14" s="127">
        <f>-I14</f>
        <v>-10</v>
      </c>
      <c r="L14" s="59" t="s">
        <v>442</v>
      </c>
    </row>
    <row r="15" spans="1:12">
      <c r="A15" s="130" t="s">
        <v>277</v>
      </c>
      <c r="B15" s="130" t="s">
        <v>252</v>
      </c>
      <c r="C15" s="123">
        <v>1</v>
      </c>
      <c r="D15" s="124">
        <v>2.2000000000000002</v>
      </c>
      <c r="E15" s="59">
        <v>1</v>
      </c>
      <c r="F15" s="59">
        <f t="shared" si="0"/>
        <v>-1</v>
      </c>
      <c r="G15" s="12">
        <v>2</v>
      </c>
      <c r="H15" s="109">
        <v>2</v>
      </c>
      <c r="I15" s="109">
        <v>5</v>
      </c>
      <c r="J15" s="86">
        <f t="shared" ref="J15:K20" si="1">-H15</f>
        <v>-2</v>
      </c>
      <c r="K15" s="86">
        <f t="shared" si="1"/>
        <v>-5</v>
      </c>
      <c r="L15" s="2" t="s">
        <v>443</v>
      </c>
    </row>
    <row r="16" spans="1:12">
      <c r="A16" s="130" t="s">
        <v>261</v>
      </c>
      <c r="B16" s="130" t="s">
        <v>248</v>
      </c>
      <c r="C16" s="123">
        <v>2</v>
      </c>
      <c r="D16" s="124">
        <v>2</v>
      </c>
      <c r="E16" s="59">
        <v>1</v>
      </c>
      <c r="F16" s="59">
        <f t="shared" si="0"/>
        <v>-1</v>
      </c>
      <c r="G16" s="139">
        <v>2</v>
      </c>
      <c r="H16" s="117">
        <v>1</v>
      </c>
      <c r="I16" s="117">
        <v>3</v>
      </c>
      <c r="J16" s="126">
        <f t="shared" si="1"/>
        <v>-1</v>
      </c>
      <c r="K16" s="127">
        <f t="shared" si="1"/>
        <v>-3</v>
      </c>
      <c r="L16" s="2" t="s">
        <v>444</v>
      </c>
    </row>
    <row r="17" spans="1:12">
      <c r="A17" s="59" t="s">
        <v>259</v>
      </c>
      <c r="B17" s="138" t="s">
        <v>446</v>
      </c>
      <c r="C17" s="123" t="s">
        <v>272</v>
      </c>
      <c r="D17" s="124"/>
      <c r="E17" s="59"/>
      <c r="F17" s="59"/>
      <c r="G17" s="12">
        <v>1</v>
      </c>
      <c r="H17" s="109">
        <v>1</v>
      </c>
      <c r="I17" s="109">
        <v>1</v>
      </c>
      <c r="J17" s="86">
        <f t="shared" si="1"/>
        <v>-1</v>
      </c>
      <c r="K17" s="86">
        <f t="shared" si="1"/>
        <v>-1</v>
      </c>
      <c r="L17" s="2"/>
    </row>
    <row r="18" spans="1:12">
      <c r="A18" s="130" t="s">
        <v>270</v>
      </c>
      <c r="B18" s="130" t="s">
        <v>262</v>
      </c>
      <c r="C18" s="123">
        <v>1</v>
      </c>
      <c r="D18" s="124">
        <v>1.95</v>
      </c>
      <c r="E18" s="59">
        <v>1</v>
      </c>
      <c r="F18" s="59">
        <f t="shared" ref="F18:F19" si="2">-E18</f>
        <v>-1</v>
      </c>
      <c r="G18" s="142">
        <v>1</v>
      </c>
      <c r="H18" s="118">
        <v>1</v>
      </c>
      <c r="I18" s="118">
        <v>4</v>
      </c>
      <c r="J18" s="128">
        <f t="shared" si="1"/>
        <v>-1</v>
      </c>
      <c r="K18" s="129">
        <f t="shared" si="1"/>
        <v>-4</v>
      </c>
      <c r="L18" s="2"/>
    </row>
    <row r="19" spans="1:12">
      <c r="A19" s="130" t="s">
        <v>253</v>
      </c>
      <c r="B19" s="130" t="s">
        <v>273</v>
      </c>
      <c r="C19" s="123">
        <v>1</v>
      </c>
      <c r="D19" s="124">
        <v>2.6</v>
      </c>
      <c r="E19" s="59">
        <v>1</v>
      </c>
      <c r="F19" s="59">
        <f t="shared" si="2"/>
        <v>-1</v>
      </c>
      <c r="G19" s="139">
        <v>1</v>
      </c>
      <c r="H19" s="117">
        <v>3</v>
      </c>
      <c r="I19" s="117">
        <v>10</v>
      </c>
      <c r="J19" s="126">
        <f t="shared" si="1"/>
        <v>-3</v>
      </c>
      <c r="K19" s="127">
        <f t="shared" si="1"/>
        <v>-10</v>
      </c>
      <c r="L19" s="2" t="s">
        <v>451</v>
      </c>
    </row>
    <row r="20" spans="1:12">
      <c r="A20" s="130" t="s">
        <v>268</v>
      </c>
      <c r="B20" s="130" t="s">
        <v>445</v>
      </c>
      <c r="C20" s="123">
        <v>1</v>
      </c>
      <c r="D20" s="124">
        <v>2.38</v>
      </c>
      <c r="E20" s="59">
        <v>1.25</v>
      </c>
      <c r="F20" s="59">
        <f>-E20</f>
        <v>-1.25</v>
      </c>
      <c r="G20" s="143">
        <v>1</v>
      </c>
      <c r="H20" s="125">
        <v>3</v>
      </c>
      <c r="I20" s="125">
        <v>11</v>
      </c>
      <c r="J20" s="131">
        <f t="shared" si="1"/>
        <v>-3</v>
      </c>
      <c r="K20" s="132">
        <f t="shared" si="1"/>
        <v>-11</v>
      </c>
      <c r="L20" s="2" t="s">
        <v>452</v>
      </c>
    </row>
    <row r="21" spans="1:12">
      <c r="A21" s="138" t="s">
        <v>447</v>
      </c>
      <c r="B21" s="59" t="s">
        <v>276</v>
      </c>
      <c r="C21" s="140">
        <v>1</v>
      </c>
      <c r="D21" s="124">
        <v>1.5</v>
      </c>
      <c r="E21" s="59">
        <v>2</v>
      </c>
      <c r="F21" s="58">
        <f>+(D21-1)*E21</f>
        <v>1</v>
      </c>
      <c r="G21" s="141">
        <v>1</v>
      </c>
      <c r="H21" s="117">
        <v>2</v>
      </c>
      <c r="I21" s="117">
        <v>7</v>
      </c>
      <c r="J21" s="126">
        <f>+(1.5-1)*H21</f>
        <v>1</v>
      </c>
      <c r="K21" s="127">
        <f>+(1.5-1)*I21</f>
        <v>3.5</v>
      </c>
      <c r="L21" s="2" t="s">
        <v>453</v>
      </c>
    </row>
    <row r="22" spans="1:12">
      <c r="A22" s="59" t="s">
        <v>448</v>
      </c>
      <c r="B22" s="138" t="s">
        <v>338</v>
      </c>
      <c r="C22" s="123">
        <v>1</v>
      </c>
      <c r="D22" s="124">
        <v>2.38</v>
      </c>
      <c r="E22" s="59">
        <v>1.5</v>
      </c>
      <c r="F22" s="59">
        <f>-E22</f>
        <v>-1.5</v>
      </c>
      <c r="G22" s="139">
        <v>1</v>
      </c>
      <c r="H22" s="117">
        <v>1</v>
      </c>
      <c r="I22" s="117">
        <v>2</v>
      </c>
      <c r="J22" s="126">
        <f>-H22</f>
        <v>-1</v>
      </c>
      <c r="K22" s="127">
        <f>-I22</f>
        <v>-2</v>
      </c>
      <c r="L22" s="2"/>
    </row>
    <row r="23" spans="1:12" s="155" customFormat="1" ht="15.75" thickBot="1">
      <c r="A23" s="163" t="s">
        <v>449</v>
      </c>
      <c r="B23" s="162" t="s">
        <v>450</v>
      </c>
      <c r="C23" s="167">
        <v>1</v>
      </c>
      <c r="D23" s="157">
        <v>1.62</v>
      </c>
      <c r="E23" s="162">
        <v>2.5</v>
      </c>
      <c r="F23" s="155">
        <f>+(D23-1)*E23</f>
        <v>1.5500000000000003</v>
      </c>
      <c r="G23" s="168">
        <v>1</v>
      </c>
      <c r="H23" s="169">
        <v>1</v>
      </c>
      <c r="I23" s="169">
        <v>4</v>
      </c>
      <c r="J23" s="170">
        <f>+(1.62-1)*H23</f>
        <v>0.62000000000000011</v>
      </c>
      <c r="K23" s="171">
        <f>+(1.62-1)*I23</f>
        <v>2.4800000000000004</v>
      </c>
      <c r="L23" s="162"/>
    </row>
    <row r="24" spans="1:12">
      <c r="A24" s="138" t="s">
        <v>249</v>
      </c>
      <c r="B24" s="59" t="s">
        <v>259</v>
      </c>
      <c r="C24" s="140">
        <v>1</v>
      </c>
      <c r="D24" s="124">
        <v>2.1</v>
      </c>
      <c r="E24" s="59">
        <v>0.75</v>
      </c>
      <c r="F24" s="58">
        <f>+(D24-1)*E24</f>
        <v>0.82500000000000007</v>
      </c>
      <c r="G24" s="46">
        <v>2</v>
      </c>
      <c r="H24" s="125">
        <v>1</v>
      </c>
      <c r="I24" s="125">
        <v>2</v>
      </c>
      <c r="J24" s="131">
        <f t="shared" ref="J24:K27" si="3">-H24</f>
        <v>-1</v>
      </c>
      <c r="K24" s="131">
        <f t="shared" si="3"/>
        <v>-2</v>
      </c>
      <c r="L24" s="2" t="s">
        <v>500</v>
      </c>
    </row>
    <row r="25" spans="1:12">
      <c r="A25" s="138" t="s">
        <v>252</v>
      </c>
      <c r="B25" s="59" t="s">
        <v>263</v>
      </c>
      <c r="C25" s="123">
        <v>2</v>
      </c>
      <c r="D25" s="124">
        <v>1.91</v>
      </c>
      <c r="E25" s="59">
        <v>2.25</v>
      </c>
      <c r="F25" s="59">
        <f>-E25</f>
        <v>-2.25</v>
      </c>
      <c r="G25" s="139">
        <v>2</v>
      </c>
      <c r="H25" s="117">
        <v>2</v>
      </c>
      <c r="I25" s="117">
        <v>8</v>
      </c>
      <c r="J25" s="126">
        <f t="shared" si="3"/>
        <v>-2</v>
      </c>
      <c r="K25" s="127">
        <f t="shared" si="3"/>
        <v>-8</v>
      </c>
      <c r="L25" s="2"/>
    </row>
    <row r="26" spans="1:12">
      <c r="A26" s="138" t="s">
        <v>276</v>
      </c>
      <c r="B26" s="59" t="s">
        <v>270</v>
      </c>
      <c r="C26" s="123" t="s">
        <v>272</v>
      </c>
      <c r="D26" s="124"/>
      <c r="E26" s="59"/>
      <c r="F26" s="59"/>
      <c r="G26" s="46">
        <v>2</v>
      </c>
      <c r="H26" s="125">
        <v>2</v>
      </c>
      <c r="I26" s="125">
        <v>7</v>
      </c>
      <c r="J26" s="131">
        <f t="shared" si="3"/>
        <v>-2</v>
      </c>
      <c r="K26" s="131">
        <f t="shared" si="3"/>
        <v>-7</v>
      </c>
      <c r="L26" s="2" t="s">
        <v>501</v>
      </c>
    </row>
    <row r="27" spans="1:12">
      <c r="A27" s="130" t="s">
        <v>258</v>
      </c>
      <c r="B27" s="130" t="s">
        <v>253</v>
      </c>
      <c r="C27" s="124" t="s">
        <v>256</v>
      </c>
      <c r="D27" s="124"/>
      <c r="E27" s="59"/>
      <c r="F27" s="59"/>
      <c r="G27" s="46">
        <v>2</v>
      </c>
      <c r="H27" s="125">
        <v>2</v>
      </c>
      <c r="I27" s="125">
        <v>6</v>
      </c>
      <c r="J27" s="131">
        <f t="shared" si="3"/>
        <v>-2</v>
      </c>
      <c r="K27" s="131">
        <f t="shared" si="3"/>
        <v>-6</v>
      </c>
      <c r="L27" s="2" t="s">
        <v>502</v>
      </c>
    </row>
    <row r="28" spans="1:12">
      <c r="A28" s="59" t="s">
        <v>273</v>
      </c>
      <c r="B28" s="138" t="s">
        <v>261</v>
      </c>
      <c r="C28" s="123" t="s">
        <v>257</v>
      </c>
      <c r="D28" s="124"/>
      <c r="E28" s="59"/>
      <c r="F28" s="59"/>
      <c r="G28" s="54">
        <v>2</v>
      </c>
      <c r="H28" s="125">
        <v>2</v>
      </c>
      <c r="I28" s="125">
        <v>9</v>
      </c>
      <c r="J28" s="131">
        <f>+(6-1)*H28</f>
        <v>10</v>
      </c>
      <c r="K28" s="131">
        <f>+(6-1)*I28</f>
        <v>45</v>
      </c>
      <c r="L28" s="2"/>
    </row>
    <row r="29" spans="1:12">
      <c r="A29" s="59" t="s">
        <v>262</v>
      </c>
      <c r="B29" s="138" t="s">
        <v>446</v>
      </c>
      <c r="C29" s="140">
        <v>2</v>
      </c>
      <c r="D29" s="124">
        <v>2.4</v>
      </c>
      <c r="E29" s="59">
        <v>1.25</v>
      </c>
      <c r="F29" s="58">
        <f>+(D29-1)*E29</f>
        <v>1.75</v>
      </c>
      <c r="G29" s="141">
        <v>2</v>
      </c>
      <c r="H29" s="117">
        <v>3</v>
      </c>
      <c r="I29" s="117">
        <v>11</v>
      </c>
      <c r="J29" s="126">
        <f>+(2.2-1)*H29</f>
        <v>3.6000000000000005</v>
      </c>
      <c r="K29" s="127">
        <f>+(2.2-1)*I29</f>
        <v>13.200000000000003</v>
      </c>
      <c r="L29" s="2"/>
    </row>
    <row r="30" spans="1:12">
      <c r="A30" s="130" t="s">
        <v>493</v>
      </c>
      <c r="B30" s="130" t="s">
        <v>271</v>
      </c>
      <c r="C30" s="140" t="s">
        <v>272</v>
      </c>
      <c r="D30" s="124"/>
      <c r="E30" s="59"/>
      <c r="F30" s="59"/>
      <c r="G30" s="46">
        <v>2</v>
      </c>
      <c r="H30" s="125">
        <v>1</v>
      </c>
      <c r="I30" s="125">
        <v>2</v>
      </c>
      <c r="J30" s="131">
        <f>-H30</f>
        <v>-1</v>
      </c>
      <c r="K30" s="131">
        <f>-I30</f>
        <v>-2</v>
      </c>
      <c r="L30" s="2" t="s">
        <v>503</v>
      </c>
    </row>
    <row r="31" spans="1:12">
      <c r="A31" s="138" t="s">
        <v>267</v>
      </c>
      <c r="B31" s="59" t="s">
        <v>277</v>
      </c>
      <c r="C31" s="123" t="s">
        <v>272</v>
      </c>
      <c r="D31" s="124"/>
      <c r="E31" s="59"/>
      <c r="F31" s="59"/>
      <c r="G31" s="54">
        <v>1</v>
      </c>
      <c r="H31" s="125">
        <v>1</v>
      </c>
      <c r="I31" s="125">
        <v>1</v>
      </c>
      <c r="J31" s="131">
        <f>+(2.1-1)*H31</f>
        <v>1.1000000000000001</v>
      </c>
      <c r="K31" s="131">
        <f>+(2.1-1)*I31</f>
        <v>1.1000000000000001</v>
      </c>
      <c r="L31" s="2" t="s">
        <v>496</v>
      </c>
    </row>
    <row r="32" spans="1:12">
      <c r="A32" s="138" t="s">
        <v>274</v>
      </c>
      <c r="B32" s="59" t="s">
        <v>268</v>
      </c>
      <c r="C32" s="140">
        <v>1</v>
      </c>
      <c r="D32" s="124">
        <v>1.55</v>
      </c>
      <c r="E32" s="59">
        <v>2.25</v>
      </c>
      <c r="F32" s="58">
        <f>+(D32-1)*E32</f>
        <v>1.2375</v>
      </c>
      <c r="G32" s="46">
        <v>2</v>
      </c>
      <c r="H32" s="125">
        <v>2</v>
      </c>
      <c r="I32" s="125">
        <v>8</v>
      </c>
      <c r="J32" s="131">
        <f t="shared" ref="J32:K33" si="4">-H32</f>
        <v>-2</v>
      </c>
      <c r="K32" s="131">
        <f t="shared" si="4"/>
        <v>-8</v>
      </c>
      <c r="L32" s="2" t="s">
        <v>497</v>
      </c>
    </row>
    <row r="33" spans="1:12">
      <c r="A33" s="138" t="s">
        <v>248</v>
      </c>
      <c r="B33" s="59" t="s">
        <v>266</v>
      </c>
      <c r="C33" s="140">
        <v>1</v>
      </c>
      <c r="D33" s="124">
        <v>1.44</v>
      </c>
      <c r="E33" s="59">
        <v>1.75</v>
      </c>
      <c r="F33" s="58">
        <f>+(D33-1)*E33</f>
        <v>0.76999999999999991</v>
      </c>
      <c r="G33" s="46">
        <v>2</v>
      </c>
      <c r="H33" s="125">
        <v>1</v>
      </c>
      <c r="I33" s="125">
        <v>2</v>
      </c>
      <c r="J33" s="131">
        <f t="shared" si="4"/>
        <v>-1</v>
      </c>
      <c r="K33" s="131">
        <f t="shared" si="4"/>
        <v>-2</v>
      </c>
      <c r="L33" s="2" t="s">
        <v>499</v>
      </c>
    </row>
    <row r="34" spans="1:12">
      <c r="A34" s="138" t="s">
        <v>494</v>
      </c>
      <c r="B34" s="59" t="s">
        <v>495</v>
      </c>
      <c r="C34" s="123" t="s">
        <v>272</v>
      </c>
      <c r="D34" s="124"/>
      <c r="E34" s="59"/>
      <c r="F34" s="59"/>
      <c r="G34" s="54">
        <v>1</v>
      </c>
      <c r="H34" s="125">
        <v>1</v>
      </c>
      <c r="I34" s="125">
        <v>1</v>
      </c>
      <c r="J34" s="131">
        <f>+(1.91-1)*H34</f>
        <v>0.90999999999999992</v>
      </c>
      <c r="K34" s="131">
        <f>+(1.91-1)*I34</f>
        <v>0.90999999999999992</v>
      </c>
      <c r="L34" s="2"/>
    </row>
    <row r="36" spans="1:12">
      <c r="E36">
        <f>SUM(E2:E34)</f>
        <v>28.75</v>
      </c>
      <c r="F36" s="102">
        <f>SUM(F2:F34)</f>
        <v>0.1900000000000005</v>
      </c>
      <c r="G36" s="18"/>
      <c r="H36" s="82">
        <f t="shared" ref="H36:K36" si="5">SUM(H2:H34)</f>
        <v>58</v>
      </c>
      <c r="I36" s="82">
        <f t="shared" si="5"/>
        <v>199</v>
      </c>
      <c r="J36" s="102">
        <f t="shared" si="5"/>
        <v>-8.5099999999999962</v>
      </c>
      <c r="K36" s="102">
        <f t="shared" si="5"/>
        <v>-4.1799999999999979</v>
      </c>
    </row>
    <row r="37" spans="1:12">
      <c r="F37" s="101">
        <f>+F36/E36</f>
        <v>6.6086956521739307E-3</v>
      </c>
      <c r="J37" s="101">
        <f>+J36/H36</f>
        <v>-0.14672413793103442</v>
      </c>
      <c r="K37" s="101">
        <f>+K36/I36</f>
        <v>-2.100502512562813E-2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sheetPr codeName="Hoja41"/>
  <dimension ref="A1:L37"/>
  <sheetViews>
    <sheetView topLeftCell="A16" workbookViewId="0">
      <selection activeCell="K25" sqref="C24:K25"/>
    </sheetView>
  </sheetViews>
  <sheetFormatPr baseColWidth="10" defaultRowHeight="15"/>
  <cols>
    <col min="1" max="6" width="11.42578125" style="137"/>
    <col min="7" max="7" width="3.5703125" style="137" customWidth="1"/>
    <col min="8" max="8" width="3.28515625" style="137" customWidth="1"/>
    <col min="9" max="9" width="4.5703125" style="137" customWidth="1"/>
    <col min="10" max="10" width="5.28515625" style="137" bestFit="1" customWidth="1"/>
    <col min="11" max="11" width="6.28515625" style="137" bestFit="1" customWidth="1"/>
    <col min="12" max="16384" width="11.42578125" style="137"/>
  </cols>
  <sheetData>
    <row r="1" spans="1:12">
      <c r="C1" s="17" t="s">
        <v>250</v>
      </c>
      <c r="D1" s="17" t="s">
        <v>294</v>
      </c>
      <c r="E1" s="18" t="s">
        <v>251</v>
      </c>
      <c r="F1" s="18" t="s">
        <v>293</v>
      </c>
      <c r="G1" s="18" t="s">
        <v>303</v>
      </c>
      <c r="H1" s="18" t="s">
        <v>304</v>
      </c>
      <c r="I1" s="18" t="s">
        <v>314</v>
      </c>
      <c r="J1" s="18"/>
      <c r="K1" s="18"/>
      <c r="L1" s="137" t="s">
        <v>305</v>
      </c>
    </row>
    <row r="2" spans="1:12">
      <c r="A2" s="146" t="s">
        <v>259</v>
      </c>
      <c r="B2" s="146" t="s">
        <v>270</v>
      </c>
      <c r="C2" s="140" t="s">
        <v>257</v>
      </c>
      <c r="D2" s="124"/>
      <c r="E2" s="58"/>
      <c r="F2" s="58"/>
      <c r="G2" s="12">
        <v>1</v>
      </c>
      <c r="H2" s="67">
        <v>1</v>
      </c>
      <c r="I2" s="176">
        <v>1</v>
      </c>
      <c r="J2" s="177">
        <f>-H2</f>
        <v>-1</v>
      </c>
      <c r="K2" s="177">
        <f>-I2</f>
        <v>-1</v>
      </c>
      <c r="L2" s="137" t="s">
        <v>299</v>
      </c>
    </row>
    <row r="3" spans="1:12">
      <c r="A3" s="59" t="s">
        <v>259</v>
      </c>
      <c r="B3" s="138" t="s">
        <v>446</v>
      </c>
      <c r="C3" s="123" t="s">
        <v>272</v>
      </c>
      <c r="D3" s="124"/>
      <c r="E3" s="59"/>
      <c r="F3" s="59"/>
      <c r="G3" s="139">
        <v>1</v>
      </c>
      <c r="H3" s="117">
        <v>1</v>
      </c>
      <c r="I3" s="178">
        <v>1</v>
      </c>
      <c r="J3" s="179">
        <f>-H3</f>
        <v>-1</v>
      </c>
      <c r="K3" s="180">
        <f>-I3</f>
        <v>-1</v>
      </c>
      <c r="L3" s="2"/>
    </row>
    <row r="4" spans="1:12">
      <c r="A4" s="138" t="s">
        <v>267</v>
      </c>
      <c r="B4" s="59" t="s">
        <v>277</v>
      </c>
      <c r="C4" s="123" t="s">
        <v>272</v>
      </c>
      <c r="D4" s="124"/>
      <c r="E4" s="59"/>
      <c r="F4" s="59"/>
      <c r="G4" s="54">
        <v>1</v>
      </c>
      <c r="H4" s="125">
        <v>1</v>
      </c>
      <c r="I4" s="181">
        <v>1</v>
      </c>
      <c r="J4" s="182">
        <f>+(2.1-1)*H4</f>
        <v>1.1000000000000001</v>
      </c>
      <c r="K4" s="182">
        <f>+(2.1-1)*I4</f>
        <v>1.1000000000000001</v>
      </c>
      <c r="L4" s="2" t="s">
        <v>496</v>
      </c>
    </row>
    <row r="5" spans="1:12">
      <c r="A5" s="138" t="s">
        <v>494</v>
      </c>
      <c r="B5" s="59" t="s">
        <v>495</v>
      </c>
      <c r="C5" s="123" t="s">
        <v>272</v>
      </c>
      <c r="D5" s="124"/>
      <c r="E5" s="59"/>
      <c r="F5" s="59"/>
      <c r="G5" s="141">
        <v>1</v>
      </c>
      <c r="H5" s="117">
        <v>1</v>
      </c>
      <c r="I5" s="178">
        <v>1</v>
      </c>
      <c r="J5" s="179">
        <f>+(1.91-1)*H5</f>
        <v>0.90999999999999992</v>
      </c>
      <c r="K5" s="180">
        <f>+(1.91-1)*I5</f>
        <v>0.90999999999999992</v>
      </c>
      <c r="L5" s="2"/>
    </row>
    <row r="6" spans="1:12">
      <c r="A6" s="145" t="s">
        <v>261</v>
      </c>
      <c r="B6" s="58" t="s">
        <v>252</v>
      </c>
      <c r="C6" s="123" t="s">
        <v>272</v>
      </c>
      <c r="D6" s="124"/>
      <c r="E6" s="58"/>
      <c r="F6" s="58"/>
      <c r="G6" s="4">
        <v>1</v>
      </c>
      <c r="H6" s="67">
        <v>1</v>
      </c>
      <c r="I6" s="176">
        <v>2</v>
      </c>
      <c r="J6" s="177">
        <f>(2.5-1)*H6</f>
        <v>1.5</v>
      </c>
      <c r="K6" s="177">
        <f>(2.5-1)*I6</f>
        <v>3</v>
      </c>
      <c r="L6" s="137" t="s">
        <v>278</v>
      </c>
    </row>
    <row r="7" spans="1:12">
      <c r="A7" s="145" t="s">
        <v>249</v>
      </c>
      <c r="B7" s="58" t="s">
        <v>273</v>
      </c>
      <c r="C7" s="123" t="s">
        <v>272</v>
      </c>
      <c r="D7" s="124"/>
      <c r="E7" s="58"/>
      <c r="F7" s="58"/>
      <c r="G7" s="141">
        <v>1</v>
      </c>
      <c r="H7" s="114">
        <v>1</v>
      </c>
      <c r="I7" s="178">
        <v>2</v>
      </c>
      <c r="J7" s="179">
        <f>(2.2-1)*H7</f>
        <v>1.2000000000000002</v>
      </c>
      <c r="K7" s="180">
        <f>(2.2-1)*I7</f>
        <v>2.4000000000000004</v>
      </c>
      <c r="L7" s="137" t="s">
        <v>278</v>
      </c>
    </row>
    <row r="8" spans="1:12">
      <c r="A8" s="59" t="s">
        <v>448</v>
      </c>
      <c r="B8" s="138" t="s">
        <v>338</v>
      </c>
      <c r="C8" s="123">
        <v>1</v>
      </c>
      <c r="D8" s="124">
        <v>2.38</v>
      </c>
      <c r="E8" s="59">
        <v>1.5</v>
      </c>
      <c r="F8" s="59">
        <f>-E8</f>
        <v>-1.5</v>
      </c>
      <c r="G8" s="12">
        <v>1</v>
      </c>
      <c r="H8" s="109">
        <v>1</v>
      </c>
      <c r="I8" s="176">
        <v>2</v>
      </c>
      <c r="J8" s="177">
        <f t="shared" ref="J8:K14" si="0">-H8</f>
        <v>-1</v>
      </c>
      <c r="K8" s="177">
        <f t="shared" si="0"/>
        <v>-2</v>
      </c>
      <c r="L8" s="2"/>
    </row>
    <row r="9" spans="1:12">
      <c r="A9" s="138" t="s">
        <v>249</v>
      </c>
      <c r="B9" s="59" t="s">
        <v>259</v>
      </c>
      <c r="C9" s="140">
        <v>1</v>
      </c>
      <c r="D9" s="124">
        <v>2.1</v>
      </c>
      <c r="E9" s="59">
        <v>0.75</v>
      </c>
      <c r="F9" s="58">
        <f>+(D9-1)*E9</f>
        <v>0.82500000000000007</v>
      </c>
      <c r="G9" s="46">
        <v>2</v>
      </c>
      <c r="H9" s="125">
        <v>1</v>
      </c>
      <c r="I9" s="181">
        <v>2</v>
      </c>
      <c r="J9" s="182">
        <f t="shared" si="0"/>
        <v>-1</v>
      </c>
      <c r="K9" s="182">
        <f t="shared" si="0"/>
        <v>-2</v>
      </c>
      <c r="L9" s="2" t="s">
        <v>500</v>
      </c>
    </row>
    <row r="10" spans="1:12">
      <c r="A10" s="130" t="s">
        <v>493</v>
      </c>
      <c r="B10" s="130" t="s">
        <v>271</v>
      </c>
      <c r="C10" s="140" t="s">
        <v>272</v>
      </c>
      <c r="D10" s="124"/>
      <c r="E10" s="59"/>
      <c r="F10" s="59"/>
      <c r="G10" s="12">
        <v>2</v>
      </c>
      <c r="H10" s="109">
        <v>1</v>
      </c>
      <c r="I10" s="176">
        <v>2</v>
      </c>
      <c r="J10" s="177">
        <f t="shared" si="0"/>
        <v>-1</v>
      </c>
      <c r="K10" s="177">
        <f t="shared" si="0"/>
        <v>-2</v>
      </c>
      <c r="L10" s="2" t="s">
        <v>503</v>
      </c>
    </row>
    <row r="11" spans="1:12">
      <c r="A11" s="138" t="s">
        <v>248</v>
      </c>
      <c r="B11" s="59" t="s">
        <v>266</v>
      </c>
      <c r="C11" s="140">
        <v>1</v>
      </c>
      <c r="D11" s="124">
        <v>1.44</v>
      </c>
      <c r="E11" s="59">
        <v>1.75</v>
      </c>
      <c r="F11" s="58">
        <f>+(D11-1)*E11</f>
        <v>0.76999999999999991</v>
      </c>
      <c r="G11" s="46">
        <v>2</v>
      </c>
      <c r="H11" s="125">
        <v>1</v>
      </c>
      <c r="I11" s="181">
        <v>2</v>
      </c>
      <c r="J11" s="182">
        <f t="shared" si="0"/>
        <v>-1</v>
      </c>
      <c r="K11" s="182">
        <f t="shared" si="0"/>
        <v>-2</v>
      </c>
      <c r="L11" s="2" t="s">
        <v>499</v>
      </c>
    </row>
    <row r="12" spans="1:12" s="155" customFormat="1" ht="15.75" thickBot="1">
      <c r="A12" s="172" t="s">
        <v>266</v>
      </c>
      <c r="B12" s="172" t="s">
        <v>260</v>
      </c>
      <c r="C12" s="167" t="s">
        <v>257</v>
      </c>
      <c r="D12" s="157"/>
      <c r="G12" s="158">
        <v>2</v>
      </c>
      <c r="H12" s="159">
        <v>1</v>
      </c>
      <c r="I12" s="183">
        <v>3</v>
      </c>
      <c r="J12" s="184">
        <f t="shared" si="0"/>
        <v>-1</v>
      </c>
      <c r="K12" s="185">
        <f t="shared" si="0"/>
        <v>-3</v>
      </c>
      <c r="L12" s="155" t="s">
        <v>295</v>
      </c>
    </row>
    <row r="13" spans="1:12" s="58" customFormat="1">
      <c r="A13" s="58" t="s">
        <v>277</v>
      </c>
      <c r="B13" s="145" t="s">
        <v>264</v>
      </c>
      <c r="C13" s="140">
        <v>2</v>
      </c>
      <c r="D13" s="124">
        <v>4.33</v>
      </c>
      <c r="E13" s="58">
        <v>0.75</v>
      </c>
      <c r="F13" s="58">
        <f>+(D13-1)*E13</f>
        <v>2.4975000000000001</v>
      </c>
      <c r="G13" s="147">
        <v>1</v>
      </c>
      <c r="H13" s="120">
        <v>1</v>
      </c>
      <c r="I13" s="186">
        <v>3</v>
      </c>
      <c r="J13" s="187">
        <f t="shared" si="0"/>
        <v>-1</v>
      </c>
      <c r="K13" s="188">
        <f t="shared" si="0"/>
        <v>-3</v>
      </c>
      <c r="L13" s="137" t="s">
        <v>296</v>
      </c>
    </row>
    <row r="14" spans="1:12" s="58" customFormat="1">
      <c r="A14" s="130" t="s">
        <v>261</v>
      </c>
      <c r="B14" s="130" t="s">
        <v>248</v>
      </c>
      <c r="C14" s="123">
        <v>2</v>
      </c>
      <c r="D14" s="124">
        <v>2</v>
      </c>
      <c r="E14" s="59">
        <v>1</v>
      </c>
      <c r="F14" s="59">
        <f>-E14</f>
        <v>-1</v>
      </c>
      <c r="G14" s="139">
        <v>2</v>
      </c>
      <c r="H14" s="117">
        <v>1</v>
      </c>
      <c r="I14" s="178">
        <v>3</v>
      </c>
      <c r="J14" s="179">
        <f t="shared" si="0"/>
        <v>-1</v>
      </c>
      <c r="K14" s="180">
        <f t="shared" si="0"/>
        <v>-3</v>
      </c>
      <c r="L14" s="2" t="s">
        <v>444</v>
      </c>
    </row>
    <row r="15" spans="1:12">
      <c r="A15" s="145" t="s">
        <v>255</v>
      </c>
      <c r="B15" s="58" t="s">
        <v>262</v>
      </c>
      <c r="C15" s="140">
        <v>1</v>
      </c>
      <c r="D15" s="124">
        <v>1.57</v>
      </c>
      <c r="E15" s="58">
        <v>1</v>
      </c>
      <c r="F15" s="58">
        <f>+(D15-1)*E15</f>
        <v>0.57000000000000006</v>
      </c>
      <c r="G15" s="4">
        <v>1</v>
      </c>
      <c r="H15" s="67">
        <v>1</v>
      </c>
      <c r="I15" s="176">
        <v>4</v>
      </c>
      <c r="J15" s="177">
        <f>(1.57-1)*H15</f>
        <v>0.57000000000000006</v>
      </c>
      <c r="K15" s="177">
        <f>(1.57-1)*I15</f>
        <v>2.2800000000000002</v>
      </c>
      <c r="L15" s="137" t="s">
        <v>297</v>
      </c>
    </row>
    <row r="16" spans="1:12">
      <c r="A16" s="130" t="s">
        <v>270</v>
      </c>
      <c r="B16" s="130" t="s">
        <v>262</v>
      </c>
      <c r="C16" s="123">
        <v>1</v>
      </c>
      <c r="D16" s="124">
        <v>1.95</v>
      </c>
      <c r="E16" s="59">
        <v>1</v>
      </c>
      <c r="F16" s="59">
        <f>-E16</f>
        <v>-1</v>
      </c>
      <c r="G16" s="139">
        <v>1</v>
      </c>
      <c r="H16" s="117">
        <v>1</v>
      </c>
      <c r="I16" s="178">
        <v>4</v>
      </c>
      <c r="J16" s="179">
        <f>-H16</f>
        <v>-1</v>
      </c>
      <c r="K16" s="180">
        <f>-I16</f>
        <v>-4</v>
      </c>
      <c r="L16" s="2"/>
    </row>
    <row r="17" spans="1:12">
      <c r="A17" s="138" t="s">
        <v>449</v>
      </c>
      <c r="B17" s="59" t="s">
        <v>450</v>
      </c>
      <c r="C17" s="140">
        <v>1</v>
      </c>
      <c r="D17" s="124">
        <v>1.62</v>
      </c>
      <c r="E17" s="59">
        <v>2.5</v>
      </c>
      <c r="F17" s="58">
        <f>+(D17-1)*E17</f>
        <v>1.5500000000000003</v>
      </c>
      <c r="G17" s="54">
        <v>1</v>
      </c>
      <c r="H17" s="125">
        <v>1</v>
      </c>
      <c r="I17" s="181">
        <v>4</v>
      </c>
      <c r="J17" s="182">
        <f>+(1.62-1)*H17</f>
        <v>0.62000000000000011</v>
      </c>
      <c r="K17" s="182">
        <f>+(1.62-1)*I17</f>
        <v>2.4800000000000004</v>
      </c>
      <c r="L17" s="2"/>
    </row>
    <row r="18" spans="1:12">
      <c r="A18" s="145" t="s">
        <v>268</v>
      </c>
      <c r="B18" s="58" t="s">
        <v>248</v>
      </c>
      <c r="C18" s="123">
        <v>2</v>
      </c>
      <c r="D18" s="124">
        <v>2.36</v>
      </c>
      <c r="E18" s="58">
        <v>0.75</v>
      </c>
      <c r="F18" s="58">
        <f>-E18</f>
        <v>-0.75</v>
      </c>
      <c r="G18" s="142">
        <v>2</v>
      </c>
      <c r="H18" s="151">
        <v>2</v>
      </c>
      <c r="I18" s="189">
        <v>5</v>
      </c>
      <c r="J18" s="190">
        <f t="shared" ref="J18:K21" si="1">-H18</f>
        <v>-2</v>
      </c>
      <c r="K18" s="191">
        <f t="shared" si="1"/>
        <v>-5</v>
      </c>
      <c r="L18" s="137" t="s">
        <v>298</v>
      </c>
    </row>
    <row r="19" spans="1:12">
      <c r="A19" s="146" t="s">
        <v>274</v>
      </c>
      <c r="B19" s="146" t="s">
        <v>258</v>
      </c>
      <c r="C19" s="140" t="s">
        <v>272</v>
      </c>
      <c r="D19" s="124"/>
      <c r="E19" s="58"/>
      <c r="F19" s="58"/>
      <c r="G19" s="139">
        <v>2</v>
      </c>
      <c r="H19" s="114">
        <v>2</v>
      </c>
      <c r="I19" s="178">
        <v>5</v>
      </c>
      <c r="J19" s="179">
        <f t="shared" si="1"/>
        <v>-2</v>
      </c>
      <c r="K19" s="180">
        <f t="shared" si="1"/>
        <v>-5</v>
      </c>
      <c r="L19" s="137" t="s">
        <v>278</v>
      </c>
    </row>
    <row r="20" spans="1:12">
      <c r="A20" s="130" t="s">
        <v>277</v>
      </c>
      <c r="B20" s="130" t="s">
        <v>252</v>
      </c>
      <c r="C20" s="123">
        <v>1</v>
      </c>
      <c r="D20" s="124">
        <v>2.2000000000000002</v>
      </c>
      <c r="E20" s="59">
        <v>1</v>
      </c>
      <c r="F20" s="59">
        <f>-E20</f>
        <v>-1</v>
      </c>
      <c r="G20" s="143">
        <v>2</v>
      </c>
      <c r="H20" s="125">
        <v>2</v>
      </c>
      <c r="I20" s="181">
        <v>5</v>
      </c>
      <c r="J20" s="182">
        <f t="shared" si="1"/>
        <v>-2</v>
      </c>
      <c r="K20" s="192">
        <f t="shared" si="1"/>
        <v>-5</v>
      </c>
      <c r="L20" s="2" t="s">
        <v>443</v>
      </c>
    </row>
    <row r="21" spans="1:12">
      <c r="A21" s="130" t="s">
        <v>258</v>
      </c>
      <c r="B21" s="130" t="s">
        <v>253</v>
      </c>
      <c r="C21" s="124" t="s">
        <v>256</v>
      </c>
      <c r="D21" s="124"/>
      <c r="E21" s="59"/>
      <c r="F21" s="59"/>
      <c r="G21" s="139">
        <v>2</v>
      </c>
      <c r="H21" s="117">
        <v>2</v>
      </c>
      <c r="I21" s="178">
        <v>6</v>
      </c>
      <c r="J21" s="179">
        <f t="shared" si="1"/>
        <v>-2</v>
      </c>
      <c r="K21" s="180">
        <f t="shared" si="1"/>
        <v>-6</v>
      </c>
      <c r="L21" s="2" t="s">
        <v>502</v>
      </c>
    </row>
    <row r="22" spans="1:12">
      <c r="A22" s="138" t="s">
        <v>447</v>
      </c>
      <c r="B22" s="59" t="s">
        <v>276</v>
      </c>
      <c r="C22" s="140">
        <v>1</v>
      </c>
      <c r="D22" s="124">
        <v>1.5</v>
      </c>
      <c r="E22" s="59">
        <v>2</v>
      </c>
      <c r="F22" s="58">
        <f>+(D22-1)*E22</f>
        <v>1</v>
      </c>
      <c r="G22" s="141">
        <v>1</v>
      </c>
      <c r="H22" s="117">
        <v>2</v>
      </c>
      <c r="I22" s="178">
        <v>7</v>
      </c>
      <c r="J22" s="179">
        <f>+(1.5-1)*H22</f>
        <v>1</v>
      </c>
      <c r="K22" s="180">
        <f>+(1.5-1)*I22</f>
        <v>3.5</v>
      </c>
      <c r="L22" s="2" t="s">
        <v>453</v>
      </c>
    </row>
    <row r="23" spans="1:12" s="155" customFormat="1" ht="15.75" thickBot="1">
      <c r="A23" s="163" t="s">
        <v>276</v>
      </c>
      <c r="B23" s="162" t="s">
        <v>270</v>
      </c>
      <c r="C23" s="156" t="s">
        <v>272</v>
      </c>
      <c r="D23" s="157"/>
      <c r="E23" s="162"/>
      <c r="F23" s="162"/>
      <c r="G23" s="173">
        <v>2</v>
      </c>
      <c r="H23" s="169">
        <v>2</v>
      </c>
      <c r="I23" s="193">
        <v>7</v>
      </c>
      <c r="J23" s="194">
        <f t="shared" ref="J23:K25" si="2">-H23</f>
        <v>-2</v>
      </c>
      <c r="K23" s="195">
        <f t="shared" si="2"/>
        <v>-7</v>
      </c>
      <c r="L23" s="162" t="s">
        <v>501</v>
      </c>
    </row>
    <row r="24" spans="1:12">
      <c r="A24" s="138" t="s">
        <v>252</v>
      </c>
      <c r="B24" s="59" t="s">
        <v>263</v>
      </c>
      <c r="C24" s="123">
        <v>2</v>
      </c>
      <c r="D24" s="124">
        <v>1.91</v>
      </c>
      <c r="E24" s="59">
        <v>2.25</v>
      </c>
      <c r="F24" s="59">
        <f>-E24</f>
        <v>-2.25</v>
      </c>
      <c r="G24" s="46">
        <v>2</v>
      </c>
      <c r="H24" s="125">
        <v>2</v>
      </c>
      <c r="I24" s="181">
        <v>8</v>
      </c>
      <c r="J24" s="182">
        <f t="shared" si="2"/>
        <v>-2</v>
      </c>
      <c r="K24" s="182">
        <f t="shared" si="2"/>
        <v>-8</v>
      </c>
      <c r="L24" s="2"/>
    </row>
    <row r="25" spans="1:12">
      <c r="A25" s="138" t="s">
        <v>274</v>
      </c>
      <c r="B25" s="59" t="s">
        <v>268</v>
      </c>
      <c r="C25" s="140">
        <v>1</v>
      </c>
      <c r="D25" s="124">
        <v>1.55</v>
      </c>
      <c r="E25" s="59">
        <v>2.25</v>
      </c>
      <c r="F25" s="58">
        <f>+(D25-1)*E25</f>
        <v>1.2375</v>
      </c>
      <c r="G25" s="139">
        <v>2</v>
      </c>
      <c r="H25" s="117">
        <v>2</v>
      </c>
      <c r="I25" s="178">
        <v>8</v>
      </c>
      <c r="J25" s="179">
        <f t="shared" si="2"/>
        <v>-2</v>
      </c>
      <c r="K25" s="180">
        <f t="shared" si="2"/>
        <v>-8</v>
      </c>
      <c r="L25" s="2" t="s">
        <v>497</v>
      </c>
    </row>
    <row r="26" spans="1:12">
      <c r="A26" s="59" t="s">
        <v>273</v>
      </c>
      <c r="B26" s="138" t="s">
        <v>261</v>
      </c>
      <c r="C26" s="123" t="s">
        <v>257</v>
      </c>
      <c r="D26" s="124"/>
      <c r="E26" s="59"/>
      <c r="F26" s="59"/>
      <c r="G26" s="54">
        <v>2</v>
      </c>
      <c r="H26" s="125">
        <v>2</v>
      </c>
      <c r="I26" s="125">
        <v>9</v>
      </c>
      <c r="J26" s="131">
        <f>+(6-1)*H26</f>
        <v>10</v>
      </c>
      <c r="K26" s="131">
        <f>+(6-1)*I26</f>
        <v>45</v>
      </c>
      <c r="L26" s="2"/>
    </row>
    <row r="27" spans="1:12">
      <c r="A27" s="59" t="s">
        <v>255</v>
      </c>
      <c r="B27" s="138" t="s">
        <v>264</v>
      </c>
      <c r="C27" s="123">
        <v>1</v>
      </c>
      <c r="D27" s="124">
        <v>1.4</v>
      </c>
      <c r="E27" s="59">
        <v>1.5</v>
      </c>
      <c r="F27" s="59">
        <f>-E27</f>
        <v>-1.5</v>
      </c>
      <c r="G27" s="46">
        <v>1</v>
      </c>
      <c r="H27" s="125">
        <v>3</v>
      </c>
      <c r="I27" s="125">
        <v>10</v>
      </c>
      <c r="J27" s="131">
        <f t="shared" ref="J27:K29" si="3">-H27</f>
        <v>-3</v>
      </c>
      <c r="K27" s="131">
        <f t="shared" si="3"/>
        <v>-10</v>
      </c>
      <c r="L27" s="59" t="s">
        <v>442</v>
      </c>
    </row>
    <row r="28" spans="1:12">
      <c r="A28" s="130" t="s">
        <v>253</v>
      </c>
      <c r="B28" s="130" t="s">
        <v>273</v>
      </c>
      <c r="C28" s="123">
        <v>1</v>
      </c>
      <c r="D28" s="124">
        <v>2.6</v>
      </c>
      <c r="E28" s="59">
        <v>1</v>
      </c>
      <c r="F28" s="59">
        <f>-E28</f>
        <v>-1</v>
      </c>
      <c r="G28" s="12">
        <v>1</v>
      </c>
      <c r="H28" s="109">
        <v>3</v>
      </c>
      <c r="I28" s="109">
        <v>10</v>
      </c>
      <c r="J28" s="86">
        <f t="shared" si="3"/>
        <v>-3</v>
      </c>
      <c r="K28" s="86">
        <f t="shared" si="3"/>
        <v>-10</v>
      </c>
      <c r="L28" s="2" t="s">
        <v>451</v>
      </c>
    </row>
    <row r="29" spans="1:12">
      <c r="A29" s="130" t="s">
        <v>268</v>
      </c>
      <c r="B29" s="130" t="s">
        <v>445</v>
      </c>
      <c r="C29" s="123">
        <v>1</v>
      </c>
      <c r="D29" s="124">
        <v>2.38</v>
      </c>
      <c r="E29" s="59">
        <v>1.25</v>
      </c>
      <c r="F29" s="59">
        <f>-E29</f>
        <v>-1.25</v>
      </c>
      <c r="G29" s="139">
        <v>1</v>
      </c>
      <c r="H29" s="117">
        <v>3</v>
      </c>
      <c r="I29" s="117">
        <v>11</v>
      </c>
      <c r="J29" s="126">
        <f t="shared" si="3"/>
        <v>-3</v>
      </c>
      <c r="K29" s="127">
        <f t="shared" si="3"/>
        <v>-11</v>
      </c>
      <c r="L29" s="2" t="s">
        <v>452</v>
      </c>
    </row>
    <row r="30" spans="1:12">
      <c r="A30" s="59" t="s">
        <v>262</v>
      </c>
      <c r="B30" s="138" t="s">
        <v>446</v>
      </c>
      <c r="C30" s="140">
        <v>2</v>
      </c>
      <c r="D30" s="124">
        <v>2.4</v>
      </c>
      <c r="E30" s="59">
        <v>1.25</v>
      </c>
      <c r="F30" s="58">
        <f>+(D30-1)*E30</f>
        <v>1.75</v>
      </c>
      <c r="G30" s="54">
        <v>2</v>
      </c>
      <c r="H30" s="125">
        <v>3</v>
      </c>
      <c r="I30" s="125">
        <v>11</v>
      </c>
      <c r="J30" s="131">
        <f>+(2.2-1)*H30</f>
        <v>3.6000000000000005</v>
      </c>
      <c r="K30" s="131">
        <f>+(2.2-1)*I30</f>
        <v>13.200000000000003</v>
      </c>
      <c r="L30" s="2"/>
    </row>
    <row r="31" spans="1:12">
      <c r="A31" s="138" t="s">
        <v>439</v>
      </c>
      <c r="B31" s="59" t="s">
        <v>440</v>
      </c>
      <c r="C31" s="140">
        <v>1</v>
      </c>
      <c r="D31" s="124">
        <v>2</v>
      </c>
      <c r="E31" s="59">
        <v>1.25</v>
      </c>
      <c r="F31" s="58">
        <f>+(D31-1)*E31</f>
        <v>1.25</v>
      </c>
      <c r="G31" s="4">
        <v>1</v>
      </c>
      <c r="H31" s="109">
        <v>3</v>
      </c>
      <c r="I31" s="109">
        <v>14</v>
      </c>
      <c r="J31" s="86">
        <f>+(2-1)*H31</f>
        <v>3</v>
      </c>
      <c r="K31" s="86">
        <f>+(2-1)*I31</f>
        <v>14</v>
      </c>
      <c r="L31" s="59" t="s">
        <v>441</v>
      </c>
    </row>
    <row r="32" spans="1:12">
      <c r="A32" s="145" t="s">
        <v>263</v>
      </c>
      <c r="B32" s="58" t="s">
        <v>276</v>
      </c>
      <c r="C32" s="140">
        <v>1</v>
      </c>
      <c r="D32" s="124">
        <v>1.33</v>
      </c>
      <c r="E32" s="58">
        <v>3</v>
      </c>
      <c r="F32" s="58">
        <f>+(D32-1)*E32</f>
        <v>0.99000000000000021</v>
      </c>
      <c r="G32" s="4">
        <v>1</v>
      </c>
      <c r="H32" s="67">
        <v>3</v>
      </c>
      <c r="I32" s="67">
        <v>15</v>
      </c>
      <c r="J32" s="41">
        <f>(1.33-1)*H32</f>
        <v>0.99000000000000021</v>
      </c>
      <c r="K32" s="41">
        <f>(1.33-1)*I32</f>
        <v>4.9500000000000011</v>
      </c>
    </row>
    <row r="33" spans="1:12">
      <c r="A33" s="145" t="s">
        <v>271</v>
      </c>
      <c r="B33" s="58" t="s">
        <v>254</v>
      </c>
      <c r="C33" s="123">
        <v>2</v>
      </c>
      <c r="D33" s="124">
        <v>3.75</v>
      </c>
      <c r="E33" s="58">
        <v>1</v>
      </c>
      <c r="F33" s="58">
        <f>-E33</f>
        <v>-1</v>
      </c>
      <c r="G33" s="12">
        <v>2</v>
      </c>
      <c r="H33" s="67">
        <v>3</v>
      </c>
      <c r="I33" s="67">
        <v>15</v>
      </c>
      <c r="J33" s="41">
        <f>-H33</f>
        <v>-3</v>
      </c>
      <c r="K33" s="41">
        <f>-I33</f>
        <v>-15</v>
      </c>
      <c r="L33" s="137" t="s">
        <v>301</v>
      </c>
    </row>
    <row r="34" spans="1:12">
      <c r="A34" s="145" t="s">
        <v>253</v>
      </c>
      <c r="B34" s="58" t="s">
        <v>267</v>
      </c>
      <c r="C34" s="124" t="s">
        <v>256</v>
      </c>
      <c r="D34" s="124"/>
      <c r="E34" s="58"/>
      <c r="F34" s="58"/>
      <c r="G34" s="54">
        <v>1</v>
      </c>
      <c r="H34" s="174">
        <v>3</v>
      </c>
      <c r="I34" s="174">
        <v>16</v>
      </c>
      <c r="J34" s="175">
        <f>(2-1)*H34</f>
        <v>3</v>
      </c>
      <c r="K34" s="175">
        <f>(2-1)*I34</f>
        <v>16</v>
      </c>
      <c r="L34" s="137" t="s">
        <v>300</v>
      </c>
    </row>
    <row r="36" spans="1:12">
      <c r="E36" s="137">
        <f>SUM(E2:E34)</f>
        <v>28.75</v>
      </c>
      <c r="F36" s="102">
        <f>SUM(F2:F34)</f>
        <v>0.19000000000000128</v>
      </c>
      <c r="G36" s="18"/>
      <c r="H36" s="196">
        <f>SUM(H26:H34)</f>
        <v>26</v>
      </c>
      <c r="I36" s="196">
        <f>SUM(I26:I34)</f>
        <v>111</v>
      </c>
      <c r="J36" s="107">
        <f>SUM(J26:J34)</f>
        <v>8.59</v>
      </c>
      <c r="K36" s="107">
        <f>SUM(K26:K34)</f>
        <v>47.150000000000006</v>
      </c>
    </row>
    <row r="37" spans="1:12">
      <c r="F37" s="101">
        <f>+F36/E36</f>
        <v>6.6086956521739576E-3</v>
      </c>
      <c r="J37" s="101">
        <f>+J36/H36</f>
        <v>0.33038461538461539</v>
      </c>
      <c r="K37" s="101">
        <f>+K36/I36</f>
        <v>0.42477477477477482</v>
      </c>
    </row>
  </sheetData>
  <sortState ref="A2:L34">
    <sortCondition ref="I2:I34"/>
  </sortState>
  <pageMargins left="0.7" right="0.7" top="0.75" bottom="0.75" header="0.3" footer="0.3"/>
</worksheet>
</file>

<file path=xl/worksheets/sheet56.xml><?xml version="1.0" encoding="utf-8"?>
<worksheet xmlns="http://schemas.openxmlformats.org/spreadsheetml/2006/main" xmlns:r="http://schemas.openxmlformats.org/officeDocument/2006/relationships">
  <sheetPr codeName="Hoja42"/>
  <dimension ref="A1:N37"/>
  <sheetViews>
    <sheetView topLeftCell="A12" workbookViewId="0">
      <selection activeCell="F36" sqref="F36"/>
    </sheetView>
  </sheetViews>
  <sheetFormatPr baseColWidth="10" defaultRowHeight="15"/>
  <cols>
    <col min="1" max="6" width="11.42578125" style="137"/>
    <col min="7" max="7" width="3.5703125" style="137" customWidth="1"/>
    <col min="8" max="8" width="3.28515625" style="137" customWidth="1"/>
    <col min="9" max="9" width="4.5703125" style="137" customWidth="1"/>
    <col min="10" max="10" width="5.28515625" style="137" bestFit="1" customWidth="1"/>
    <col min="11" max="11" width="6.28515625" style="137" bestFit="1" customWidth="1"/>
    <col min="12" max="12" width="45.5703125" style="137" customWidth="1"/>
    <col min="13" max="16384" width="11.42578125" style="137"/>
  </cols>
  <sheetData>
    <row r="1" spans="1:14">
      <c r="C1" s="17" t="s">
        <v>250</v>
      </c>
      <c r="D1" s="17" t="s">
        <v>294</v>
      </c>
      <c r="E1" s="18" t="s">
        <v>251</v>
      </c>
      <c r="F1" s="18" t="s">
        <v>293</v>
      </c>
      <c r="G1" s="18" t="s">
        <v>303</v>
      </c>
      <c r="H1" s="18" t="s">
        <v>304</v>
      </c>
      <c r="I1" s="18" t="s">
        <v>314</v>
      </c>
      <c r="J1" s="18"/>
      <c r="K1" s="18"/>
      <c r="L1" s="137" t="s">
        <v>305</v>
      </c>
    </row>
    <row r="2" spans="1:14">
      <c r="A2" s="145" t="s">
        <v>263</v>
      </c>
      <c r="B2" s="58" t="s">
        <v>276</v>
      </c>
      <c r="C2" s="140">
        <v>1</v>
      </c>
      <c r="D2" s="124">
        <v>1.33</v>
      </c>
      <c r="E2" s="58">
        <v>3</v>
      </c>
      <c r="F2" s="58">
        <f>+(D2-1)*E2</f>
        <v>0.99000000000000021</v>
      </c>
      <c r="G2" s="54">
        <v>1</v>
      </c>
      <c r="H2" s="174">
        <v>3</v>
      </c>
      <c r="I2" s="174">
        <v>15</v>
      </c>
      <c r="J2" s="175">
        <f>(1.33-1)*H2</f>
        <v>0.99000000000000021</v>
      </c>
      <c r="K2" s="175">
        <f>(1.33-1)*I2</f>
        <v>4.9500000000000011</v>
      </c>
      <c r="M2" s="67">
        <f>E2*80/3</f>
        <v>80</v>
      </c>
      <c r="N2" s="41">
        <f>IF(D2="","",(D2*(M2/100)-1)/(D2-1)*40/5)</f>
        <v>1.5515151515151526</v>
      </c>
    </row>
    <row r="3" spans="1:14">
      <c r="A3" s="138" t="s">
        <v>449</v>
      </c>
      <c r="B3" s="59" t="s">
        <v>450</v>
      </c>
      <c r="C3" s="140">
        <v>1</v>
      </c>
      <c r="D3" s="124">
        <v>1.62</v>
      </c>
      <c r="E3" s="59">
        <v>2.5</v>
      </c>
      <c r="F3" s="58">
        <f>+(D3-1)*E3</f>
        <v>1.5500000000000003</v>
      </c>
      <c r="G3" s="141">
        <v>1</v>
      </c>
      <c r="H3" s="117">
        <v>1</v>
      </c>
      <c r="I3" s="117">
        <v>4</v>
      </c>
      <c r="J3" s="126">
        <f>+(1.62-1)*H3</f>
        <v>0.62000000000000011</v>
      </c>
      <c r="K3" s="127">
        <f>+(1.62-1)*I3</f>
        <v>2.4800000000000004</v>
      </c>
      <c r="L3" s="2"/>
      <c r="M3" s="67">
        <f t="shared" ref="M3:M34" si="0">E3*80/3</f>
        <v>66.666666666666671</v>
      </c>
      <c r="N3" s="41">
        <f t="shared" ref="N3:N34" si="1">IF(D3="","",(D3*(M3/100)-1)/(D3-1)*40/5)</f>
        <v>1.0322580645161326</v>
      </c>
    </row>
    <row r="4" spans="1:14">
      <c r="A4" s="138" t="s">
        <v>252</v>
      </c>
      <c r="B4" s="59" t="s">
        <v>263</v>
      </c>
      <c r="C4" s="123">
        <v>2</v>
      </c>
      <c r="D4" s="124">
        <v>1.91</v>
      </c>
      <c r="E4" s="59">
        <v>2.25</v>
      </c>
      <c r="F4" s="59">
        <f>-E4</f>
        <v>-2.25</v>
      </c>
      <c r="G4" s="46">
        <v>2</v>
      </c>
      <c r="H4" s="125">
        <v>2</v>
      </c>
      <c r="I4" s="125">
        <v>8</v>
      </c>
      <c r="J4" s="131">
        <f>-H4</f>
        <v>-2</v>
      </c>
      <c r="K4" s="131">
        <f>-I4</f>
        <v>-8</v>
      </c>
      <c r="L4" s="2"/>
      <c r="M4" s="67">
        <f t="shared" si="0"/>
        <v>60</v>
      </c>
      <c r="N4" s="41">
        <f t="shared" si="1"/>
        <v>1.2835164835164827</v>
      </c>
    </row>
    <row r="5" spans="1:14">
      <c r="A5" s="138" t="s">
        <v>274</v>
      </c>
      <c r="B5" s="59" t="s">
        <v>268</v>
      </c>
      <c r="C5" s="140">
        <v>1</v>
      </c>
      <c r="D5" s="124">
        <v>1.55</v>
      </c>
      <c r="E5" s="59">
        <v>2.25</v>
      </c>
      <c r="F5" s="58">
        <f>+(D5-1)*E5</f>
        <v>1.2375</v>
      </c>
      <c r="G5" s="139">
        <v>2</v>
      </c>
      <c r="H5" s="117">
        <v>2</v>
      </c>
      <c r="I5" s="117">
        <v>8</v>
      </c>
      <c r="J5" s="126">
        <f>-H5</f>
        <v>-2</v>
      </c>
      <c r="K5" s="127">
        <f>-I5</f>
        <v>-8</v>
      </c>
      <c r="L5" s="2" t="s">
        <v>497</v>
      </c>
      <c r="M5" s="67">
        <f t="shared" si="0"/>
        <v>60</v>
      </c>
      <c r="N5" s="41">
        <f t="shared" si="1"/>
        <v>-1.018181818181819</v>
      </c>
    </row>
    <row r="6" spans="1:14">
      <c r="A6" s="138" t="s">
        <v>447</v>
      </c>
      <c r="B6" s="59" t="s">
        <v>276</v>
      </c>
      <c r="C6" s="140">
        <v>1</v>
      </c>
      <c r="D6" s="124">
        <v>1.5</v>
      </c>
      <c r="E6" s="59">
        <v>2</v>
      </c>
      <c r="F6" s="58">
        <f>+(D6-1)*E6</f>
        <v>1</v>
      </c>
      <c r="G6" s="4">
        <v>1</v>
      </c>
      <c r="H6" s="109">
        <v>2</v>
      </c>
      <c r="I6" s="109">
        <v>7</v>
      </c>
      <c r="J6" s="86">
        <f>+(1.5-1)*H6</f>
        <v>1</v>
      </c>
      <c r="K6" s="86">
        <f>+(1.5-1)*I6</f>
        <v>3.5</v>
      </c>
      <c r="L6" s="2" t="s">
        <v>453</v>
      </c>
      <c r="M6" s="67">
        <f t="shared" si="0"/>
        <v>53.333333333333336</v>
      </c>
      <c r="N6" s="41">
        <f t="shared" si="1"/>
        <v>-3.1999999999999993</v>
      </c>
    </row>
    <row r="7" spans="1:14">
      <c r="A7" s="138" t="s">
        <v>248</v>
      </c>
      <c r="B7" s="59" t="s">
        <v>266</v>
      </c>
      <c r="C7" s="140">
        <v>1</v>
      </c>
      <c r="D7" s="124">
        <v>1.44</v>
      </c>
      <c r="E7" s="59">
        <v>1.75</v>
      </c>
      <c r="F7" s="58">
        <f>+(D7-1)*E7</f>
        <v>0.76999999999999991</v>
      </c>
      <c r="G7" s="139">
        <v>2</v>
      </c>
      <c r="H7" s="117">
        <v>1</v>
      </c>
      <c r="I7" s="117">
        <v>2</v>
      </c>
      <c r="J7" s="126">
        <f t="shared" ref="J7:K9" si="2">-H7</f>
        <v>-1</v>
      </c>
      <c r="K7" s="127">
        <f t="shared" si="2"/>
        <v>-2</v>
      </c>
      <c r="L7" s="2" t="s">
        <v>499</v>
      </c>
      <c r="M7" s="67">
        <f t="shared" si="0"/>
        <v>46.666666666666664</v>
      </c>
      <c r="N7" s="41">
        <f t="shared" si="1"/>
        <v>-5.9636363636363656</v>
      </c>
    </row>
    <row r="8" spans="1:14">
      <c r="A8" s="59" t="s">
        <v>255</v>
      </c>
      <c r="B8" s="138" t="s">
        <v>264</v>
      </c>
      <c r="C8" s="123">
        <v>1</v>
      </c>
      <c r="D8" s="124">
        <v>1.4</v>
      </c>
      <c r="E8" s="203">
        <v>1.5</v>
      </c>
      <c r="F8" s="203">
        <f>-E8</f>
        <v>-1.5</v>
      </c>
      <c r="G8" s="12">
        <v>1</v>
      </c>
      <c r="H8" s="125">
        <v>3</v>
      </c>
      <c r="I8" s="125">
        <v>10</v>
      </c>
      <c r="J8" s="131">
        <f t="shared" si="2"/>
        <v>-3</v>
      </c>
      <c r="K8" s="86">
        <f t="shared" si="2"/>
        <v>-10</v>
      </c>
      <c r="L8" s="59" t="s">
        <v>442</v>
      </c>
      <c r="M8" s="67">
        <f t="shared" si="0"/>
        <v>40</v>
      </c>
      <c r="N8" s="41">
        <f t="shared" si="1"/>
        <v>-8.8000000000000025</v>
      </c>
    </row>
    <row r="9" spans="1:14">
      <c r="A9" s="59" t="s">
        <v>448</v>
      </c>
      <c r="B9" s="138" t="s">
        <v>338</v>
      </c>
      <c r="C9" s="123">
        <v>1</v>
      </c>
      <c r="D9" s="124">
        <v>2.38</v>
      </c>
      <c r="E9" s="203">
        <v>1.5</v>
      </c>
      <c r="F9" s="203">
        <f>-E9</f>
        <v>-1.5</v>
      </c>
      <c r="G9" s="12">
        <v>1</v>
      </c>
      <c r="H9" s="109">
        <v>1</v>
      </c>
      <c r="I9" s="109">
        <v>2</v>
      </c>
      <c r="J9" s="86">
        <f t="shared" si="2"/>
        <v>-1</v>
      </c>
      <c r="K9" s="86">
        <f t="shared" si="2"/>
        <v>-2</v>
      </c>
      <c r="L9" s="2"/>
      <c r="M9" s="67">
        <f t="shared" si="0"/>
        <v>40</v>
      </c>
      <c r="N9" s="41">
        <f t="shared" si="1"/>
        <v>-0.27826086956521767</v>
      </c>
    </row>
    <row r="10" spans="1:14">
      <c r="A10" s="138" t="s">
        <v>439</v>
      </c>
      <c r="B10" s="59" t="s">
        <v>440</v>
      </c>
      <c r="C10" s="140">
        <v>1</v>
      </c>
      <c r="D10" s="124">
        <v>2</v>
      </c>
      <c r="E10" s="203">
        <v>1.25</v>
      </c>
      <c r="F10" s="203">
        <f>+(D10-1)*E10</f>
        <v>1.25</v>
      </c>
      <c r="G10" s="54">
        <v>1</v>
      </c>
      <c r="H10" s="125">
        <v>3</v>
      </c>
      <c r="I10" s="125">
        <v>14</v>
      </c>
      <c r="J10" s="131">
        <f>+(2-1)*H10</f>
        <v>3</v>
      </c>
      <c r="K10" s="131">
        <f>+(2-1)*I10</f>
        <v>14</v>
      </c>
      <c r="L10" s="59" t="s">
        <v>441</v>
      </c>
      <c r="M10" s="67">
        <f t="shared" si="0"/>
        <v>33.333333333333336</v>
      </c>
      <c r="N10" s="41">
        <f t="shared" si="1"/>
        <v>-2.6666666666666661</v>
      </c>
    </row>
    <row r="11" spans="1:14">
      <c r="A11" s="130" t="s">
        <v>268</v>
      </c>
      <c r="B11" s="130" t="s">
        <v>445</v>
      </c>
      <c r="C11" s="123">
        <v>1</v>
      </c>
      <c r="D11" s="124">
        <v>2.38</v>
      </c>
      <c r="E11" s="203">
        <v>1.25</v>
      </c>
      <c r="F11" s="203">
        <f>-E11</f>
        <v>-1.25</v>
      </c>
      <c r="G11" s="12">
        <v>1</v>
      </c>
      <c r="H11" s="109">
        <v>3</v>
      </c>
      <c r="I11" s="109">
        <v>11</v>
      </c>
      <c r="J11" s="86">
        <f>-H11</f>
        <v>-3</v>
      </c>
      <c r="K11" s="86">
        <f>-I11</f>
        <v>-11</v>
      </c>
      <c r="L11" s="2" t="s">
        <v>452</v>
      </c>
      <c r="M11" s="67">
        <f t="shared" si="0"/>
        <v>33.333333333333336</v>
      </c>
      <c r="N11" s="41">
        <f t="shared" si="1"/>
        <v>-1.1980676328502415</v>
      </c>
    </row>
    <row r="12" spans="1:14" s="155" customFormat="1" ht="15.75" thickBot="1">
      <c r="A12" s="162" t="s">
        <v>262</v>
      </c>
      <c r="B12" s="163" t="s">
        <v>446</v>
      </c>
      <c r="C12" s="167">
        <v>2</v>
      </c>
      <c r="D12" s="157">
        <v>2.4</v>
      </c>
      <c r="E12" s="204">
        <v>1.25</v>
      </c>
      <c r="F12" s="204">
        <f>+(D12-1)*E12</f>
        <v>1.75</v>
      </c>
      <c r="G12" s="201">
        <v>2</v>
      </c>
      <c r="H12" s="164">
        <v>3</v>
      </c>
      <c r="I12" s="164">
        <v>11</v>
      </c>
      <c r="J12" s="165">
        <f>+(2.2-1)*H12</f>
        <v>3.6000000000000005</v>
      </c>
      <c r="K12" s="166">
        <f>+(2.2-1)*I12</f>
        <v>13.200000000000003</v>
      </c>
      <c r="L12" s="162"/>
      <c r="M12" s="67">
        <f t="shared" si="0"/>
        <v>33.333333333333336</v>
      </c>
      <c r="N12" s="41">
        <f t="shared" si="1"/>
        <v>-1.1428571428571426</v>
      </c>
    </row>
    <row r="13" spans="1:14" s="58" customFormat="1">
      <c r="A13" s="145" t="s">
        <v>255</v>
      </c>
      <c r="B13" s="58" t="s">
        <v>262</v>
      </c>
      <c r="C13" s="140">
        <v>1</v>
      </c>
      <c r="D13" s="124">
        <v>1.57</v>
      </c>
      <c r="E13" s="203">
        <v>1</v>
      </c>
      <c r="F13" s="203">
        <f>+(D13-1)*E13</f>
        <v>0.57000000000000006</v>
      </c>
      <c r="G13" s="144">
        <v>1</v>
      </c>
      <c r="H13" s="120">
        <v>1</v>
      </c>
      <c r="I13" s="120">
        <v>4</v>
      </c>
      <c r="J13" s="121">
        <f>(1.57-1)*H13</f>
        <v>0.57000000000000006</v>
      </c>
      <c r="K13" s="122">
        <f>(1.57-1)*I13</f>
        <v>2.2800000000000002</v>
      </c>
      <c r="L13" s="137" t="s">
        <v>297</v>
      </c>
      <c r="M13" s="67">
        <f t="shared" si="0"/>
        <v>26.666666666666668</v>
      </c>
      <c r="N13" s="41">
        <f t="shared" si="1"/>
        <v>-8.1590643274853782</v>
      </c>
    </row>
    <row r="14" spans="1:14" s="58" customFormat="1">
      <c r="A14" s="145" t="s">
        <v>271</v>
      </c>
      <c r="B14" s="58" t="s">
        <v>254</v>
      </c>
      <c r="C14" s="123">
        <v>2</v>
      </c>
      <c r="D14" s="124">
        <v>3.75</v>
      </c>
      <c r="E14" s="203">
        <v>1</v>
      </c>
      <c r="F14" s="203">
        <f>-E14</f>
        <v>-1</v>
      </c>
      <c r="G14" s="139">
        <v>2</v>
      </c>
      <c r="H14" s="114">
        <v>3</v>
      </c>
      <c r="I14" s="114">
        <v>15</v>
      </c>
      <c r="J14" s="115">
        <f t="shared" ref="J14:J22" si="3">-H14</f>
        <v>-3</v>
      </c>
      <c r="K14" s="116">
        <f t="shared" ref="K14:K22" si="4">-I14</f>
        <v>-15</v>
      </c>
      <c r="L14" s="137" t="s">
        <v>301</v>
      </c>
      <c r="M14" s="67">
        <f t="shared" si="0"/>
        <v>26.666666666666668</v>
      </c>
      <c r="N14" s="41">
        <f t="shared" si="1"/>
        <v>0</v>
      </c>
    </row>
    <row r="15" spans="1:14">
      <c r="A15" s="130" t="s">
        <v>277</v>
      </c>
      <c r="B15" s="130" t="s">
        <v>252</v>
      </c>
      <c r="C15" s="123">
        <v>1</v>
      </c>
      <c r="D15" s="124">
        <v>2.2000000000000002</v>
      </c>
      <c r="E15" s="203">
        <v>1</v>
      </c>
      <c r="F15" s="203">
        <f>-E15</f>
        <v>-1</v>
      </c>
      <c r="G15" s="46">
        <v>2</v>
      </c>
      <c r="H15" s="125">
        <v>2</v>
      </c>
      <c r="I15" s="125">
        <v>5</v>
      </c>
      <c r="J15" s="131">
        <f t="shared" si="3"/>
        <v>-2</v>
      </c>
      <c r="K15" s="131">
        <f t="shared" si="4"/>
        <v>-5</v>
      </c>
      <c r="L15" s="2" t="s">
        <v>443</v>
      </c>
      <c r="M15" s="67">
        <f t="shared" si="0"/>
        <v>26.666666666666668</v>
      </c>
      <c r="N15" s="41">
        <f t="shared" si="1"/>
        <v>-2.7555555555555551</v>
      </c>
    </row>
    <row r="16" spans="1:14">
      <c r="A16" s="130" t="s">
        <v>261</v>
      </c>
      <c r="B16" s="130" t="s">
        <v>248</v>
      </c>
      <c r="C16" s="123">
        <v>2</v>
      </c>
      <c r="D16" s="124">
        <v>2</v>
      </c>
      <c r="E16" s="203">
        <v>1</v>
      </c>
      <c r="F16" s="203">
        <f>-E16</f>
        <v>-1</v>
      </c>
      <c r="G16" s="139">
        <v>2</v>
      </c>
      <c r="H16" s="117">
        <v>1</v>
      </c>
      <c r="I16" s="117">
        <v>3</v>
      </c>
      <c r="J16" s="126">
        <f t="shared" si="3"/>
        <v>-1</v>
      </c>
      <c r="K16" s="127">
        <f t="shared" si="4"/>
        <v>-3</v>
      </c>
      <c r="L16" s="2" t="s">
        <v>444</v>
      </c>
      <c r="M16" s="67">
        <f t="shared" si="0"/>
        <v>26.666666666666668</v>
      </c>
      <c r="N16" s="41">
        <f t="shared" si="1"/>
        <v>-3.7333333333333334</v>
      </c>
    </row>
    <row r="17" spans="1:14">
      <c r="A17" s="130" t="s">
        <v>270</v>
      </c>
      <c r="B17" s="130" t="s">
        <v>262</v>
      </c>
      <c r="C17" s="123">
        <v>1</v>
      </c>
      <c r="D17" s="124">
        <v>1.95</v>
      </c>
      <c r="E17" s="203">
        <v>1</v>
      </c>
      <c r="F17" s="203">
        <f>-E17</f>
        <v>-1</v>
      </c>
      <c r="G17" s="12">
        <v>1</v>
      </c>
      <c r="H17" s="109">
        <v>1</v>
      </c>
      <c r="I17" s="109">
        <v>4</v>
      </c>
      <c r="J17" s="86">
        <f t="shared" si="3"/>
        <v>-1</v>
      </c>
      <c r="K17" s="86">
        <f t="shared" si="4"/>
        <v>-4</v>
      </c>
      <c r="L17" s="2"/>
      <c r="M17" s="67">
        <f t="shared" si="0"/>
        <v>26.666666666666668</v>
      </c>
      <c r="N17" s="41">
        <f t="shared" si="1"/>
        <v>-4.0421052631578949</v>
      </c>
    </row>
    <row r="18" spans="1:14">
      <c r="A18" s="130" t="s">
        <v>253</v>
      </c>
      <c r="B18" s="130" t="s">
        <v>273</v>
      </c>
      <c r="C18" s="123">
        <v>1</v>
      </c>
      <c r="D18" s="124">
        <v>2.6</v>
      </c>
      <c r="E18" s="203">
        <v>1</v>
      </c>
      <c r="F18" s="203">
        <f>-E18</f>
        <v>-1</v>
      </c>
      <c r="G18" s="142">
        <v>1</v>
      </c>
      <c r="H18" s="118">
        <v>3</v>
      </c>
      <c r="I18" s="118">
        <v>10</v>
      </c>
      <c r="J18" s="128">
        <f t="shared" si="3"/>
        <v>-3</v>
      </c>
      <c r="K18" s="129">
        <f t="shared" si="4"/>
        <v>-10</v>
      </c>
      <c r="L18" s="2" t="s">
        <v>451</v>
      </c>
      <c r="M18" s="67">
        <f t="shared" si="0"/>
        <v>26.666666666666668</v>
      </c>
      <c r="N18" s="41">
        <f t="shared" si="1"/>
        <v>-1.5333333333333332</v>
      </c>
    </row>
    <row r="19" spans="1:14">
      <c r="A19" s="58" t="s">
        <v>277</v>
      </c>
      <c r="B19" s="145" t="s">
        <v>264</v>
      </c>
      <c r="C19" s="140">
        <v>2</v>
      </c>
      <c r="D19" s="124">
        <v>4.33</v>
      </c>
      <c r="E19" s="58">
        <v>0.75</v>
      </c>
      <c r="F19" s="58">
        <f>+(D19-1)*E19</f>
        <v>2.4975000000000001</v>
      </c>
      <c r="G19" s="139">
        <v>1</v>
      </c>
      <c r="H19" s="114">
        <v>1</v>
      </c>
      <c r="I19" s="114">
        <v>3</v>
      </c>
      <c r="J19" s="115">
        <f t="shared" si="3"/>
        <v>-1</v>
      </c>
      <c r="K19" s="116">
        <f t="shared" si="4"/>
        <v>-3</v>
      </c>
      <c r="L19" s="137" t="s">
        <v>296</v>
      </c>
      <c r="M19" s="67">
        <f t="shared" si="0"/>
        <v>20</v>
      </c>
      <c r="N19" s="41">
        <f t="shared" si="1"/>
        <v>-0.32192192192192165</v>
      </c>
    </row>
    <row r="20" spans="1:14">
      <c r="A20" s="145" t="s">
        <v>268</v>
      </c>
      <c r="B20" s="58" t="s">
        <v>248</v>
      </c>
      <c r="C20" s="123">
        <v>2</v>
      </c>
      <c r="D20" s="124">
        <v>2.36</v>
      </c>
      <c r="E20" s="58">
        <v>0.75</v>
      </c>
      <c r="F20" s="58">
        <f>-E20</f>
        <v>-0.75</v>
      </c>
      <c r="G20" s="143">
        <v>2</v>
      </c>
      <c r="H20" s="67">
        <v>2</v>
      </c>
      <c r="I20" s="67">
        <v>5</v>
      </c>
      <c r="J20" s="41">
        <f t="shared" si="3"/>
        <v>-2</v>
      </c>
      <c r="K20" s="202">
        <f t="shared" si="4"/>
        <v>-5</v>
      </c>
      <c r="L20" s="137" t="s">
        <v>298</v>
      </c>
      <c r="M20" s="67">
        <f t="shared" si="0"/>
        <v>20</v>
      </c>
      <c r="N20" s="41">
        <f t="shared" si="1"/>
        <v>-3.105882352941177</v>
      </c>
    </row>
    <row r="21" spans="1:14">
      <c r="A21" s="138" t="s">
        <v>249</v>
      </c>
      <c r="B21" s="59" t="s">
        <v>259</v>
      </c>
      <c r="C21" s="140">
        <v>1</v>
      </c>
      <c r="D21" s="124">
        <v>2.1</v>
      </c>
      <c r="E21" s="59">
        <v>0.75</v>
      </c>
      <c r="F21" s="58">
        <f>+(D21-1)*E21</f>
        <v>0.82500000000000007</v>
      </c>
      <c r="G21" s="139">
        <v>2</v>
      </c>
      <c r="H21" s="117">
        <v>1</v>
      </c>
      <c r="I21" s="117">
        <v>2</v>
      </c>
      <c r="J21" s="126">
        <f t="shared" si="3"/>
        <v>-1</v>
      </c>
      <c r="K21" s="127">
        <f t="shared" si="4"/>
        <v>-2</v>
      </c>
      <c r="L21" s="2" t="s">
        <v>500</v>
      </c>
      <c r="M21" s="67">
        <f t="shared" si="0"/>
        <v>20</v>
      </c>
      <c r="N21" s="41">
        <f t="shared" si="1"/>
        <v>-4.2181818181818178</v>
      </c>
    </row>
    <row r="22" spans="1:14">
      <c r="A22" s="146" t="s">
        <v>266</v>
      </c>
      <c r="B22" s="146" t="s">
        <v>260</v>
      </c>
      <c r="C22" s="140" t="s">
        <v>257</v>
      </c>
      <c r="D22" s="124"/>
      <c r="E22" s="58"/>
      <c r="F22" s="58"/>
      <c r="G22" s="139">
        <v>2</v>
      </c>
      <c r="H22" s="114">
        <v>1</v>
      </c>
      <c r="I22" s="114">
        <v>3</v>
      </c>
      <c r="J22" s="115">
        <f t="shared" si="3"/>
        <v>-1</v>
      </c>
      <c r="K22" s="116">
        <f t="shared" si="4"/>
        <v>-3</v>
      </c>
      <c r="L22" s="137" t="s">
        <v>295</v>
      </c>
      <c r="M22" s="67">
        <f t="shared" si="0"/>
        <v>0</v>
      </c>
      <c r="N22" s="41" t="str">
        <f t="shared" si="1"/>
        <v/>
      </c>
    </row>
    <row r="23" spans="1:14" s="155" customFormat="1" ht="15.75" thickBot="1">
      <c r="A23" s="154" t="s">
        <v>261</v>
      </c>
      <c r="B23" s="155" t="s">
        <v>252</v>
      </c>
      <c r="C23" s="156" t="s">
        <v>272</v>
      </c>
      <c r="D23" s="157"/>
      <c r="G23" s="168">
        <v>1</v>
      </c>
      <c r="H23" s="198">
        <v>1</v>
      </c>
      <c r="I23" s="198">
        <v>2</v>
      </c>
      <c r="J23" s="199">
        <f>(2.5-1)*H23</f>
        <v>1.5</v>
      </c>
      <c r="K23" s="200">
        <f>(2.5-1)*I23</f>
        <v>3</v>
      </c>
      <c r="L23" s="155" t="s">
        <v>278</v>
      </c>
      <c r="M23" s="67">
        <f t="shared" si="0"/>
        <v>0</v>
      </c>
      <c r="N23" s="41" t="str">
        <f t="shared" si="1"/>
        <v/>
      </c>
    </row>
    <row r="24" spans="1:14">
      <c r="A24" s="145" t="s">
        <v>249</v>
      </c>
      <c r="B24" s="58" t="s">
        <v>273</v>
      </c>
      <c r="C24" s="123" t="s">
        <v>272</v>
      </c>
      <c r="D24" s="124"/>
      <c r="E24" s="58"/>
      <c r="F24" s="58"/>
      <c r="G24" s="4">
        <v>1</v>
      </c>
      <c r="H24" s="67">
        <v>1</v>
      </c>
      <c r="I24" s="67">
        <v>2</v>
      </c>
      <c r="J24" s="41">
        <f>(2.2-1)*H24</f>
        <v>1.2000000000000002</v>
      </c>
      <c r="K24" s="41">
        <f>(2.2-1)*I24</f>
        <v>2.4000000000000004</v>
      </c>
      <c r="L24" s="137" t="s">
        <v>278</v>
      </c>
      <c r="M24" s="67">
        <f t="shared" si="0"/>
        <v>0</v>
      </c>
      <c r="N24" s="41" t="str">
        <f t="shared" si="1"/>
        <v/>
      </c>
    </row>
    <row r="25" spans="1:14">
      <c r="A25" s="146" t="s">
        <v>259</v>
      </c>
      <c r="B25" s="146" t="s">
        <v>270</v>
      </c>
      <c r="C25" s="140" t="s">
        <v>257</v>
      </c>
      <c r="D25" s="124"/>
      <c r="E25" s="58"/>
      <c r="F25" s="58"/>
      <c r="G25" s="139">
        <v>1</v>
      </c>
      <c r="H25" s="114">
        <v>1</v>
      </c>
      <c r="I25" s="114">
        <v>1</v>
      </c>
      <c r="J25" s="115">
        <f>-H25</f>
        <v>-1</v>
      </c>
      <c r="K25" s="116">
        <f>-I25</f>
        <v>-1</v>
      </c>
      <c r="L25" s="137" t="s">
        <v>299</v>
      </c>
      <c r="M25" s="67">
        <f t="shared" si="0"/>
        <v>0</v>
      </c>
      <c r="N25" s="41" t="str">
        <f t="shared" si="1"/>
        <v/>
      </c>
    </row>
    <row r="26" spans="1:14">
      <c r="A26" s="145" t="s">
        <v>253</v>
      </c>
      <c r="B26" s="58" t="s">
        <v>267</v>
      </c>
      <c r="C26" s="124" t="s">
        <v>256</v>
      </c>
      <c r="D26" s="124"/>
      <c r="E26" s="58"/>
      <c r="F26" s="58"/>
      <c r="G26" s="4">
        <v>1</v>
      </c>
      <c r="H26" s="67">
        <v>3</v>
      </c>
      <c r="I26" s="67">
        <v>16</v>
      </c>
      <c r="J26" s="41">
        <f>(2-1)*H26</f>
        <v>3</v>
      </c>
      <c r="K26" s="41">
        <f>(2-1)*I26</f>
        <v>16</v>
      </c>
      <c r="L26" s="137" t="s">
        <v>300</v>
      </c>
      <c r="M26" s="67">
        <f t="shared" si="0"/>
        <v>0</v>
      </c>
      <c r="N26" s="41" t="str">
        <f t="shared" si="1"/>
        <v/>
      </c>
    </row>
    <row r="27" spans="1:14">
      <c r="A27" s="146" t="s">
        <v>274</v>
      </c>
      <c r="B27" s="146" t="s">
        <v>258</v>
      </c>
      <c r="C27" s="140" t="s">
        <v>272</v>
      </c>
      <c r="D27" s="124"/>
      <c r="E27" s="58"/>
      <c r="F27" s="58"/>
      <c r="G27" s="12">
        <v>2</v>
      </c>
      <c r="H27" s="67">
        <v>2</v>
      </c>
      <c r="I27" s="67">
        <v>5</v>
      </c>
      <c r="J27" s="41">
        <f t="shared" ref="J27:K30" si="5">-H27</f>
        <v>-2</v>
      </c>
      <c r="K27" s="41">
        <f t="shared" si="5"/>
        <v>-5</v>
      </c>
      <c r="L27" s="137" t="s">
        <v>278</v>
      </c>
      <c r="M27" s="67">
        <f t="shared" si="0"/>
        <v>0</v>
      </c>
      <c r="N27" s="41" t="str">
        <f t="shared" si="1"/>
        <v/>
      </c>
    </row>
    <row r="28" spans="1:14">
      <c r="A28" s="59" t="s">
        <v>259</v>
      </c>
      <c r="B28" s="138" t="s">
        <v>446</v>
      </c>
      <c r="C28" s="123" t="s">
        <v>272</v>
      </c>
      <c r="D28" s="124"/>
      <c r="E28" s="59"/>
      <c r="F28" s="59"/>
      <c r="G28" s="12">
        <v>1</v>
      </c>
      <c r="H28" s="109">
        <v>1</v>
      </c>
      <c r="I28" s="109">
        <v>1</v>
      </c>
      <c r="J28" s="86">
        <f t="shared" si="5"/>
        <v>-1</v>
      </c>
      <c r="K28" s="86">
        <f t="shared" si="5"/>
        <v>-1</v>
      </c>
      <c r="L28" s="2"/>
      <c r="M28" s="67">
        <f t="shared" si="0"/>
        <v>0</v>
      </c>
      <c r="N28" s="41" t="str">
        <f t="shared" si="1"/>
        <v/>
      </c>
    </row>
    <row r="29" spans="1:14">
      <c r="A29" s="138" t="s">
        <v>276</v>
      </c>
      <c r="B29" s="59" t="s">
        <v>270</v>
      </c>
      <c r="C29" s="123" t="s">
        <v>272</v>
      </c>
      <c r="D29" s="124"/>
      <c r="E29" s="59"/>
      <c r="F29" s="59"/>
      <c r="G29" s="139">
        <v>2</v>
      </c>
      <c r="H29" s="117">
        <v>2</v>
      </c>
      <c r="I29" s="117">
        <v>7</v>
      </c>
      <c r="J29" s="126">
        <f t="shared" si="5"/>
        <v>-2</v>
      </c>
      <c r="K29" s="127">
        <f t="shared" si="5"/>
        <v>-7</v>
      </c>
      <c r="L29" s="2" t="s">
        <v>501</v>
      </c>
      <c r="M29" s="67">
        <f t="shared" si="0"/>
        <v>0</v>
      </c>
      <c r="N29" s="41" t="str">
        <f t="shared" si="1"/>
        <v/>
      </c>
    </row>
    <row r="30" spans="1:14">
      <c r="A30" s="130" t="s">
        <v>258</v>
      </c>
      <c r="B30" s="130" t="s">
        <v>253</v>
      </c>
      <c r="C30" s="124" t="s">
        <v>256</v>
      </c>
      <c r="D30" s="124"/>
      <c r="E30" s="59"/>
      <c r="F30" s="59"/>
      <c r="G30" s="46">
        <v>2</v>
      </c>
      <c r="H30" s="125">
        <v>2</v>
      </c>
      <c r="I30" s="125">
        <v>6</v>
      </c>
      <c r="J30" s="131">
        <f t="shared" si="5"/>
        <v>-2</v>
      </c>
      <c r="K30" s="131">
        <f t="shared" si="5"/>
        <v>-6</v>
      </c>
      <c r="L30" s="2" t="s">
        <v>502</v>
      </c>
      <c r="M30" s="67">
        <f t="shared" si="0"/>
        <v>0</v>
      </c>
      <c r="N30" s="41" t="str">
        <f t="shared" si="1"/>
        <v/>
      </c>
    </row>
    <row r="31" spans="1:14">
      <c r="A31" s="59" t="s">
        <v>273</v>
      </c>
      <c r="B31" s="138" t="s">
        <v>261</v>
      </c>
      <c r="C31" s="123" t="s">
        <v>257</v>
      </c>
      <c r="D31" s="124"/>
      <c r="E31" s="59"/>
      <c r="F31" s="59"/>
      <c r="G31" s="54">
        <v>2</v>
      </c>
      <c r="H31" s="125">
        <v>2</v>
      </c>
      <c r="I31" s="125">
        <v>9</v>
      </c>
      <c r="J31" s="131">
        <f>+(6-1)*H31</f>
        <v>10</v>
      </c>
      <c r="K31" s="131">
        <f>+(6-1)*I31</f>
        <v>45</v>
      </c>
      <c r="L31" s="2"/>
      <c r="M31" s="67">
        <f t="shared" si="0"/>
        <v>0</v>
      </c>
      <c r="N31" s="41" t="str">
        <f t="shared" si="1"/>
        <v/>
      </c>
    </row>
    <row r="32" spans="1:14">
      <c r="A32" s="130" t="s">
        <v>493</v>
      </c>
      <c r="B32" s="130" t="s">
        <v>271</v>
      </c>
      <c r="C32" s="140" t="s">
        <v>272</v>
      </c>
      <c r="D32" s="124"/>
      <c r="E32" s="59"/>
      <c r="F32" s="59"/>
      <c r="G32" s="46">
        <v>2</v>
      </c>
      <c r="H32" s="125">
        <v>1</v>
      </c>
      <c r="I32" s="125">
        <v>2</v>
      </c>
      <c r="J32" s="131">
        <f>-H32</f>
        <v>-1</v>
      </c>
      <c r="K32" s="131">
        <f>-I32</f>
        <v>-2</v>
      </c>
      <c r="L32" s="2" t="s">
        <v>503</v>
      </c>
      <c r="M32" s="67">
        <f t="shared" si="0"/>
        <v>0</v>
      </c>
      <c r="N32" s="41" t="str">
        <f t="shared" si="1"/>
        <v/>
      </c>
    </row>
    <row r="33" spans="1:14">
      <c r="A33" s="138" t="s">
        <v>267</v>
      </c>
      <c r="B33" s="59" t="s">
        <v>277</v>
      </c>
      <c r="C33" s="123" t="s">
        <v>272</v>
      </c>
      <c r="D33" s="124"/>
      <c r="E33" s="59"/>
      <c r="F33" s="59"/>
      <c r="G33" s="54">
        <v>1</v>
      </c>
      <c r="H33" s="125">
        <v>1</v>
      </c>
      <c r="I33" s="125">
        <v>1</v>
      </c>
      <c r="J33" s="131">
        <f>+(2.1-1)*H33</f>
        <v>1.1000000000000001</v>
      </c>
      <c r="K33" s="131">
        <f>+(2.1-1)*I33</f>
        <v>1.1000000000000001</v>
      </c>
      <c r="L33" s="2" t="s">
        <v>496</v>
      </c>
      <c r="M33" s="67">
        <f t="shared" si="0"/>
        <v>0</v>
      </c>
      <c r="N33" s="41" t="str">
        <f t="shared" si="1"/>
        <v/>
      </c>
    </row>
    <row r="34" spans="1:14">
      <c r="A34" s="138" t="s">
        <v>494</v>
      </c>
      <c r="B34" s="59" t="s">
        <v>495</v>
      </c>
      <c r="C34" s="123" t="s">
        <v>272</v>
      </c>
      <c r="D34" s="124"/>
      <c r="E34" s="59"/>
      <c r="F34" s="59"/>
      <c r="G34" s="54">
        <v>1</v>
      </c>
      <c r="H34" s="125">
        <v>1</v>
      </c>
      <c r="I34" s="125">
        <v>1</v>
      </c>
      <c r="J34" s="131">
        <f>+(1.91-1)*H34</f>
        <v>0.90999999999999992</v>
      </c>
      <c r="K34" s="131">
        <f>+(1.91-1)*I34</f>
        <v>0.90999999999999992</v>
      </c>
      <c r="L34" s="2"/>
      <c r="M34" s="67">
        <f t="shared" si="0"/>
        <v>0</v>
      </c>
      <c r="N34" s="41" t="str">
        <f t="shared" si="1"/>
        <v/>
      </c>
    </row>
    <row r="36" spans="1:14">
      <c r="E36" s="137">
        <f>SUM(E2:E7,E19:E21)</f>
        <v>16</v>
      </c>
      <c r="F36" s="102">
        <f>SUM(F2:F7,F19:F21)</f>
        <v>5.870000000000001</v>
      </c>
      <c r="G36" s="18"/>
      <c r="H36" s="82">
        <f t="shared" ref="H36:K36" si="6">SUM(H2:H34)</f>
        <v>58</v>
      </c>
      <c r="I36" s="82">
        <f t="shared" si="6"/>
        <v>199</v>
      </c>
      <c r="J36" s="102">
        <f t="shared" si="6"/>
        <v>-8.51</v>
      </c>
      <c r="K36" s="102">
        <f t="shared" si="6"/>
        <v>-4.1799999999999979</v>
      </c>
    </row>
    <row r="37" spans="1:14">
      <c r="F37" s="101">
        <f>+F36/E36</f>
        <v>0.36687500000000006</v>
      </c>
      <c r="J37" s="101">
        <f>+J36/H36</f>
        <v>-0.14672413793103448</v>
      </c>
      <c r="K37" s="101">
        <f>+K36/I36</f>
        <v>-2.100502512562813E-2</v>
      </c>
    </row>
  </sheetData>
  <sortState ref="A2:L34">
    <sortCondition descending="1" ref="E2:E34"/>
  </sortState>
  <pageMargins left="0.7" right="0.7" top="0.75" bottom="0.75" header="0.3" footer="0.3"/>
</worksheet>
</file>

<file path=xl/worksheets/sheet57.xml><?xml version="1.0" encoding="utf-8"?>
<worksheet xmlns="http://schemas.openxmlformats.org/spreadsheetml/2006/main" xmlns:r="http://schemas.openxmlformats.org/officeDocument/2006/relationships">
  <sheetPr codeName="Hoja43"/>
  <dimension ref="A1:M37"/>
  <sheetViews>
    <sheetView topLeftCell="A10" workbookViewId="0">
      <selection activeCell="C21" sqref="C21:G29"/>
    </sheetView>
  </sheetViews>
  <sheetFormatPr baseColWidth="10" defaultRowHeight="15"/>
  <cols>
    <col min="1" max="6" width="11.42578125" style="137"/>
    <col min="7" max="7" width="3.5703125" style="137" customWidth="1"/>
    <col min="8" max="8" width="3.28515625" style="137" customWidth="1"/>
    <col min="9" max="9" width="4.5703125" style="137" customWidth="1"/>
    <col min="10" max="10" width="5.28515625" style="137" bestFit="1" customWidth="1"/>
    <col min="11" max="11" width="6.28515625" style="137" bestFit="1" customWidth="1"/>
    <col min="12" max="12" width="52.140625" style="137" customWidth="1"/>
    <col min="13" max="16384" width="11.42578125" style="137"/>
  </cols>
  <sheetData>
    <row r="1" spans="1:13">
      <c r="A1" s="145" t="s">
        <v>263</v>
      </c>
      <c r="B1" s="58" t="s">
        <v>276</v>
      </c>
      <c r="C1" s="140">
        <v>1</v>
      </c>
      <c r="D1" s="124">
        <v>1.33</v>
      </c>
      <c r="E1" s="58">
        <v>3</v>
      </c>
      <c r="F1" s="58">
        <f>+(D1-1)*E1</f>
        <v>0.99000000000000021</v>
      </c>
      <c r="G1" s="4">
        <v>1</v>
      </c>
      <c r="H1" s="67">
        <v>3</v>
      </c>
      <c r="I1" s="67">
        <v>15</v>
      </c>
      <c r="J1" s="41">
        <f>(1.33-1)*H1</f>
        <v>0.99000000000000021</v>
      </c>
      <c r="K1" s="41">
        <f>(1.33-1)*I1</f>
        <v>4.9500000000000011</v>
      </c>
      <c r="M1" s="137">
        <f t="shared" ref="M1:M33" si="0">IF(C1=G1,1,IF(C1=1,0,IF(C1=2,0,0.5)))</f>
        <v>1</v>
      </c>
    </row>
    <row r="2" spans="1:13">
      <c r="A2" s="145" t="s">
        <v>255</v>
      </c>
      <c r="B2" s="58" t="s">
        <v>262</v>
      </c>
      <c r="C2" s="140">
        <v>1</v>
      </c>
      <c r="D2" s="124">
        <v>1.57</v>
      </c>
      <c r="E2" s="58">
        <v>1</v>
      </c>
      <c r="F2" s="58">
        <f>+(D2-1)*E2</f>
        <v>0.57000000000000006</v>
      </c>
      <c r="G2" s="54">
        <v>1</v>
      </c>
      <c r="H2" s="174">
        <v>1</v>
      </c>
      <c r="I2" s="174">
        <v>4</v>
      </c>
      <c r="J2" s="175">
        <f>(1.57-1)*H2</f>
        <v>0.57000000000000006</v>
      </c>
      <c r="K2" s="175">
        <f>(1.57-1)*I2</f>
        <v>2.2800000000000002</v>
      </c>
      <c r="L2" s="137" t="s">
        <v>297</v>
      </c>
      <c r="M2" s="137">
        <f t="shared" si="0"/>
        <v>1</v>
      </c>
    </row>
    <row r="3" spans="1:13">
      <c r="A3" s="138" t="s">
        <v>439</v>
      </c>
      <c r="B3" s="59" t="s">
        <v>440</v>
      </c>
      <c r="C3" s="140">
        <v>1</v>
      </c>
      <c r="D3" s="124">
        <v>2</v>
      </c>
      <c r="E3" s="59">
        <v>1.25</v>
      </c>
      <c r="F3" s="58">
        <f>+(D3-1)*E3</f>
        <v>1.25</v>
      </c>
      <c r="G3" s="141">
        <v>1</v>
      </c>
      <c r="H3" s="117">
        <v>3</v>
      </c>
      <c r="I3" s="117">
        <v>14</v>
      </c>
      <c r="J3" s="126">
        <f>+(2-1)*H3</f>
        <v>3</v>
      </c>
      <c r="K3" s="127">
        <f>+(2-1)*I3</f>
        <v>14</v>
      </c>
      <c r="L3" s="59" t="s">
        <v>441</v>
      </c>
      <c r="M3" s="137">
        <f t="shared" si="0"/>
        <v>1</v>
      </c>
    </row>
    <row r="4" spans="1:13">
      <c r="A4" s="59" t="s">
        <v>255</v>
      </c>
      <c r="B4" s="138" t="s">
        <v>264</v>
      </c>
      <c r="C4" s="123">
        <v>1</v>
      </c>
      <c r="D4" s="124">
        <v>1.4</v>
      </c>
      <c r="E4" s="59">
        <v>1.5</v>
      </c>
      <c r="F4" s="59">
        <f>-E4</f>
        <v>-1.5</v>
      </c>
      <c r="G4" s="46">
        <v>1</v>
      </c>
      <c r="H4" s="125">
        <v>3</v>
      </c>
      <c r="I4" s="125">
        <v>10</v>
      </c>
      <c r="J4" s="131">
        <f t="shared" ref="J4:K7" si="1">-H4</f>
        <v>-3</v>
      </c>
      <c r="K4" s="131">
        <f t="shared" si="1"/>
        <v>-10</v>
      </c>
      <c r="L4" s="59" t="s">
        <v>442</v>
      </c>
      <c r="M4" s="137">
        <f t="shared" si="0"/>
        <v>1</v>
      </c>
    </row>
    <row r="5" spans="1:13">
      <c r="A5" s="130" t="s">
        <v>270</v>
      </c>
      <c r="B5" s="130" t="s">
        <v>262</v>
      </c>
      <c r="C5" s="123">
        <v>1</v>
      </c>
      <c r="D5" s="124">
        <v>1.95</v>
      </c>
      <c r="E5" s="59">
        <v>1</v>
      </c>
      <c r="F5" s="59">
        <f>-E5</f>
        <v>-1</v>
      </c>
      <c r="G5" s="139">
        <v>1</v>
      </c>
      <c r="H5" s="117">
        <v>1</v>
      </c>
      <c r="I5" s="117">
        <v>4</v>
      </c>
      <c r="J5" s="126">
        <f t="shared" si="1"/>
        <v>-1</v>
      </c>
      <c r="K5" s="127">
        <f t="shared" si="1"/>
        <v>-4</v>
      </c>
      <c r="L5" s="2"/>
      <c r="M5" s="137">
        <f t="shared" si="0"/>
        <v>1</v>
      </c>
    </row>
    <row r="6" spans="1:13">
      <c r="A6" s="130" t="s">
        <v>253</v>
      </c>
      <c r="B6" s="130" t="s">
        <v>273</v>
      </c>
      <c r="C6" s="123">
        <v>1</v>
      </c>
      <c r="D6" s="124">
        <v>2.6</v>
      </c>
      <c r="E6" s="59">
        <v>1</v>
      </c>
      <c r="F6" s="59">
        <f>-E6</f>
        <v>-1</v>
      </c>
      <c r="G6" s="12">
        <v>1</v>
      </c>
      <c r="H6" s="109">
        <v>3</v>
      </c>
      <c r="I6" s="109">
        <v>10</v>
      </c>
      <c r="J6" s="86">
        <f t="shared" si="1"/>
        <v>-3</v>
      </c>
      <c r="K6" s="86">
        <f t="shared" si="1"/>
        <v>-10</v>
      </c>
      <c r="L6" s="2" t="s">
        <v>451</v>
      </c>
      <c r="M6" s="137">
        <f t="shared" si="0"/>
        <v>1</v>
      </c>
    </row>
    <row r="7" spans="1:13">
      <c r="A7" s="130" t="s">
        <v>268</v>
      </c>
      <c r="B7" s="130" t="s">
        <v>445</v>
      </c>
      <c r="C7" s="123">
        <v>1</v>
      </c>
      <c r="D7" s="124">
        <v>2.38</v>
      </c>
      <c r="E7" s="59">
        <v>1.25</v>
      </c>
      <c r="F7" s="59">
        <f>-E7</f>
        <v>-1.25</v>
      </c>
      <c r="G7" s="139">
        <v>1</v>
      </c>
      <c r="H7" s="117">
        <v>3</v>
      </c>
      <c r="I7" s="117">
        <v>11</v>
      </c>
      <c r="J7" s="126">
        <f t="shared" si="1"/>
        <v>-3</v>
      </c>
      <c r="K7" s="127">
        <f t="shared" si="1"/>
        <v>-11</v>
      </c>
      <c r="L7" s="2" t="s">
        <v>452</v>
      </c>
      <c r="M7" s="137">
        <f t="shared" si="0"/>
        <v>1</v>
      </c>
    </row>
    <row r="8" spans="1:13">
      <c r="A8" s="138" t="s">
        <v>447</v>
      </c>
      <c r="B8" s="59" t="s">
        <v>276</v>
      </c>
      <c r="C8" s="140">
        <v>1</v>
      </c>
      <c r="D8" s="124">
        <v>1.5</v>
      </c>
      <c r="E8" s="59">
        <v>2</v>
      </c>
      <c r="F8" s="58">
        <f>+(D8-1)*E8</f>
        <v>1</v>
      </c>
      <c r="G8" s="4">
        <v>1</v>
      </c>
      <c r="H8" s="109">
        <v>2</v>
      </c>
      <c r="I8" s="109">
        <v>7</v>
      </c>
      <c r="J8" s="86">
        <f>+(1.5-1)*H8</f>
        <v>1</v>
      </c>
      <c r="K8" s="86">
        <f>+(1.5-1)*I8</f>
        <v>3.5</v>
      </c>
      <c r="L8" s="2" t="s">
        <v>453</v>
      </c>
      <c r="M8" s="137">
        <f t="shared" si="0"/>
        <v>1</v>
      </c>
    </row>
    <row r="9" spans="1:13">
      <c r="A9" s="59" t="s">
        <v>448</v>
      </c>
      <c r="B9" s="138" t="s">
        <v>338</v>
      </c>
      <c r="C9" s="123">
        <v>1</v>
      </c>
      <c r="D9" s="124">
        <v>2.38</v>
      </c>
      <c r="E9" s="59">
        <v>1.5</v>
      </c>
      <c r="F9" s="59">
        <f>-E9</f>
        <v>-1.5</v>
      </c>
      <c r="G9" s="12">
        <v>1</v>
      </c>
      <c r="H9" s="109">
        <v>1</v>
      </c>
      <c r="I9" s="109">
        <v>2</v>
      </c>
      <c r="J9" s="86">
        <f>-H9</f>
        <v>-1</v>
      </c>
      <c r="K9" s="86">
        <f>-I9</f>
        <v>-2</v>
      </c>
      <c r="L9" s="2"/>
      <c r="M9" s="137">
        <f t="shared" si="0"/>
        <v>1</v>
      </c>
    </row>
    <row r="10" spans="1:13">
      <c r="A10" s="138" t="s">
        <v>449</v>
      </c>
      <c r="B10" s="59" t="s">
        <v>450</v>
      </c>
      <c r="C10" s="140">
        <v>1</v>
      </c>
      <c r="D10" s="124">
        <v>1.62</v>
      </c>
      <c r="E10" s="59">
        <v>2.5</v>
      </c>
      <c r="F10" s="58">
        <f>+(D10-1)*E10</f>
        <v>1.5500000000000003</v>
      </c>
      <c r="G10" s="4">
        <v>1</v>
      </c>
      <c r="H10" s="125">
        <v>1</v>
      </c>
      <c r="I10" s="125">
        <v>4</v>
      </c>
      <c r="J10" s="131">
        <f>+(1.62-1)*H10</f>
        <v>0.62000000000000011</v>
      </c>
      <c r="K10" s="86">
        <f>+(1.62-1)*I10</f>
        <v>2.4800000000000004</v>
      </c>
      <c r="L10" s="2"/>
      <c r="M10" s="137">
        <f t="shared" si="0"/>
        <v>1</v>
      </c>
    </row>
    <row r="11" spans="1:13">
      <c r="A11" s="145" t="s">
        <v>268</v>
      </c>
      <c r="B11" s="58" t="s">
        <v>248</v>
      </c>
      <c r="C11" s="123">
        <v>2</v>
      </c>
      <c r="D11" s="124">
        <v>2.36</v>
      </c>
      <c r="E11" s="58">
        <v>0.75</v>
      </c>
      <c r="F11" s="58">
        <f>-E11</f>
        <v>-0.75</v>
      </c>
      <c r="G11" s="12">
        <v>2</v>
      </c>
      <c r="H11" s="67">
        <v>2</v>
      </c>
      <c r="I11" s="67">
        <v>5</v>
      </c>
      <c r="J11" s="41">
        <f t="shared" ref="J11:K14" si="2">-H11</f>
        <v>-2</v>
      </c>
      <c r="K11" s="41">
        <f t="shared" si="2"/>
        <v>-5</v>
      </c>
      <c r="L11" s="137" t="s">
        <v>298</v>
      </c>
      <c r="M11" s="137">
        <f t="shared" si="0"/>
        <v>1</v>
      </c>
    </row>
    <row r="12" spans="1:13" s="155" customFormat="1" ht="15.75" thickBot="1">
      <c r="A12" s="154" t="s">
        <v>271</v>
      </c>
      <c r="B12" s="155" t="s">
        <v>254</v>
      </c>
      <c r="C12" s="156">
        <v>2</v>
      </c>
      <c r="D12" s="157">
        <v>3.75</v>
      </c>
      <c r="E12" s="155">
        <v>1</v>
      </c>
      <c r="F12" s="155">
        <f>-E12</f>
        <v>-1</v>
      </c>
      <c r="G12" s="158">
        <v>2</v>
      </c>
      <c r="H12" s="159">
        <v>3</v>
      </c>
      <c r="I12" s="159">
        <v>15</v>
      </c>
      <c r="J12" s="160">
        <f t="shared" si="2"/>
        <v>-3</v>
      </c>
      <c r="K12" s="161">
        <f t="shared" si="2"/>
        <v>-15</v>
      </c>
      <c r="L12" s="155" t="s">
        <v>301</v>
      </c>
      <c r="M12" s="137">
        <f t="shared" si="0"/>
        <v>1</v>
      </c>
    </row>
    <row r="13" spans="1:13" s="58" customFormat="1">
      <c r="A13" s="130" t="s">
        <v>261</v>
      </c>
      <c r="B13" s="130" t="s">
        <v>248</v>
      </c>
      <c r="C13" s="123">
        <v>2</v>
      </c>
      <c r="D13" s="124">
        <v>2</v>
      </c>
      <c r="E13" s="59">
        <v>1</v>
      </c>
      <c r="F13" s="59">
        <f>-E13</f>
        <v>-1</v>
      </c>
      <c r="G13" s="147">
        <v>2</v>
      </c>
      <c r="H13" s="119">
        <v>1</v>
      </c>
      <c r="I13" s="119">
        <v>3</v>
      </c>
      <c r="J13" s="133">
        <f t="shared" si="2"/>
        <v>-1</v>
      </c>
      <c r="K13" s="134">
        <f t="shared" si="2"/>
        <v>-3</v>
      </c>
      <c r="L13" s="2" t="s">
        <v>444</v>
      </c>
      <c r="M13" s="137">
        <f t="shared" si="0"/>
        <v>1</v>
      </c>
    </row>
    <row r="14" spans="1:13" s="58" customFormat="1">
      <c r="A14" s="138" t="s">
        <v>252</v>
      </c>
      <c r="B14" s="59" t="s">
        <v>263</v>
      </c>
      <c r="C14" s="123">
        <v>2</v>
      </c>
      <c r="D14" s="124">
        <v>1.91</v>
      </c>
      <c r="E14" s="59">
        <v>2.25</v>
      </c>
      <c r="F14" s="59">
        <f>-E14</f>
        <v>-2.25</v>
      </c>
      <c r="G14" s="139">
        <v>2</v>
      </c>
      <c r="H14" s="117">
        <v>2</v>
      </c>
      <c r="I14" s="117">
        <v>8</v>
      </c>
      <c r="J14" s="126">
        <f t="shared" si="2"/>
        <v>-2</v>
      </c>
      <c r="K14" s="127">
        <f t="shared" si="2"/>
        <v>-8</v>
      </c>
      <c r="L14" s="2"/>
      <c r="M14" s="137">
        <f t="shared" si="0"/>
        <v>1</v>
      </c>
    </row>
    <row r="15" spans="1:13">
      <c r="A15" s="59" t="s">
        <v>262</v>
      </c>
      <c r="B15" s="138" t="s">
        <v>446</v>
      </c>
      <c r="C15" s="140">
        <v>2</v>
      </c>
      <c r="D15" s="124">
        <v>2.4</v>
      </c>
      <c r="E15" s="59">
        <v>1.25</v>
      </c>
      <c r="F15" s="58">
        <f>+(D15-1)*E15</f>
        <v>1.75</v>
      </c>
      <c r="G15" s="4">
        <v>2</v>
      </c>
      <c r="H15" s="109">
        <v>3</v>
      </c>
      <c r="I15" s="109">
        <v>11</v>
      </c>
      <c r="J15" s="86">
        <f>+(2.2-1)*H15</f>
        <v>3.6000000000000005</v>
      </c>
      <c r="K15" s="86">
        <f>+(2.2-1)*I15</f>
        <v>13.200000000000003</v>
      </c>
      <c r="L15" s="2"/>
      <c r="M15" s="137">
        <f t="shared" si="0"/>
        <v>1</v>
      </c>
    </row>
    <row r="16" spans="1:13">
      <c r="A16" s="145" t="s">
        <v>253</v>
      </c>
      <c r="B16" s="58" t="s">
        <v>267</v>
      </c>
      <c r="C16" s="124" t="s">
        <v>256</v>
      </c>
      <c r="D16" s="124"/>
      <c r="E16" s="58"/>
      <c r="F16" s="58"/>
      <c r="G16" s="141">
        <v>1</v>
      </c>
      <c r="H16" s="114">
        <v>3</v>
      </c>
      <c r="I16" s="114">
        <v>16</v>
      </c>
      <c r="J16" s="115">
        <f>(2-1)*H16</f>
        <v>3</v>
      </c>
      <c r="K16" s="116">
        <f>(2-1)*I16</f>
        <v>16</v>
      </c>
      <c r="L16" s="137" t="s">
        <v>300</v>
      </c>
      <c r="M16" s="137">
        <f t="shared" si="0"/>
        <v>0.5</v>
      </c>
    </row>
    <row r="17" spans="1:13">
      <c r="A17" s="130" t="s">
        <v>258</v>
      </c>
      <c r="B17" s="130" t="s">
        <v>253</v>
      </c>
      <c r="C17" s="124" t="s">
        <v>256</v>
      </c>
      <c r="D17" s="124"/>
      <c r="E17" s="59"/>
      <c r="F17" s="59"/>
      <c r="G17" s="12">
        <v>2</v>
      </c>
      <c r="H17" s="109">
        <v>2</v>
      </c>
      <c r="I17" s="109">
        <v>6</v>
      </c>
      <c r="J17" s="86">
        <f t="shared" ref="J17:K19" si="3">-H17</f>
        <v>-2</v>
      </c>
      <c r="K17" s="86">
        <f t="shared" si="3"/>
        <v>-6</v>
      </c>
      <c r="L17" s="2" t="s">
        <v>502</v>
      </c>
      <c r="M17" s="137">
        <f t="shared" si="0"/>
        <v>0.5</v>
      </c>
    </row>
    <row r="18" spans="1:13">
      <c r="A18" s="146" t="s">
        <v>266</v>
      </c>
      <c r="B18" s="146" t="s">
        <v>260</v>
      </c>
      <c r="C18" s="140" t="s">
        <v>257</v>
      </c>
      <c r="D18" s="124"/>
      <c r="E18" s="58"/>
      <c r="F18" s="58"/>
      <c r="G18" s="142">
        <v>2</v>
      </c>
      <c r="H18" s="151">
        <v>1</v>
      </c>
      <c r="I18" s="151">
        <v>3</v>
      </c>
      <c r="J18" s="152">
        <f t="shared" si="3"/>
        <v>-1</v>
      </c>
      <c r="K18" s="153">
        <f t="shared" si="3"/>
        <v>-3</v>
      </c>
      <c r="L18" s="137" t="s">
        <v>295</v>
      </c>
      <c r="M18" s="137">
        <f t="shared" si="0"/>
        <v>0.5</v>
      </c>
    </row>
    <row r="19" spans="1:13">
      <c r="A19" s="146" t="s">
        <v>259</v>
      </c>
      <c r="B19" s="146" t="s">
        <v>270</v>
      </c>
      <c r="C19" s="140" t="s">
        <v>257</v>
      </c>
      <c r="D19" s="124"/>
      <c r="E19" s="58"/>
      <c r="F19" s="58"/>
      <c r="G19" s="139">
        <v>1</v>
      </c>
      <c r="H19" s="114">
        <v>1</v>
      </c>
      <c r="I19" s="114">
        <v>1</v>
      </c>
      <c r="J19" s="115">
        <f t="shared" si="3"/>
        <v>-1</v>
      </c>
      <c r="K19" s="116">
        <f t="shared" si="3"/>
        <v>-1</v>
      </c>
      <c r="L19" s="137" t="s">
        <v>299</v>
      </c>
      <c r="M19" s="137">
        <f t="shared" si="0"/>
        <v>0.5</v>
      </c>
    </row>
    <row r="20" spans="1:13">
      <c r="A20" s="59" t="s">
        <v>273</v>
      </c>
      <c r="B20" s="138" t="s">
        <v>261</v>
      </c>
      <c r="C20" s="123" t="s">
        <v>257</v>
      </c>
      <c r="D20" s="124"/>
      <c r="E20" s="59"/>
      <c r="F20" s="59"/>
      <c r="G20" s="197">
        <v>2</v>
      </c>
      <c r="H20" s="109">
        <v>2</v>
      </c>
      <c r="I20" s="109">
        <v>9</v>
      </c>
      <c r="J20" s="86">
        <f>+(6-1)*H20</f>
        <v>10</v>
      </c>
      <c r="K20" s="132">
        <f>+(6-1)*I20</f>
        <v>45</v>
      </c>
      <c r="L20" s="2"/>
      <c r="M20" s="137">
        <f t="shared" si="0"/>
        <v>0.5</v>
      </c>
    </row>
    <row r="21" spans="1:13">
      <c r="A21" s="145" t="s">
        <v>261</v>
      </c>
      <c r="B21" s="58" t="s">
        <v>252</v>
      </c>
      <c r="C21" s="123" t="s">
        <v>272</v>
      </c>
      <c r="D21" s="124"/>
      <c r="E21" s="58"/>
      <c r="F21" s="58"/>
      <c r="G21" s="141">
        <v>1</v>
      </c>
      <c r="H21" s="114">
        <v>1</v>
      </c>
      <c r="I21" s="114">
        <v>2</v>
      </c>
      <c r="J21" s="115">
        <f>(2.5-1)*H21</f>
        <v>1.5</v>
      </c>
      <c r="K21" s="116">
        <f>(2.5-1)*I21</f>
        <v>3</v>
      </c>
      <c r="L21" s="137" t="s">
        <v>278</v>
      </c>
      <c r="M21" s="137">
        <f t="shared" si="0"/>
        <v>0.5</v>
      </c>
    </row>
    <row r="22" spans="1:13">
      <c r="A22" s="145" t="s">
        <v>249</v>
      </c>
      <c r="B22" s="58" t="s">
        <v>273</v>
      </c>
      <c r="C22" s="123" t="s">
        <v>272</v>
      </c>
      <c r="D22" s="124"/>
      <c r="E22" s="58"/>
      <c r="F22" s="58"/>
      <c r="G22" s="141">
        <v>1</v>
      </c>
      <c r="H22" s="114">
        <v>1</v>
      </c>
      <c r="I22" s="114">
        <v>2</v>
      </c>
      <c r="J22" s="115">
        <f>(2.2-1)*H22</f>
        <v>1.2000000000000002</v>
      </c>
      <c r="K22" s="116">
        <f>(2.2-1)*I22</f>
        <v>2.4000000000000004</v>
      </c>
      <c r="L22" s="137" t="s">
        <v>278</v>
      </c>
      <c r="M22" s="137">
        <f t="shared" si="0"/>
        <v>0.5</v>
      </c>
    </row>
    <row r="23" spans="1:13" s="155" customFormat="1" ht="15.75" thickBot="1">
      <c r="A23" s="172" t="s">
        <v>274</v>
      </c>
      <c r="B23" s="172" t="s">
        <v>258</v>
      </c>
      <c r="C23" s="167" t="s">
        <v>272</v>
      </c>
      <c r="D23" s="157"/>
      <c r="G23" s="173">
        <v>2</v>
      </c>
      <c r="H23" s="198">
        <v>2</v>
      </c>
      <c r="I23" s="198">
        <v>5</v>
      </c>
      <c r="J23" s="199">
        <f t="shared" ref="J23:K26" si="4">-H23</f>
        <v>-2</v>
      </c>
      <c r="K23" s="200">
        <f t="shared" si="4"/>
        <v>-5</v>
      </c>
      <c r="L23" s="155" t="s">
        <v>278</v>
      </c>
      <c r="M23" s="137">
        <f t="shared" si="0"/>
        <v>0.5</v>
      </c>
    </row>
    <row r="24" spans="1:13">
      <c r="A24" s="59" t="s">
        <v>259</v>
      </c>
      <c r="B24" s="138" t="s">
        <v>446</v>
      </c>
      <c r="C24" s="123" t="s">
        <v>272</v>
      </c>
      <c r="D24" s="124"/>
      <c r="E24" s="59"/>
      <c r="F24" s="59"/>
      <c r="G24" s="46">
        <v>1</v>
      </c>
      <c r="H24" s="125">
        <v>1</v>
      </c>
      <c r="I24" s="125">
        <v>1</v>
      </c>
      <c r="J24" s="131">
        <f t="shared" si="4"/>
        <v>-1</v>
      </c>
      <c r="K24" s="131">
        <f t="shared" si="4"/>
        <v>-1</v>
      </c>
      <c r="L24" s="2"/>
      <c r="M24" s="137">
        <f t="shared" si="0"/>
        <v>0.5</v>
      </c>
    </row>
    <row r="25" spans="1:13">
      <c r="A25" s="138" t="s">
        <v>276</v>
      </c>
      <c r="B25" s="59" t="s">
        <v>270</v>
      </c>
      <c r="C25" s="123" t="s">
        <v>272</v>
      </c>
      <c r="D25" s="124"/>
      <c r="E25" s="59"/>
      <c r="F25" s="59"/>
      <c r="G25" s="139">
        <v>2</v>
      </c>
      <c r="H25" s="117">
        <v>2</v>
      </c>
      <c r="I25" s="117">
        <v>7</v>
      </c>
      <c r="J25" s="126">
        <f t="shared" si="4"/>
        <v>-2</v>
      </c>
      <c r="K25" s="127">
        <f t="shared" si="4"/>
        <v>-7</v>
      </c>
      <c r="L25" s="2" t="s">
        <v>501</v>
      </c>
      <c r="M25" s="137">
        <f t="shared" si="0"/>
        <v>0.5</v>
      </c>
    </row>
    <row r="26" spans="1:13">
      <c r="A26" s="130" t="s">
        <v>493</v>
      </c>
      <c r="B26" s="130" t="s">
        <v>271</v>
      </c>
      <c r="C26" s="140" t="s">
        <v>272</v>
      </c>
      <c r="D26" s="124"/>
      <c r="E26" s="59"/>
      <c r="F26" s="59"/>
      <c r="G26" s="46">
        <v>2</v>
      </c>
      <c r="H26" s="125">
        <v>1</v>
      </c>
      <c r="I26" s="125">
        <v>2</v>
      </c>
      <c r="J26" s="131">
        <f t="shared" si="4"/>
        <v>-1</v>
      </c>
      <c r="K26" s="131">
        <f t="shared" si="4"/>
        <v>-2</v>
      </c>
      <c r="L26" s="2" t="s">
        <v>503</v>
      </c>
      <c r="M26" s="137">
        <f t="shared" si="0"/>
        <v>0.5</v>
      </c>
    </row>
    <row r="27" spans="1:13">
      <c r="A27" s="138" t="s">
        <v>267</v>
      </c>
      <c r="B27" s="59" t="s">
        <v>277</v>
      </c>
      <c r="C27" s="123" t="s">
        <v>272</v>
      </c>
      <c r="D27" s="124"/>
      <c r="E27" s="59"/>
      <c r="F27" s="59"/>
      <c r="G27" s="54">
        <v>1</v>
      </c>
      <c r="H27" s="125">
        <v>1</v>
      </c>
      <c r="I27" s="125">
        <v>1</v>
      </c>
      <c r="J27" s="131">
        <f>+(2.1-1)*H27</f>
        <v>1.1000000000000001</v>
      </c>
      <c r="K27" s="131">
        <f>+(2.1-1)*I27</f>
        <v>1.1000000000000001</v>
      </c>
      <c r="L27" s="2" t="s">
        <v>496</v>
      </c>
      <c r="M27" s="137">
        <f t="shared" si="0"/>
        <v>0.5</v>
      </c>
    </row>
    <row r="28" spans="1:13">
      <c r="A28" s="138" t="s">
        <v>494</v>
      </c>
      <c r="B28" s="59" t="s">
        <v>495</v>
      </c>
      <c r="C28" s="123" t="s">
        <v>272</v>
      </c>
      <c r="D28" s="124"/>
      <c r="E28" s="59"/>
      <c r="F28" s="59"/>
      <c r="G28" s="54">
        <v>1</v>
      </c>
      <c r="H28" s="125">
        <v>1</v>
      </c>
      <c r="I28" s="125">
        <v>1</v>
      </c>
      <c r="J28" s="131">
        <f>+(1.91-1)*H28</f>
        <v>0.90999999999999992</v>
      </c>
      <c r="K28" s="131">
        <f>+(1.91-1)*I28</f>
        <v>0.90999999999999992</v>
      </c>
      <c r="L28" s="2"/>
      <c r="M28" s="137">
        <f t="shared" si="0"/>
        <v>0.5</v>
      </c>
    </row>
    <row r="29" spans="1:13">
      <c r="A29" s="130" t="s">
        <v>277</v>
      </c>
      <c r="B29" s="130" t="s">
        <v>252</v>
      </c>
      <c r="C29" s="123">
        <v>1</v>
      </c>
      <c r="D29" s="124">
        <v>2.2000000000000002</v>
      </c>
      <c r="E29" s="59">
        <v>1</v>
      </c>
      <c r="F29" s="59">
        <f>-E29</f>
        <v>-1</v>
      </c>
      <c r="G29" s="139">
        <v>2</v>
      </c>
      <c r="H29" s="117">
        <v>2</v>
      </c>
      <c r="I29" s="117">
        <v>5</v>
      </c>
      <c r="J29" s="126">
        <f t="shared" ref="J29:K33" si="5">-H29</f>
        <v>-2</v>
      </c>
      <c r="K29" s="127">
        <f t="shared" si="5"/>
        <v>-5</v>
      </c>
      <c r="L29" s="2" t="s">
        <v>443</v>
      </c>
      <c r="M29" s="137">
        <f t="shared" si="0"/>
        <v>0</v>
      </c>
    </row>
    <row r="30" spans="1:13">
      <c r="A30" s="138" t="s">
        <v>249</v>
      </c>
      <c r="B30" s="59" t="s">
        <v>259</v>
      </c>
      <c r="C30" s="140">
        <v>1</v>
      </c>
      <c r="D30" s="124">
        <v>2.1</v>
      </c>
      <c r="E30" s="59">
        <v>0.75</v>
      </c>
      <c r="F30" s="58">
        <f>+(D30-1)*E30</f>
        <v>0.82500000000000007</v>
      </c>
      <c r="G30" s="12">
        <v>2</v>
      </c>
      <c r="H30" s="109">
        <v>1</v>
      </c>
      <c r="I30" s="109">
        <v>2</v>
      </c>
      <c r="J30" s="86">
        <f t="shared" si="5"/>
        <v>-1</v>
      </c>
      <c r="K30" s="86">
        <f t="shared" si="5"/>
        <v>-2</v>
      </c>
      <c r="L30" s="2" t="s">
        <v>500</v>
      </c>
      <c r="M30" s="137">
        <f t="shared" si="0"/>
        <v>0</v>
      </c>
    </row>
    <row r="31" spans="1:13">
      <c r="A31" s="138" t="s">
        <v>274</v>
      </c>
      <c r="B31" s="59" t="s">
        <v>268</v>
      </c>
      <c r="C31" s="140">
        <v>1</v>
      </c>
      <c r="D31" s="124">
        <v>1.55</v>
      </c>
      <c r="E31" s="59">
        <v>2.25</v>
      </c>
      <c r="F31" s="58">
        <f>+(D31-1)*E31</f>
        <v>1.2375</v>
      </c>
      <c r="G31" s="46">
        <v>2</v>
      </c>
      <c r="H31" s="125">
        <v>2</v>
      </c>
      <c r="I31" s="125">
        <v>8</v>
      </c>
      <c r="J31" s="131">
        <f t="shared" si="5"/>
        <v>-2</v>
      </c>
      <c r="K31" s="131">
        <f t="shared" si="5"/>
        <v>-8</v>
      </c>
      <c r="L31" s="2" t="s">
        <v>497</v>
      </c>
      <c r="M31" s="137">
        <f t="shared" si="0"/>
        <v>0</v>
      </c>
    </row>
    <row r="32" spans="1:13">
      <c r="A32" s="138" t="s">
        <v>248</v>
      </c>
      <c r="B32" s="59" t="s">
        <v>266</v>
      </c>
      <c r="C32" s="140">
        <v>1</v>
      </c>
      <c r="D32" s="124">
        <v>1.44</v>
      </c>
      <c r="E32" s="59">
        <v>1.75</v>
      </c>
      <c r="F32" s="58">
        <f>+(D32-1)*E32</f>
        <v>0.76999999999999991</v>
      </c>
      <c r="G32" s="46">
        <v>2</v>
      </c>
      <c r="H32" s="125">
        <v>1</v>
      </c>
      <c r="I32" s="125">
        <v>2</v>
      </c>
      <c r="J32" s="131">
        <f t="shared" si="5"/>
        <v>-1</v>
      </c>
      <c r="K32" s="131">
        <f t="shared" si="5"/>
        <v>-2</v>
      </c>
      <c r="L32" s="2" t="s">
        <v>499</v>
      </c>
      <c r="M32" s="137">
        <f t="shared" si="0"/>
        <v>0</v>
      </c>
    </row>
    <row r="33" spans="1:13">
      <c r="A33" s="58" t="s">
        <v>277</v>
      </c>
      <c r="B33" s="145" t="s">
        <v>264</v>
      </c>
      <c r="C33" s="140">
        <v>2</v>
      </c>
      <c r="D33" s="124">
        <v>4.33</v>
      </c>
      <c r="E33" s="58">
        <v>0.75</v>
      </c>
      <c r="F33" s="58">
        <f>+(D33-1)*E33</f>
        <v>2.4975000000000001</v>
      </c>
      <c r="G33" s="46">
        <v>1</v>
      </c>
      <c r="H33" s="174">
        <v>1</v>
      </c>
      <c r="I33" s="174">
        <v>3</v>
      </c>
      <c r="J33" s="175">
        <f t="shared" si="5"/>
        <v>-1</v>
      </c>
      <c r="K33" s="175">
        <f t="shared" si="5"/>
        <v>-3</v>
      </c>
      <c r="L33" s="137" t="s">
        <v>296</v>
      </c>
      <c r="M33" s="137">
        <f t="shared" si="0"/>
        <v>0</v>
      </c>
    </row>
    <row r="34" spans="1:13">
      <c r="C34" s="17" t="s">
        <v>250</v>
      </c>
      <c r="D34" s="17" t="s">
        <v>294</v>
      </c>
      <c r="E34" s="18" t="s">
        <v>251</v>
      </c>
      <c r="F34" s="18" t="s">
        <v>293</v>
      </c>
      <c r="G34" s="18" t="s">
        <v>303</v>
      </c>
      <c r="H34" s="18" t="s">
        <v>304</v>
      </c>
      <c r="I34" s="18" t="s">
        <v>314</v>
      </c>
      <c r="J34" s="18"/>
      <c r="K34" s="18"/>
      <c r="L34" s="137" t="s">
        <v>305</v>
      </c>
    </row>
    <row r="36" spans="1:13">
      <c r="E36" s="137">
        <f>SUM(E2:E34)</f>
        <v>25.75</v>
      </c>
      <c r="F36" s="102">
        <f>SUM(F2:F34)</f>
        <v>-0.79999999999999893</v>
      </c>
      <c r="G36" s="18"/>
      <c r="H36" s="82">
        <f t="shared" ref="H36:K36" si="6">SUM(H2:H34)</f>
        <v>55</v>
      </c>
      <c r="I36" s="82">
        <f t="shared" si="6"/>
        <v>184</v>
      </c>
      <c r="J36" s="102">
        <f t="shared" si="6"/>
        <v>-9.4999999999999964</v>
      </c>
      <c r="K36" s="102">
        <f t="shared" si="6"/>
        <v>-9.1299999999999937</v>
      </c>
    </row>
    <row r="37" spans="1:13">
      <c r="F37" s="101">
        <f>+F36/E36</f>
        <v>-3.1067961165048501E-2</v>
      </c>
      <c r="J37" s="101">
        <f>+J36/H36</f>
        <v>-0.17272727272727267</v>
      </c>
      <c r="K37" s="101">
        <f>+K36/I36</f>
        <v>-4.9619565217391269E-2</v>
      </c>
    </row>
  </sheetData>
  <sortState ref="A1:M34">
    <sortCondition descending="1" ref="M1:M34"/>
    <sortCondition ref="C1:C34"/>
  </sortState>
  <pageMargins left="0.7" right="0.7" top="0.75" bottom="0.75" header="0.3" footer="0.3"/>
</worksheet>
</file>

<file path=xl/worksheets/sheet58.xml><?xml version="1.0" encoding="utf-8"?>
<worksheet xmlns="http://schemas.openxmlformats.org/spreadsheetml/2006/main" xmlns:r="http://schemas.openxmlformats.org/officeDocument/2006/relationships">
  <sheetPr codeName="Hoja44"/>
  <dimension ref="A1:L44"/>
  <sheetViews>
    <sheetView topLeftCell="A19" workbookViewId="0">
      <selection activeCell="R54" sqref="R54"/>
    </sheetView>
  </sheetViews>
  <sheetFormatPr baseColWidth="10" defaultRowHeight="15"/>
  <cols>
    <col min="7" max="7" width="3.5703125" customWidth="1"/>
    <col min="8" max="8" width="3.28515625" customWidth="1"/>
    <col min="9" max="9" width="4.5703125" customWidth="1"/>
    <col min="10" max="10" width="5.28515625" bestFit="1" customWidth="1"/>
    <col min="11" max="11" width="6.28515625" bestFit="1" customWidth="1"/>
  </cols>
  <sheetData>
    <row r="1" spans="1:12">
      <c r="A1" s="137"/>
      <c r="B1" s="137"/>
      <c r="C1" s="17" t="s">
        <v>250</v>
      </c>
      <c r="D1" s="17" t="s">
        <v>294</v>
      </c>
      <c r="E1" s="18" t="s">
        <v>251</v>
      </c>
      <c r="F1" s="18" t="s">
        <v>293</v>
      </c>
      <c r="G1" s="18" t="s">
        <v>303</v>
      </c>
      <c r="H1" s="18" t="s">
        <v>304</v>
      </c>
      <c r="I1" s="18" t="s">
        <v>314</v>
      </c>
      <c r="J1" s="18"/>
      <c r="K1" s="18"/>
      <c r="L1" s="137" t="s">
        <v>305</v>
      </c>
    </row>
    <row r="2" spans="1:12">
      <c r="A2" s="99" t="s">
        <v>181</v>
      </c>
      <c r="B2" s="137" t="s">
        <v>62</v>
      </c>
      <c r="C2" s="104" t="s">
        <v>256</v>
      </c>
      <c r="D2" s="104"/>
      <c r="E2" s="137"/>
      <c r="F2" s="137"/>
      <c r="G2" s="12">
        <v>2</v>
      </c>
      <c r="H2" s="67">
        <v>2</v>
      </c>
      <c r="I2" s="67">
        <v>9</v>
      </c>
      <c r="J2" s="41">
        <f t="shared" ref="J2:K4" si="0">-H2</f>
        <v>-2</v>
      </c>
      <c r="K2" s="41">
        <f t="shared" si="0"/>
        <v>-9</v>
      </c>
      <c r="L2" s="137" t="s">
        <v>306</v>
      </c>
    </row>
    <row r="3" spans="1:12">
      <c r="A3" s="145" t="s">
        <v>15</v>
      </c>
      <c r="B3" s="58" t="s">
        <v>3</v>
      </c>
      <c r="C3" s="123" t="s">
        <v>272</v>
      </c>
      <c r="D3" s="124"/>
      <c r="E3" s="58"/>
      <c r="F3" s="58"/>
      <c r="G3" s="12">
        <v>2</v>
      </c>
      <c r="H3" s="67">
        <v>1</v>
      </c>
      <c r="I3" s="67">
        <v>3</v>
      </c>
      <c r="J3" s="41">
        <f t="shared" si="0"/>
        <v>-1</v>
      </c>
      <c r="K3" s="41">
        <f t="shared" si="0"/>
        <v>-3</v>
      </c>
      <c r="L3" s="137" t="s">
        <v>307</v>
      </c>
    </row>
    <row r="4" spans="1:12">
      <c r="A4" s="146" t="s">
        <v>1</v>
      </c>
      <c r="B4" s="146" t="s">
        <v>26</v>
      </c>
      <c r="C4" s="123">
        <v>2</v>
      </c>
      <c r="D4" s="124">
        <v>2.88</v>
      </c>
      <c r="E4" s="58">
        <v>2</v>
      </c>
      <c r="F4" s="58">
        <f>-E4</f>
        <v>-2</v>
      </c>
      <c r="G4" s="139">
        <v>2</v>
      </c>
      <c r="H4" s="114">
        <v>2</v>
      </c>
      <c r="I4" s="114">
        <v>9</v>
      </c>
      <c r="J4" s="115">
        <f t="shared" si="0"/>
        <v>-2</v>
      </c>
      <c r="K4" s="116">
        <f t="shared" si="0"/>
        <v>-9</v>
      </c>
      <c r="L4" s="137"/>
    </row>
    <row r="5" spans="1:12">
      <c r="A5" s="58" t="s">
        <v>5</v>
      </c>
      <c r="B5" s="145" t="s">
        <v>308</v>
      </c>
      <c r="C5" s="140">
        <v>2</v>
      </c>
      <c r="D5" s="124">
        <v>1.36</v>
      </c>
      <c r="E5" s="58">
        <v>2.25</v>
      </c>
      <c r="F5" s="58">
        <f>+(D5-1)*E5</f>
        <v>0.81000000000000028</v>
      </c>
      <c r="G5" s="141">
        <v>2</v>
      </c>
      <c r="H5" s="114">
        <v>2</v>
      </c>
      <c r="I5" s="114">
        <v>8</v>
      </c>
      <c r="J5" s="115">
        <f>(1.36-1)*H5</f>
        <v>0.7200000000000002</v>
      </c>
      <c r="K5" s="116">
        <f>(1.36-1)*I5</f>
        <v>2.8800000000000008</v>
      </c>
      <c r="L5" s="137" t="s">
        <v>309</v>
      </c>
    </row>
    <row r="6" spans="1:12">
      <c r="A6" s="145" t="s">
        <v>2</v>
      </c>
      <c r="B6" s="58" t="s">
        <v>0</v>
      </c>
      <c r="C6" s="123" t="s">
        <v>257</v>
      </c>
      <c r="D6" s="124"/>
      <c r="E6" s="58"/>
      <c r="F6" s="58"/>
      <c r="G6" s="4">
        <v>1</v>
      </c>
      <c r="H6" s="67">
        <v>1</v>
      </c>
      <c r="I6" s="67">
        <v>4</v>
      </c>
      <c r="J6" s="41">
        <f>(2.3-1)*H6</f>
        <v>1.2999999999999998</v>
      </c>
      <c r="K6" s="41">
        <f>(2.3-1)*I6</f>
        <v>5.1999999999999993</v>
      </c>
      <c r="L6" s="137" t="s">
        <v>310</v>
      </c>
    </row>
    <row r="7" spans="1:12">
      <c r="A7" s="145" t="s">
        <v>28</v>
      </c>
      <c r="B7" s="58" t="s">
        <v>73</v>
      </c>
      <c r="C7" s="140">
        <v>1</v>
      </c>
      <c r="D7" s="124">
        <v>2.4</v>
      </c>
      <c r="E7" s="58">
        <v>1.5</v>
      </c>
      <c r="F7" s="58">
        <f>+(D7-1)*E7</f>
        <v>2.0999999999999996</v>
      </c>
      <c r="G7" s="141">
        <v>1</v>
      </c>
      <c r="H7" s="114">
        <v>2</v>
      </c>
      <c r="I7" s="114">
        <v>5</v>
      </c>
      <c r="J7" s="115">
        <f>(2.4-1)*H7</f>
        <v>2.8</v>
      </c>
      <c r="K7" s="116">
        <f>(2.4-1)*I7</f>
        <v>7</v>
      </c>
      <c r="L7" s="137"/>
    </row>
    <row r="8" spans="1:12">
      <c r="A8" s="145" t="s">
        <v>47</v>
      </c>
      <c r="B8" s="58" t="s">
        <v>134</v>
      </c>
      <c r="C8" s="123" t="s">
        <v>272</v>
      </c>
      <c r="D8" s="124"/>
      <c r="E8" s="58"/>
      <c r="F8" s="58"/>
      <c r="G8" s="12">
        <v>2</v>
      </c>
      <c r="H8" s="67">
        <v>1</v>
      </c>
      <c r="I8" s="67">
        <v>3</v>
      </c>
      <c r="J8" s="41">
        <f t="shared" ref="J8:K10" si="1">-H8</f>
        <v>-1</v>
      </c>
      <c r="K8" s="41">
        <f t="shared" si="1"/>
        <v>-3</v>
      </c>
      <c r="L8" s="137" t="s">
        <v>311</v>
      </c>
    </row>
    <row r="9" spans="1:12">
      <c r="A9" s="58" t="s">
        <v>27</v>
      </c>
      <c r="B9" s="145" t="s">
        <v>4</v>
      </c>
      <c r="C9" s="140">
        <v>2</v>
      </c>
      <c r="D9" s="124">
        <v>3.2</v>
      </c>
      <c r="E9" s="58">
        <v>1.5</v>
      </c>
      <c r="F9" s="58">
        <f>+(D9-1)*E9</f>
        <v>3.3000000000000003</v>
      </c>
      <c r="G9" s="12">
        <v>1</v>
      </c>
      <c r="H9" s="67">
        <v>1</v>
      </c>
      <c r="I9" s="67">
        <v>1</v>
      </c>
      <c r="J9" s="41">
        <f t="shared" si="1"/>
        <v>-1</v>
      </c>
      <c r="K9" s="41">
        <f t="shared" si="1"/>
        <v>-1</v>
      </c>
      <c r="L9" s="137" t="s">
        <v>315</v>
      </c>
    </row>
    <row r="10" spans="1:12">
      <c r="A10" s="146" t="s">
        <v>239</v>
      </c>
      <c r="B10" s="146" t="s">
        <v>67</v>
      </c>
      <c r="C10" s="123">
        <v>1</v>
      </c>
      <c r="D10" s="124">
        <v>1.18</v>
      </c>
      <c r="E10" s="58">
        <v>1.75</v>
      </c>
      <c r="F10" s="58">
        <f>-E10</f>
        <v>-1.75</v>
      </c>
      <c r="G10" s="139">
        <v>1</v>
      </c>
      <c r="H10" s="114">
        <v>1</v>
      </c>
      <c r="I10" s="114">
        <v>2</v>
      </c>
      <c r="J10" s="115">
        <f t="shared" si="1"/>
        <v>-1</v>
      </c>
      <c r="K10" s="116">
        <f t="shared" si="1"/>
        <v>-2</v>
      </c>
      <c r="L10" s="137" t="s">
        <v>312</v>
      </c>
    </row>
    <row r="11" spans="1:12" s="155" customFormat="1" ht="15.75" thickBot="1">
      <c r="A11" s="154" t="s">
        <v>16</v>
      </c>
      <c r="B11" s="155" t="s">
        <v>10</v>
      </c>
      <c r="C11" s="157" t="s">
        <v>256</v>
      </c>
      <c r="D11" s="157"/>
      <c r="G11" s="205">
        <v>1</v>
      </c>
      <c r="H11" s="198">
        <v>1</v>
      </c>
      <c r="I11" s="198">
        <v>2</v>
      </c>
      <c r="J11" s="199">
        <f>(1.62-1)*H11</f>
        <v>0.62000000000000011</v>
      </c>
      <c r="K11" s="199">
        <f>(1.62-1)*I11</f>
        <v>1.2400000000000002</v>
      </c>
      <c r="L11" s="155" t="s">
        <v>313</v>
      </c>
    </row>
    <row r="12" spans="1:12">
      <c r="A12" s="100" t="s">
        <v>26</v>
      </c>
      <c r="B12" s="100" t="s">
        <v>181</v>
      </c>
      <c r="C12" s="16" t="s">
        <v>272</v>
      </c>
      <c r="D12" s="104"/>
      <c r="E12" s="2"/>
      <c r="F12" s="2"/>
      <c r="G12" s="12">
        <v>2</v>
      </c>
      <c r="H12" s="109">
        <v>1</v>
      </c>
      <c r="I12" s="67">
        <v>1</v>
      </c>
      <c r="J12" s="41">
        <f>-H12</f>
        <v>-1</v>
      </c>
      <c r="K12" s="41">
        <f>-I12</f>
        <v>-1</v>
      </c>
      <c r="L12" s="137"/>
    </row>
    <row r="13" spans="1:12">
      <c r="A13" s="145" t="s">
        <v>308</v>
      </c>
      <c r="B13" s="58" t="s">
        <v>15</v>
      </c>
      <c r="C13" s="140">
        <v>1</v>
      </c>
      <c r="D13" s="124">
        <v>1.05</v>
      </c>
      <c r="E13" s="59">
        <v>3</v>
      </c>
      <c r="F13" s="58">
        <f>+(D13-1)*E13</f>
        <v>0.15000000000000013</v>
      </c>
      <c r="G13" s="141">
        <v>1</v>
      </c>
      <c r="H13" s="117">
        <v>3</v>
      </c>
      <c r="I13" s="114">
        <v>12</v>
      </c>
      <c r="J13" s="115">
        <f>+(1.05-1)*H13</f>
        <v>0.15000000000000013</v>
      </c>
      <c r="K13" s="116">
        <f>+(1.05-1)*I13</f>
        <v>0.60000000000000053</v>
      </c>
      <c r="L13" s="137"/>
    </row>
    <row r="14" spans="1:12">
      <c r="A14" s="145" t="s">
        <v>134</v>
      </c>
      <c r="B14" s="58" t="s">
        <v>27</v>
      </c>
      <c r="C14" s="123" t="s">
        <v>272</v>
      </c>
      <c r="D14" s="124"/>
      <c r="E14" s="59"/>
      <c r="F14" s="59"/>
      <c r="G14" s="12">
        <v>2</v>
      </c>
      <c r="H14" s="109">
        <v>2</v>
      </c>
      <c r="I14" s="67">
        <v>6</v>
      </c>
      <c r="J14" s="41">
        <f>-H14</f>
        <v>-2</v>
      </c>
      <c r="K14" s="41">
        <f>-I14</f>
        <v>-6</v>
      </c>
      <c r="L14" s="137" t="s">
        <v>389</v>
      </c>
    </row>
    <row r="15" spans="1:12">
      <c r="A15" s="58" t="s">
        <v>62</v>
      </c>
      <c r="B15" s="145" t="s">
        <v>28</v>
      </c>
      <c r="C15" s="140">
        <v>2</v>
      </c>
      <c r="D15" s="124">
        <v>3.75</v>
      </c>
      <c r="E15" s="59">
        <v>1</v>
      </c>
      <c r="F15" s="58">
        <f>+(D15-1)*E15</f>
        <v>2.75</v>
      </c>
      <c r="G15" s="141">
        <v>2</v>
      </c>
      <c r="H15" s="117">
        <v>2</v>
      </c>
      <c r="I15" s="114">
        <v>9</v>
      </c>
      <c r="J15" s="115">
        <f>+(3.75-1)*H15</f>
        <v>5.5</v>
      </c>
      <c r="K15" s="116">
        <f>+(3.75-1)*I15</f>
        <v>24.75</v>
      </c>
      <c r="L15" s="137" t="s">
        <v>390</v>
      </c>
    </row>
    <row r="16" spans="1:12">
      <c r="A16" s="58" t="s">
        <v>3</v>
      </c>
      <c r="B16" s="145" t="s">
        <v>47</v>
      </c>
      <c r="C16" s="140">
        <v>2</v>
      </c>
      <c r="D16" s="124">
        <v>3</v>
      </c>
      <c r="E16" s="59">
        <v>1.5</v>
      </c>
      <c r="F16" s="58">
        <f>+(D16-1)*E16</f>
        <v>3</v>
      </c>
      <c r="G16" s="144">
        <v>2</v>
      </c>
      <c r="H16" s="119">
        <v>3</v>
      </c>
      <c r="I16" s="120">
        <v>10</v>
      </c>
      <c r="J16" s="121">
        <f>+(3-1)*H16</f>
        <v>6</v>
      </c>
      <c r="K16" s="122">
        <f>+(3-1)*I16</f>
        <v>20</v>
      </c>
      <c r="L16" s="137"/>
    </row>
    <row r="17" spans="1:12">
      <c r="A17" s="58" t="s">
        <v>4</v>
      </c>
      <c r="B17" s="145" t="s">
        <v>1</v>
      </c>
      <c r="C17" s="123">
        <v>1</v>
      </c>
      <c r="D17" s="124">
        <v>1.29</v>
      </c>
      <c r="E17" s="59">
        <v>2.5</v>
      </c>
      <c r="F17" s="59">
        <f>-E17</f>
        <v>-2.5</v>
      </c>
      <c r="G17" s="139">
        <v>1</v>
      </c>
      <c r="H17" s="117">
        <v>2</v>
      </c>
      <c r="I17" s="114">
        <v>6</v>
      </c>
      <c r="J17" s="115">
        <f t="shared" ref="J17:K18" si="2">-H17</f>
        <v>-2</v>
      </c>
      <c r="K17" s="116">
        <f t="shared" si="2"/>
        <v>-6</v>
      </c>
      <c r="L17" s="137"/>
    </row>
    <row r="18" spans="1:12">
      <c r="A18" s="146" t="s">
        <v>73</v>
      </c>
      <c r="B18" s="146" t="s">
        <v>239</v>
      </c>
      <c r="C18" s="123">
        <v>2</v>
      </c>
      <c r="D18" s="124">
        <v>1.33</v>
      </c>
      <c r="E18" s="59">
        <v>3</v>
      </c>
      <c r="F18" s="59">
        <f>-E18</f>
        <v>-3</v>
      </c>
      <c r="G18" s="139">
        <v>2</v>
      </c>
      <c r="H18" s="117">
        <v>3</v>
      </c>
      <c r="I18" s="114">
        <v>17</v>
      </c>
      <c r="J18" s="115">
        <f t="shared" si="2"/>
        <v>-3</v>
      </c>
      <c r="K18" s="116">
        <f t="shared" si="2"/>
        <v>-17</v>
      </c>
      <c r="L18" s="137"/>
    </row>
    <row r="19" spans="1:12">
      <c r="A19" s="58" t="s">
        <v>10</v>
      </c>
      <c r="B19" s="145" t="s">
        <v>5</v>
      </c>
      <c r="C19" s="140">
        <v>2</v>
      </c>
      <c r="D19" s="124">
        <v>2.25</v>
      </c>
      <c r="E19" s="59">
        <v>2</v>
      </c>
      <c r="F19" s="58">
        <f>+(D19-1)*E19</f>
        <v>2.5</v>
      </c>
      <c r="G19" s="141">
        <v>2</v>
      </c>
      <c r="H19" s="117">
        <v>2</v>
      </c>
      <c r="I19" s="114">
        <v>9</v>
      </c>
      <c r="J19" s="115">
        <f>+(2.25-1)*H19</f>
        <v>2.5</v>
      </c>
      <c r="K19" s="116">
        <f>+(2.25-1)*I19</f>
        <v>11.25</v>
      </c>
      <c r="L19" s="137"/>
    </row>
    <row r="20" spans="1:12">
      <c r="A20" s="146" t="s">
        <v>0</v>
      </c>
      <c r="B20" s="146" t="s">
        <v>16</v>
      </c>
      <c r="C20" s="123">
        <v>2</v>
      </c>
      <c r="D20" s="124">
        <v>3.75</v>
      </c>
      <c r="E20" s="59">
        <v>1.25</v>
      </c>
      <c r="F20" s="59">
        <f>-E20</f>
        <v>-1.25</v>
      </c>
      <c r="G20" s="147">
        <v>2</v>
      </c>
      <c r="H20" s="119">
        <v>2</v>
      </c>
      <c r="I20" s="120">
        <v>7</v>
      </c>
      <c r="J20" s="121">
        <f>-H20</f>
        <v>-2</v>
      </c>
      <c r="K20" s="122">
        <f>-I20</f>
        <v>-7</v>
      </c>
      <c r="L20" s="137" t="s">
        <v>391</v>
      </c>
    </row>
    <row r="21" spans="1:12" s="155" customFormat="1" ht="15.75" thickBot="1">
      <c r="A21" s="172" t="s">
        <v>67</v>
      </c>
      <c r="B21" s="172" t="s">
        <v>2</v>
      </c>
      <c r="C21" s="156" t="s">
        <v>272</v>
      </c>
      <c r="D21" s="157"/>
      <c r="E21" s="162"/>
      <c r="F21" s="162"/>
      <c r="G21" s="205">
        <v>1</v>
      </c>
      <c r="H21" s="169">
        <v>1</v>
      </c>
      <c r="I21" s="198">
        <v>1</v>
      </c>
      <c r="J21" s="199">
        <f>+(1.73-1)*H21</f>
        <v>0.73</v>
      </c>
      <c r="K21" s="199">
        <f>+(1.73-1)*I21</f>
        <v>0.73</v>
      </c>
    </row>
    <row r="22" spans="1:12">
      <c r="A22" s="59" t="s">
        <v>47</v>
      </c>
      <c r="B22" s="138" t="s">
        <v>308</v>
      </c>
      <c r="C22" s="140">
        <v>2</v>
      </c>
      <c r="D22" s="124">
        <v>1.22</v>
      </c>
      <c r="E22" s="59">
        <v>2.5</v>
      </c>
      <c r="F22" s="58">
        <f>+(D22-1)*E22</f>
        <v>0.54999999999999993</v>
      </c>
      <c r="G22" s="141">
        <v>2</v>
      </c>
      <c r="H22" s="117">
        <v>2</v>
      </c>
      <c r="I22" s="117">
        <v>5</v>
      </c>
      <c r="J22" s="126">
        <f>+(1.22-1)*H22</f>
        <v>0.43999999999999995</v>
      </c>
      <c r="K22" s="127">
        <f>+(1.22-1)*I22</f>
        <v>1.0999999999999999</v>
      </c>
      <c r="L22" s="2"/>
    </row>
    <row r="23" spans="1:12">
      <c r="A23" s="138" t="s">
        <v>239</v>
      </c>
      <c r="B23" s="59" t="s">
        <v>62</v>
      </c>
      <c r="C23" s="140">
        <v>1</v>
      </c>
      <c r="D23" s="124">
        <v>1.1299999999999999</v>
      </c>
      <c r="E23" s="59">
        <v>3</v>
      </c>
      <c r="F23" s="58">
        <f>+(D23-1)*E23</f>
        <v>0.38999999999999968</v>
      </c>
      <c r="G23" s="141">
        <v>1</v>
      </c>
      <c r="H23" s="117">
        <v>2</v>
      </c>
      <c r="I23" s="117">
        <v>9</v>
      </c>
      <c r="J23" s="126">
        <f>+(1.13-1)*H23</f>
        <v>0.25999999999999979</v>
      </c>
      <c r="K23" s="127">
        <f>+(1.13-1)*I23</f>
        <v>1.169999999999999</v>
      </c>
      <c r="L23" s="2"/>
    </row>
    <row r="24" spans="1:12">
      <c r="A24" s="138" t="s">
        <v>181</v>
      </c>
      <c r="B24" s="59" t="s">
        <v>4</v>
      </c>
      <c r="C24" s="123">
        <v>2</v>
      </c>
      <c r="D24" s="124">
        <v>2.5</v>
      </c>
      <c r="E24" s="59">
        <v>0.75</v>
      </c>
      <c r="F24" s="59">
        <f>-E24</f>
        <v>-0.75</v>
      </c>
      <c r="G24" s="4">
        <v>1</v>
      </c>
      <c r="H24" s="109">
        <v>1</v>
      </c>
      <c r="I24" s="109">
        <v>1</v>
      </c>
      <c r="J24" s="86">
        <f>+(2.88-1)*H24</f>
        <v>1.88</v>
      </c>
      <c r="K24" s="86">
        <f>+(2.88-1)*I24</f>
        <v>1.88</v>
      </c>
      <c r="L24" s="2" t="s">
        <v>458</v>
      </c>
    </row>
    <row r="25" spans="1:12">
      <c r="A25" s="138" t="s">
        <v>1</v>
      </c>
      <c r="B25" s="59" t="s">
        <v>134</v>
      </c>
      <c r="C25" s="123">
        <v>2</v>
      </c>
      <c r="D25" s="124">
        <v>1.8</v>
      </c>
      <c r="E25" s="59">
        <v>0.75</v>
      </c>
      <c r="F25" s="59">
        <f>-E25</f>
        <v>-0.75</v>
      </c>
      <c r="G25" s="139">
        <v>2</v>
      </c>
      <c r="H25" s="117">
        <v>1</v>
      </c>
      <c r="I25" s="117">
        <v>3</v>
      </c>
      <c r="J25" s="126">
        <f>-H25</f>
        <v>-1</v>
      </c>
      <c r="K25" s="127">
        <f>-I25</f>
        <v>-3</v>
      </c>
      <c r="L25" s="2" t="s">
        <v>459</v>
      </c>
    </row>
    <row r="26" spans="1:12">
      <c r="A26" s="59" t="s">
        <v>16</v>
      </c>
      <c r="B26" s="138" t="s">
        <v>67</v>
      </c>
      <c r="C26" s="124" t="s">
        <v>256</v>
      </c>
      <c r="D26" s="124"/>
      <c r="E26" s="59"/>
      <c r="F26" s="59"/>
      <c r="G26" s="4">
        <v>2</v>
      </c>
      <c r="H26" s="109">
        <v>2</v>
      </c>
      <c r="I26" s="109">
        <v>9</v>
      </c>
      <c r="J26" s="86">
        <f>+(2.88-1)*H26</f>
        <v>3.76</v>
      </c>
      <c r="K26" s="86">
        <f>+(2.88-1)*I26</f>
        <v>16.919999999999998</v>
      </c>
      <c r="L26" s="2"/>
    </row>
    <row r="27" spans="1:12">
      <c r="A27" s="59" t="s">
        <v>28</v>
      </c>
      <c r="B27" s="138" t="s">
        <v>26</v>
      </c>
      <c r="C27" s="123">
        <v>1</v>
      </c>
      <c r="D27" s="124">
        <v>2.1</v>
      </c>
      <c r="E27" s="59">
        <v>2</v>
      </c>
      <c r="F27" s="59">
        <f>-E27</f>
        <v>-2</v>
      </c>
      <c r="G27" s="139">
        <v>1</v>
      </c>
      <c r="H27" s="117">
        <v>1</v>
      </c>
      <c r="I27" s="117">
        <v>2</v>
      </c>
      <c r="J27" s="126">
        <f t="shared" ref="J27:K30" si="3">-H27</f>
        <v>-1</v>
      </c>
      <c r="K27" s="127">
        <f t="shared" si="3"/>
        <v>-2</v>
      </c>
      <c r="L27" s="2"/>
    </row>
    <row r="28" spans="1:12">
      <c r="A28" s="112" t="s">
        <v>27</v>
      </c>
      <c r="B28" s="112" t="s">
        <v>3</v>
      </c>
      <c r="C28" s="16" t="s">
        <v>257</v>
      </c>
      <c r="D28" s="104"/>
      <c r="E28" s="2"/>
      <c r="F28" s="2"/>
      <c r="G28" s="12">
        <v>2</v>
      </c>
      <c r="H28" s="109">
        <v>1</v>
      </c>
      <c r="I28" s="109">
        <v>1</v>
      </c>
      <c r="J28" s="86">
        <f t="shared" si="3"/>
        <v>-1</v>
      </c>
      <c r="K28" s="86">
        <f t="shared" si="3"/>
        <v>-1</v>
      </c>
      <c r="L28" s="2"/>
    </row>
    <row r="29" spans="1:12">
      <c r="A29" s="2" t="s">
        <v>2</v>
      </c>
      <c r="B29" s="96" t="s">
        <v>73</v>
      </c>
      <c r="C29" s="104" t="s">
        <v>256</v>
      </c>
      <c r="D29" s="104"/>
      <c r="E29" s="2"/>
      <c r="F29" s="2"/>
      <c r="G29" s="12">
        <v>1</v>
      </c>
      <c r="H29" s="109">
        <v>1</v>
      </c>
      <c r="I29" s="109">
        <v>4</v>
      </c>
      <c r="J29" s="86">
        <f t="shared" si="3"/>
        <v>-1</v>
      </c>
      <c r="K29" s="86">
        <f t="shared" si="3"/>
        <v>-4</v>
      </c>
      <c r="L29" s="2"/>
    </row>
    <row r="30" spans="1:12">
      <c r="A30" s="112" t="s">
        <v>0</v>
      </c>
      <c r="B30" s="112" t="s">
        <v>10</v>
      </c>
      <c r="C30" s="16" t="s">
        <v>272</v>
      </c>
      <c r="D30" s="104"/>
      <c r="E30" s="2"/>
      <c r="F30" s="2"/>
      <c r="G30" s="12">
        <v>1</v>
      </c>
      <c r="H30" s="109">
        <v>1</v>
      </c>
      <c r="I30" s="109">
        <v>1</v>
      </c>
      <c r="J30" s="86">
        <f t="shared" si="3"/>
        <v>-1</v>
      </c>
      <c r="K30" s="86">
        <f t="shared" si="3"/>
        <v>-1</v>
      </c>
      <c r="L30" s="2"/>
    </row>
    <row r="31" spans="1:12" s="155" customFormat="1" ht="15.75" thickBot="1">
      <c r="A31" s="162" t="s">
        <v>15</v>
      </c>
      <c r="B31" s="163" t="s">
        <v>5</v>
      </c>
      <c r="C31" s="157" t="s">
        <v>256</v>
      </c>
      <c r="D31" s="157"/>
      <c r="E31" s="162"/>
      <c r="F31" s="162"/>
      <c r="G31" s="205">
        <v>2</v>
      </c>
      <c r="H31" s="169">
        <v>2</v>
      </c>
      <c r="I31" s="169">
        <v>7</v>
      </c>
      <c r="J31" s="170">
        <f>+(2.5-1)*H31</f>
        <v>3</v>
      </c>
      <c r="K31" s="170">
        <f>+(2.5-1)*I31</f>
        <v>10.5</v>
      </c>
      <c r="L31" s="162"/>
    </row>
    <row r="32" spans="1:12">
      <c r="A32" s="59" t="s">
        <v>10</v>
      </c>
      <c r="B32" s="138" t="s">
        <v>15</v>
      </c>
      <c r="C32" s="123" t="s">
        <v>272</v>
      </c>
      <c r="D32" s="124"/>
      <c r="E32" s="59"/>
      <c r="F32" s="59"/>
      <c r="G32" s="54">
        <v>2</v>
      </c>
      <c r="H32" s="125">
        <v>1</v>
      </c>
      <c r="I32" s="125">
        <v>2</v>
      </c>
      <c r="J32" s="131">
        <f>+(3.3-1)*H32</f>
        <v>2.2999999999999998</v>
      </c>
      <c r="K32" s="131">
        <f>+(3.3-1)*I32</f>
        <v>4.5999999999999996</v>
      </c>
      <c r="L32" s="2"/>
    </row>
    <row r="33" spans="1:12">
      <c r="A33" s="59" t="s">
        <v>3</v>
      </c>
      <c r="B33" s="138" t="s">
        <v>1</v>
      </c>
      <c r="C33" s="123" t="s">
        <v>272</v>
      </c>
      <c r="D33" s="124"/>
      <c r="E33" s="59"/>
      <c r="F33" s="59"/>
      <c r="G33" s="54">
        <v>2</v>
      </c>
      <c r="H33" s="125">
        <v>2</v>
      </c>
      <c r="I33" s="125">
        <v>9</v>
      </c>
      <c r="J33" s="131">
        <f>+(3.75-1)*H33</f>
        <v>5.5</v>
      </c>
      <c r="K33" s="131">
        <f>+(3.75-1)*I33</f>
        <v>24.75</v>
      </c>
      <c r="L33" s="2"/>
    </row>
    <row r="34" spans="1:12">
      <c r="A34" s="59" t="s">
        <v>26</v>
      </c>
      <c r="B34" s="138" t="s">
        <v>239</v>
      </c>
      <c r="C34" s="140">
        <v>2</v>
      </c>
      <c r="D34" s="124">
        <v>1.4</v>
      </c>
      <c r="E34" s="59">
        <v>1</v>
      </c>
      <c r="F34" s="58">
        <f t="shared" ref="F34:F35" si="4">+(D34-1)*E34</f>
        <v>0.39999999999999991</v>
      </c>
      <c r="G34" s="141">
        <v>2</v>
      </c>
      <c r="H34" s="117">
        <v>1</v>
      </c>
      <c r="I34" s="117">
        <v>3</v>
      </c>
      <c r="J34" s="126">
        <f>+(1.4-1)*H34</f>
        <v>0.39999999999999991</v>
      </c>
      <c r="K34" s="127">
        <f>+(1.4-1)*I34</f>
        <v>1.1999999999999997</v>
      </c>
      <c r="L34" s="2" t="s">
        <v>505</v>
      </c>
    </row>
    <row r="35" spans="1:12">
      <c r="A35" s="138" t="s">
        <v>308</v>
      </c>
      <c r="B35" s="59" t="s">
        <v>27</v>
      </c>
      <c r="C35" s="140">
        <v>1</v>
      </c>
      <c r="D35" s="124">
        <v>1.1100000000000001</v>
      </c>
      <c r="E35" s="59">
        <v>2.5</v>
      </c>
      <c r="F35" s="58">
        <f t="shared" si="4"/>
        <v>0.27500000000000024</v>
      </c>
      <c r="G35" s="141">
        <v>1</v>
      </c>
      <c r="H35" s="117">
        <v>3</v>
      </c>
      <c r="I35" s="117">
        <v>15</v>
      </c>
      <c r="J35" s="126">
        <f>+(1.11-1)*H35</f>
        <v>0.33000000000000029</v>
      </c>
      <c r="K35" s="127">
        <f>+(1.11-1)*I35</f>
        <v>1.6500000000000015</v>
      </c>
      <c r="L35" s="2"/>
    </row>
    <row r="36" spans="1:12">
      <c r="A36" s="59" t="s">
        <v>504</v>
      </c>
      <c r="B36" s="138" t="s">
        <v>0</v>
      </c>
      <c r="C36" s="123">
        <v>1</v>
      </c>
      <c r="D36" s="124">
        <v>1.67</v>
      </c>
      <c r="E36" s="59">
        <v>2</v>
      </c>
      <c r="F36" s="59">
        <f>-E36</f>
        <v>-2</v>
      </c>
      <c r="G36" s="139">
        <v>1</v>
      </c>
      <c r="H36" s="117">
        <v>3</v>
      </c>
      <c r="I36" s="117">
        <v>17</v>
      </c>
      <c r="J36" s="126">
        <f>-H36</f>
        <v>-3</v>
      </c>
      <c r="K36" s="127">
        <f>-I36</f>
        <v>-17</v>
      </c>
      <c r="L36" s="2" t="s">
        <v>506</v>
      </c>
    </row>
    <row r="37" spans="1:12">
      <c r="A37" s="138" t="s">
        <v>175</v>
      </c>
      <c r="B37" s="59" t="s">
        <v>181</v>
      </c>
      <c r="C37" s="140">
        <v>1</v>
      </c>
      <c r="D37" s="124">
        <v>1.62</v>
      </c>
      <c r="E37" s="59">
        <v>1.25</v>
      </c>
      <c r="F37" s="58">
        <f>+(D37-1)*E37</f>
        <v>0.77500000000000013</v>
      </c>
      <c r="G37" s="46">
        <v>2</v>
      </c>
      <c r="H37" s="125">
        <v>2</v>
      </c>
      <c r="I37" s="125">
        <v>5</v>
      </c>
      <c r="J37" s="131">
        <f>-H37</f>
        <v>-2</v>
      </c>
      <c r="K37" s="131">
        <f>-I37</f>
        <v>-5</v>
      </c>
      <c r="L37" s="2"/>
    </row>
    <row r="38" spans="1:12">
      <c r="A38" s="130" t="s">
        <v>4</v>
      </c>
      <c r="B38" s="130" t="s">
        <v>28</v>
      </c>
      <c r="C38" s="123">
        <v>1</v>
      </c>
      <c r="D38" s="124">
        <v>1.57</v>
      </c>
      <c r="E38" s="59">
        <v>1.5</v>
      </c>
      <c r="F38" s="59">
        <f>-E38</f>
        <v>-1.5</v>
      </c>
      <c r="G38" s="46">
        <v>2</v>
      </c>
      <c r="H38" s="125">
        <v>1</v>
      </c>
      <c r="I38" s="125">
        <v>4</v>
      </c>
      <c r="J38" s="131">
        <f t="shared" ref="J38:K41" si="5">-H38</f>
        <v>-1</v>
      </c>
      <c r="K38" s="131">
        <f t="shared" si="5"/>
        <v>-4</v>
      </c>
      <c r="L38" s="2"/>
    </row>
    <row r="39" spans="1:12">
      <c r="A39" s="138" t="s">
        <v>62</v>
      </c>
      <c r="B39" s="59" t="s">
        <v>2</v>
      </c>
      <c r="C39" s="123" t="s">
        <v>272</v>
      </c>
      <c r="D39" s="124"/>
      <c r="E39" s="59"/>
      <c r="F39" s="59"/>
      <c r="G39" s="46">
        <v>2</v>
      </c>
      <c r="H39" s="125">
        <v>1</v>
      </c>
      <c r="I39" s="125">
        <v>4</v>
      </c>
      <c r="J39" s="131">
        <f t="shared" si="5"/>
        <v>-1</v>
      </c>
      <c r="K39" s="131">
        <f t="shared" si="5"/>
        <v>-4</v>
      </c>
      <c r="L39" s="2" t="s">
        <v>507</v>
      </c>
    </row>
    <row r="40" spans="1:12">
      <c r="A40" s="130" t="s">
        <v>73</v>
      </c>
      <c r="B40" s="130" t="s">
        <v>16</v>
      </c>
      <c r="C40" s="140" t="s">
        <v>257</v>
      </c>
      <c r="D40" s="124"/>
      <c r="E40" s="59"/>
      <c r="F40" s="59"/>
      <c r="G40" s="46">
        <v>2</v>
      </c>
      <c r="H40" s="125">
        <v>1</v>
      </c>
      <c r="I40" s="125">
        <v>3</v>
      </c>
      <c r="J40" s="131">
        <f t="shared" si="5"/>
        <v>-1</v>
      </c>
      <c r="K40" s="131">
        <f t="shared" si="5"/>
        <v>-3</v>
      </c>
      <c r="L40" s="2"/>
    </row>
    <row r="41" spans="1:12" s="155" customFormat="1" ht="15.75" thickBot="1">
      <c r="A41" s="163" t="s">
        <v>5</v>
      </c>
      <c r="B41" s="162" t="s">
        <v>47</v>
      </c>
      <c r="C41" s="156" t="s">
        <v>257</v>
      </c>
      <c r="D41" s="157"/>
      <c r="E41" s="162"/>
      <c r="F41" s="162"/>
      <c r="G41" s="206">
        <v>2</v>
      </c>
      <c r="H41" s="169">
        <v>1</v>
      </c>
      <c r="I41" s="169">
        <v>2</v>
      </c>
      <c r="J41" s="170">
        <f t="shared" si="5"/>
        <v>-1</v>
      </c>
      <c r="K41" s="170">
        <f t="shared" si="5"/>
        <v>-2</v>
      </c>
      <c r="L41" s="162"/>
    </row>
    <row r="43" spans="1:12">
      <c r="E43" s="137">
        <f>SUM(E2:E41)</f>
        <v>40.5</v>
      </c>
      <c r="F43" s="102">
        <f>SUM(F2:F41)</f>
        <v>-0.50000000000000067</v>
      </c>
      <c r="G43" s="18"/>
      <c r="H43" s="196">
        <f>SUM(H2:H41)</f>
        <v>65</v>
      </c>
      <c r="I43" s="196">
        <f>SUM(I2:I41)</f>
        <v>230</v>
      </c>
      <c r="J43" s="107">
        <f>SUM(J2:J41)</f>
        <v>6.1900000000000013</v>
      </c>
      <c r="K43" s="107">
        <f>SUM(K2:K41)</f>
        <v>27.42</v>
      </c>
    </row>
    <row r="44" spans="1:12">
      <c r="E44" s="137"/>
      <c r="F44" s="101">
        <f>+F43/E43</f>
        <v>-1.2345679012345696E-2</v>
      </c>
      <c r="G44" s="137"/>
      <c r="H44" s="137"/>
      <c r="I44" s="137"/>
      <c r="J44" s="101">
        <f>+J43/H43</f>
        <v>9.5230769230769244E-2</v>
      </c>
      <c r="K44" s="101">
        <f>+K43/I43</f>
        <v>0.11921739130434783</v>
      </c>
    </row>
  </sheetData>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sheetPr codeName="Hoja45"/>
  <dimension ref="A1:L44"/>
  <sheetViews>
    <sheetView topLeftCell="A13" workbookViewId="0">
      <selection activeCell="I7" sqref="G4:I7"/>
    </sheetView>
  </sheetViews>
  <sheetFormatPr baseColWidth="10" defaultRowHeight="15"/>
  <cols>
    <col min="1" max="6" width="11.42578125" style="137"/>
    <col min="7" max="7" width="3.5703125" style="137" customWidth="1"/>
    <col min="8" max="8" width="3.28515625" style="137" customWidth="1"/>
    <col min="9" max="9" width="4.5703125" style="137" customWidth="1"/>
    <col min="10" max="10" width="5.5703125" style="137" bestFit="1" customWidth="1"/>
    <col min="11" max="11" width="6.28515625" style="137" bestFit="1" customWidth="1"/>
    <col min="12" max="16384" width="11.42578125" style="137"/>
  </cols>
  <sheetData>
    <row r="1" spans="1:12">
      <c r="C1" s="17" t="s">
        <v>250</v>
      </c>
      <c r="D1" s="17" t="s">
        <v>294</v>
      </c>
      <c r="E1" s="18" t="s">
        <v>251</v>
      </c>
      <c r="F1" s="18" t="s">
        <v>293</v>
      </c>
      <c r="G1" s="18" t="s">
        <v>303</v>
      </c>
      <c r="H1" s="18" t="s">
        <v>304</v>
      </c>
      <c r="I1" s="18" t="s">
        <v>314</v>
      </c>
      <c r="J1" s="18"/>
      <c r="K1" s="18"/>
      <c r="L1" s="137" t="s">
        <v>305</v>
      </c>
    </row>
    <row r="2" spans="1:12">
      <c r="A2" s="58" t="s">
        <v>27</v>
      </c>
      <c r="B2" s="145" t="s">
        <v>4</v>
      </c>
      <c r="C2" s="140">
        <v>2</v>
      </c>
      <c r="D2" s="124">
        <v>3.2</v>
      </c>
      <c r="E2" s="58">
        <v>1.5</v>
      </c>
      <c r="F2" s="58">
        <f>+(D2-1)*E2</f>
        <v>3.3000000000000003</v>
      </c>
      <c r="G2" s="12">
        <v>1</v>
      </c>
      <c r="H2" s="67">
        <v>1</v>
      </c>
      <c r="I2" s="176">
        <v>1</v>
      </c>
      <c r="J2" s="177">
        <f>-H2</f>
        <v>-1</v>
      </c>
      <c r="K2" s="177">
        <f>-I2</f>
        <v>-1</v>
      </c>
      <c r="L2" s="137" t="s">
        <v>315</v>
      </c>
    </row>
    <row r="3" spans="1:12">
      <c r="A3" s="100" t="s">
        <v>26</v>
      </c>
      <c r="B3" s="100" t="s">
        <v>181</v>
      </c>
      <c r="C3" s="16" t="s">
        <v>272</v>
      </c>
      <c r="D3" s="104"/>
      <c r="E3" s="2"/>
      <c r="F3" s="2"/>
      <c r="G3" s="12">
        <v>2</v>
      </c>
      <c r="H3" s="109">
        <v>1</v>
      </c>
      <c r="I3" s="176">
        <v>1</v>
      </c>
      <c r="J3" s="177">
        <f>-H3</f>
        <v>-1</v>
      </c>
      <c r="K3" s="177">
        <f>-I3</f>
        <v>-1</v>
      </c>
    </row>
    <row r="4" spans="1:12">
      <c r="A4" s="146" t="s">
        <v>67</v>
      </c>
      <c r="B4" s="146" t="s">
        <v>2</v>
      </c>
      <c r="C4" s="123" t="s">
        <v>272</v>
      </c>
      <c r="D4" s="124"/>
      <c r="E4" s="59"/>
      <c r="F4" s="59"/>
      <c r="G4" s="141">
        <v>1</v>
      </c>
      <c r="H4" s="117">
        <v>1</v>
      </c>
      <c r="I4" s="178">
        <v>1</v>
      </c>
      <c r="J4" s="179">
        <f>+(1.73-1)*H4</f>
        <v>0.73</v>
      </c>
      <c r="K4" s="180">
        <f>+(1.73-1)*I4</f>
        <v>0.73</v>
      </c>
    </row>
    <row r="5" spans="1:12">
      <c r="A5" s="138" t="s">
        <v>181</v>
      </c>
      <c r="B5" s="59" t="s">
        <v>4</v>
      </c>
      <c r="C5" s="123">
        <v>2</v>
      </c>
      <c r="D5" s="124">
        <v>2.5</v>
      </c>
      <c r="E5" s="59">
        <v>0.75</v>
      </c>
      <c r="F5" s="59">
        <f>-E5</f>
        <v>-0.75</v>
      </c>
      <c r="G5" s="141">
        <v>1</v>
      </c>
      <c r="H5" s="117">
        <v>1</v>
      </c>
      <c r="I5" s="178">
        <v>1</v>
      </c>
      <c r="J5" s="179">
        <f>+(2.88-1)*H5</f>
        <v>1.88</v>
      </c>
      <c r="K5" s="180">
        <f>+(2.88-1)*I5</f>
        <v>1.88</v>
      </c>
      <c r="L5" s="2" t="s">
        <v>458</v>
      </c>
    </row>
    <row r="6" spans="1:12">
      <c r="A6" s="112" t="s">
        <v>27</v>
      </c>
      <c r="B6" s="112" t="s">
        <v>3</v>
      </c>
      <c r="C6" s="16" t="s">
        <v>257</v>
      </c>
      <c r="D6" s="104"/>
      <c r="E6" s="2"/>
      <c r="F6" s="2"/>
      <c r="G6" s="12">
        <v>2</v>
      </c>
      <c r="H6" s="109">
        <v>1</v>
      </c>
      <c r="I6" s="176">
        <v>1</v>
      </c>
      <c r="J6" s="177">
        <f t="shared" ref="J6:K8" si="0">-H6</f>
        <v>-1</v>
      </c>
      <c r="K6" s="177">
        <f t="shared" si="0"/>
        <v>-1</v>
      </c>
      <c r="L6" s="2"/>
    </row>
    <row r="7" spans="1:12">
      <c r="A7" s="112" t="s">
        <v>0</v>
      </c>
      <c r="B7" s="112" t="s">
        <v>10</v>
      </c>
      <c r="C7" s="16" t="s">
        <v>272</v>
      </c>
      <c r="D7" s="104"/>
      <c r="E7" s="2"/>
      <c r="F7" s="2"/>
      <c r="G7" s="139">
        <v>1</v>
      </c>
      <c r="H7" s="117">
        <v>1</v>
      </c>
      <c r="I7" s="178">
        <v>1</v>
      </c>
      <c r="J7" s="179">
        <f t="shared" si="0"/>
        <v>-1</v>
      </c>
      <c r="K7" s="180">
        <f t="shared" si="0"/>
        <v>-1</v>
      </c>
      <c r="L7" s="2"/>
    </row>
    <row r="8" spans="1:12">
      <c r="A8" s="146" t="s">
        <v>239</v>
      </c>
      <c r="B8" s="146" t="s">
        <v>67</v>
      </c>
      <c r="C8" s="123">
        <v>1</v>
      </c>
      <c r="D8" s="124">
        <v>1.18</v>
      </c>
      <c r="E8" s="58">
        <v>1.75</v>
      </c>
      <c r="F8" s="58">
        <f>-E8</f>
        <v>-1.75</v>
      </c>
      <c r="G8" s="46">
        <v>1</v>
      </c>
      <c r="H8" s="174">
        <v>1</v>
      </c>
      <c r="I8" s="181">
        <v>2</v>
      </c>
      <c r="J8" s="182">
        <f t="shared" si="0"/>
        <v>-1</v>
      </c>
      <c r="K8" s="182">
        <f t="shared" si="0"/>
        <v>-2</v>
      </c>
      <c r="L8" s="137" t="s">
        <v>312</v>
      </c>
    </row>
    <row r="9" spans="1:12">
      <c r="A9" s="145" t="s">
        <v>16</v>
      </c>
      <c r="B9" s="58" t="s">
        <v>10</v>
      </c>
      <c r="C9" s="124" t="s">
        <v>256</v>
      </c>
      <c r="D9" s="124"/>
      <c r="E9" s="58"/>
      <c r="F9" s="58"/>
      <c r="G9" s="54">
        <v>1</v>
      </c>
      <c r="H9" s="174">
        <v>1</v>
      </c>
      <c r="I9" s="181">
        <v>2</v>
      </c>
      <c r="J9" s="182">
        <f>(1.62-1)*H9</f>
        <v>0.62000000000000011</v>
      </c>
      <c r="K9" s="182">
        <f>(1.62-1)*I9</f>
        <v>1.2400000000000002</v>
      </c>
      <c r="L9" s="137" t="s">
        <v>313</v>
      </c>
    </row>
    <row r="10" spans="1:12">
      <c r="A10" s="59" t="s">
        <v>28</v>
      </c>
      <c r="B10" s="138" t="s">
        <v>26</v>
      </c>
      <c r="C10" s="123">
        <v>1</v>
      </c>
      <c r="D10" s="124">
        <v>2.1</v>
      </c>
      <c r="E10" s="59">
        <v>2</v>
      </c>
      <c r="F10" s="59">
        <f>-E10</f>
        <v>-2</v>
      </c>
      <c r="G10" s="139">
        <v>1</v>
      </c>
      <c r="H10" s="117">
        <v>1</v>
      </c>
      <c r="I10" s="178">
        <v>2</v>
      </c>
      <c r="J10" s="179">
        <f>-H10</f>
        <v>-1</v>
      </c>
      <c r="K10" s="180">
        <f>-I10</f>
        <v>-2</v>
      </c>
      <c r="L10" s="2"/>
    </row>
    <row r="11" spans="1:12" s="155" customFormat="1" ht="15.75" thickBot="1">
      <c r="A11" s="162" t="s">
        <v>10</v>
      </c>
      <c r="B11" s="163" t="s">
        <v>15</v>
      </c>
      <c r="C11" s="156" t="s">
        <v>272</v>
      </c>
      <c r="D11" s="157"/>
      <c r="E11" s="162"/>
      <c r="F11" s="162"/>
      <c r="G11" s="205">
        <v>2</v>
      </c>
      <c r="H11" s="169">
        <v>1</v>
      </c>
      <c r="I11" s="193">
        <v>2</v>
      </c>
      <c r="J11" s="194">
        <f>+(3.3-1)*H11</f>
        <v>2.2999999999999998</v>
      </c>
      <c r="K11" s="194">
        <f>+(3.3-1)*I11</f>
        <v>4.5999999999999996</v>
      </c>
      <c r="L11" s="162"/>
    </row>
    <row r="12" spans="1:12">
      <c r="A12" s="138" t="s">
        <v>5</v>
      </c>
      <c r="B12" s="59" t="s">
        <v>47</v>
      </c>
      <c r="C12" s="123" t="s">
        <v>257</v>
      </c>
      <c r="D12" s="124"/>
      <c r="E12" s="59"/>
      <c r="F12" s="59"/>
      <c r="G12" s="46">
        <v>2</v>
      </c>
      <c r="H12" s="125">
        <v>1</v>
      </c>
      <c r="I12" s="181">
        <v>2</v>
      </c>
      <c r="J12" s="182">
        <f t="shared" ref="J12:K15" si="1">-H12</f>
        <v>-1</v>
      </c>
      <c r="K12" s="182">
        <f t="shared" si="1"/>
        <v>-2</v>
      </c>
      <c r="L12" s="2"/>
    </row>
    <row r="13" spans="1:12">
      <c r="A13" s="145" t="s">
        <v>15</v>
      </c>
      <c r="B13" s="58" t="s">
        <v>3</v>
      </c>
      <c r="C13" s="123" t="s">
        <v>272</v>
      </c>
      <c r="D13" s="124"/>
      <c r="E13" s="58"/>
      <c r="F13" s="58"/>
      <c r="G13" s="139">
        <v>2</v>
      </c>
      <c r="H13" s="114">
        <v>1</v>
      </c>
      <c r="I13" s="178">
        <v>3</v>
      </c>
      <c r="J13" s="179">
        <f t="shared" si="1"/>
        <v>-1</v>
      </c>
      <c r="K13" s="180">
        <f t="shared" si="1"/>
        <v>-3</v>
      </c>
      <c r="L13" s="137" t="s">
        <v>307</v>
      </c>
    </row>
    <row r="14" spans="1:12">
      <c r="A14" s="145" t="s">
        <v>47</v>
      </c>
      <c r="B14" s="58" t="s">
        <v>134</v>
      </c>
      <c r="C14" s="123" t="s">
        <v>272</v>
      </c>
      <c r="D14" s="124"/>
      <c r="E14" s="58"/>
      <c r="F14" s="58"/>
      <c r="G14" s="12">
        <v>2</v>
      </c>
      <c r="H14" s="67">
        <v>1</v>
      </c>
      <c r="I14" s="176">
        <v>3</v>
      </c>
      <c r="J14" s="177">
        <f t="shared" si="1"/>
        <v>-1</v>
      </c>
      <c r="K14" s="177">
        <f t="shared" si="1"/>
        <v>-3</v>
      </c>
      <c r="L14" s="137" t="s">
        <v>311</v>
      </c>
    </row>
    <row r="15" spans="1:12">
      <c r="A15" s="138" t="s">
        <v>1</v>
      </c>
      <c r="B15" s="59" t="s">
        <v>134</v>
      </c>
      <c r="C15" s="123">
        <v>2</v>
      </c>
      <c r="D15" s="124">
        <v>1.8</v>
      </c>
      <c r="E15" s="59">
        <v>0.75</v>
      </c>
      <c r="F15" s="59">
        <f>-E15</f>
        <v>-0.75</v>
      </c>
      <c r="G15" s="139">
        <v>2</v>
      </c>
      <c r="H15" s="117">
        <v>1</v>
      </c>
      <c r="I15" s="178">
        <v>3</v>
      </c>
      <c r="J15" s="179">
        <f t="shared" si="1"/>
        <v>-1</v>
      </c>
      <c r="K15" s="180">
        <f t="shared" si="1"/>
        <v>-3</v>
      </c>
      <c r="L15" s="2" t="s">
        <v>459</v>
      </c>
    </row>
    <row r="16" spans="1:12">
      <c r="A16" s="59" t="s">
        <v>26</v>
      </c>
      <c r="B16" s="138" t="s">
        <v>239</v>
      </c>
      <c r="C16" s="140">
        <v>2</v>
      </c>
      <c r="D16" s="124">
        <v>1.4</v>
      </c>
      <c r="E16" s="59">
        <v>1</v>
      </c>
      <c r="F16" s="58">
        <f>+(D16-1)*E16</f>
        <v>0.39999999999999991</v>
      </c>
      <c r="G16" s="144">
        <v>2</v>
      </c>
      <c r="H16" s="119">
        <v>1</v>
      </c>
      <c r="I16" s="186">
        <v>3</v>
      </c>
      <c r="J16" s="187">
        <f>+(1.4-1)*H16</f>
        <v>0.39999999999999991</v>
      </c>
      <c r="K16" s="188">
        <f>+(1.4-1)*I16</f>
        <v>1.1999999999999997</v>
      </c>
      <c r="L16" s="2" t="s">
        <v>505</v>
      </c>
    </row>
    <row r="17" spans="1:12">
      <c r="A17" s="130" t="s">
        <v>73</v>
      </c>
      <c r="B17" s="130" t="s">
        <v>16</v>
      </c>
      <c r="C17" s="140" t="s">
        <v>257</v>
      </c>
      <c r="D17" s="124"/>
      <c r="E17" s="59"/>
      <c r="F17" s="59"/>
      <c r="G17" s="139">
        <v>2</v>
      </c>
      <c r="H17" s="117">
        <v>1</v>
      </c>
      <c r="I17" s="178">
        <v>3</v>
      </c>
      <c r="J17" s="179">
        <f>-H17</f>
        <v>-1</v>
      </c>
      <c r="K17" s="180">
        <f>-I17</f>
        <v>-3</v>
      </c>
      <c r="L17" s="2"/>
    </row>
    <row r="18" spans="1:12">
      <c r="A18" s="145" t="s">
        <v>2</v>
      </c>
      <c r="B18" s="58" t="s">
        <v>0</v>
      </c>
      <c r="C18" s="123" t="s">
        <v>257</v>
      </c>
      <c r="D18" s="124"/>
      <c r="E18" s="58"/>
      <c r="F18" s="58"/>
      <c r="G18" s="141">
        <v>1</v>
      </c>
      <c r="H18" s="114">
        <v>1</v>
      </c>
      <c r="I18" s="178">
        <v>4</v>
      </c>
      <c r="J18" s="179">
        <f>(2.3-1)*H18</f>
        <v>1.2999999999999998</v>
      </c>
      <c r="K18" s="180">
        <f>(2.3-1)*I18</f>
        <v>5.1999999999999993</v>
      </c>
      <c r="L18" s="137" t="s">
        <v>310</v>
      </c>
    </row>
    <row r="19" spans="1:12">
      <c r="A19" s="2" t="s">
        <v>2</v>
      </c>
      <c r="B19" s="96" t="s">
        <v>73</v>
      </c>
      <c r="C19" s="104" t="s">
        <v>256</v>
      </c>
      <c r="D19" s="104"/>
      <c r="E19" s="2"/>
      <c r="F19" s="2"/>
      <c r="G19" s="139">
        <v>1</v>
      </c>
      <c r="H19" s="117">
        <v>1</v>
      </c>
      <c r="I19" s="178">
        <v>4</v>
      </c>
      <c r="J19" s="179">
        <f t="shared" ref="J19:K21" si="2">-H19</f>
        <v>-1</v>
      </c>
      <c r="K19" s="180">
        <f t="shared" si="2"/>
        <v>-4</v>
      </c>
      <c r="L19" s="2"/>
    </row>
    <row r="20" spans="1:12">
      <c r="A20" s="130" t="s">
        <v>4</v>
      </c>
      <c r="B20" s="130" t="s">
        <v>28</v>
      </c>
      <c r="C20" s="123">
        <v>1</v>
      </c>
      <c r="D20" s="124">
        <v>1.57</v>
      </c>
      <c r="E20" s="59">
        <v>1.5</v>
      </c>
      <c r="F20" s="59">
        <f>-E20</f>
        <v>-1.5</v>
      </c>
      <c r="G20" s="147">
        <v>2</v>
      </c>
      <c r="H20" s="119">
        <v>1</v>
      </c>
      <c r="I20" s="186">
        <v>4</v>
      </c>
      <c r="J20" s="187">
        <f t="shared" si="2"/>
        <v>-1</v>
      </c>
      <c r="K20" s="188">
        <f t="shared" si="2"/>
        <v>-4</v>
      </c>
      <c r="L20" s="2"/>
    </row>
    <row r="21" spans="1:12" s="155" customFormat="1" ht="15.75" thickBot="1">
      <c r="A21" s="163" t="s">
        <v>62</v>
      </c>
      <c r="B21" s="162" t="s">
        <v>2</v>
      </c>
      <c r="C21" s="156" t="s">
        <v>272</v>
      </c>
      <c r="D21" s="157"/>
      <c r="E21" s="162"/>
      <c r="F21" s="162"/>
      <c r="G21" s="206">
        <v>2</v>
      </c>
      <c r="H21" s="169">
        <v>1</v>
      </c>
      <c r="I21" s="193">
        <v>4</v>
      </c>
      <c r="J21" s="194">
        <f t="shared" si="2"/>
        <v>-1</v>
      </c>
      <c r="K21" s="194">
        <f t="shared" si="2"/>
        <v>-4</v>
      </c>
      <c r="L21" s="162" t="s">
        <v>507</v>
      </c>
    </row>
    <row r="22" spans="1:12">
      <c r="A22" s="145" t="s">
        <v>28</v>
      </c>
      <c r="B22" s="58" t="s">
        <v>73</v>
      </c>
      <c r="C22" s="140">
        <v>1</v>
      </c>
      <c r="D22" s="124">
        <v>2.4</v>
      </c>
      <c r="E22" s="58">
        <v>1.5</v>
      </c>
      <c r="F22" s="58">
        <f>+(D22-1)*E22</f>
        <v>2.0999999999999996</v>
      </c>
      <c r="G22" s="141">
        <v>1</v>
      </c>
      <c r="H22" s="114">
        <v>2</v>
      </c>
      <c r="I22" s="178">
        <v>5</v>
      </c>
      <c r="J22" s="179">
        <f>(2.4-1)*H22</f>
        <v>2.8</v>
      </c>
      <c r="K22" s="180">
        <f>(2.4-1)*I22</f>
        <v>7</v>
      </c>
    </row>
    <row r="23" spans="1:12">
      <c r="A23" s="59" t="s">
        <v>47</v>
      </c>
      <c r="B23" s="138" t="s">
        <v>308</v>
      </c>
      <c r="C23" s="140">
        <v>2</v>
      </c>
      <c r="D23" s="124">
        <v>1.22</v>
      </c>
      <c r="E23" s="59">
        <v>2.5</v>
      </c>
      <c r="F23" s="58">
        <f>+(D23-1)*E23</f>
        <v>0.54999999999999993</v>
      </c>
      <c r="G23" s="141">
        <v>2</v>
      </c>
      <c r="H23" s="117">
        <v>2</v>
      </c>
      <c r="I23" s="178">
        <v>5</v>
      </c>
      <c r="J23" s="179">
        <f>+(1.22-1)*H23</f>
        <v>0.43999999999999995</v>
      </c>
      <c r="K23" s="180">
        <f>+(1.22-1)*I23</f>
        <v>1.0999999999999999</v>
      </c>
      <c r="L23" s="2"/>
    </row>
    <row r="24" spans="1:12">
      <c r="A24" s="138" t="s">
        <v>175</v>
      </c>
      <c r="B24" s="59" t="s">
        <v>181</v>
      </c>
      <c r="C24" s="140">
        <v>1</v>
      </c>
      <c r="D24" s="124">
        <v>1.62</v>
      </c>
      <c r="E24" s="59">
        <v>1.25</v>
      </c>
      <c r="F24" s="58">
        <f>+(D24-1)*E24</f>
        <v>0.77500000000000013</v>
      </c>
      <c r="G24" s="46">
        <v>2</v>
      </c>
      <c r="H24" s="125">
        <v>2</v>
      </c>
      <c r="I24" s="181">
        <v>5</v>
      </c>
      <c r="J24" s="182">
        <f t="shared" ref="J24:K27" si="3">-H24</f>
        <v>-2</v>
      </c>
      <c r="K24" s="182">
        <f t="shared" si="3"/>
        <v>-5</v>
      </c>
      <c r="L24" s="2"/>
    </row>
    <row r="25" spans="1:12">
      <c r="A25" s="145" t="s">
        <v>134</v>
      </c>
      <c r="B25" s="58" t="s">
        <v>27</v>
      </c>
      <c r="C25" s="123" t="s">
        <v>272</v>
      </c>
      <c r="D25" s="124"/>
      <c r="E25" s="59"/>
      <c r="F25" s="59"/>
      <c r="G25" s="139">
        <v>2</v>
      </c>
      <c r="H25" s="117">
        <v>2</v>
      </c>
      <c r="I25" s="178">
        <v>6</v>
      </c>
      <c r="J25" s="179">
        <f t="shared" si="3"/>
        <v>-2</v>
      </c>
      <c r="K25" s="180">
        <f t="shared" si="3"/>
        <v>-6</v>
      </c>
      <c r="L25" s="137" t="s">
        <v>389</v>
      </c>
    </row>
    <row r="26" spans="1:12">
      <c r="A26" s="58" t="s">
        <v>4</v>
      </c>
      <c r="B26" s="145" t="s">
        <v>1</v>
      </c>
      <c r="C26" s="123">
        <v>1</v>
      </c>
      <c r="D26" s="124">
        <v>1.29</v>
      </c>
      <c r="E26" s="59">
        <v>2.5</v>
      </c>
      <c r="F26" s="59">
        <f>-E26</f>
        <v>-2.5</v>
      </c>
      <c r="G26" s="12">
        <v>1</v>
      </c>
      <c r="H26" s="109">
        <v>2</v>
      </c>
      <c r="I26" s="176">
        <v>6</v>
      </c>
      <c r="J26" s="177">
        <f t="shared" si="3"/>
        <v>-2</v>
      </c>
      <c r="K26" s="177">
        <f t="shared" si="3"/>
        <v>-6</v>
      </c>
    </row>
    <row r="27" spans="1:12">
      <c r="A27" s="146" t="s">
        <v>0</v>
      </c>
      <c r="B27" s="146" t="s">
        <v>16</v>
      </c>
      <c r="C27" s="123">
        <v>2</v>
      </c>
      <c r="D27" s="124">
        <v>3.75</v>
      </c>
      <c r="E27" s="59">
        <v>1.25</v>
      </c>
      <c r="F27" s="59">
        <f>-E27</f>
        <v>-1.25</v>
      </c>
      <c r="G27" s="139">
        <v>2</v>
      </c>
      <c r="H27" s="117">
        <v>2</v>
      </c>
      <c r="I27" s="178">
        <v>7</v>
      </c>
      <c r="J27" s="179">
        <f t="shared" si="3"/>
        <v>-2</v>
      </c>
      <c r="K27" s="180">
        <f t="shared" si="3"/>
        <v>-7</v>
      </c>
      <c r="L27" s="137" t="s">
        <v>391</v>
      </c>
    </row>
    <row r="28" spans="1:12">
      <c r="A28" s="59" t="s">
        <v>15</v>
      </c>
      <c r="B28" s="138" t="s">
        <v>5</v>
      </c>
      <c r="C28" s="124" t="s">
        <v>256</v>
      </c>
      <c r="D28" s="124"/>
      <c r="E28" s="59"/>
      <c r="F28" s="59"/>
      <c r="G28" s="4">
        <v>2</v>
      </c>
      <c r="H28" s="109">
        <v>2</v>
      </c>
      <c r="I28" s="176">
        <v>7</v>
      </c>
      <c r="J28" s="177">
        <f>+(2.5-1)*H28</f>
        <v>3</v>
      </c>
      <c r="K28" s="177">
        <f>+(2.5-1)*I28</f>
        <v>10.5</v>
      </c>
      <c r="L28" s="2"/>
    </row>
    <row r="29" spans="1:12">
      <c r="A29" s="58" t="s">
        <v>5</v>
      </c>
      <c r="B29" s="145" t="s">
        <v>308</v>
      </c>
      <c r="C29" s="140">
        <v>2</v>
      </c>
      <c r="D29" s="124">
        <v>1.36</v>
      </c>
      <c r="E29" s="58">
        <v>2.25</v>
      </c>
      <c r="F29" s="58">
        <f>+(D29-1)*E29</f>
        <v>0.81000000000000028</v>
      </c>
      <c r="G29" s="4">
        <v>2</v>
      </c>
      <c r="H29" s="67">
        <v>2</v>
      </c>
      <c r="I29" s="67">
        <v>8</v>
      </c>
      <c r="J29" s="41">
        <f>(1.36-1)*H29</f>
        <v>0.7200000000000002</v>
      </c>
      <c r="K29" s="41">
        <f>(1.36-1)*I29</f>
        <v>2.8800000000000008</v>
      </c>
      <c r="L29" s="137" t="s">
        <v>309</v>
      </c>
    </row>
    <row r="30" spans="1:12">
      <c r="A30" s="99" t="s">
        <v>181</v>
      </c>
      <c r="B30" s="137" t="s">
        <v>62</v>
      </c>
      <c r="C30" s="104" t="s">
        <v>256</v>
      </c>
      <c r="D30" s="104"/>
      <c r="G30" s="12">
        <v>2</v>
      </c>
      <c r="H30" s="67">
        <v>2</v>
      </c>
      <c r="I30" s="67">
        <v>9</v>
      </c>
      <c r="J30" s="41">
        <f>-H30</f>
        <v>-2</v>
      </c>
      <c r="K30" s="41">
        <f>-I30</f>
        <v>-9</v>
      </c>
      <c r="L30" s="137" t="s">
        <v>306</v>
      </c>
    </row>
    <row r="31" spans="1:12" s="155" customFormat="1" ht="15.75" thickBot="1">
      <c r="A31" s="172" t="s">
        <v>1</v>
      </c>
      <c r="B31" s="172" t="s">
        <v>26</v>
      </c>
      <c r="C31" s="156">
        <v>2</v>
      </c>
      <c r="D31" s="157">
        <v>2.88</v>
      </c>
      <c r="E31" s="155">
        <v>2</v>
      </c>
      <c r="F31" s="155">
        <f>-E31</f>
        <v>-2</v>
      </c>
      <c r="G31" s="206">
        <v>2</v>
      </c>
      <c r="H31" s="198">
        <v>2</v>
      </c>
      <c r="I31" s="198">
        <v>9</v>
      </c>
      <c r="J31" s="199">
        <f>-H31</f>
        <v>-2</v>
      </c>
      <c r="K31" s="199">
        <f>-I31</f>
        <v>-9</v>
      </c>
    </row>
    <row r="32" spans="1:12">
      <c r="A32" s="58" t="s">
        <v>62</v>
      </c>
      <c r="B32" s="145" t="s">
        <v>28</v>
      </c>
      <c r="C32" s="140">
        <v>2</v>
      </c>
      <c r="D32" s="124">
        <v>3.75</v>
      </c>
      <c r="E32" s="59">
        <v>1</v>
      </c>
      <c r="F32" s="58">
        <f>+(D32-1)*E32</f>
        <v>2.75</v>
      </c>
      <c r="G32" s="4">
        <v>2</v>
      </c>
      <c r="H32" s="109">
        <v>2</v>
      </c>
      <c r="I32" s="67">
        <v>9</v>
      </c>
      <c r="J32" s="41">
        <f>+(3.75-1)*H32</f>
        <v>5.5</v>
      </c>
      <c r="K32" s="41">
        <f>+(3.75-1)*I32</f>
        <v>24.75</v>
      </c>
      <c r="L32" s="137" t="s">
        <v>390</v>
      </c>
    </row>
    <row r="33" spans="1:12">
      <c r="A33" s="58" t="s">
        <v>10</v>
      </c>
      <c r="B33" s="145" t="s">
        <v>5</v>
      </c>
      <c r="C33" s="140">
        <v>2</v>
      </c>
      <c r="D33" s="124">
        <v>2.25</v>
      </c>
      <c r="E33" s="59">
        <v>2</v>
      </c>
      <c r="F33" s="58">
        <f>+(D33-1)*E33</f>
        <v>2.5</v>
      </c>
      <c r="G33" s="4">
        <v>2</v>
      </c>
      <c r="H33" s="109">
        <v>2</v>
      </c>
      <c r="I33" s="67">
        <v>9</v>
      </c>
      <c r="J33" s="41">
        <f>+(2.25-1)*H33</f>
        <v>2.5</v>
      </c>
      <c r="K33" s="41">
        <f>+(2.25-1)*I33</f>
        <v>11.25</v>
      </c>
    </row>
    <row r="34" spans="1:12">
      <c r="A34" s="138" t="s">
        <v>239</v>
      </c>
      <c r="B34" s="59" t="s">
        <v>62</v>
      </c>
      <c r="C34" s="140">
        <v>1</v>
      </c>
      <c r="D34" s="124">
        <v>1.1299999999999999</v>
      </c>
      <c r="E34" s="59">
        <v>3</v>
      </c>
      <c r="F34" s="58">
        <f>+(D34-1)*E34</f>
        <v>0.38999999999999968</v>
      </c>
      <c r="G34" s="141">
        <v>1</v>
      </c>
      <c r="H34" s="117">
        <v>2</v>
      </c>
      <c r="I34" s="117">
        <v>9</v>
      </c>
      <c r="J34" s="126">
        <f>+(1.13-1)*H34</f>
        <v>0.25999999999999979</v>
      </c>
      <c r="K34" s="127">
        <f>+(1.13-1)*I34</f>
        <v>1.169999999999999</v>
      </c>
      <c r="L34" s="2"/>
    </row>
    <row r="35" spans="1:12">
      <c r="A35" s="59" t="s">
        <v>16</v>
      </c>
      <c r="B35" s="138" t="s">
        <v>67</v>
      </c>
      <c r="C35" s="124" t="s">
        <v>256</v>
      </c>
      <c r="D35" s="124"/>
      <c r="E35" s="59"/>
      <c r="F35" s="59"/>
      <c r="G35" s="141">
        <v>2</v>
      </c>
      <c r="H35" s="117">
        <v>2</v>
      </c>
      <c r="I35" s="117">
        <v>9</v>
      </c>
      <c r="J35" s="126">
        <f>+(2.88-1)*H35</f>
        <v>3.76</v>
      </c>
      <c r="K35" s="127">
        <f>+(2.88-1)*I35</f>
        <v>16.919999999999998</v>
      </c>
      <c r="L35" s="2"/>
    </row>
    <row r="36" spans="1:12">
      <c r="A36" s="59" t="s">
        <v>3</v>
      </c>
      <c r="B36" s="138" t="s">
        <v>1</v>
      </c>
      <c r="C36" s="123" t="s">
        <v>272</v>
      </c>
      <c r="D36" s="124"/>
      <c r="E36" s="59"/>
      <c r="F36" s="59"/>
      <c r="G36" s="141">
        <v>2</v>
      </c>
      <c r="H36" s="117">
        <v>2</v>
      </c>
      <c r="I36" s="117">
        <v>9</v>
      </c>
      <c r="J36" s="126">
        <f>+(3.75-1)*H36</f>
        <v>5.5</v>
      </c>
      <c r="K36" s="127">
        <f>+(3.75-1)*I36</f>
        <v>24.75</v>
      </c>
      <c r="L36" s="2"/>
    </row>
    <row r="37" spans="1:12">
      <c r="A37" s="58" t="s">
        <v>3</v>
      </c>
      <c r="B37" s="145" t="s">
        <v>47</v>
      </c>
      <c r="C37" s="140">
        <v>2</v>
      </c>
      <c r="D37" s="124">
        <v>3</v>
      </c>
      <c r="E37" s="59">
        <v>1.5</v>
      </c>
      <c r="F37" s="58">
        <f>+(D37-1)*E37</f>
        <v>3</v>
      </c>
      <c r="G37" s="4">
        <v>2</v>
      </c>
      <c r="H37" s="109">
        <v>3</v>
      </c>
      <c r="I37" s="67">
        <v>10</v>
      </c>
      <c r="J37" s="41">
        <f>+(3-1)*H37</f>
        <v>6</v>
      </c>
      <c r="K37" s="41">
        <f>+(3-1)*I37</f>
        <v>20</v>
      </c>
    </row>
    <row r="38" spans="1:12">
      <c r="A38" s="145" t="s">
        <v>308</v>
      </c>
      <c r="B38" s="58" t="s">
        <v>15</v>
      </c>
      <c r="C38" s="140">
        <v>1</v>
      </c>
      <c r="D38" s="124">
        <v>1.05</v>
      </c>
      <c r="E38" s="59">
        <v>3</v>
      </c>
      <c r="F38" s="58">
        <f>+(D38-1)*E38</f>
        <v>0.15000000000000013</v>
      </c>
      <c r="G38" s="4">
        <v>1</v>
      </c>
      <c r="H38" s="109">
        <v>3</v>
      </c>
      <c r="I38" s="67">
        <v>12</v>
      </c>
      <c r="J38" s="41">
        <f>+(1.05-1)*H38</f>
        <v>0.15000000000000013</v>
      </c>
      <c r="K38" s="41">
        <f>+(1.05-1)*I38</f>
        <v>0.60000000000000053</v>
      </c>
    </row>
    <row r="39" spans="1:12">
      <c r="A39" s="138" t="s">
        <v>308</v>
      </c>
      <c r="B39" s="59" t="s">
        <v>27</v>
      </c>
      <c r="C39" s="140">
        <v>1</v>
      </c>
      <c r="D39" s="124">
        <v>1.1100000000000001</v>
      </c>
      <c r="E39" s="59">
        <v>2.5</v>
      </c>
      <c r="F39" s="58">
        <f>+(D39-1)*E39</f>
        <v>0.27500000000000024</v>
      </c>
      <c r="G39" s="54">
        <v>1</v>
      </c>
      <c r="H39" s="125">
        <v>3</v>
      </c>
      <c r="I39" s="125">
        <v>15</v>
      </c>
      <c r="J39" s="131">
        <f>+(1.11-1)*H39</f>
        <v>0.33000000000000029</v>
      </c>
      <c r="K39" s="131">
        <f>+(1.11-1)*I39</f>
        <v>1.6500000000000015</v>
      </c>
      <c r="L39" s="2"/>
    </row>
    <row r="40" spans="1:12">
      <c r="A40" s="146" t="s">
        <v>73</v>
      </c>
      <c r="B40" s="146" t="s">
        <v>239</v>
      </c>
      <c r="C40" s="123">
        <v>2</v>
      </c>
      <c r="D40" s="124">
        <v>1.33</v>
      </c>
      <c r="E40" s="59">
        <v>3</v>
      </c>
      <c r="F40" s="59">
        <f>-E40</f>
        <v>-3</v>
      </c>
      <c r="G40" s="46">
        <v>2</v>
      </c>
      <c r="H40" s="125">
        <v>3</v>
      </c>
      <c r="I40" s="174">
        <v>17</v>
      </c>
      <c r="J40" s="175">
        <f>-H40</f>
        <v>-3</v>
      </c>
      <c r="K40" s="175">
        <f>-I40</f>
        <v>-17</v>
      </c>
    </row>
    <row r="41" spans="1:12" s="155" customFormat="1" ht="15.75" thickBot="1">
      <c r="A41" s="162" t="s">
        <v>504</v>
      </c>
      <c r="B41" s="163" t="s">
        <v>0</v>
      </c>
      <c r="C41" s="156">
        <v>1</v>
      </c>
      <c r="D41" s="157">
        <v>1.67</v>
      </c>
      <c r="E41" s="162">
        <v>2</v>
      </c>
      <c r="F41" s="162">
        <f>-E41</f>
        <v>-2</v>
      </c>
      <c r="G41" s="206">
        <v>1</v>
      </c>
      <c r="H41" s="169">
        <v>3</v>
      </c>
      <c r="I41" s="169">
        <v>17</v>
      </c>
      <c r="J41" s="170">
        <f>-H41</f>
        <v>-3</v>
      </c>
      <c r="K41" s="170">
        <f>-I41</f>
        <v>-17</v>
      </c>
      <c r="L41" s="162" t="s">
        <v>506</v>
      </c>
    </row>
    <row r="43" spans="1:12">
      <c r="E43" s="137">
        <f>SUM(E2:E41)</f>
        <v>40.5</v>
      </c>
      <c r="F43" s="102">
        <f>SUM(F2:F41)</f>
        <v>-0.49999999999999911</v>
      </c>
      <c r="G43" s="18"/>
      <c r="H43" s="196">
        <f>SUM(H29:H41)</f>
        <v>31</v>
      </c>
      <c r="I43" s="196">
        <f>SUM(I29:I41)</f>
        <v>142</v>
      </c>
      <c r="J43" s="107">
        <f>SUM(J29:J41)</f>
        <v>14.720000000000002</v>
      </c>
      <c r="K43" s="107">
        <f>SUM(K29:K41)</f>
        <v>51.97</v>
      </c>
    </row>
    <row r="44" spans="1:12">
      <c r="F44" s="101">
        <f>+F43/E43</f>
        <v>-1.2345679012345658E-2</v>
      </c>
      <c r="J44" s="101">
        <f>+J43/H43</f>
        <v>0.47483870967741942</v>
      </c>
      <c r="K44" s="101">
        <f>+K43/I43</f>
        <v>0.36598591549295773</v>
      </c>
    </row>
  </sheetData>
  <sortState ref="A2:L41">
    <sortCondition ref="I2:I41"/>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sheetPr codeName="Hoja7"/>
  <dimension ref="A1:H19"/>
  <sheetViews>
    <sheetView workbookViewId="0">
      <selection activeCell="G5" sqref="A1:G5"/>
    </sheetView>
  </sheetViews>
  <sheetFormatPr baseColWidth="10" defaultRowHeight="15"/>
  <cols>
    <col min="1" max="1" width="4.28515625" customWidth="1"/>
    <col min="2" max="3" width="13.5703125" customWidth="1"/>
    <col min="5" max="6" width="7.85546875" customWidth="1"/>
    <col min="7" max="7" width="7.85546875" style="28" customWidth="1"/>
  </cols>
  <sheetData>
    <row r="1" spans="1:8">
      <c r="A1" s="12" t="s">
        <v>12</v>
      </c>
      <c r="B1" s="12" t="s">
        <v>181</v>
      </c>
      <c r="C1" s="12" t="s">
        <v>67</v>
      </c>
      <c r="D1" s="12" t="s">
        <v>49</v>
      </c>
      <c r="E1" s="13">
        <v>2</v>
      </c>
      <c r="F1" s="14">
        <f>((2.48-1)*0.95)+1</f>
        <v>2.4059999999999997</v>
      </c>
      <c r="G1" s="15" t="s">
        <v>243</v>
      </c>
      <c r="H1" t="s">
        <v>234</v>
      </c>
    </row>
    <row r="2" spans="1:8">
      <c r="A2" s="12" t="s">
        <v>12</v>
      </c>
      <c r="B2" s="12" t="s">
        <v>5</v>
      </c>
      <c r="C2" s="12" t="s">
        <v>134</v>
      </c>
      <c r="D2" s="12" t="s">
        <v>48</v>
      </c>
      <c r="E2" s="13">
        <v>1.5</v>
      </c>
      <c r="F2" s="14">
        <f>((3.5-1)*0.95)+1</f>
        <v>3.375</v>
      </c>
      <c r="G2" s="15" t="s">
        <v>38</v>
      </c>
      <c r="H2" t="s">
        <v>235</v>
      </c>
    </row>
    <row r="3" spans="1:8">
      <c r="A3" s="12" t="s">
        <v>12</v>
      </c>
      <c r="B3" s="12" t="s">
        <v>15</v>
      </c>
      <c r="C3" s="12" t="s">
        <v>4</v>
      </c>
      <c r="D3" s="12" t="s">
        <v>34</v>
      </c>
      <c r="E3" s="13">
        <v>0.5</v>
      </c>
      <c r="F3" s="14">
        <f>((3.5-1)*0.95)+1</f>
        <v>3.375</v>
      </c>
      <c r="G3" s="15" t="s">
        <v>43</v>
      </c>
      <c r="H3" t="s">
        <v>237</v>
      </c>
    </row>
    <row r="4" spans="1:8">
      <c r="A4" s="12" t="s">
        <v>12</v>
      </c>
      <c r="B4" s="12" t="s">
        <v>27</v>
      </c>
      <c r="C4" s="12" t="s">
        <v>182</v>
      </c>
      <c r="D4" s="12" t="s">
        <v>34</v>
      </c>
      <c r="E4" s="13">
        <v>0.5</v>
      </c>
      <c r="F4" s="14">
        <f>((4.1-1)*0.95)+1</f>
        <v>3.9449999999999994</v>
      </c>
      <c r="G4" s="15" t="s">
        <v>36</v>
      </c>
      <c r="H4" t="s">
        <v>236</v>
      </c>
    </row>
    <row r="5" spans="1:8">
      <c r="A5" s="12" t="s">
        <v>12</v>
      </c>
      <c r="B5" s="12" t="s">
        <v>239</v>
      </c>
      <c r="C5" s="12" t="s">
        <v>16</v>
      </c>
      <c r="D5" s="12" t="s">
        <v>48</v>
      </c>
      <c r="E5" s="13">
        <v>0.5</v>
      </c>
      <c r="F5" s="14">
        <f>((24-1)*0.95)+1</f>
        <v>22.849999999999998</v>
      </c>
      <c r="G5" s="15" t="s">
        <v>246</v>
      </c>
      <c r="H5" t="s">
        <v>240</v>
      </c>
    </row>
    <row r="6" spans="1:8">
      <c r="A6" s="2"/>
      <c r="B6" s="2"/>
      <c r="C6" s="2"/>
      <c r="D6" s="2"/>
      <c r="E6" s="3"/>
      <c r="F6" s="86"/>
      <c r="G6" s="30"/>
    </row>
    <row r="7" spans="1:8">
      <c r="A7" s="96" t="s">
        <v>242</v>
      </c>
      <c r="B7" s="2"/>
      <c r="C7" s="2"/>
      <c r="D7" s="2"/>
      <c r="E7" s="3"/>
      <c r="F7" s="86"/>
      <c r="G7" s="30"/>
    </row>
    <row r="8" spans="1:8">
      <c r="A8" s="12" t="s">
        <v>12</v>
      </c>
      <c r="B8" s="12" t="s">
        <v>2</v>
      </c>
      <c r="C8" s="12" t="s">
        <v>10</v>
      </c>
      <c r="D8" s="12" t="s">
        <v>34</v>
      </c>
      <c r="E8" s="13">
        <v>0.5</v>
      </c>
      <c r="F8" s="14">
        <f>((3.65-1)*0.95)+1</f>
        <v>3.5174999999999996</v>
      </c>
      <c r="G8" s="15" t="s">
        <v>244</v>
      </c>
      <c r="H8" t="s">
        <v>231</v>
      </c>
    </row>
    <row r="9" spans="1:8">
      <c r="A9" s="4" t="s">
        <v>12</v>
      </c>
      <c r="B9" s="4" t="s">
        <v>47</v>
      </c>
      <c r="C9" s="4" t="s">
        <v>26</v>
      </c>
      <c r="D9" s="4" t="s">
        <v>34</v>
      </c>
      <c r="E9" s="5">
        <v>0.5</v>
      </c>
      <c r="F9" s="9">
        <f>((3.45-1)*0.95)+1</f>
        <v>3.3275000000000001</v>
      </c>
      <c r="G9" s="10" t="s">
        <v>38</v>
      </c>
      <c r="H9" t="s">
        <v>238</v>
      </c>
    </row>
    <row r="13" spans="1:8">
      <c r="A13" t="s">
        <v>232</v>
      </c>
      <c r="C13" t="s">
        <v>233</v>
      </c>
    </row>
    <row r="18" spans="1:1">
      <c r="A18" s="18" t="s">
        <v>245</v>
      </c>
    </row>
    <row r="19" spans="1:1">
      <c r="A19" s="18" t="s">
        <v>241</v>
      </c>
    </row>
  </sheetData>
  <pageMargins left="0.7" right="0.7" top="0.75" bottom="0.75" header="0.3" footer="0.3"/>
  <pageSetup paperSize="9" orientation="portrait" horizontalDpi="0" verticalDpi="0" r:id="rId1"/>
  <legacyDrawing r:id="rId2"/>
</worksheet>
</file>

<file path=xl/worksheets/sheet60.xml><?xml version="1.0" encoding="utf-8"?>
<worksheet xmlns="http://schemas.openxmlformats.org/spreadsheetml/2006/main" xmlns:r="http://schemas.openxmlformats.org/officeDocument/2006/relationships">
  <sheetPr codeName="Hoja46"/>
  <dimension ref="A1:N44"/>
  <sheetViews>
    <sheetView workbookViewId="0">
      <selection activeCell="E14" sqref="E14:E21"/>
    </sheetView>
  </sheetViews>
  <sheetFormatPr baseColWidth="10" defaultRowHeight="15"/>
  <cols>
    <col min="1" max="6" width="11.42578125" style="137"/>
    <col min="7" max="7" width="3.5703125" style="137" customWidth="1"/>
    <col min="8" max="8" width="3.28515625" style="137" customWidth="1"/>
    <col min="9" max="9" width="4.5703125" style="137" customWidth="1"/>
    <col min="10" max="10" width="5.28515625" style="137" bestFit="1" customWidth="1"/>
    <col min="11" max="11" width="6.28515625" style="137" bestFit="1" customWidth="1"/>
    <col min="12" max="12" width="45.85546875" style="137" customWidth="1"/>
    <col min="13" max="16384" width="11.42578125" style="137"/>
  </cols>
  <sheetData>
    <row r="1" spans="1:14">
      <c r="C1" s="17" t="s">
        <v>250</v>
      </c>
      <c r="D1" s="17" t="s">
        <v>294</v>
      </c>
      <c r="E1" s="18" t="s">
        <v>251</v>
      </c>
      <c r="F1" s="18" t="s">
        <v>293</v>
      </c>
      <c r="G1" s="18" t="s">
        <v>303</v>
      </c>
      <c r="H1" s="18" t="s">
        <v>304</v>
      </c>
      <c r="I1" s="18" t="s">
        <v>314</v>
      </c>
      <c r="J1" s="18"/>
      <c r="K1" s="18"/>
      <c r="L1" s="137" t="s">
        <v>305</v>
      </c>
    </row>
    <row r="2" spans="1:14">
      <c r="A2" s="145" t="s">
        <v>308</v>
      </c>
      <c r="B2" s="58" t="s">
        <v>15</v>
      </c>
      <c r="C2" s="140">
        <v>1</v>
      </c>
      <c r="D2" s="124">
        <v>1.05</v>
      </c>
      <c r="E2" s="203">
        <v>3</v>
      </c>
      <c r="F2" s="203">
        <f>+(D2-1)*E2</f>
        <v>0.15000000000000013</v>
      </c>
      <c r="G2" s="54">
        <v>1</v>
      </c>
      <c r="H2" s="125">
        <v>3</v>
      </c>
      <c r="I2" s="174">
        <v>12</v>
      </c>
      <c r="J2" s="175">
        <f>+(1.05-1)*H2</f>
        <v>0.15000000000000013</v>
      </c>
      <c r="K2" s="175">
        <f>+(1.05-1)*I2</f>
        <v>0.60000000000000053</v>
      </c>
      <c r="M2" s="67">
        <f>E2*80/3</f>
        <v>80</v>
      </c>
      <c r="N2" s="41">
        <f>IF(D2="","",(D2*(M2/100)-1)/(D2-1)*40/5)</f>
        <v>-25.599999999999966</v>
      </c>
    </row>
    <row r="3" spans="1:14">
      <c r="A3" s="146" t="s">
        <v>73</v>
      </c>
      <c r="B3" s="146" t="s">
        <v>239</v>
      </c>
      <c r="C3" s="123">
        <v>2</v>
      </c>
      <c r="D3" s="124">
        <v>1.33</v>
      </c>
      <c r="E3" s="203">
        <v>3</v>
      </c>
      <c r="F3" s="203">
        <f>-E3</f>
        <v>-3</v>
      </c>
      <c r="G3" s="12">
        <v>2</v>
      </c>
      <c r="H3" s="109">
        <v>3</v>
      </c>
      <c r="I3" s="67">
        <v>17</v>
      </c>
      <c r="J3" s="41">
        <f>-H3</f>
        <v>-3</v>
      </c>
      <c r="K3" s="41">
        <f>-I3</f>
        <v>-17</v>
      </c>
      <c r="M3" s="67">
        <f t="shared" ref="M3:M41" si="0">E3*80/3</f>
        <v>80</v>
      </c>
      <c r="N3" s="41">
        <f t="shared" ref="N3:N41" si="1">IF(D3="","",(D3*(M3/100)-1)/(D3-1)*40/5)</f>
        <v>1.5515151515151526</v>
      </c>
    </row>
    <row r="4" spans="1:14">
      <c r="A4" s="138" t="s">
        <v>239</v>
      </c>
      <c r="B4" s="59" t="s">
        <v>62</v>
      </c>
      <c r="C4" s="140">
        <v>1</v>
      </c>
      <c r="D4" s="124">
        <v>1.1299999999999999</v>
      </c>
      <c r="E4" s="203">
        <v>3</v>
      </c>
      <c r="F4" s="203">
        <f>+(D4-1)*E4</f>
        <v>0.38999999999999968</v>
      </c>
      <c r="G4" s="141">
        <v>1</v>
      </c>
      <c r="H4" s="117">
        <v>2</v>
      </c>
      <c r="I4" s="117">
        <v>9</v>
      </c>
      <c r="J4" s="126">
        <f>+(1.13-1)*H4</f>
        <v>0.25999999999999979</v>
      </c>
      <c r="K4" s="127">
        <f>+(1.13-1)*I4</f>
        <v>1.169999999999999</v>
      </c>
      <c r="L4" s="2"/>
      <c r="M4" s="67">
        <f t="shared" si="0"/>
        <v>80</v>
      </c>
      <c r="N4" s="41">
        <f t="shared" si="1"/>
        <v>-5.9076923076923178</v>
      </c>
    </row>
    <row r="5" spans="1:14">
      <c r="A5" s="58" t="s">
        <v>4</v>
      </c>
      <c r="B5" s="145" t="s">
        <v>1</v>
      </c>
      <c r="C5" s="123">
        <v>1</v>
      </c>
      <c r="D5" s="124">
        <v>1.29</v>
      </c>
      <c r="E5" s="203">
        <v>2.5</v>
      </c>
      <c r="F5" s="203">
        <f>-E5</f>
        <v>-2.5</v>
      </c>
      <c r="G5" s="139">
        <v>1</v>
      </c>
      <c r="H5" s="117">
        <v>2</v>
      </c>
      <c r="I5" s="114">
        <v>6</v>
      </c>
      <c r="J5" s="115">
        <f>-H5</f>
        <v>-2</v>
      </c>
      <c r="K5" s="116">
        <f>-I5</f>
        <v>-6</v>
      </c>
      <c r="M5" s="67">
        <f t="shared" si="0"/>
        <v>66.666666666666671</v>
      </c>
      <c r="N5" s="41">
        <f t="shared" si="1"/>
        <v>-3.8620689655172376</v>
      </c>
    </row>
    <row r="6" spans="1:14">
      <c r="A6" s="59" t="s">
        <v>47</v>
      </c>
      <c r="B6" s="138" t="s">
        <v>308</v>
      </c>
      <c r="C6" s="140">
        <v>2</v>
      </c>
      <c r="D6" s="124">
        <v>1.22</v>
      </c>
      <c r="E6" s="203">
        <v>2.5</v>
      </c>
      <c r="F6" s="203">
        <f>+(D6-1)*E6</f>
        <v>0.54999999999999993</v>
      </c>
      <c r="G6" s="4">
        <v>2</v>
      </c>
      <c r="H6" s="109">
        <v>2</v>
      </c>
      <c r="I6" s="109">
        <v>5</v>
      </c>
      <c r="J6" s="86">
        <f>+(1.22-1)*H6</f>
        <v>0.43999999999999995</v>
      </c>
      <c r="K6" s="86">
        <f>+(1.22-1)*I6</f>
        <v>1.0999999999999999</v>
      </c>
      <c r="L6" s="2"/>
      <c r="M6" s="67">
        <f t="shared" si="0"/>
        <v>66.666666666666671</v>
      </c>
      <c r="N6" s="41">
        <f t="shared" si="1"/>
        <v>-6.7878787878787872</v>
      </c>
    </row>
    <row r="7" spans="1:14">
      <c r="A7" s="138" t="s">
        <v>308</v>
      </c>
      <c r="B7" s="59" t="s">
        <v>27</v>
      </c>
      <c r="C7" s="140">
        <v>1</v>
      </c>
      <c r="D7" s="124">
        <v>1.1100000000000001</v>
      </c>
      <c r="E7" s="203">
        <v>2.5</v>
      </c>
      <c r="F7" s="203">
        <f>+(D7-1)*E7</f>
        <v>0.27500000000000024</v>
      </c>
      <c r="G7" s="141">
        <v>1</v>
      </c>
      <c r="H7" s="117">
        <v>3</v>
      </c>
      <c r="I7" s="117">
        <v>15</v>
      </c>
      <c r="J7" s="126">
        <f>+(1.11-1)*H7</f>
        <v>0.33000000000000029</v>
      </c>
      <c r="K7" s="127">
        <f>+(1.11-1)*I7</f>
        <v>1.6500000000000015</v>
      </c>
      <c r="L7" s="2"/>
      <c r="M7" s="67">
        <f t="shared" si="0"/>
        <v>66.666666666666671</v>
      </c>
      <c r="N7" s="41">
        <f t="shared" si="1"/>
        <v>-18.909090909090885</v>
      </c>
    </row>
    <row r="8" spans="1:14">
      <c r="A8" s="58" t="s">
        <v>5</v>
      </c>
      <c r="B8" s="145" t="s">
        <v>308</v>
      </c>
      <c r="C8" s="140">
        <v>2</v>
      </c>
      <c r="D8" s="124">
        <v>1.36</v>
      </c>
      <c r="E8" s="203">
        <v>2.25</v>
      </c>
      <c r="F8" s="203">
        <f>+(D8-1)*E8</f>
        <v>0.81000000000000028</v>
      </c>
      <c r="G8" s="4">
        <v>2</v>
      </c>
      <c r="H8" s="67">
        <v>2</v>
      </c>
      <c r="I8" s="67">
        <v>8</v>
      </c>
      <c r="J8" s="41">
        <f>(1.36-1)*H8</f>
        <v>0.7200000000000002</v>
      </c>
      <c r="K8" s="41">
        <f>(1.36-1)*I8</f>
        <v>2.8800000000000008</v>
      </c>
      <c r="L8" s="137" t="s">
        <v>309</v>
      </c>
      <c r="M8" s="67">
        <f t="shared" si="0"/>
        <v>60</v>
      </c>
      <c r="N8" s="41">
        <f t="shared" si="1"/>
        <v>-4.0888888888888868</v>
      </c>
    </row>
    <row r="9" spans="1:14">
      <c r="A9" s="146" t="s">
        <v>1</v>
      </c>
      <c r="B9" s="146" t="s">
        <v>26</v>
      </c>
      <c r="C9" s="123">
        <v>2</v>
      </c>
      <c r="D9" s="124">
        <v>2.88</v>
      </c>
      <c r="E9" s="203">
        <v>2</v>
      </c>
      <c r="F9" s="203">
        <f>-E9</f>
        <v>-2</v>
      </c>
      <c r="G9" s="12">
        <v>2</v>
      </c>
      <c r="H9" s="67">
        <v>2</v>
      </c>
      <c r="I9" s="67">
        <v>9</v>
      </c>
      <c r="J9" s="41">
        <f>-H9</f>
        <v>-2</v>
      </c>
      <c r="K9" s="41">
        <f>-I9</f>
        <v>-9</v>
      </c>
      <c r="M9" s="67">
        <f t="shared" si="0"/>
        <v>53.333333333333336</v>
      </c>
      <c r="N9" s="41">
        <f t="shared" si="1"/>
        <v>2.2808510638297874</v>
      </c>
    </row>
    <row r="10" spans="1:14">
      <c r="A10" s="58" t="s">
        <v>10</v>
      </c>
      <c r="B10" s="145" t="s">
        <v>5</v>
      </c>
      <c r="C10" s="140">
        <v>2</v>
      </c>
      <c r="D10" s="124">
        <v>2.25</v>
      </c>
      <c r="E10" s="203">
        <v>2</v>
      </c>
      <c r="F10" s="203">
        <f>+(D10-1)*E10</f>
        <v>2.5</v>
      </c>
      <c r="G10" s="141">
        <v>2</v>
      </c>
      <c r="H10" s="117">
        <v>2</v>
      </c>
      <c r="I10" s="114">
        <v>9</v>
      </c>
      <c r="J10" s="115">
        <f>+(2.25-1)*H10</f>
        <v>2.5</v>
      </c>
      <c r="K10" s="116">
        <f>+(2.25-1)*I10</f>
        <v>11.25</v>
      </c>
      <c r="M10" s="67">
        <f t="shared" si="0"/>
        <v>53.333333333333336</v>
      </c>
      <c r="N10" s="41">
        <f t="shared" si="1"/>
        <v>1.2799999999999998</v>
      </c>
    </row>
    <row r="11" spans="1:14" s="155" customFormat="1" ht="15.75" thickBot="1">
      <c r="A11" s="162" t="s">
        <v>28</v>
      </c>
      <c r="B11" s="163" t="s">
        <v>26</v>
      </c>
      <c r="C11" s="156">
        <v>1</v>
      </c>
      <c r="D11" s="157">
        <v>2.1</v>
      </c>
      <c r="E11" s="204">
        <v>2</v>
      </c>
      <c r="F11" s="204">
        <f>-E11</f>
        <v>-2</v>
      </c>
      <c r="G11" s="206">
        <v>1</v>
      </c>
      <c r="H11" s="169">
        <v>1</v>
      </c>
      <c r="I11" s="169">
        <v>2</v>
      </c>
      <c r="J11" s="170">
        <f t="shared" ref="J11:K13" si="2">-H11</f>
        <v>-1</v>
      </c>
      <c r="K11" s="170">
        <f t="shared" si="2"/>
        <v>-2</v>
      </c>
      <c r="L11" s="162"/>
      <c r="M11" s="67">
        <f t="shared" si="0"/>
        <v>53.333333333333336</v>
      </c>
      <c r="N11" s="41">
        <f t="shared" si="1"/>
        <v>0.87272727272727335</v>
      </c>
    </row>
    <row r="12" spans="1:14">
      <c r="A12" s="59" t="s">
        <v>504</v>
      </c>
      <c r="B12" s="138" t="s">
        <v>0</v>
      </c>
      <c r="C12" s="123">
        <v>1</v>
      </c>
      <c r="D12" s="124">
        <v>1.67</v>
      </c>
      <c r="E12" s="203">
        <v>2</v>
      </c>
      <c r="F12" s="203">
        <f>-E12</f>
        <v>-2</v>
      </c>
      <c r="G12" s="12">
        <v>1</v>
      </c>
      <c r="H12" s="109">
        <v>3</v>
      </c>
      <c r="I12" s="109">
        <v>17</v>
      </c>
      <c r="J12" s="86">
        <f t="shared" si="2"/>
        <v>-3</v>
      </c>
      <c r="K12" s="86">
        <f t="shared" si="2"/>
        <v>-17</v>
      </c>
      <c r="L12" s="2" t="s">
        <v>506</v>
      </c>
      <c r="M12" s="67">
        <f t="shared" si="0"/>
        <v>53.333333333333336</v>
      </c>
      <c r="N12" s="41">
        <f t="shared" si="1"/>
        <v>-1.3054726368159213</v>
      </c>
    </row>
    <row r="13" spans="1:14">
      <c r="A13" s="146" t="s">
        <v>239</v>
      </c>
      <c r="B13" s="146" t="s">
        <v>67</v>
      </c>
      <c r="C13" s="123">
        <v>1</v>
      </c>
      <c r="D13" s="124">
        <v>1.18</v>
      </c>
      <c r="E13" s="203">
        <v>1.75</v>
      </c>
      <c r="F13" s="203">
        <f>-E13</f>
        <v>-1.75</v>
      </c>
      <c r="G13" s="139">
        <v>1</v>
      </c>
      <c r="H13" s="114">
        <v>1</v>
      </c>
      <c r="I13" s="114">
        <v>2</v>
      </c>
      <c r="J13" s="115">
        <f t="shared" si="2"/>
        <v>-1</v>
      </c>
      <c r="K13" s="116">
        <f t="shared" si="2"/>
        <v>-2</v>
      </c>
      <c r="L13" s="137" t="s">
        <v>312</v>
      </c>
      <c r="M13" s="67">
        <f t="shared" si="0"/>
        <v>46.666666666666664</v>
      </c>
      <c r="N13" s="41">
        <f t="shared" si="1"/>
        <v>-19.970370370370382</v>
      </c>
    </row>
    <row r="14" spans="1:14">
      <c r="A14" s="145" t="s">
        <v>28</v>
      </c>
      <c r="B14" s="58" t="s">
        <v>73</v>
      </c>
      <c r="C14" s="140">
        <v>1</v>
      </c>
      <c r="D14" s="124">
        <v>2.4</v>
      </c>
      <c r="E14" s="58">
        <v>1.5</v>
      </c>
      <c r="F14" s="58">
        <f>+(D14-1)*E14</f>
        <v>2.0999999999999996</v>
      </c>
      <c r="G14" s="4">
        <v>1</v>
      </c>
      <c r="H14" s="67">
        <v>2</v>
      </c>
      <c r="I14" s="67">
        <v>5</v>
      </c>
      <c r="J14" s="41">
        <f>(2.4-1)*H14</f>
        <v>2.8</v>
      </c>
      <c r="K14" s="41">
        <f>(2.4-1)*I14</f>
        <v>7</v>
      </c>
      <c r="M14" s="67">
        <f t="shared" si="0"/>
        <v>40</v>
      </c>
      <c r="N14" s="41">
        <f t="shared" si="1"/>
        <v>-0.22857142857142879</v>
      </c>
    </row>
    <row r="15" spans="1:14">
      <c r="A15" s="58" t="s">
        <v>27</v>
      </c>
      <c r="B15" s="145" t="s">
        <v>4</v>
      </c>
      <c r="C15" s="140">
        <v>2</v>
      </c>
      <c r="D15" s="124">
        <v>3.2</v>
      </c>
      <c r="E15" s="58">
        <v>1.5</v>
      </c>
      <c r="F15" s="58">
        <f>+(D15-1)*E15</f>
        <v>3.3000000000000003</v>
      </c>
      <c r="G15" s="139">
        <v>1</v>
      </c>
      <c r="H15" s="114">
        <v>1</v>
      </c>
      <c r="I15" s="114">
        <v>1</v>
      </c>
      <c r="J15" s="115">
        <f>-H15</f>
        <v>-1</v>
      </c>
      <c r="K15" s="116">
        <f>-I15</f>
        <v>-1</v>
      </c>
      <c r="L15" s="137" t="s">
        <v>315</v>
      </c>
      <c r="M15" s="67">
        <f t="shared" si="0"/>
        <v>40</v>
      </c>
      <c r="N15" s="41">
        <f t="shared" si="1"/>
        <v>1.018181818181819</v>
      </c>
    </row>
    <row r="16" spans="1:14">
      <c r="A16" s="58" t="s">
        <v>3</v>
      </c>
      <c r="B16" s="145" t="s">
        <v>47</v>
      </c>
      <c r="C16" s="140">
        <v>2</v>
      </c>
      <c r="D16" s="124">
        <v>3</v>
      </c>
      <c r="E16" s="59">
        <v>1.5</v>
      </c>
      <c r="F16" s="58">
        <f>+(D16-1)*E16</f>
        <v>3</v>
      </c>
      <c r="G16" s="144">
        <v>2</v>
      </c>
      <c r="H16" s="119">
        <v>3</v>
      </c>
      <c r="I16" s="120">
        <v>10</v>
      </c>
      <c r="J16" s="121">
        <f>+(3-1)*H16</f>
        <v>6</v>
      </c>
      <c r="K16" s="122">
        <f>+(3-1)*I16</f>
        <v>20</v>
      </c>
      <c r="M16" s="67">
        <f t="shared" si="0"/>
        <v>40</v>
      </c>
      <c r="N16" s="41">
        <f t="shared" si="1"/>
        <v>0.80000000000000071</v>
      </c>
    </row>
    <row r="17" spans="1:14">
      <c r="A17" s="130" t="s">
        <v>4</v>
      </c>
      <c r="B17" s="130" t="s">
        <v>28</v>
      </c>
      <c r="C17" s="123">
        <v>1</v>
      </c>
      <c r="D17" s="124">
        <v>1.57</v>
      </c>
      <c r="E17" s="59">
        <v>1.5</v>
      </c>
      <c r="F17" s="59">
        <f>-E17</f>
        <v>-1.5</v>
      </c>
      <c r="G17" s="139">
        <v>2</v>
      </c>
      <c r="H17" s="117">
        <v>1</v>
      </c>
      <c r="I17" s="117">
        <v>4</v>
      </c>
      <c r="J17" s="126">
        <f t="shared" ref="J17:K19" si="3">-H17</f>
        <v>-1</v>
      </c>
      <c r="K17" s="127">
        <f t="shared" si="3"/>
        <v>-4</v>
      </c>
      <c r="L17" s="2"/>
      <c r="M17" s="67">
        <f t="shared" si="0"/>
        <v>40</v>
      </c>
      <c r="N17" s="41">
        <f t="shared" si="1"/>
        <v>-5.2210526315789449</v>
      </c>
    </row>
    <row r="18" spans="1:14">
      <c r="A18" s="146" t="s">
        <v>0</v>
      </c>
      <c r="B18" s="146" t="s">
        <v>16</v>
      </c>
      <c r="C18" s="123">
        <v>2</v>
      </c>
      <c r="D18" s="124">
        <v>3.75</v>
      </c>
      <c r="E18" s="59">
        <v>1.25</v>
      </c>
      <c r="F18" s="59">
        <f>-E18</f>
        <v>-1.25</v>
      </c>
      <c r="G18" s="139">
        <v>2</v>
      </c>
      <c r="H18" s="117">
        <v>2</v>
      </c>
      <c r="I18" s="114">
        <v>7</v>
      </c>
      <c r="J18" s="115">
        <f t="shared" si="3"/>
        <v>-2</v>
      </c>
      <c r="K18" s="116">
        <f t="shared" si="3"/>
        <v>-7</v>
      </c>
      <c r="L18" s="137" t="s">
        <v>391</v>
      </c>
      <c r="M18" s="67">
        <f t="shared" si="0"/>
        <v>33.333333333333336</v>
      </c>
      <c r="N18" s="41">
        <f t="shared" si="1"/>
        <v>0.72727272727272796</v>
      </c>
    </row>
    <row r="19" spans="1:14">
      <c r="A19" s="138" t="s">
        <v>175</v>
      </c>
      <c r="B19" s="59" t="s">
        <v>181</v>
      </c>
      <c r="C19" s="140">
        <v>1</v>
      </c>
      <c r="D19" s="124">
        <v>1.62</v>
      </c>
      <c r="E19" s="59">
        <v>1.25</v>
      </c>
      <c r="F19" s="58">
        <f>+(D19-1)*E19</f>
        <v>0.77500000000000013</v>
      </c>
      <c r="G19" s="139">
        <v>2</v>
      </c>
      <c r="H19" s="117">
        <v>2</v>
      </c>
      <c r="I19" s="117">
        <v>5</v>
      </c>
      <c r="J19" s="126">
        <f t="shared" si="3"/>
        <v>-2</v>
      </c>
      <c r="K19" s="127">
        <f t="shared" si="3"/>
        <v>-5</v>
      </c>
      <c r="L19" s="2"/>
      <c r="M19" s="67">
        <f t="shared" si="0"/>
        <v>33.333333333333336</v>
      </c>
      <c r="N19" s="41">
        <f t="shared" si="1"/>
        <v>-5.9354838709677393</v>
      </c>
    </row>
    <row r="20" spans="1:14">
      <c r="A20" s="58" t="s">
        <v>62</v>
      </c>
      <c r="B20" s="145" t="s">
        <v>28</v>
      </c>
      <c r="C20" s="140">
        <v>2</v>
      </c>
      <c r="D20" s="124">
        <v>3.75</v>
      </c>
      <c r="E20" s="59">
        <v>1</v>
      </c>
      <c r="F20" s="58">
        <f>+(D20-1)*E20</f>
        <v>2.75</v>
      </c>
      <c r="G20" s="144">
        <v>2</v>
      </c>
      <c r="H20" s="119">
        <v>2</v>
      </c>
      <c r="I20" s="120">
        <v>9</v>
      </c>
      <c r="J20" s="121">
        <f>+(3.75-1)*H20</f>
        <v>5.5</v>
      </c>
      <c r="K20" s="122">
        <f>+(3.75-1)*I20</f>
        <v>24.75</v>
      </c>
      <c r="L20" s="137" t="s">
        <v>390</v>
      </c>
      <c r="M20" s="67">
        <f t="shared" si="0"/>
        <v>26.666666666666668</v>
      </c>
      <c r="N20" s="41">
        <f t="shared" si="1"/>
        <v>0</v>
      </c>
    </row>
    <row r="21" spans="1:14" s="155" customFormat="1" ht="15.75" thickBot="1">
      <c r="A21" s="162" t="s">
        <v>26</v>
      </c>
      <c r="B21" s="163" t="s">
        <v>239</v>
      </c>
      <c r="C21" s="167">
        <v>2</v>
      </c>
      <c r="D21" s="157">
        <v>1.4</v>
      </c>
      <c r="E21" s="162">
        <v>1</v>
      </c>
      <c r="F21" s="155">
        <f>+(D21-1)*E21</f>
        <v>0.39999999999999991</v>
      </c>
      <c r="G21" s="205">
        <v>2</v>
      </c>
      <c r="H21" s="169">
        <v>1</v>
      </c>
      <c r="I21" s="169">
        <v>3</v>
      </c>
      <c r="J21" s="170">
        <f>+(1.4-1)*H21</f>
        <v>0.39999999999999991</v>
      </c>
      <c r="K21" s="170">
        <f>+(1.4-1)*I21</f>
        <v>1.1999999999999997</v>
      </c>
      <c r="L21" s="162" t="s">
        <v>505</v>
      </c>
      <c r="M21" s="67">
        <f t="shared" si="0"/>
        <v>26.666666666666668</v>
      </c>
      <c r="N21" s="41">
        <f t="shared" si="1"/>
        <v>-12.533333333333337</v>
      </c>
    </row>
    <row r="22" spans="1:14">
      <c r="A22" s="138" t="s">
        <v>181</v>
      </c>
      <c r="B22" s="59" t="s">
        <v>4</v>
      </c>
      <c r="C22" s="123">
        <v>2</v>
      </c>
      <c r="D22" s="124">
        <v>2.5</v>
      </c>
      <c r="E22" s="203">
        <v>0.75</v>
      </c>
      <c r="F22" s="203">
        <f>-E22</f>
        <v>-0.75</v>
      </c>
      <c r="G22" s="141">
        <v>1</v>
      </c>
      <c r="H22" s="117">
        <v>1</v>
      </c>
      <c r="I22" s="117">
        <v>1</v>
      </c>
      <c r="J22" s="126">
        <f>+(2.88-1)*H22</f>
        <v>1.88</v>
      </c>
      <c r="K22" s="127">
        <f>+(2.88-1)*I22</f>
        <v>1.88</v>
      </c>
      <c r="L22" s="2" t="s">
        <v>458</v>
      </c>
      <c r="M22" s="67">
        <f t="shared" si="0"/>
        <v>20</v>
      </c>
      <c r="N22" s="41">
        <f t="shared" si="1"/>
        <v>-2.6666666666666665</v>
      </c>
    </row>
    <row r="23" spans="1:14">
      <c r="A23" s="138" t="s">
        <v>1</v>
      </c>
      <c r="B23" s="59" t="s">
        <v>134</v>
      </c>
      <c r="C23" s="123">
        <v>2</v>
      </c>
      <c r="D23" s="124">
        <v>1.8</v>
      </c>
      <c r="E23" s="203">
        <v>0.75</v>
      </c>
      <c r="F23" s="203">
        <f>-E23</f>
        <v>-0.75</v>
      </c>
      <c r="G23" s="139">
        <v>2</v>
      </c>
      <c r="H23" s="117">
        <v>1</v>
      </c>
      <c r="I23" s="117">
        <v>3</v>
      </c>
      <c r="J23" s="126">
        <f t="shared" ref="J23:K25" si="4">-H23</f>
        <v>-1</v>
      </c>
      <c r="K23" s="127">
        <f t="shared" si="4"/>
        <v>-3</v>
      </c>
      <c r="L23" s="2" t="s">
        <v>459</v>
      </c>
      <c r="M23" s="67">
        <f t="shared" si="0"/>
        <v>20</v>
      </c>
      <c r="N23" s="41">
        <f t="shared" si="1"/>
        <v>-6.3999999999999986</v>
      </c>
    </row>
    <row r="24" spans="1:14">
      <c r="A24" s="99" t="s">
        <v>181</v>
      </c>
      <c r="B24" s="137" t="s">
        <v>62</v>
      </c>
      <c r="C24" s="104" t="s">
        <v>256</v>
      </c>
      <c r="D24" s="104"/>
      <c r="G24" s="12">
        <v>2</v>
      </c>
      <c r="H24" s="67">
        <v>2</v>
      </c>
      <c r="I24" s="67">
        <v>9</v>
      </c>
      <c r="J24" s="41">
        <f t="shared" si="4"/>
        <v>-2</v>
      </c>
      <c r="K24" s="41">
        <f t="shared" si="4"/>
        <v>-9</v>
      </c>
      <c r="L24" s="137" t="s">
        <v>306</v>
      </c>
      <c r="M24" s="67">
        <f t="shared" si="0"/>
        <v>0</v>
      </c>
      <c r="N24" s="41" t="str">
        <f t="shared" si="1"/>
        <v/>
      </c>
    </row>
    <row r="25" spans="1:14">
      <c r="A25" s="145" t="s">
        <v>15</v>
      </c>
      <c r="B25" s="58" t="s">
        <v>3</v>
      </c>
      <c r="C25" s="123" t="s">
        <v>272</v>
      </c>
      <c r="D25" s="124"/>
      <c r="E25" s="58"/>
      <c r="F25" s="58"/>
      <c r="G25" s="139">
        <v>2</v>
      </c>
      <c r="H25" s="114">
        <v>1</v>
      </c>
      <c r="I25" s="114">
        <v>3</v>
      </c>
      <c r="J25" s="115">
        <f t="shared" si="4"/>
        <v>-1</v>
      </c>
      <c r="K25" s="116">
        <f t="shared" si="4"/>
        <v>-3</v>
      </c>
      <c r="L25" s="137" t="s">
        <v>307</v>
      </c>
      <c r="M25" s="67">
        <f t="shared" si="0"/>
        <v>0</v>
      </c>
      <c r="N25" s="41" t="str">
        <f t="shared" si="1"/>
        <v/>
      </c>
    </row>
    <row r="26" spans="1:14">
      <c r="A26" s="145" t="s">
        <v>2</v>
      </c>
      <c r="B26" s="58" t="s">
        <v>0</v>
      </c>
      <c r="C26" s="123" t="s">
        <v>257</v>
      </c>
      <c r="D26" s="124"/>
      <c r="E26" s="58"/>
      <c r="F26" s="58"/>
      <c r="G26" s="4">
        <v>1</v>
      </c>
      <c r="H26" s="67">
        <v>1</v>
      </c>
      <c r="I26" s="67">
        <v>4</v>
      </c>
      <c r="J26" s="41">
        <f>(2.3-1)*H26</f>
        <v>1.2999999999999998</v>
      </c>
      <c r="K26" s="41">
        <f>(2.3-1)*I26</f>
        <v>5.1999999999999993</v>
      </c>
      <c r="L26" s="137" t="s">
        <v>310</v>
      </c>
      <c r="M26" s="67">
        <f t="shared" si="0"/>
        <v>0</v>
      </c>
      <c r="N26" s="41" t="str">
        <f t="shared" si="1"/>
        <v/>
      </c>
    </row>
    <row r="27" spans="1:14">
      <c r="A27" s="145" t="s">
        <v>47</v>
      </c>
      <c r="B27" s="58" t="s">
        <v>134</v>
      </c>
      <c r="C27" s="123" t="s">
        <v>272</v>
      </c>
      <c r="D27" s="124"/>
      <c r="E27" s="58"/>
      <c r="F27" s="58"/>
      <c r="G27" s="139">
        <v>2</v>
      </c>
      <c r="H27" s="114">
        <v>1</v>
      </c>
      <c r="I27" s="114">
        <v>3</v>
      </c>
      <c r="J27" s="115">
        <f>-H27</f>
        <v>-1</v>
      </c>
      <c r="K27" s="116">
        <f>-I27</f>
        <v>-3</v>
      </c>
      <c r="L27" s="137" t="s">
        <v>311</v>
      </c>
      <c r="M27" s="67">
        <f t="shared" si="0"/>
        <v>0</v>
      </c>
      <c r="N27" s="41" t="str">
        <f t="shared" si="1"/>
        <v/>
      </c>
    </row>
    <row r="28" spans="1:14">
      <c r="A28" s="145" t="s">
        <v>16</v>
      </c>
      <c r="B28" s="58" t="s">
        <v>10</v>
      </c>
      <c r="C28" s="124" t="s">
        <v>256</v>
      </c>
      <c r="D28" s="124"/>
      <c r="E28" s="58"/>
      <c r="F28" s="58"/>
      <c r="G28" s="4">
        <v>1</v>
      </c>
      <c r="H28" s="67">
        <v>1</v>
      </c>
      <c r="I28" s="67">
        <v>2</v>
      </c>
      <c r="J28" s="41">
        <f>(1.62-1)*H28</f>
        <v>0.62000000000000011</v>
      </c>
      <c r="K28" s="41">
        <f>(1.62-1)*I28</f>
        <v>1.2400000000000002</v>
      </c>
      <c r="L28" s="137" t="s">
        <v>313</v>
      </c>
      <c r="M28" s="67">
        <f t="shared" si="0"/>
        <v>0</v>
      </c>
      <c r="N28" s="41" t="str">
        <f t="shared" si="1"/>
        <v/>
      </c>
    </row>
    <row r="29" spans="1:14">
      <c r="A29" s="100" t="s">
        <v>26</v>
      </c>
      <c r="B29" s="100" t="s">
        <v>181</v>
      </c>
      <c r="C29" s="16" t="s">
        <v>272</v>
      </c>
      <c r="D29" s="104"/>
      <c r="E29" s="2"/>
      <c r="F29" s="2"/>
      <c r="G29" s="12">
        <v>2</v>
      </c>
      <c r="H29" s="109">
        <v>1</v>
      </c>
      <c r="I29" s="67">
        <v>1</v>
      </c>
      <c r="J29" s="41">
        <f>-H29</f>
        <v>-1</v>
      </c>
      <c r="K29" s="41">
        <f>-I29</f>
        <v>-1</v>
      </c>
      <c r="M29" s="67">
        <f t="shared" si="0"/>
        <v>0</v>
      </c>
      <c r="N29" s="41" t="str">
        <f t="shared" si="1"/>
        <v/>
      </c>
    </row>
    <row r="30" spans="1:14">
      <c r="A30" s="145" t="s">
        <v>134</v>
      </c>
      <c r="B30" s="58" t="s">
        <v>27</v>
      </c>
      <c r="C30" s="123" t="s">
        <v>272</v>
      </c>
      <c r="D30" s="124"/>
      <c r="E30" s="59"/>
      <c r="F30" s="59"/>
      <c r="G30" s="12">
        <v>2</v>
      </c>
      <c r="H30" s="109">
        <v>2</v>
      </c>
      <c r="I30" s="67">
        <v>6</v>
      </c>
      <c r="J30" s="41">
        <f>-H30</f>
        <v>-2</v>
      </c>
      <c r="K30" s="41">
        <f>-I30</f>
        <v>-6</v>
      </c>
      <c r="L30" s="137" t="s">
        <v>389</v>
      </c>
      <c r="M30" s="67">
        <f t="shared" si="0"/>
        <v>0</v>
      </c>
      <c r="N30" s="41" t="str">
        <f t="shared" si="1"/>
        <v/>
      </c>
    </row>
    <row r="31" spans="1:14" s="155" customFormat="1" ht="15.75" thickBot="1">
      <c r="A31" s="172" t="s">
        <v>67</v>
      </c>
      <c r="B31" s="172" t="s">
        <v>2</v>
      </c>
      <c r="C31" s="156" t="s">
        <v>272</v>
      </c>
      <c r="D31" s="157"/>
      <c r="E31" s="162"/>
      <c r="F31" s="162"/>
      <c r="G31" s="205">
        <v>1</v>
      </c>
      <c r="H31" s="169">
        <v>1</v>
      </c>
      <c r="I31" s="198">
        <v>1</v>
      </c>
      <c r="J31" s="199">
        <f>+(1.73-1)*H31</f>
        <v>0.73</v>
      </c>
      <c r="K31" s="199">
        <f>+(1.73-1)*I31</f>
        <v>0.73</v>
      </c>
      <c r="M31" s="67">
        <f t="shared" si="0"/>
        <v>0</v>
      </c>
      <c r="N31" s="41" t="str">
        <f t="shared" si="1"/>
        <v/>
      </c>
    </row>
    <row r="32" spans="1:14">
      <c r="A32" s="59" t="s">
        <v>16</v>
      </c>
      <c r="B32" s="138" t="s">
        <v>67</v>
      </c>
      <c r="C32" s="124" t="s">
        <v>256</v>
      </c>
      <c r="D32" s="124"/>
      <c r="E32" s="59"/>
      <c r="F32" s="59"/>
      <c r="G32" s="4">
        <v>2</v>
      </c>
      <c r="H32" s="109">
        <v>2</v>
      </c>
      <c r="I32" s="109">
        <v>9</v>
      </c>
      <c r="J32" s="86">
        <f>+(2.88-1)*H32</f>
        <v>3.76</v>
      </c>
      <c r="K32" s="86">
        <f>+(2.88-1)*I32</f>
        <v>16.919999999999998</v>
      </c>
      <c r="L32" s="2"/>
      <c r="M32" s="67">
        <f t="shared" si="0"/>
        <v>0</v>
      </c>
      <c r="N32" s="41" t="str">
        <f t="shared" si="1"/>
        <v/>
      </c>
    </row>
    <row r="33" spans="1:14">
      <c r="A33" s="112" t="s">
        <v>27</v>
      </c>
      <c r="B33" s="112" t="s">
        <v>3</v>
      </c>
      <c r="C33" s="16" t="s">
        <v>257</v>
      </c>
      <c r="D33" s="104"/>
      <c r="E33" s="2"/>
      <c r="F33" s="2"/>
      <c r="G33" s="46">
        <v>2</v>
      </c>
      <c r="H33" s="125">
        <v>1</v>
      </c>
      <c r="I33" s="125">
        <v>1</v>
      </c>
      <c r="J33" s="131">
        <f t="shared" ref="J33:K35" si="5">-H33</f>
        <v>-1</v>
      </c>
      <c r="K33" s="131">
        <f t="shared" si="5"/>
        <v>-1</v>
      </c>
      <c r="L33" s="2"/>
      <c r="M33" s="67">
        <f t="shared" si="0"/>
        <v>0</v>
      </c>
      <c r="N33" s="41" t="str">
        <f t="shared" si="1"/>
        <v/>
      </c>
    </row>
    <row r="34" spans="1:14">
      <c r="A34" s="2" t="s">
        <v>2</v>
      </c>
      <c r="B34" s="96" t="s">
        <v>73</v>
      </c>
      <c r="C34" s="104" t="s">
        <v>256</v>
      </c>
      <c r="D34" s="104"/>
      <c r="E34" s="2"/>
      <c r="F34" s="2"/>
      <c r="G34" s="139">
        <v>1</v>
      </c>
      <c r="H34" s="117">
        <v>1</v>
      </c>
      <c r="I34" s="117">
        <v>4</v>
      </c>
      <c r="J34" s="126">
        <f t="shared" si="5"/>
        <v>-1</v>
      </c>
      <c r="K34" s="127">
        <f t="shared" si="5"/>
        <v>-4</v>
      </c>
      <c r="L34" s="2"/>
      <c r="M34" s="67">
        <f t="shared" si="0"/>
        <v>0</v>
      </c>
      <c r="N34" s="41" t="str">
        <f t="shared" si="1"/>
        <v/>
      </c>
    </row>
    <row r="35" spans="1:14">
      <c r="A35" s="112" t="s">
        <v>0</v>
      </c>
      <c r="B35" s="112" t="s">
        <v>10</v>
      </c>
      <c r="C35" s="16" t="s">
        <v>272</v>
      </c>
      <c r="D35" s="104"/>
      <c r="E35" s="2"/>
      <c r="F35" s="2"/>
      <c r="G35" s="139">
        <v>1</v>
      </c>
      <c r="H35" s="117">
        <v>1</v>
      </c>
      <c r="I35" s="117">
        <v>1</v>
      </c>
      <c r="J35" s="126">
        <f t="shared" si="5"/>
        <v>-1</v>
      </c>
      <c r="K35" s="127">
        <f t="shared" si="5"/>
        <v>-1</v>
      </c>
      <c r="L35" s="2"/>
      <c r="M35" s="67">
        <f t="shared" si="0"/>
        <v>0</v>
      </c>
      <c r="N35" s="41" t="str">
        <f t="shared" si="1"/>
        <v/>
      </c>
    </row>
    <row r="36" spans="1:14">
      <c r="A36" s="59" t="s">
        <v>15</v>
      </c>
      <c r="B36" s="138" t="s">
        <v>5</v>
      </c>
      <c r="C36" s="124" t="s">
        <v>256</v>
      </c>
      <c r="D36" s="124"/>
      <c r="E36" s="59"/>
      <c r="F36" s="59"/>
      <c r="G36" s="141">
        <v>2</v>
      </c>
      <c r="H36" s="117">
        <v>2</v>
      </c>
      <c r="I36" s="117">
        <v>7</v>
      </c>
      <c r="J36" s="126">
        <f>+(2.5-1)*H36</f>
        <v>3</v>
      </c>
      <c r="K36" s="127">
        <f>+(2.5-1)*I36</f>
        <v>10.5</v>
      </c>
      <c r="L36" s="2"/>
      <c r="M36" s="67">
        <f t="shared" si="0"/>
        <v>0</v>
      </c>
      <c r="N36" s="41" t="str">
        <f t="shared" si="1"/>
        <v/>
      </c>
    </row>
    <row r="37" spans="1:14">
      <c r="A37" s="59" t="s">
        <v>10</v>
      </c>
      <c r="B37" s="138" t="s">
        <v>15</v>
      </c>
      <c r="C37" s="123" t="s">
        <v>272</v>
      </c>
      <c r="D37" s="124"/>
      <c r="E37" s="59"/>
      <c r="F37" s="59"/>
      <c r="G37" s="54">
        <v>2</v>
      </c>
      <c r="H37" s="125">
        <v>1</v>
      </c>
      <c r="I37" s="125">
        <v>2</v>
      </c>
      <c r="J37" s="131">
        <f>+(3.3-1)*H37</f>
        <v>2.2999999999999998</v>
      </c>
      <c r="K37" s="131">
        <f>+(3.3-1)*I37</f>
        <v>4.5999999999999996</v>
      </c>
      <c r="L37" s="2"/>
      <c r="M37" s="67">
        <f t="shared" si="0"/>
        <v>0</v>
      </c>
      <c r="N37" s="41" t="str">
        <f t="shared" si="1"/>
        <v/>
      </c>
    </row>
    <row r="38" spans="1:14">
      <c r="A38" s="59" t="s">
        <v>3</v>
      </c>
      <c r="B38" s="138" t="s">
        <v>1</v>
      </c>
      <c r="C38" s="123" t="s">
        <v>272</v>
      </c>
      <c r="D38" s="124"/>
      <c r="E38" s="59"/>
      <c r="F38" s="59"/>
      <c r="G38" s="54">
        <v>2</v>
      </c>
      <c r="H38" s="125">
        <v>2</v>
      </c>
      <c r="I38" s="125">
        <v>9</v>
      </c>
      <c r="J38" s="131">
        <f>+(3.75-1)*H38</f>
        <v>5.5</v>
      </c>
      <c r="K38" s="131">
        <f>+(3.75-1)*I38</f>
        <v>24.75</v>
      </c>
      <c r="L38" s="2"/>
      <c r="M38" s="67">
        <f t="shared" si="0"/>
        <v>0</v>
      </c>
      <c r="N38" s="41" t="str">
        <f t="shared" si="1"/>
        <v/>
      </c>
    </row>
    <row r="39" spans="1:14">
      <c r="A39" s="138" t="s">
        <v>62</v>
      </c>
      <c r="B39" s="59" t="s">
        <v>2</v>
      </c>
      <c r="C39" s="123" t="s">
        <v>272</v>
      </c>
      <c r="D39" s="124"/>
      <c r="E39" s="59"/>
      <c r="F39" s="59"/>
      <c r="G39" s="46">
        <v>2</v>
      </c>
      <c r="H39" s="125">
        <v>1</v>
      </c>
      <c r="I39" s="125">
        <v>4</v>
      </c>
      <c r="J39" s="131">
        <f t="shared" ref="J39:K41" si="6">-H39</f>
        <v>-1</v>
      </c>
      <c r="K39" s="131">
        <f t="shared" si="6"/>
        <v>-4</v>
      </c>
      <c r="L39" s="2" t="s">
        <v>507</v>
      </c>
      <c r="M39" s="67">
        <f t="shared" si="0"/>
        <v>0</v>
      </c>
      <c r="N39" s="41" t="str">
        <f t="shared" si="1"/>
        <v/>
      </c>
    </row>
    <row r="40" spans="1:14">
      <c r="A40" s="130" t="s">
        <v>73</v>
      </c>
      <c r="B40" s="130" t="s">
        <v>16</v>
      </c>
      <c r="C40" s="140" t="s">
        <v>257</v>
      </c>
      <c r="D40" s="124"/>
      <c r="E40" s="59"/>
      <c r="F40" s="59"/>
      <c r="G40" s="46">
        <v>2</v>
      </c>
      <c r="H40" s="125">
        <v>1</v>
      </c>
      <c r="I40" s="125">
        <v>3</v>
      </c>
      <c r="J40" s="131">
        <f t="shared" si="6"/>
        <v>-1</v>
      </c>
      <c r="K40" s="131">
        <f t="shared" si="6"/>
        <v>-3</v>
      </c>
      <c r="L40" s="2"/>
      <c r="M40" s="67">
        <f t="shared" si="0"/>
        <v>0</v>
      </c>
      <c r="N40" s="41" t="str">
        <f t="shared" si="1"/>
        <v/>
      </c>
    </row>
    <row r="41" spans="1:14" s="155" customFormat="1" ht="15.75" thickBot="1">
      <c r="A41" s="163" t="s">
        <v>5</v>
      </c>
      <c r="B41" s="162" t="s">
        <v>47</v>
      </c>
      <c r="C41" s="156" t="s">
        <v>257</v>
      </c>
      <c r="D41" s="157"/>
      <c r="E41" s="162"/>
      <c r="F41" s="162"/>
      <c r="G41" s="206">
        <v>2</v>
      </c>
      <c r="H41" s="169">
        <v>1</v>
      </c>
      <c r="I41" s="169">
        <v>2</v>
      </c>
      <c r="J41" s="170">
        <f t="shared" si="6"/>
        <v>-1</v>
      </c>
      <c r="K41" s="170">
        <f t="shared" si="6"/>
        <v>-2</v>
      </c>
      <c r="L41" s="162"/>
      <c r="M41" s="67">
        <f t="shared" si="0"/>
        <v>0</v>
      </c>
      <c r="N41" s="41" t="str">
        <f t="shared" si="1"/>
        <v/>
      </c>
    </row>
    <row r="43" spans="1:14">
      <c r="E43" s="137">
        <f>SUM(E14:E21)</f>
        <v>10.5</v>
      </c>
      <c r="F43" s="102">
        <f>SUM(F14:F21)</f>
        <v>9.5750000000000011</v>
      </c>
      <c r="G43" s="18"/>
      <c r="H43" s="196">
        <f>SUM(H2:H41)</f>
        <v>65</v>
      </c>
      <c r="I43" s="196">
        <f>SUM(I2:I41)</f>
        <v>230</v>
      </c>
      <c r="J43" s="107">
        <f>SUM(J2:J41)</f>
        <v>6.1899999999999995</v>
      </c>
      <c r="K43" s="107">
        <f>SUM(K2:K41)</f>
        <v>27.42</v>
      </c>
    </row>
    <row r="44" spans="1:14">
      <c r="F44" s="101">
        <f>+F43/E43</f>
        <v>0.911904761904762</v>
      </c>
      <c r="J44" s="101">
        <f>+J43/H43</f>
        <v>9.523076923076923E-2</v>
      </c>
      <c r="K44" s="101">
        <f>+K43/I43</f>
        <v>0.11921739130434783</v>
      </c>
    </row>
  </sheetData>
  <sortState ref="A2:L41">
    <sortCondition descending="1" ref="E2:E41"/>
  </sortState>
  <pageMargins left="0.7" right="0.7" top="0.75" bottom="0.75" header="0.3" footer="0.3"/>
  <legacyDrawing r:id="rId1"/>
</worksheet>
</file>

<file path=xl/worksheets/sheet61.xml><?xml version="1.0" encoding="utf-8"?>
<worksheet xmlns="http://schemas.openxmlformats.org/spreadsheetml/2006/main" xmlns:r="http://schemas.openxmlformats.org/officeDocument/2006/relationships">
  <sheetPr codeName="Hoja47"/>
  <dimension ref="A1:M44"/>
  <sheetViews>
    <sheetView topLeftCell="A19" workbookViewId="0">
      <selection activeCell="C29" sqref="C29:I36"/>
    </sheetView>
  </sheetViews>
  <sheetFormatPr baseColWidth="10" defaultRowHeight="15"/>
  <cols>
    <col min="1" max="6" width="11.42578125" style="137"/>
    <col min="7" max="7" width="3.5703125" style="137" customWidth="1"/>
    <col min="8" max="8" width="3.28515625" style="137" customWidth="1"/>
    <col min="9" max="9" width="4.5703125" style="137" customWidth="1"/>
    <col min="10" max="10" width="5.28515625" style="137" bestFit="1" customWidth="1"/>
    <col min="11" max="11" width="6.28515625" style="137" bestFit="1" customWidth="1"/>
    <col min="12" max="12" width="46.140625" style="137" customWidth="1"/>
    <col min="13" max="16384" width="11.42578125" style="137"/>
  </cols>
  <sheetData>
    <row r="1" spans="1:13">
      <c r="C1" s="17" t="s">
        <v>250</v>
      </c>
      <c r="D1" s="17" t="s">
        <v>294</v>
      </c>
      <c r="E1" s="18" t="s">
        <v>251</v>
      </c>
      <c r="F1" s="18" t="s">
        <v>293</v>
      </c>
      <c r="G1" s="18" t="s">
        <v>303</v>
      </c>
      <c r="H1" s="18" t="s">
        <v>304</v>
      </c>
      <c r="I1" s="18" t="s">
        <v>314</v>
      </c>
      <c r="J1" s="18"/>
      <c r="K1" s="18"/>
      <c r="L1" s="137" t="s">
        <v>305</v>
      </c>
    </row>
    <row r="2" spans="1:13">
      <c r="A2" s="145" t="s">
        <v>28</v>
      </c>
      <c r="B2" s="58" t="s">
        <v>73</v>
      </c>
      <c r="C2" s="140">
        <v>1</v>
      </c>
      <c r="D2" s="124">
        <v>2.4</v>
      </c>
      <c r="E2" s="58">
        <v>1.5</v>
      </c>
      <c r="F2" s="58">
        <f>+(D2-1)*E2</f>
        <v>2.0999999999999996</v>
      </c>
      <c r="G2" s="4">
        <v>1</v>
      </c>
      <c r="H2" s="67">
        <v>2</v>
      </c>
      <c r="I2" s="67">
        <v>5</v>
      </c>
      <c r="J2" s="41">
        <f>(2.4-1)*H2</f>
        <v>2.8</v>
      </c>
      <c r="K2" s="41">
        <f>(2.4-1)*I2</f>
        <v>7</v>
      </c>
      <c r="M2" s="137">
        <f t="shared" ref="M2:M41" si="0">IF(C2=G2,1,IF(C2=1,0,IF(C2=2,0,0.5)))</f>
        <v>1</v>
      </c>
    </row>
    <row r="3" spans="1:13">
      <c r="A3" s="146" t="s">
        <v>239</v>
      </c>
      <c r="B3" s="146" t="s">
        <v>67</v>
      </c>
      <c r="C3" s="123">
        <v>1</v>
      </c>
      <c r="D3" s="124">
        <v>1.18</v>
      </c>
      <c r="E3" s="58">
        <v>1.75</v>
      </c>
      <c r="F3" s="58">
        <f>-E3</f>
        <v>-1.75</v>
      </c>
      <c r="G3" s="46">
        <v>1</v>
      </c>
      <c r="H3" s="174">
        <v>1</v>
      </c>
      <c r="I3" s="174">
        <v>2</v>
      </c>
      <c r="J3" s="175">
        <f>-H3</f>
        <v>-1</v>
      </c>
      <c r="K3" s="175">
        <f>-I3</f>
        <v>-2</v>
      </c>
      <c r="L3" s="137" t="s">
        <v>312</v>
      </c>
      <c r="M3" s="137">
        <f t="shared" si="0"/>
        <v>1</v>
      </c>
    </row>
    <row r="4" spans="1:13">
      <c r="A4" s="145" t="s">
        <v>308</v>
      </c>
      <c r="B4" s="58" t="s">
        <v>15</v>
      </c>
      <c r="C4" s="140">
        <v>1</v>
      </c>
      <c r="D4" s="124">
        <v>1.05</v>
      </c>
      <c r="E4" s="59">
        <v>3</v>
      </c>
      <c r="F4" s="58">
        <f>+(D4-1)*E4</f>
        <v>0.15000000000000013</v>
      </c>
      <c r="G4" s="141">
        <v>1</v>
      </c>
      <c r="H4" s="117">
        <v>3</v>
      </c>
      <c r="I4" s="114">
        <v>12</v>
      </c>
      <c r="J4" s="115">
        <f>+(1.05-1)*H4</f>
        <v>0.15000000000000013</v>
      </c>
      <c r="K4" s="116">
        <f>+(1.05-1)*I4</f>
        <v>0.60000000000000053</v>
      </c>
      <c r="M4" s="137">
        <f t="shared" si="0"/>
        <v>1</v>
      </c>
    </row>
    <row r="5" spans="1:13">
      <c r="A5" s="58" t="s">
        <v>4</v>
      </c>
      <c r="B5" s="145" t="s">
        <v>1</v>
      </c>
      <c r="C5" s="123">
        <v>1</v>
      </c>
      <c r="D5" s="124">
        <v>1.29</v>
      </c>
      <c r="E5" s="59">
        <v>2.5</v>
      </c>
      <c r="F5" s="59">
        <f>-E5</f>
        <v>-2.5</v>
      </c>
      <c r="G5" s="139">
        <v>1</v>
      </c>
      <c r="H5" s="117">
        <v>2</v>
      </c>
      <c r="I5" s="114">
        <v>6</v>
      </c>
      <c r="J5" s="115">
        <f>-H5</f>
        <v>-2</v>
      </c>
      <c r="K5" s="116">
        <f>-I5</f>
        <v>-6</v>
      </c>
      <c r="M5" s="137">
        <f t="shared" si="0"/>
        <v>1</v>
      </c>
    </row>
    <row r="6" spans="1:13">
      <c r="A6" s="138" t="s">
        <v>239</v>
      </c>
      <c r="B6" s="59" t="s">
        <v>62</v>
      </c>
      <c r="C6" s="140">
        <v>1</v>
      </c>
      <c r="D6" s="124">
        <v>1.1299999999999999</v>
      </c>
      <c r="E6" s="59">
        <v>3</v>
      </c>
      <c r="F6" s="58">
        <f>+(D6-1)*E6</f>
        <v>0.38999999999999968</v>
      </c>
      <c r="G6" s="4">
        <v>1</v>
      </c>
      <c r="H6" s="109">
        <v>2</v>
      </c>
      <c r="I6" s="109">
        <v>9</v>
      </c>
      <c r="J6" s="86">
        <f>+(1.13-1)*H6</f>
        <v>0.25999999999999979</v>
      </c>
      <c r="K6" s="86">
        <f>+(1.13-1)*I6</f>
        <v>1.169999999999999</v>
      </c>
      <c r="L6" s="2"/>
      <c r="M6" s="137">
        <f t="shared" si="0"/>
        <v>1</v>
      </c>
    </row>
    <row r="7" spans="1:13">
      <c r="A7" s="59" t="s">
        <v>28</v>
      </c>
      <c r="B7" s="138" t="s">
        <v>26</v>
      </c>
      <c r="C7" s="123">
        <v>1</v>
      </c>
      <c r="D7" s="124">
        <v>2.1</v>
      </c>
      <c r="E7" s="59">
        <v>2</v>
      </c>
      <c r="F7" s="59">
        <f>-E7</f>
        <v>-2</v>
      </c>
      <c r="G7" s="139">
        <v>1</v>
      </c>
      <c r="H7" s="117">
        <v>1</v>
      </c>
      <c r="I7" s="117">
        <v>2</v>
      </c>
      <c r="J7" s="126">
        <f>-H7</f>
        <v>-1</v>
      </c>
      <c r="K7" s="127">
        <f>-I7</f>
        <v>-2</v>
      </c>
      <c r="L7" s="2"/>
      <c r="M7" s="137">
        <f t="shared" si="0"/>
        <v>1</v>
      </c>
    </row>
    <row r="8" spans="1:13">
      <c r="A8" s="138" t="s">
        <v>308</v>
      </c>
      <c r="B8" s="59" t="s">
        <v>27</v>
      </c>
      <c r="C8" s="140">
        <v>1</v>
      </c>
      <c r="D8" s="124">
        <v>1.1100000000000001</v>
      </c>
      <c r="E8" s="59">
        <v>2.5</v>
      </c>
      <c r="F8" s="58">
        <f>+(D8-1)*E8</f>
        <v>0.27500000000000024</v>
      </c>
      <c r="G8" s="54">
        <v>1</v>
      </c>
      <c r="H8" s="125">
        <v>3</v>
      </c>
      <c r="I8" s="125">
        <v>15</v>
      </c>
      <c r="J8" s="131">
        <f>+(1.11-1)*H8</f>
        <v>0.33000000000000029</v>
      </c>
      <c r="K8" s="131">
        <f>+(1.11-1)*I8</f>
        <v>1.6500000000000015</v>
      </c>
      <c r="L8" s="2"/>
      <c r="M8" s="137">
        <f t="shared" si="0"/>
        <v>1</v>
      </c>
    </row>
    <row r="9" spans="1:13">
      <c r="A9" s="59" t="s">
        <v>504</v>
      </c>
      <c r="B9" s="138" t="s">
        <v>0</v>
      </c>
      <c r="C9" s="123">
        <v>1</v>
      </c>
      <c r="D9" s="124">
        <v>1.67</v>
      </c>
      <c r="E9" s="59">
        <v>2</v>
      </c>
      <c r="F9" s="59">
        <f>-E9</f>
        <v>-2</v>
      </c>
      <c r="G9" s="12">
        <v>1</v>
      </c>
      <c r="H9" s="109">
        <v>3</v>
      </c>
      <c r="I9" s="109">
        <v>17</v>
      </c>
      <c r="J9" s="86">
        <f>-H9</f>
        <v>-3</v>
      </c>
      <c r="K9" s="86">
        <f>-I9</f>
        <v>-17</v>
      </c>
      <c r="L9" s="2" t="s">
        <v>506</v>
      </c>
      <c r="M9" s="137">
        <f t="shared" si="0"/>
        <v>1</v>
      </c>
    </row>
    <row r="10" spans="1:13">
      <c r="A10" s="146" t="s">
        <v>1</v>
      </c>
      <c r="B10" s="146" t="s">
        <v>26</v>
      </c>
      <c r="C10" s="123">
        <v>2</v>
      </c>
      <c r="D10" s="124">
        <v>2.88</v>
      </c>
      <c r="E10" s="58">
        <v>2</v>
      </c>
      <c r="F10" s="58">
        <f>-E10</f>
        <v>-2</v>
      </c>
      <c r="G10" s="139">
        <v>2</v>
      </c>
      <c r="H10" s="114">
        <v>2</v>
      </c>
      <c r="I10" s="114">
        <v>9</v>
      </c>
      <c r="J10" s="115">
        <f>-H10</f>
        <v>-2</v>
      </c>
      <c r="K10" s="116">
        <f>-I10</f>
        <v>-9</v>
      </c>
      <c r="M10" s="137">
        <f t="shared" si="0"/>
        <v>1</v>
      </c>
    </row>
    <row r="11" spans="1:13" s="155" customFormat="1" ht="15.75" thickBot="1">
      <c r="A11" s="155" t="s">
        <v>5</v>
      </c>
      <c r="B11" s="154" t="s">
        <v>308</v>
      </c>
      <c r="C11" s="167">
        <v>2</v>
      </c>
      <c r="D11" s="157">
        <v>1.36</v>
      </c>
      <c r="E11" s="155">
        <v>2.25</v>
      </c>
      <c r="F11" s="155">
        <f>+(D11-1)*E11</f>
        <v>0.81000000000000028</v>
      </c>
      <c r="G11" s="205">
        <v>2</v>
      </c>
      <c r="H11" s="198">
        <v>2</v>
      </c>
      <c r="I11" s="198">
        <v>8</v>
      </c>
      <c r="J11" s="199">
        <f>(1.36-1)*H11</f>
        <v>0.7200000000000002</v>
      </c>
      <c r="K11" s="199">
        <f>(1.36-1)*I11</f>
        <v>2.8800000000000008</v>
      </c>
      <c r="L11" s="155" t="s">
        <v>309</v>
      </c>
      <c r="M11" s="137">
        <f t="shared" si="0"/>
        <v>1</v>
      </c>
    </row>
    <row r="12" spans="1:13">
      <c r="A12" s="58" t="s">
        <v>62</v>
      </c>
      <c r="B12" s="145" t="s">
        <v>28</v>
      </c>
      <c r="C12" s="140">
        <v>2</v>
      </c>
      <c r="D12" s="124">
        <v>3.75</v>
      </c>
      <c r="E12" s="59">
        <v>1</v>
      </c>
      <c r="F12" s="58">
        <f>+(D12-1)*E12</f>
        <v>2.75</v>
      </c>
      <c r="G12" s="4">
        <v>2</v>
      </c>
      <c r="H12" s="109">
        <v>2</v>
      </c>
      <c r="I12" s="67">
        <v>9</v>
      </c>
      <c r="J12" s="41">
        <f>+(3.75-1)*H12</f>
        <v>5.5</v>
      </c>
      <c r="K12" s="41">
        <f>+(3.75-1)*I12</f>
        <v>24.75</v>
      </c>
      <c r="L12" s="137" t="s">
        <v>390</v>
      </c>
      <c r="M12" s="137">
        <f t="shared" si="0"/>
        <v>1</v>
      </c>
    </row>
    <row r="13" spans="1:13">
      <c r="A13" s="58" t="s">
        <v>3</v>
      </c>
      <c r="B13" s="145" t="s">
        <v>47</v>
      </c>
      <c r="C13" s="140">
        <v>2</v>
      </c>
      <c r="D13" s="124">
        <v>3</v>
      </c>
      <c r="E13" s="59">
        <v>1.5</v>
      </c>
      <c r="F13" s="58">
        <f>+(D13-1)*E13</f>
        <v>3</v>
      </c>
      <c r="G13" s="141">
        <v>2</v>
      </c>
      <c r="H13" s="117">
        <v>3</v>
      </c>
      <c r="I13" s="114">
        <v>10</v>
      </c>
      <c r="J13" s="115">
        <f>+(3-1)*H13</f>
        <v>6</v>
      </c>
      <c r="K13" s="116">
        <f>+(3-1)*I13</f>
        <v>20</v>
      </c>
      <c r="M13" s="137">
        <f t="shared" si="0"/>
        <v>1</v>
      </c>
    </row>
    <row r="14" spans="1:13">
      <c r="A14" s="146" t="s">
        <v>73</v>
      </c>
      <c r="B14" s="146" t="s">
        <v>239</v>
      </c>
      <c r="C14" s="123">
        <v>2</v>
      </c>
      <c r="D14" s="124">
        <v>1.33</v>
      </c>
      <c r="E14" s="59">
        <v>3</v>
      </c>
      <c r="F14" s="59">
        <f>-E14</f>
        <v>-3</v>
      </c>
      <c r="G14" s="12">
        <v>2</v>
      </c>
      <c r="H14" s="109">
        <v>3</v>
      </c>
      <c r="I14" s="67">
        <v>17</v>
      </c>
      <c r="J14" s="41">
        <f>-H14</f>
        <v>-3</v>
      </c>
      <c r="K14" s="41">
        <f>-I14</f>
        <v>-17</v>
      </c>
      <c r="M14" s="137">
        <f t="shared" si="0"/>
        <v>1</v>
      </c>
    </row>
    <row r="15" spans="1:13">
      <c r="A15" s="58" t="s">
        <v>10</v>
      </c>
      <c r="B15" s="145" t="s">
        <v>5</v>
      </c>
      <c r="C15" s="140">
        <v>2</v>
      </c>
      <c r="D15" s="124">
        <v>2.25</v>
      </c>
      <c r="E15" s="59">
        <v>2</v>
      </c>
      <c r="F15" s="58">
        <f>+(D15-1)*E15</f>
        <v>2.5</v>
      </c>
      <c r="G15" s="141">
        <v>2</v>
      </c>
      <c r="H15" s="117">
        <v>2</v>
      </c>
      <c r="I15" s="114">
        <v>9</v>
      </c>
      <c r="J15" s="115">
        <f>+(2.25-1)*H15</f>
        <v>2.5</v>
      </c>
      <c r="K15" s="116">
        <f>+(2.25-1)*I15</f>
        <v>11.25</v>
      </c>
      <c r="M15" s="137">
        <f t="shared" si="0"/>
        <v>1</v>
      </c>
    </row>
    <row r="16" spans="1:13">
      <c r="A16" s="146" t="s">
        <v>0</v>
      </c>
      <c r="B16" s="146" t="s">
        <v>16</v>
      </c>
      <c r="C16" s="123">
        <v>2</v>
      </c>
      <c r="D16" s="124">
        <v>3.75</v>
      </c>
      <c r="E16" s="59">
        <v>1.25</v>
      </c>
      <c r="F16" s="59">
        <f>-E16</f>
        <v>-1.25</v>
      </c>
      <c r="G16" s="147">
        <v>2</v>
      </c>
      <c r="H16" s="119">
        <v>2</v>
      </c>
      <c r="I16" s="120">
        <v>7</v>
      </c>
      <c r="J16" s="121">
        <f>-H16</f>
        <v>-2</v>
      </c>
      <c r="K16" s="122">
        <f>-I16</f>
        <v>-7</v>
      </c>
      <c r="L16" s="137" t="s">
        <v>391</v>
      </c>
      <c r="M16" s="137">
        <f t="shared" si="0"/>
        <v>1</v>
      </c>
    </row>
    <row r="17" spans="1:13">
      <c r="A17" s="59" t="s">
        <v>47</v>
      </c>
      <c r="B17" s="138" t="s">
        <v>308</v>
      </c>
      <c r="C17" s="140">
        <v>2</v>
      </c>
      <c r="D17" s="124">
        <v>1.22</v>
      </c>
      <c r="E17" s="59">
        <v>2.5</v>
      </c>
      <c r="F17" s="58">
        <f>+(D17-1)*E17</f>
        <v>0.54999999999999993</v>
      </c>
      <c r="G17" s="141">
        <v>2</v>
      </c>
      <c r="H17" s="117">
        <v>2</v>
      </c>
      <c r="I17" s="117">
        <v>5</v>
      </c>
      <c r="J17" s="126">
        <f>+(1.22-1)*H17</f>
        <v>0.43999999999999995</v>
      </c>
      <c r="K17" s="127">
        <f>+(1.22-1)*I17</f>
        <v>1.0999999999999999</v>
      </c>
      <c r="L17" s="2"/>
      <c r="M17" s="137">
        <f t="shared" si="0"/>
        <v>1</v>
      </c>
    </row>
    <row r="18" spans="1:13">
      <c r="A18" s="138" t="s">
        <v>1</v>
      </c>
      <c r="B18" s="59" t="s">
        <v>134</v>
      </c>
      <c r="C18" s="123">
        <v>2</v>
      </c>
      <c r="D18" s="124">
        <v>1.8</v>
      </c>
      <c r="E18" s="59">
        <v>0.75</v>
      </c>
      <c r="F18" s="59">
        <f>-E18</f>
        <v>-0.75</v>
      </c>
      <c r="G18" s="139">
        <v>2</v>
      </c>
      <c r="H18" s="117">
        <v>1</v>
      </c>
      <c r="I18" s="117">
        <v>3</v>
      </c>
      <c r="J18" s="126">
        <f>-H18</f>
        <v>-1</v>
      </c>
      <c r="K18" s="127">
        <f>-I18</f>
        <v>-3</v>
      </c>
      <c r="L18" s="2" t="s">
        <v>459</v>
      </c>
      <c r="M18" s="137">
        <f t="shared" si="0"/>
        <v>1</v>
      </c>
    </row>
    <row r="19" spans="1:13">
      <c r="A19" s="59" t="s">
        <v>26</v>
      </c>
      <c r="B19" s="138" t="s">
        <v>239</v>
      </c>
      <c r="C19" s="140">
        <v>2</v>
      </c>
      <c r="D19" s="124">
        <v>1.4</v>
      </c>
      <c r="E19" s="59">
        <v>1</v>
      </c>
      <c r="F19" s="58">
        <f>+(D19-1)*E19</f>
        <v>0.39999999999999991</v>
      </c>
      <c r="G19" s="141">
        <v>2</v>
      </c>
      <c r="H19" s="117">
        <v>1</v>
      </c>
      <c r="I19" s="117">
        <v>3</v>
      </c>
      <c r="J19" s="126">
        <f>+(1.4-1)*H19</f>
        <v>0.39999999999999991</v>
      </c>
      <c r="K19" s="127">
        <f>+(1.4-1)*I19</f>
        <v>1.1999999999999997</v>
      </c>
      <c r="L19" s="2" t="s">
        <v>505</v>
      </c>
      <c r="M19" s="137">
        <f t="shared" si="0"/>
        <v>1</v>
      </c>
    </row>
    <row r="20" spans="1:13">
      <c r="A20" s="99" t="s">
        <v>181</v>
      </c>
      <c r="B20" s="137" t="s">
        <v>62</v>
      </c>
      <c r="C20" s="104" t="s">
        <v>256</v>
      </c>
      <c r="D20" s="104"/>
      <c r="G20" s="147">
        <v>2</v>
      </c>
      <c r="H20" s="120">
        <v>2</v>
      </c>
      <c r="I20" s="120">
        <v>9</v>
      </c>
      <c r="J20" s="121">
        <f>-H20</f>
        <v>-2</v>
      </c>
      <c r="K20" s="122">
        <f>-I20</f>
        <v>-9</v>
      </c>
      <c r="L20" s="137" t="s">
        <v>306</v>
      </c>
      <c r="M20" s="137">
        <f t="shared" si="0"/>
        <v>0.5</v>
      </c>
    </row>
    <row r="21" spans="1:13" s="155" customFormat="1" ht="15.75" thickBot="1">
      <c r="A21" s="154" t="s">
        <v>16</v>
      </c>
      <c r="B21" s="155" t="s">
        <v>10</v>
      </c>
      <c r="C21" s="157" t="s">
        <v>256</v>
      </c>
      <c r="D21" s="157"/>
      <c r="G21" s="205">
        <v>1</v>
      </c>
      <c r="H21" s="198">
        <v>1</v>
      </c>
      <c r="I21" s="198">
        <v>2</v>
      </c>
      <c r="J21" s="199">
        <f>(1.62-1)*H21</f>
        <v>0.62000000000000011</v>
      </c>
      <c r="K21" s="199">
        <f>(1.62-1)*I21</f>
        <v>1.2400000000000002</v>
      </c>
      <c r="L21" s="155" t="s">
        <v>313</v>
      </c>
      <c r="M21" s="137">
        <f t="shared" si="0"/>
        <v>0.5</v>
      </c>
    </row>
    <row r="22" spans="1:13">
      <c r="A22" s="59" t="s">
        <v>16</v>
      </c>
      <c r="B22" s="138" t="s">
        <v>67</v>
      </c>
      <c r="C22" s="124" t="s">
        <v>256</v>
      </c>
      <c r="D22" s="124"/>
      <c r="E22" s="59"/>
      <c r="F22" s="59"/>
      <c r="G22" s="141">
        <v>2</v>
      </c>
      <c r="H22" s="117">
        <v>2</v>
      </c>
      <c r="I22" s="117">
        <v>9</v>
      </c>
      <c r="J22" s="126">
        <f>+(2.88-1)*H22</f>
        <v>3.76</v>
      </c>
      <c r="K22" s="127">
        <f>+(2.88-1)*I22</f>
        <v>16.919999999999998</v>
      </c>
      <c r="L22" s="2"/>
      <c r="M22" s="137">
        <f t="shared" si="0"/>
        <v>0.5</v>
      </c>
    </row>
    <row r="23" spans="1:13">
      <c r="A23" s="2" t="s">
        <v>2</v>
      </c>
      <c r="B23" s="96" t="s">
        <v>73</v>
      </c>
      <c r="C23" s="104" t="s">
        <v>256</v>
      </c>
      <c r="D23" s="104"/>
      <c r="E23" s="2"/>
      <c r="F23" s="2"/>
      <c r="G23" s="139">
        <v>1</v>
      </c>
      <c r="H23" s="117">
        <v>1</v>
      </c>
      <c r="I23" s="117">
        <v>4</v>
      </c>
      <c r="J23" s="126">
        <f>-H23</f>
        <v>-1</v>
      </c>
      <c r="K23" s="127">
        <f>-I23</f>
        <v>-4</v>
      </c>
      <c r="L23" s="2"/>
      <c r="M23" s="137">
        <f t="shared" si="0"/>
        <v>0.5</v>
      </c>
    </row>
    <row r="24" spans="1:13">
      <c r="A24" s="59" t="s">
        <v>15</v>
      </c>
      <c r="B24" s="138" t="s">
        <v>5</v>
      </c>
      <c r="C24" s="124" t="s">
        <v>256</v>
      </c>
      <c r="D24" s="124"/>
      <c r="E24" s="59"/>
      <c r="F24" s="59"/>
      <c r="G24" s="54">
        <v>2</v>
      </c>
      <c r="H24" s="125">
        <v>2</v>
      </c>
      <c r="I24" s="125">
        <v>7</v>
      </c>
      <c r="J24" s="131">
        <f>+(2.5-1)*H24</f>
        <v>3</v>
      </c>
      <c r="K24" s="131">
        <f>+(2.5-1)*I24</f>
        <v>10.5</v>
      </c>
      <c r="L24" s="2"/>
      <c r="M24" s="137">
        <f t="shared" si="0"/>
        <v>0.5</v>
      </c>
    </row>
    <row r="25" spans="1:13">
      <c r="A25" s="145" t="s">
        <v>2</v>
      </c>
      <c r="B25" s="58" t="s">
        <v>0</v>
      </c>
      <c r="C25" s="123" t="s">
        <v>257</v>
      </c>
      <c r="D25" s="124"/>
      <c r="E25" s="58"/>
      <c r="F25" s="58"/>
      <c r="G25" s="141">
        <v>1</v>
      </c>
      <c r="H25" s="114">
        <v>1</v>
      </c>
      <c r="I25" s="114">
        <v>4</v>
      </c>
      <c r="J25" s="115">
        <f>(2.3-1)*H25</f>
        <v>1.2999999999999998</v>
      </c>
      <c r="K25" s="116">
        <f>(2.3-1)*I25</f>
        <v>5.1999999999999993</v>
      </c>
      <c r="L25" s="137" t="s">
        <v>310</v>
      </c>
      <c r="M25" s="137">
        <f t="shared" si="0"/>
        <v>0.5</v>
      </c>
    </row>
    <row r="26" spans="1:13">
      <c r="A26" s="130" t="s">
        <v>27</v>
      </c>
      <c r="B26" s="130" t="s">
        <v>3</v>
      </c>
      <c r="C26" s="140" t="s">
        <v>257</v>
      </c>
      <c r="D26" s="124"/>
      <c r="E26" s="59"/>
      <c r="F26" s="59"/>
      <c r="G26" s="12">
        <v>2</v>
      </c>
      <c r="H26" s="109">
        <v>1</v>
      </c>
      <c r="I26" s="109">
        <v>1</v>
      </c>
      <c r="J26" s="86">
        <f t="shared" ref="J26:K32" si="1">-H26</f>
        <v>-1</v>
      </c>
      <c r="K26" s="86">
        <f t="shared" si="1"/>
        <v>-1</v>
      </c>
      <c r="L26" s="2"/>
      <c r="M26" s="137">
        <f t="shared" si="0"/>
        <v>0.5</v>
      </c>
    </row>
    <row r="27" spans="1:13">
      <c r="A27" s="130" t="s">
        <v>73</v>
      </c>
      <c r="B27" s="130" t="s">
        <v>16</v>
      </c>
      <c r="C27" s="140" t="s">
        <v>257</v>
      </c>
      <c r="D27" s="124"/>
      <c r="E27" s="59"/>
      <c r="F27" s="59"/>
      <c r="G27" s="139">
        <v>2</v>
      </c>
      <c r="H27" s="117">
        <v>1</v>
      </c>
      <c r="I27" s="117">
        <v>3</v>
      </c>
      <c r="J27" s="126">
        <f t="shared" si="1"/>
        <v>-1</v>
      </c>
      <c r="K27" s="127">
        <f t="shared" si="1"/>
        <v>-3</v>
      </c>
      <c r="L27" s="2"/>
      <c r="M27" s="137">
        <f t="shared" si="0"/>
        <v>0.5</v>
      </c>
    </row>
    <row r="28" spans="1:13">
      <c r="A28" s="138" t="s">
        <v>5</v>
      </c>
      <c r="B28" s="59" t="s">
        <v>47</v>
      </c>
      <c r="C28" s="123" t="s">
        <v>257</v>
      </c>
      <c r="D28" s="124"/>
      <c r="E28" s="59"/>
      <c r="F28" s="59"/>
      <c r="G28" s="12">
        <v>2</v>
      </c>
      <c r="H28" s="109">
        <v>1</v>
      </c>
      <c r="I28" s="109">
        <v>2</v>
      </c>
      <c r="J28" s="86">
        <f t="shared" si="1"/>
        <v>-1</v>
      </c>
      <c r="K28" s="86">
        <f t="shared" si="1"/>
        <v>-2</v>
      </c>
      <c r="L28" s="2"/>
      <c r="M28" s="137">
        <f t="shared" si="0"/>
        <v>0.5</v>
      </c>
    </row>
    <row r="29" spans="1:13">
      <c r="A29" s="99" t="s">
        <v>15</v>
      </c>
      <c r="B29" s="137" t="s">
        <v>3</v>
      </c>
      <c r="C29" s="103" t="s">
        <v>272</v>
      </c>
      <c r="D29" s="104"/>
      <c r="G29" s="12">
        <v>2</v>
      </c>
      <c r="H29" s="67">
        <v>1</v>
      </c>
      <c r="I29" s="67">
        <v>3</v>
      </c>
      <c r="J29" s="41">
        <f t="shared" si="1"/>
        <v>-1</v>
      </c>
      <c r="K29" s="41">
        <f t="shared" si="1"/>
        <v>-3</v>
      </c>
      <c r="L29" s="137" t="s">
        <v>307</v>
      </c>
      <c r="M29" s="137">
        <f t="shared" si="0"/>
        <v>0.5</v>
      </c>
    </row>
    <row r="30" spans="1:13">
      <c r="A30" s="145" t="s">
        <v>47</v>
      </c>
      <c r="B30" s="58" t="s">
        <v>134</v>
      </c>
      <c r="C30" s="123" t="s">
        <v>272</v>
      </c>
      <c r="D30" s="124"/>
      <c r="E30" s="58"/>
      <c r="F30" s="58"/>
      <c r="G30" s="12">
        <v>2</v>
      </c>
      <c r="H30" s="67">
        <v>1</v>
      </c>
      <c r="I30" s="67">
        <v>3</v>
      </c>
      <c r="J30" s="41">
        <f t="shared" si="1"/>
        <v>-1</v>
      </c>
      <c r="K30" s="41">
        <f t="shared" si="1"/>
        <v>-3</v>
      </c>
      <c r="L30" s="137" t="s">
        <v>311</v>
      </c>
      <c r="M30" s="137">
        <f t="shared" si="0"/>
        <v>0.5</v>
      </c>
    </row>
    <row r="31" spans="1:13" s="155" customFormat="1" ht="15.75" thickBot="1">
      <c r="A31" s="172" t="s">
        <v>26</v>
      </c>
      <c r="B31" s="172" t="s">
        <v>181</v>
      </c>
      <c r="C31" s="167" t="s">
        <v>272</v>
      </c>
      <c r="D31" s="157"/>
      <c r="E31" s="162"/>
      <c r="F31" s="162"/>
      <c r="G31" s="206">
        <v>2</v>
      </c>
      <c r="H31" s="169">
        <v>1</v>
      </c>
      <c r="I31" s="198">
        <v>1</v>
      </c>
      <c r="J31" s="199">
        <f t="shared" si="1"/>
        <v>-1</v>
      </c>
      <c r="K31" s="199">
        <f t="shared" si="1"/>
        <v>-1</v>
      </c>
      <c r="M31" s="137">
        <f t="shared" si="0"/>
        <v>0.5</v>
      </c>
    </row>
    <row r="32" spans="1:13">
      <c r="A32" s="99" t="s">
        <v>134</v>
      </c>
      <c r="B32" s="137" t="s">
        <v>27</v>
      </c>
      <c r="C32" s="103" t="s">
        <v>272</v>
      </c>
      <c r="D32" s="104"/>
      <c r="E32" s="2"/>
      <c r="F32" s="2"/>
      <c r="G32" s="12">
        <v>2</v>
      </c>
      <c r="H32" s="109">
        <v>2</v>
      </c>
      <c r="I32" s="67">
        <v>6</v>
      </c>
      <c r="J32" s="41">
        <f t="shared" si="1"/>
        <v>-2</v>
      </c>
      <c r="K32" s="41">
        <f t="shared" si="1"/>
        <v>-6</v>
      </c>
      <c r="L32" s="137" t="s">
        <v>389</v>
      </c>
      <c r="M32" s="137">
        <f t="shared" si="0"/>
        <v>0.5</v>
      </c>
    </row>
    <row r="33" spans="1:13">
      <c r="A33" s="146" t="s">
        <v>67</v>
      </c>
      <c r="B33" s="146" t="s">
        <v>2</v>
      </c>
      <c r="C33" s="123" t="s">
        <v>272</v>
      </c>
      <c r="D33" s="124"/>
      <c r="E33" s="59"/>
      <c r="F33" s="59"/>
      <c r="G33" s="54">
        <v>1</v>
      </c>
      <c r="H33" s="125">
        <v>1</v>
      </c>
      <c r="I33" s="174">
        <v>1</v>
      </c>
      <c r="J33" s="175">
        <f>+(1.73-1)*H33</f>
        <v>0.73</v>
      </c>
      <c r="K33" s="175">
        <f>+(1.73-1)*I33</f>
        <v>0.73</v>
      </c>
      <c r="M33" s="137">
        <f t="shared" si="0"/>
        <v>0.5</v>
      </c>
    </row>
    <row r="34" spans="1:13">
      <c r="A34" s="112" t="s">
        <v>0</v>
      </c>
      <c r="B34" s="112" t="s">
        <v>10</v>
      </c>
      <c r="C34" s="16" t="s">
        <v>272</v>
      </c>
      <c r="D34" s="104"/>
      <c r="E34" s="2"/>
      <c r="F34" s="2"/>
      <c r="G34" s="139">
        <v>1</v>
      </c>
      <c r="H34" s="117">
        <v>1</v>
      </c>
      <c r="I34" s="117">
        <v>1</v>
      </c>
      <c r="J34" s="126">
        <f>-H34</f>
        <v>-1</v>
      </c>
      <c r="K34" s="127">
        <f>-I34</f>
        <v>-1</v>
      </c>
      <c r="L34" s="2"/>
      <c r="M34" s="137">
        <f t="shared" si="0"/>
        <v>0.5</v>
      </c>
    </row>
    <row r="35" spans="1:13">
      <c r="A35" s="59" t="s">
        <v>10</v>
      </c>
      <c r="B35" s="138" t="s">
        <v>15</v>
      </c>
      <c r="C35" s="123" t="s">
        <v>272</v>
      </c>
      <c r="D35" s="124"/>
      <c r="E35" s="59"/>
      <c r="F35" s="59"/>
      <c r="G35" s="141">
        <v>2</v>
      </c>
      <c r="H35" s="117">
        <v>1</v>
      </c>
      <c r="I35" s="117">
        <v>2</v>
      </c>
      <c r="J35" s="126">
        <f>+(3.3-1)*H35</f>
        <v>2.2999999999999998</v>
      </c>
      <c r="K35" s="127">
        <f>+(3.3-1)*I35</f>
        <v>4.5999999999999996</v>
      </c>
      <c r="L35" s="2"/>
      <c r="M35" s="137">
        <f t="shared" si="0"/>
        <v>0.5</v>
      </c>
    </row>
    <row r="36" spans="1:13">
      <c r="A36" s="59" t="s">
        <v>3</v>
      </c>
      <c r="B36" s="138" t="s">
        <v>1</v>
      </c>
      <c r="C36" s="123" t="s">
        <v>272</v>
      </c>
      <c r="D36" s="124"/>
      <c r="E36" s="59"/>
      <c r="F36" s="59"/>
      <c r="G36" s="141">
        <v>2</v>
      </c>
      <c r="H36" s="117">
        <v>2</v>
      </c>
      <c r="I36" s="117">
        <v>9</v>
      </c>
      <c r="J36" s="126">
        <f>+(3.75-1)*H36</f>
        <v>5.5</v>
      </c>
      <c r="K36" s="127">
        <f>+(3.75-1)*I36</f>
        <v>24.75</v>
      </c>
      <c r="L36" s="2"/>
      <c r="M36" s="137">
        <f t="shared" si="0"/>
        <v>0.5</v>
      </c>
    </row>
    <row r="37" spans="1:13">
      <c r="A37" s="138" t="s">
        <v>62</v>
      </c>
      <c r="B37" s="59" t="s">
        <v>2</v>
      </c>
      <c r="C37" s="123" t="s">
        <v>272</v>
      </c>
      <c r="D37" s="124"/>
      <c r="E37" s="59"/>
      <c r="F37" s="59"/>
      <c r="G37" s="46">
        <v>2</v>
      </c>
      <c r="H37" s="125">
        <v>1</v>
      </c>
      <c r="I37" s="125">
        <v>4</v>
      </c>
      <c r="J37" s="131">
        <f t="shared" ref="J37:K40" si="2">-H37</f>
        <v>-1</v>
      </c>
      <c r="K37" s="131">
        <f t="shared" si="2"/>
        <v>-4</v>
      </c>
      <c r="L37" s="2" t="s">
        <v>507</v>
      </c>
      <c r="M37" s="137">
        <f t="shared" si="0"/>
        <v>0.5</v>
      </c>
    </row>
    <row r="38" spans="1:13">
      <c r="A38" s="138" t="s">
        <v>175</v>
      </c>
      <c r="B38" s="59" t="s">
        <v>181</v>
      </c>
      <c r="C38" s="140">
        <v>1</v>
      </c>
      <c r="D38" s="124">
        <v>1.62</v>
      </c>
      <c r="E38" s="59">
        <v>1.25</v>
      </c>
      <c r="F38" s="58">
        <f>+(D38-1)*E38</f>
        <v>0.77500000000000013</v>
      </c>
      <c r="G38" s="46">
        <v>2</v>
      </c>
      <c r="H38" s="125">
        <v>2</v>
      </c>
      <c r="I38" s="125">
        <v>5</v>
      </c>
      <c r="J38" s="131">
        <f t="shared" si="2"/>
        <v>-2</v>
      </c>
      <c r="K38" s="131">
        <f t="shared" si="2"/>
        <v>-5</v>
      </c>
      <c r="L38" s="2"/>
      <c r="M38" s="137">
        <f t="shared" si="0"/>
        <v>0</v>
      </c>
    </row>
    <row r="39" spans="1:13">
      <c r="A39" s="130" t="s">
        <v>4</v>
      </c>
      <c r="B39" s="130" t="s">
        <v>28</v>
      </c>
      <c r="C39" s="123">
        <v>1</v>
      </c>
      <c r="D39" s="124">
        <v>1.57</v>
      </c>
      <c r="E39" s="59">
        <v>1.5</v>
      </c>
      <c r="F39" s="59">
        <f>-E39</f>
        <v>-1.5</v>
      </c>
      <c r="G39" s="12">
        <v>2</v>
      </c>
      <c r="H39" s="109">
        <v>1</v>
      </c>
      <c r="I39" s="109">
        <v>4</v>
      </c>
      <c r="J39" s="86">
        <f t="shared" si="2"/>
        <v>-1</v>
      </c>
      <c r="K39" s="86">
        <f t="shared" si="2"/>
        <v>-4</v>
      </c>
      <c r="L39" s="2"/>
      <c r="M39" s="137">
        <f t="shared" si="0"/>
        <v>0</v>
      </c>
    </row>
    <row r="40" spans="1:13">
      <c r="A40" s="58" t="s">
        <v>27</v>
      </c>
      <c r="B40" s="145" t="s">
        <v>4</v>
      </c>
      <c r="C40" s="140">
        <v>2</v>
      </c>
      <c r="D40" s="124">
        <v>3.2</v>
      </c>
      <c r="E40" s="58">
        <v>1.5</v>
      </c>
      <c r="F40" s="58">
        <f>+(D40-1)*E40</f>
        <v>3.3000000000000003</v>
      </c>
      <c r="G40" s="12">
        <v>1</v>
      </c>
      <c r="H40" s="67">
        <v>1</v>
      </c>
      <c r="I40" s="67">
        <v>1</v>
      </c>
      <c r="J40" s="41">
        <f t="shared" si="2"/>
        <v>-1</v>
      </c>
      <c r="K40" s="41">
        <f t="shared" si="2"/>
        <v>-1</v>
      </c>
      <c r="L40" s="137" t="s">
        <v>315</v>
      </c>
      <c r="M40" s="137">
        <f t="shared" si="0"/>
        <v>0</v>
      </c>
    </row>
    <row r="41" spans="1:13" s="155" customFormat="1" ht="15.75" thickBot="1">
      <c r="A41" s="163" t="s">
        <v>181</v>
      </c>
      <c r="B41" s="162" t="s">
        <v>4</v>
      </c>
      <c r="C41" s="156">
        <v>2</v>
      </c>
      <c r="D41" s="157">
        <v>2.5</v>
      </c>
      <c r="E41" s="162">
        <v>0.75</v>
      </c>
      <c r="F41" s="162">
        <f>-E41</f>
        <v>-0.75</v>
      </c>
      <c r="G41" s="205">
        <v>1</v>
      </c>
      <c r="H41" s="169">
        <v>1</v>
      </c>
      <c r="I41" s="169">
        <v>1</v>
      </c>
      <c r="J41" s="170">
        <f>+(2.88-1)*H41</f>
        <v>1.88</v>
      </c>
      <c r="K41" s="170">
        <f>+(2.88-1)*I41</f>
        <v>1.88</v>
      </c>
      <c r="L41" s="162" t="s">
        <v>458</v>
      </c>
      <c r="M41" s="137">
        <f t="shared" si="0"/>
        <v>0</v>
      </c>
    </row>
    <row r="43" spans="1:13">
      <c r="E43" s="137">
        <f>SUM(E2:E41)</f>
        <v>40.5</v>
      </c>
      <c r="F43" s="102">
        <f>SUM(F2:F41)</f>
        <v>-0.49999999999999956</v>
      </c>
      <c r="G43" s="18"/>
      <c r="H43" s="196">
        <f>SUM(H2:H41)</f>
        <v>65</v>
      </c>
      <c r="I43" s="196">
        <f>SUM(I2:I41)</f>
        <v>230</v>
      </c>
      <c r="J43" s="107">
        <f>SUM(J2:J41)</f>
        <v>6.19</v>
      </c>
      <c r="K43" s="107">
        <f>SUM(K2:K41)</f>
        <v>27.419999999999998</v>
      </c>
    </row>
    <row r="44" spans="1:13">
      <c r="F44" s="101">
        <f>+F43/E43</f>
        <v>-1.2345679012345668E-2</v>
      </c>
      <c r="J44" s="101">
        <f>+J43/H43</f>
        <v>9.523076923076923E-2</v>
      </c>
      <c r="K44" s="101">
        <f>+K43/I43</f>
        <v>0.11921739130434782</v>
      </c>
    </row>
  </sheetData>
  <sortState ref="A2:M41">
    <sortCondition descending="1" ref="M2:M41"/>
    <sortCondition ref="C2:C41"/>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sheetPr codeName="Hoja8"/>
  <dimension ref="A1:H18"/>
  <sheetViews>
    <sheetView workbookViewId="0">
      <selection activeCell="F1" sqref="F1"/>
    </sheetView>
  </sheetViews>
  <sheetFormatPr baseColWidth="10" defaultRowHeight="15"/>
  <cols>
    <col min="1" max="1" width="4.28515625" customWidth="1"/>
    <col min="2" max="3" width="13.5703125" customWidth="1"/>
    <col min="5" max="7" width="7.85546875" customWidth="1"/>
  </cols>
  <sheetData>
    <row r="1" spans="1:8">
      <c r="A1" s="4" t="s">
        <v>12</v>
      </c>
      <c r="B1" s="4" t="s">
        <v>182</v>
      </c>
      <c r="C1" s="4" t="s">
        <v>1</v>
      </c>
      <c r="D1" s="4" t="s">
        <v>49</v>
      </c>
      <c r="E1" s="5">
        <v>2.25</v>
      </c>
      <c r="F1" s="9">
        <f>((1.82-1)*0.95)+1</f>
        <v>1.7789999999999999</v>
      </c>
      <c r="G1" s="10" t="s">
        <v>41</v>
      </c>
      <c r="H1" t="s">
        <v>280</v>
      </c>
    </row>
    <row r="2" spans="1:8">
      <c r="A2" s="4" t="s">
        <v>12</v>
      </c>
      <c r="B2" s="4" t="s">
        <v>3</v>
      </c>
      <c r="C2" s="4" t="s">
        <v>5</v>
      </c>
      <c r="D2" s="4" t="s">
        <v>49</v>
      </c>
      <c r="E2" s="5">
        <v>1.25</v>
      </c>
      <c r="F2" s="9">
        <v>3.25</v>
      </c>
      <c r="G2" s="10" t="s">
        <v>122</v>
      </c>
      <c r="H2" t="s">
        <v>281</v>
      </c>
    </row>
    <row r="3" spans="1:8">
      <c r="A3" s="4" t="s">
        <v>12</v>
      </c>
      <c r="B3" s="4" t="s">
        <v>73</v>
      </c>
      <c r="C3" s="4" t="s">
        <v>181</v>
      </c>
      <c r="D3" s="4" t="s">
        <v>48</v>
      </c>
      <c r="E3" s="5">
        <v>1.25</v>
      </c>
      <c r="F3" s="9">
        <f>((4.3-1)*0.95)+1</f>
        <v>4.1349999999999998</v>
      </c>
      <c r="G3" s="10" t="s">
        <v>39</v>
      </c>
      <c r="H3" t="s">
        <v>283</v>
      </c>
    </row>
    <row r="4" spans="1:8">
      <c r="A4" s="4" t="s">
        <v>12</v>
      </c>
      <c r="B4" s="4" t="s">
        <v>16</v>
      </c>
      <c r="C4" s="4" t="s">
        <v>2</v>
      </c>
      <c r="D4" s="4" t="s">
        <v>49</v>
      </c>
      <c r="E4" s="5">
        <v>2.5</v>
      </c>
      <c r="F4" s="9">
        <f>((2.24-1)*0.95)+1</f>
        <v>2.1779999999999999</v>
      </c>
      <c r="G4" s="10" t="s">
        <v>146</v>
      </c>
      <c r="H4" t="s">
        <v>284</v>
      </c>
    </row>
    <row r="5" spans="1:8">
      <c r="A5" s="12" t="s">
        <v>12</v>
      </c>
      <c r="B5" s="12" t="s">
        <v>26</v>
      </c>
      <c r="C5" s="12" t="s">
        <v>27</v>
      </c>
      <c r="D5" s="12" t="s">
        <v>48</v>
      </c>
      <c r="E5" s="13">
        <v>2.5</v>
      </c>
      <c r="F5" s="14">
        <f>((2.66-1)*0.95)+1</f>
        <v>2.577</v>
      </c>
      <c r="G5" s="15" t="s">
        <v>42</v>
      </c>
      <c r="H5" t="s">
        <v>286</v>
      </c>
    </row>
    <row r="6" spans="1:8">
      <c r="A6" s="12" t="s">
        <v>12</v>
      </c>
      <c r="B6" s="12" t="s">
        <v>134</v>
      </c>
      <c r="C6" s="12" t="s">
        <v>15</v>
      </c>
      <c r="D6" s="12" t="s">
        <v>48</v>
      </c>
      <c r="E6" s="13">
        <v>0.5</v>
      </c>
      <c r="F6" s="14">
        <f>((11.5-1)*0.95)+1</f>
        <v>10.975</v>
      </c>
      <c r="G6" s="15" t="s">
        <v>36</v>
      </c>
      <c r="H6" t="s">
        <v>290</v>
      </c>
    </row>
    <row r="7" spans="1:8">
      <c r="E7" s="3"/>
      <c r="F7" s="86"/>
      <c r="G7" s="30"/>
    </row>
    <row r="8" spans="1:8">
      <c r="A8" s="96" t="s">
        <v>242</v>
      </c>
      <c r="E8" s="3"/>
      <c r="F8" s="86"/>
      <c r="G8" s="30"/>
    </row>
    <row r="9" spans="1:8">
      <c r="A9" s="4" t="s">
        <v>12</v>
      </c>
      <c r="B9" s="4" t="s">
        <v>4</v>
      </c>
      <c r="C9" s="4" t="s">
        <v>47</v>
      </c>
      <c r="D9" s="4" t="s">
        <v>34</v>
      </c>
      <c r="E9" s="5">
        <v>0.5</v>
      </c>
      <c r="F9" s="9">
        <f>((4.35-1)*0.95)+1</f>
        <v>4.1824999999999992</v>
      </c>
      <c r="G9" s="10" t="s">
        <v>145</v>
      </c>
      <c r="H9" t="s">
        <v>289</v>
      </c>
    </row>
    <row r="11" spans="1:8">
      <c r="B11" t="s">
        <v>67</v>
      </c>
      <c r="C11" t="s">
        <v>28</v>
      </c>
      <c r="D11" t="s">
        <v>292</v>
      </c>
    </row>
    <row r="13" spans="1:8">
      <c r="A13" t="s">
        <v>282</v>
      </c>
    </row>
    <row r="15" spans="1:8">
      <c r="A15" t="s">
        <v>285</v>
      </c>
    </row>
    <row r="16" spans="1:8">
      <c r="A16" t="s">
        <v>287</v>
      </c>
      <c r="C16" t="s">
        <v>288</v>
      </c>
    </row>
    <row r="18" spans="1:1">
      <c r="A18" t="s">
        <v>291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sheetPr codeName="Hoja9"/>
  <dimension ref="A1:R27"/>
  <sheetViews>
    <sheetView workbookViewId="0">
      <selection activeCell="E31" sqref="E31"/>
    </sheetView>
  </sheetViews>
  <sheetFormatPr baseColWidth="10" defaultRowHeight="15"/>
  <sheetData>
    <row r="1" spans="1:18">
      <c r="A1" s="18" t="s">
        <v>247</v>
      </c>
      <c r="B1" s="18"/>
      <c r="C1" s="18"/>
      <c r="D1" s="18"/>
      <c r="E1" s="18"/>
      <c r="F1" s="18"/>
    </row>
    <row r="2" spans="1:18">
      <c r="C2" t="s">
        <v>250</v>
      </c>
      <c r="E2" t="s">
        <v>251</v>
      </c>
    </row>
    <row r="6" spans="1:18">
      <c r="A6" s="97" t="s">
        <v>279</v>
      </c>
      <c r="B6" s="20"/>
      <c r="C6" s="20"/>
      <c r="D6" s="20"/>
      <c r="E6" s="20"/>
      <c r="F6" s="20"/>
      <c r="G6" s="20"/>
      <c r="H6" s="20"/>
      <c r="I6" s="20"/>
      <c r="J6" s="20"/>
      <c r="K6" s="20"/>
      <c r="L6" s="20"/>
      <c r="M6" s="20"/>
      <c r="N6" s="20"/>
      <c r="O6" s="20"/>
      <c r="P6" s="20"/>
      <c r="Q6" s="20"/>
      <c r="R6" s="20"/>
    </row>
    <row r="12" spans="1:18" s="18" customFormat="1">
      <c r="A12" s="18" t="s">
        <v>247</v>
      </c>
    </row>
    <row r="13" spans="1:18">
      <c r="C13" t="s">
        <v>250</v>
      </c>
      <c r="D13" t="s">
        <v>294</v>
      </c>
      <c r="E13" t="s">
        <v>251</v>
      </c>
      <c r="F13" t="s">
        <v>293</v>
      </c>
    </row>
    <row r="14" spans="1:18">
      <c r="A14" s="99" t="s">
        <v>248</v>
      </c>
      <c r="B14" t="s">
        <v>249</v>
      </c>
      <c r="C14" s="16">
        <v>1</v>
      </c>
      <c r="D14" s="98">
        <v>1.67</v>
      </c>
      <c r="E14">
        <v>1.5</v>
      </c>
      <c r="F14">
        <f>+(D14-1)*E14</f>
        <v>1.0049999999999999</v>
      </c>
    </row>
    <row r="15" spans="1:18">
      <c r="A15" s="99" t="s">
        <v>252</v>
      </c>
      <c r="B15" t="s">
        <v>253</v>
      </c>
      <c r="C15" s="103">
        <v>2</v>
      </c>
      <c r="D15" s="98">
        <v>3.4</v>
      </c>
      <c r="E15">
        <v>1.5</v>
      </c>
      <c r="F15">
        <f>-E15</f>
        <v>-1.5</v>
      </c>
    </row>
    <row r="16" spans="1:18">
      <c r="A16" s="99" t="s">
        <v>254</v>
      </c>
      <c r="B16" s="82" t="s">
        <v>255</v>
      </c>
      <c r="C16" s="103" t="s">
        <v>257</v>
      </c>
      <c r="D16" s="98">
        <v>3.2</v>
      </c>
    </row>
    <row r="17" spans="1:7">
      <c r="A17" s="100" t="s">
        <v>258</v>
      </c>
      <c r="B17" s="100" t="s">
        <v>259</v>
      </c>
      <c r="C17" s="16" t="s">
        <v>257</v>
      </c>
      <c r="D17" s="98">
        <v>3.2</v>
      </c>
    </row>
    <row r="18" spans="1:7">
      <c r="A18" s="99" t="s">
        <v>260</v>
      </c>
      <c r="B18" t="s">
        <v>261</v>
      </c>
      <c r="C18" s="16">
        <v>1</v>
      </c>
      <c r="D18" s="98">
        <v>1.53</v>
      </c>
      <c r="E18">
        <v>2</v>
      </c>
      <c r="F18">
        <f t="shared" ref="F18:F20" si="0">+(D18-1)*E18</f>
        <v>1.06</v>
      </c>
    </row>
    <row r="19" spans="1:7">
      <c r="A19" t="s">
        <v>262</v>
      </c>
      <c r="B19" s="99" t="s">
        <v>263</v>
      </c>
      <c r="C19" s="16">
        <v>2</v>
      </c>
      <c r="D19" s="98">
        <v>1.85</v>
      </c>
      <c r="E19">
        <v>2</v>
      </c>
      <c r="F19">
        <f t="shared" si="0"/>
        <v>1.7000000000000002</v>
      </c>
    </row>
    <row r="20" spans="1:7">
      <c r="A20" t="s">
        <v>264</v>
      </c>
      <c r="B20" s="99" t="s">
        <v>266</v>
      </c>
      <c r="C20" s="16">
        <v>2</v>
      </c>
      <c r="D20" s="98">
        <v>3.2</v>
      </c>
      <c r="E20">
        <v>1</v>
      </c>
      <c r="F20">
        <f t="shared" si="0"/>
        <v>2.2000000000000002</v>
      </c>
      <c r="G20" t="s">
        <v>265</v>
      </c>
    </row>
    <row r="21" spans="1:7">
      <c r="A21" t="s">
        <v>267</v>
      </c>
      <c r="B21" s="99" t="s">
        <v>268</v>
      </c>
      <c r="C21" s="103" t="s">
        <v>257</v>
      </c>
      <c r="D21" s="98">
        <v>3.1</v>
      </c>
      <c r="G21" t="s">
        <v>269</v>
      </c>
    </row>
    <row r="22" spans="1:7">
      <c r="A22" s="100" t="s">
        <v>270</v>
      </c>
      <c r="B22" s="100" t="s">
        <v>271</v>
      </c>
      <c r="C22" s="16" t="s">
        <v>272</v>
      </c>
      <c r="D22" s="98">
        <v>3.2</v>
      </c>
      <c r="G22" t="s">
        <v>278</v>
      </c>
    </row>
    <row r="23" spans="1:7">
      <c r="A23" t="s">
        <v>273</v>
      </c>
      <c r="B23" s="99" t="s">
        <v>274</v>
      </c>
      <c r="C23" s="98" t="s">
        <v>256</v>
      </c>
      <c r="D23" s="98"/>
      <c r="G23" t="s">
        <v>275</v>
      </c>
    </row>
    <row r="24" spans="1:7">
      <c r="A24" s="100" t="s">
        <v>276</v>
      </c>
      <c r="B24" s="100" t="s">
        <v>277</v>
      </c>
      <c r="C24" s="16" t="s">
        <v>272</v>
      </c>
      <c r="D24" s="98">
        <v>3.1</v>
      </c>
      <c r="G24" t="s">
        <v>278</v>
      </c>
    </row>
    <row r="26" spans="1:7">
      <c r="F26" s="107">
        <f>SUM(F14:F24)</f>
        <v>4.4649999999999999</v>
      </c>
    </row>
    <row r="27" spans="1:7">
      <c r="F27" s="101">
        <f>+F26/SUM(E14:E24)</f>
        <v>0.55812499999999998</v>
      </c>
    </row>
  </sheetData>
  <pageMargins left="0.7" right="0.7" top="0.75" bottom="0.75" header="0.3" footer="0.3"/>
  <pageSetup paperSize="9"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sheetPr codeName="Hoja10"/>
  <dimension ref="A1:H15"/>
  <sheetViews>
    <sheetView workbookViewId="0">
      <selection activeCell="H15" sqref="H15"/>
    </sheetView>
  </sheetViews>
  <sheetFormatPr baseColWidth="10" defaultRowHeight="15"/>
  <cols>
    <col min="1" max="1" width="4.28515625" customWidth="1"/>
    <col min="2" max="3" width="13.5703125" customWidth="1"/>
    <col min="5" max="7" width="7.85546875" customWidth="1"/>
  </cols>
  <sheetData>
    <row r="1" spans="1:8">
      <c r="A1" s="12" t="s">
        <v>12</v>
      </c>
      <c r="B1" s="12" t="s">
        <v>1</v>
      </c>
      <c r="C1" s="12" t="s">
        <v>26</v>
      </c>
      <c r="D1" s="12" t="s">
        <v>49</v>
      </c>
      <c r="E1" s="13">
        <v>1</v>
      </c>
      <c r="F1" s="14">
        <f>((2.64-1)*0.95)+1</f>
        <v>2.5579999999999998</v>
      </c>
      <c r="G1" s="15" t="s">
        <v>38</v>
      </c>
      <c r="H1" t="s">
        <v>323</v>
      </c>
    </row>
    <row r="2" spans="1:8">
      <c r="A2" s="12" t="s">
        <v>12</v>
      </c>
      <c r="B2" s="12" t="s">
        <v>27</v>
      </c>
      <c r="C2" s="12" t="s">
        <v>4</v>
      </c>
      <c r="D2" s="12" t="s">
        <v>49</v>
      </c>
      <c r="E2" s="13">
        <v>1.75</v>
      </c>
      <c r="F2" s="14">
        <f>((2.4-1)*0.95)+1</f>
        <v>2.33</v>
      </c>
      <c r="G2" s="15" t="s">
        <v>366</v>
      </c>
      <c r="H2" t="s">
        <v>318</v>
      </c>
    </row>
    <row r="3" spans="1:8">
      <c r="A3" s="4" t="s">
        <v>12</v>
      </c>
      <c r="B3" s="4" t="s">
        <v>15</v>
      </c>
      <c r="C3" s="4" t="s">
        <v>3</v>
      </c>
      <c r="D3" s="4" t="s">
        <v>49</v>
      </c>
      <c r="E3" s="5">
        <v>1.25</v>
      </c>
      <c r="F3" s="9">
        <f>((2.08-1)*0.95)+1</f>
        <v>2.0259999999999998</v>
      </c>
      <c r="G3" s="10" t="s">
        <v>42</v>
      </c>
      <c r="H3" t="s">
        <v>321</v>
      </c>
    </row>
    <row r="4" spans="1:8">
      <c r="A4" s="12" t="s">
        <v>12</v>
      </c>
      <c r="B4" s="12" t="s">
        <v>2</v>
      </c>
      <c r="C4" s="12" t="s">
        <v>0</v>
      </c>
      <c r="D4" s="12" t="s">
        <v>34</v>
      </c>
      <c r="E4" s="13">
        <v>0.75</v>
      </c>
      <c r="F4" s="14">
        <f>((3.45-1)*0.95)+1</f>
        <v>3.3275000000000001</v>
      </c>
      <c r="G4" s="15" t="s">
        <v>41</v>
      </c>
      <c r="H4" t="s">
        <v>320</v>
      </c>
    </row>
    <row r="5" spans="1:8">
      <c r="A5" s="12" t="s">
        <v>12</v>
      </c>
      <c r="B5" s="12" t="s">
        <v>181</v>
      </c>
      <c r="C5" s="12" t="s">
        <v>182</v>
      </c>
      <c r="D5" s="12" t="s">
        <v>34</v>
      </c>
      <c r="E5" s="13">
        <v>0.5</v>
      </c>
      <c r="F5" s="14">
        <f>((3.5-1)*0.95)+1</f>
        <v>3.375</v>
      </c>
      <c r="G5" s="15" t="s">
        <v>122</v>
      </c>
      <c r="H5" t="s">
        <v>322</v>
      </c>
    </row>
    <row r="6" spans="1:8">
      <c r="E6" s="3"/>
      <c r="F6" s="86"/>
      <c r="G6" s="30"/>
    </row>
    <row r="7" spans="1:8">
      <c r="A7" s="96" t="s">
        <v>242</v>
      </c>
      <c r="E7" s="3"/>
      <c r="F7" s="86"/>
      <c r="G7" s="30"/>
    </row>
    <row r="8" spans="1:8">
      <c r="A8" s="12" t="s">
        <v>12</v>
      </c>
      <c r="B8" s="12" t="s">
        <v>47</v>
      </c>
      <c r="C8" s="12" t="s">
        <v>134</v>
      </c>
      <c r="D8" s="12" t="s">
        <v>34</v>
      </c>
      <c r="E8" s="13">
        <v>0.5</v>
      </c>
      <c r="F8" s="14">
        <v>3.2</v>
      </c>
      <c r="G8" s="15" t="s">
        <v>42</v>
      </c>
      <c r="H8" t="s">
        <v>319</v>
      </c>
    </row>
    <row r="11" spans="1:8">
      <c r="B11" t="s">
        <v>316</v>
      </c>
    </row>
    <row r="12" spans="1:8">
      <c r="B12" s="1" t="s">
        <v>325</v>
      </c>
    </row>
    <row r="15" spans="1:8">
      <c r="A15" s="31" t="s">
        <v>12</v>
      </c>
      <c r="B15" s="31" t="s">
        <v>28</v>
      </c>
      <c r="C15" s="31" t="s">
        <v>73</v>
      </c>
      <c r="D15" s="31" t="s">
        <v>48</v>
      </c>
      <c r="E15" s="32">
        <v>1</v>
      </c>
      <c r="F15" s="77" t="s">
        <v>317</v>
      </c>
      <c r="G15" s="78"/>
      <c r="H15" s="31" t="s">
        <v>324</v>
      </c>
    </row>
  </sheetData>
  <hyperlinks>
    <hyperlink ref="B12" r:id="rId1"/>
  </hyperlinks>
  <pageMargins left="0.7" right="0.7" top="0.75" bottom="0.75" header="0.3" footer="0.3"/>
  <pageSetup paperSize="9" orientation="portrait" horizontalDpi="0" verticalDpi="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61</vt:i4>
      </vt:variant>
    </vt:vector>
  </HeadingPairs>
  <TitlesOfParts>
    <vt:vector size="61" baseType="lpstr">
      <vt:lpstr>Hoja1</vt:lpstr>
      <vt:lpstr>Hoja2</vt:lpstr>
      <vt:lpstr>Hoja3</vt:lpstr>
      <vt:lpstr>Hoja4</vt:lpstr>
      <vt:lpstr>Hoja5</vt:lpstr>
      <vt:lpstr>Hoja6</vt:lpstr>
      <vt:lpstr>Hoja7</vt:lpstr>
      <vt:lpstr>Hoja7s</vt:lpstr>
      <vt:lpstr>Hoja8</vt:lpstr>
      <vt:lpstr>Hoja8s</vt:lpstr>
      <vt:lpstr>Hoja9</vt:lpstr>
      <vt:lpstr>Hoja9s</vt:lpstr>
      <vt:lpstr>Hoja10</vt:lpstr>
      <vt:lpstr>Hoja10s</vt:lpstr>
      <vt:lpstr>Hoja11</vt:lpstr>
      <vt:lpstr>Hoja11s</vt:lpstr>
      <vt:lpstr>Hoja12</vt:lpstr>
      <vt:lpstr>Hoja12s</vt:lpstr>
      <vt:lpstr>Hoja13</vt:lpstr>
      <vt:lpstr>Hoja13s</vt:lpstr>
      <vt:lpstr>Hoja14</vt:lpstr>
      <vt:lpstr>Hoja14s</vt:lpstr>
      <vt:lpstr>Hoja15</vt:lpstr>
      <vt:lpstr>Hoja15s</vt:lpstr>
      <vt:lpstr>Hoja16</vt:lpstr>
      <vt:lpstr>Hoja16s</vt:lpstr>
      <vt:lpstr>Hoja17</vt:lpstr>
      <vt:lpstr>Hoja17s</vt:lpstr>
      <vt:lpstr>Hoja18</vt:lpstr>
      <vt:lpstr>Hoja18s</vt:lpstr>
      <vt:lpstr>Hoja19</vt:lpstr>
      <vt:lpstr>Hoja19s</vt:lpstr>
      <vt:lpstr>45"</vt:lpstr>
      <vt:lpstr>TENDENCIAS ACTUALES</vt:lpstr>
      <vt:lpstr>Bajon de Cuotas</vt:lpstr>
      <vt:lpstr>Hist.</vt:lpstr>
      <vt:lpstr>Hist. (2)</vt:lpstr>
      <vt:lpstr>Hist. (3)</vt:lpstr>
      <vt:lpstr>His. 27-02</vt:lpstr>
      <vt:lpstr>His. 27-02 (1)</vt:lpstr>
      <vt:lpstr>His. 27-02 (11)</vt:lpstr>
      <vt:lpstr>His. 27-02 (2)</vt:lpstr>
      <vt:lpstr>His. 27-02 (22)</vt:lpstr>
      <vt:lpstr>His. 27-02 (3)</vt:lpstr>
      <vt:lpstr>Hist. 15-05</vt:lpstr>
      <vt:lpstr>Hist. 15-05 (2)</vt:lpstr>
      <vt:lpstr>Hist. 15-05 (3)</vt:lpstr>
      <vt:lpstr>Hist. 15-05 (33)</vt:lpstr>
      <vt:lpstr>Hist. 15-05 (4)</vt:lpstr>
      <vt:lpstr>Hist. 15-05 (5)</vt:lpstr>
      <vt:lpstr>Hist. 15-05 (55)</vt:lpstr>
      <vt:lpstr>Bank</vt:lpstr>
      <vt:lpstr>Saldos</vt:lpstr>
      <vt:lpstr>Liga Adelante</vt:lpstr>
      <vt:lpstr>Liga Adelante (2)</vt:lpstr>
      <vt:lpstr>Liga Adelante (3)</vt:lpstr>
      <vt:lpstr>Liga Adelante (4)</vt:lpstr>
      <vt:lpstr>Liga BBVA</vt:lpstr>
      <vt:lpstr>Liga BBVA (2)</vt:lpstr>
      <vt:lpstr>Liga BBVA (3)</vt:lpstr>
      <vt:lpstr>Liga BBVA (4)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vaio</dc:creator>
  <cp:lastModifiedBy>vaio</cp:lastModifiedBy>
  <dcterms:created xsi:type="dcterms:W3CDTF">2012-01-03T08:54:03Z</dcterms:created>
  <dcterms:modified xsi:type="dcterms:W3CDTF">2012-05-15T17:42:59Z</dcterms:modified>
</cp:coreProperties>
</file>