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ies\Desktop\git\AI.R-ATV\Hardware\UPD_PCB\Computations\"/>
    </mc:Choice>
  </mc:AlternateContent>
  <xr:revisionPtr revIDLastSave="0" documentId="13_ncr:1_{F0CACCE9-C4C7-4AC9-B995-8222F6F697B7}" xr6:coauthVersionLast="47" xr6:coauthVersionMax="47" xr10:uidLastSave="{00000000-0000-0000-0000-000000000000}"/>
  <bookViews>
    <workbookView xWindow="-110" yWindow="-110" windowWidth="25820" windowHeight="15500" xr2:uid="{4B964BCB-4FB7-4901-A42B-2621AA10B7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1" l="1"/>
  <c r="K28" i="1"/>
  <c r="G28" i="1"/>
  <c r="K3" i="1"/>
  <c r="O4" i="1" s="1"/>
  <c r="O8" i="1" s="1"/>
  <c r="G7" i="1"/>
  <c r="G8" i="1" s="1"/>
  <c r="G9" i="1" s="1"/>
  <c r="G18" i="1"/>
  <c r="K5" i="1"/>
  <c r="G16" i="1"/>
  <c r="S6" i="1"/>
  <c r="S5" i="1"/>
  <c r="K19" i="1"/>
  <c r="C19" i="1"/>
  <c r="C20" i="1"/>
  <c r="C21" i="1"/>
  <c r="C18" i="1"/>
  <c r="C17" i="1"/>
  <c r="G17" i="1"/>
  <c r="O3" i="1"/>
  <c r="G19" i="1"/>
  <c r="C3" i="1"/>
  <c r="G10" i="1" l="1"/>
  <c r="G11" i="1" s="1"/>
  <c r="K6" i="1"/>
  <c r="O7" i="1" s="1"/>
  <c r="O16" i="1" s="1"/>
  <c r="O18" i="1" s="1"/>
  <c r="C22" i="1"/>
  <c r="C23" i="1" s="1"/>
  <c r="G20" i="1" l="1"/>
</calcChain>
</file>

<file path=xl/sharedStrings.xml><?xml version="1.0" encoding="utf-8"?>
<sst xmlns="http://schemas.openxmlformats.org/spreadsheetml/2006/main" count="125" uniqueCount="73">
  <si>
    <t>Vout</t>
  </si>
  <si>
    <t>R1</t>
  </si>
  <si>
    <t>R2</t>
  </si>
  <si>
    <t>Efficiency</t>
  </si>
  <si>
    <t>Efficiency calculations</t>
  </si>
  <si>
    <t xml:space="preserve">Efficiency </t>
  </si>
  <si>
    <t>Iout</t>
  </si>
  <si>
    <t>Pout</t>
  </si>
  <si>
    <t>Ploss</t>
  </si>
  <si>
    <t>Thermal factor</t>
  </si>
  <si>
    <t>Heat</t>
  </si>
  <si>
    <t>Pin</t>
  </si>
  <si>
    <t>V</t>
  </si>
  <si>
    <t>H</t>
  </si>
  <si>
    <t>A</t>
  </si>
  <si>
    <t>W</t>
  </si>
  <si>
    <t>°C/W</t>
  </si>
  <si>
    <t>°C</t>
  </si>
  <si>
    <t>%/100</t>
  </si>
  <si>
    <t>Feedback calculator</t>
  </si>
  <si>
    <t>Total Heat</t>
  </si>
  <si>
    <t>Duty cycle</t>
  </si>
  <si>
    <t>Vin max</t>
  </si>
  <si>
    <t>Inductor ripple current</t>
  </si>
  <si>
    <t xml:space="preserve">Inductor value </t>
  </si>
  <si>
    <t>Switching freq.</t>
  </si>
  <si>
    <t>Ripple current</t>
  </si>
  <si>
    <t>Hz</t>
  </si>
  <si>
    <t xml:space="preserve">H </t>
  </si>
  <si>
    <t>I lim</t>
  </si>
  <si>
    <t>Max output current of IC</t>
  </si>
  <si>
    <t>Iic max</t>
  </si>
  <si>
    <t>Inductor minimum value</t>
  </si>
  <si>
    <t>Vin</t>
  </si>
  <si>
    <t>Min value</t>
  </si>
  <si>
    <t>Current</t>
  </si>
  <si>
    <t>%</t>
  </si>
  <si>
    <t>Bus voltage</t>
  </si>
  <si>
    <t>Drop 1</t>
  </si>
  <si>
    <t>Drop 2</t>
  </si>
  <si>
    <t>Drop 3</t>
  </si>
  <si>
    <t>Drop 4</t>
  </si>
  <si>
    <t>Drop 5</t>
  </si>
  <si>
    <t>Power 1</t>
  </si>
  <si>
    <t>Power 2</t>
  </si>
  <si>
    <t>Power 3</t>
  </si>
  <si>
    <t>Power 4</t>
  </si>
  <si>
    <t>Power 5</t>
  </si>
  <si>
    <t>Total efficiency calculation</t>
  </si>
  <si>
    <t>Actual Power</t>
  </si>
  <si>
    <t>Ideal Power</t>
  </si>
  <si>
    <t>Efficiency each stage</t>
  </si>
  <si>
    <t>LRM51635 FB resistor calculation</t>
  </si>
  <si>
    <t>Ref voltage</t>
  </si>
  <si>
    <t>RFBB</t>
  </si>
  <si>
    <t>RFBT</t>
  </si>
  <si>
    <t>R</t>
  </si>
  <si>
    <t>Shunt resistor calculation</t>
  </si>
  <si>
    <t>Rshunt</t>
  </si>
  <si>
    <t>I max</t>
  </si>
  <si>
    <t>V sense max</t>
  </si>
  <si>
    <t>Power</t>
  </si>
  <si>
    <t>INA219 calculations</t>
  </si>
  <si>
    <t>Max current</t>
  </si>
  <si>
    <t>Current LSB</t>
  </si>
  <si>
    <t>Current measurement</t>
  </si>
  <si>
    <t>Mv/A</t>
  </si>
  <si>
    <t>Voltage</t>
  </si>
  <si>
    <t xml:space="preserve">current  </t>
  </si>
  <si>
    <t>step</t>
  </si>
  <si>
    <t>LED current measurement</t>
  </si>
  <si>
    <t>Imax</t>
  </si>
  <si>
    <t>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</si>
</sst>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164" fontId="0" fillId="4" borderId="8" xfId="0" applyNumberFormat="1" applyFill="1" applyBorder="1"/>
    <xf numFmtId="0" fontId="0" fillId="0" borderId="0" xfId="0" applyAlignment="1">
      <alignment horizontal="center"/>
    </xf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0" borderId="19" xfId="0" applyBorder="1"/>
    <xf numFmtId="16" fontId="0" fillId="0" borderId="0" xfId="0" applyNumberFormat="1"/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0F6AD-D1C3-4C59-93DB-E2C5A9F2A0C6}">
  <dimension ref="B1:T28"/>
  <sheetViews>
    <sheetView tabSelected="1" topLeftCell="F6" zoomScale="109" zoomScaleNormal="70" workbookViewId="0">
      <selection activeCell="Y16" sqref="Y16"/>
    </sheetView>
  </sheetViews>
  <sheetFormatPr defaultRowHeight="14.5" x14ac:dyDescent="0.35"/>
  <cols>
    <col min="2" max="2" width="17.81640625" bestFit="1" customWidth="1"/>
    <col min="6" max="6" width="12.54296875" bestFit="1" customWidth="1"/>
    <col min="7" max="7" width="13.08984375" bestFit="1" customWidth="1"/>
    <col min="8" max="8" width="6.36328125" bestFit="1" customWidth="1"/>
    <col min="10" max="10" width="12.1796875" customWidth="1"/>
    <col min="11" max="11" width="11.26953125" customWidth="1"/>
    <col min="12" max="12" width="6.08984375" bestFit="1" customWidth="1"/>
    <col min="14" max="14" width="12.54296875" bestFit="1" customWidth="1"/>
    <col min="15" max="15" width="7.81640625" bestFit="1" customWidth="1"/>
    <col min="16" max="16" width="6.36328125" bestFit="1" customWidth="1"/>
    <col min="18" max="18" width="14.7265625" customWidth="1"/>
    <col min="19" max="19" width="13.7265625" customWidth="1"/>
  </cols>
  <sheetData>
    <row r="1" spans="2:20" ht="15" thickBot="1" x14ac:dyDescent="0.4"/>
    <row r="2" spans="2:20" ht="15" thickBot="1" x14ac:dyDescent="0.4">
      <c r="B2" s="27" t="s">
        <v>19</v>
      </c>
      <c r="C2" s="28"/>
      <c r="F2" s="27" t="s">
        <v>4</v>
      </c>
      <c r="G2" s="29"/>
      <c r="H2" s="28"/>
      <c r="J2" s="27" t="s">
        <v>21</v>
      </c>
      <c r="K2" s="29"/>
      <c r="L2" s="28"/>
      <c r="N2" s="27" t="s">
        <v>23</v>
      </c>
      <c r="O2" s="29"/>
      <c r="P2" s="28"/>
      <c r="R2" s="27" t="s">
        <v>57</v>
      </c>
      <c r="S2" s="28"/>
      <c r="T2" s="21"/>
    </row>
    <row r="3" spans="2:20" x14ac:dyDescent="0.35">
      <c r="B3" s="15" t="s">
        <v>0</v>
      </c>
      <c r="C3" s="16">
        <f>2.21*(1+C4/C5)</f>
        <v>10.209999999999999</v>
      </c>
      <c r="F3" s="4" t="s">
        <v>5</v>
      </c>
      <c r="G3" s="5">
        <v>0.8</v>
      </c>
      <c r="H3" s="6" t="s">
        <v>18</v>
      </c>
      <c r="J3" s="4" t="s">
        <v>0</v>
      </c>
      <c r="K3" s="5">
        <f>G4</f>
        <v>24</v>
      </c>
      <c r="L3" s="6" t="s">
        <v>12</v>
      </c>
      <c r="N3" s="4" t="s">
        <v>22</v>
      </c>
      <c r="O3" s="5">
        <f>K4</f>
        <v>42</v>
      </c>
      <c r="P3" s="6" t="s">
        <v>12</v>
      </c>
      <c r="R3" s="4" t="s">
        <v>60</v>
      </c>
      <c r="S3" s="6">
        <v>0.16384000000000001</v>
      </c>
    </row>
    <row r="4" spans="2:20" x14ac:dyDescent="0.35">
      <c r="B4" s="1" t="s">
        <v>1</v>
      </c>
      <c r="C4" s="3">
        <v>8</v>
      </c>
      <c r="F4" s="1" t="s">
        <v>0</v>
      </c>
      <c r="G4" s="2">
        <v>24</v>
      </c>
      <c r="H4" s="3" t="s">
        <v>12</v>
      </c>
      <c r="J4" s="1" t="s">
        <v>22</v>
      </c>
      <c r="K4" s="2">
        <v>42</v>
      </c>
      <c r="L4" s="3" t="s">
        <v>12</v>
      </c>
      <c r="N4" s="1" t="s">
        <v>0</v>
      </c>
      <c r="O4" s="2">
        <f>K3</f>
        <v>24</v>
      </c>
      <c r="P4" s="3" t="s">
        <v>12</v>
      </c>
      <c r="R4" s="1" t="s">
        <v>59</v>
      </c>
      <c r="S4" s="3">
        <v>2</v>
      </c>
    </row>
    <row r="5" spans="2:20" ht="15" thickBot="1" x14ac:dyDescent="0.4">
      <c r="B5" s="7" t="s">
        <v>2</v>
      </c>
      <c r="C5" s="8">
        <v>2.21</v>
      </c>
      <c r="F5" s="1" t="s">
        <v>6</v>
      </c>
      <c r="G5" s="2">
        <v>3.5</v>
      </c>
      <c r="H5" s="3" t="s">
        <v>14</v>
      </c>
      <c r="J5" s="1" t="s">
        <v>3</v>
      </c>
      <c r="K5" s="2">
        <f>G3</f>
        <v>0.8</v>
      </c>
      <c r="L5" s="3" t="s">
        <v>18</v>
      </c>
      <c r="N5" s="1" t="s">
        <v>25</v>
      </c>
      <c r="O5" s="2">
        <v>400000</v>
      </c>
      <c r="P5" s="3" t="s">
        <v>27</v>
      </c>
      <c r="R5" s="9" t="s">
        <v>58</v>
      </c>
      <c r="S5" s="11">
        <f>S3/S4</f>
        <v>8.1920000000000007E-2</v>
      </c>
    </row>
    <row r="6" spans="2:20" ht="15" thickBot="1" x14ac:dyDescent="0.4">
      <c r="F6" s="1" t="s">
        <v>9</v>
      </c>
      <c r="G6" s="2">
        <v>48.5</v>
      </c>
      <c r="H6" s="3" t="s">
        <v>16</v>
      </c>
      <c r="J6" s="12" t="s">
        <v>21</v>
      </c>
      <c r="K6" s="13">
        <f>K3/(K4*K5)</f>
        <v>0.7142857142857143</v>
      </c>
      <c r="L6" s="14"/>
      <c r="N6" s="1" t="s">
        <v>24</v>
      </c>
      <c r="O6" s="2">
        <v>3.3000000000000003E-5</v>
      </c>
      <c r="P6" s="3" t="s">
        <v>28</v>
      </c>
      <c r="R6" s="12" t="s">
        <v>61</v>
      </c>
      <c r="S6" s="14">
        <f>S3*S4</f>
        <v>0.32768000000000003</v>
      </c>
    </row>
    <row r="7" spans="2:20" ht="15" thickBot="1" x14ac:dyDescent="0.4">
      <c r="F7" s="9" t="s">
        <v>7</v>
      </c>
      <c r="G7" s="10">
        <f xml:space="preserve"> G4*G5</f>
        <v>84</v>
      </c>
      <c r="H7" s="11" t="s">
        <v>15</v>
      </c>
      <c r="N7" s="1" t="s">
        <v>21</v>
      </c>
      <c r="O7" s="2">
        <f>K6</f>
        <v>0.7142857142857143</v>
      </c>
      <c r="P7" s="3" t="s">
        <v>18</v>
      </c>
    </row>
    <row r="8" spans="2:20" ht="15" thickBot="1" x14ac:dyDescent="0.4">
      <c r="B8" s="31" t="s">
        <v>48</v>
      </c>
      <c r="C8" s="32"/>
      <c r="D8" s="33"/>
      <c r="F8" s="9" t="s">
        <v>11</v>
      </c>
      <c r="G8" s="10">
        <f>G7/G3</f>
        <v>105</v>
      </c>
      <c r="H8" s="11" t="s">
        <v>15</v>
      </c>
      <c r="N8" s="12" t="s">
        <v>26</v>
      </c>
      <c r="O8" s="13">
        <f>(O4*(O3-O4))/(O5*O6*O3)</f>
        <v>0.77922077922077915</v>
      </c>
      <c r="P8" s="14" t="s">
        <v>14</v>
      </c>
    </row>
    <row r="9" spans="2:20" x14ac:dyDescent="0.35">
      <c r="B9" s="17" t="s">
        <v>51</v>
      </c>
      <c r="C9" s="18">
        <v>80</v>
      </c>
      <c r="D9" s="19" t="s">
        <v>36</v>
      </c>
      <c r="F9" s="9" t="s">
        <v>8</v>
      </c>
      <c r="G9" s="10">
        <f>G8-G7</f>
        <v>21</v>
      </c>
      <c r="H9" s="11" t="s">
        <v>15</v>
      </c>
    </row>
    <row r="10" spans="2:20" x14ac:dyDescent="0.35">
      <c r="B10" s="1" t="s">
        <v>35</v>
      </c>
      <c r="C10" s="2">
        <v>2</v>
      </c>
      <c r="D10" s="3" t="s">
        <v>14</v>
      </c>
      <c r="F10" s="9" t="s">
        <v>10</v>
      </c>
      <c r="G10" s="10">
        <f>G9*G6</f>
        <v>1018.5</v>
      </c>
      <c r="H10" s="11" t="s">
        <v>17</v>
      </c>
    </row>
    <row r="11" spans="2:20" ht="15" thickBot="1" x14ac:dyDescent="0.4">
      <c r="B11" s="1" t="s">
        <v>37</v>
      </c>
      <c r="C11" s="2">
        <v>36</v>
      </c>
      <c r="D11" s="3" t="s">
        <v>12</v>
      </c>
      <c r="F11" s="12" t="s">
        <v>20</v>
      </c>
      <c r="G11" s="13">
        <f>25+G10</f>
        <v>1043.5</v>
      </c>
      <c r="H11" s="11" t="s">
        <v>17</v>
      </c>
    </row>
    <row r="12" spans="2:20" x14ac:dyDescent="0.35">
      <c r="B12" s="1" t="s">
        <v>38</v>
      </c>
      <c r="C12" s="2">
        <v>24</v>
      </c>
      <c r="D12" s="3" t="s">
        <v>12</v>
      </c>
    </row>
    <row r="13" spans="2:20" x14ac:dyDescent="0.35">
      <c r="B13" s="1" t="s">
        <v>39</v>
      </c>
      <c r="C13" s="2">
        <v>19</v>
      </c>
      <c r="D13" s="3" t="s">
        <v>12</v>
      </c>
    </row>
    <row r="14" spans="2:20" ht="15" thickBot="1" x14ac:dyDescent="0.4">
      <c r="B14" s="1" t="s">
        <v>40</v>
      </c>
      <c r="C14" s="2">
        <v>16</v>
      </c>
      <c r="D14" s="3" t="s">
        <v>12</v>
      </c>
    </row>
    <row r="15" spans="2:20" ht="15" thickBot="1" x14ac:dyDescent="0.4">
      <c r="B15" s="1" t="s">
        <v>41</v>
      </c>
      <c r="C15" s="2">
        <v>12</v>
      </c>
      <c r="D15" s="3" t="s">
        <v>12</v>
      </c>
      <c r="F15" s="27" t="s">
        <v>32</v>
      </c>
      <c r="G15" s="29"/>
      <c r="H15" s="28"/>
      <c r="J15" s="31" t="s">
        <v>52</v>
      </c>
      <c r="K15" s="32"/>
      <c r="L15" s="33"/>
      <c r="N15" s="27" t="s">
        <v>30</v>
      </c>
      <c r="O15" s="29"/>
      <c r="P15" s="28"/>
    </row>
    <row r="16" spans="2:20" x14ac:dyDescent="0.35">
      <c r="B16" s="1" t="s">
        <v>42</v>
      </c>
      <c r="C16" s="2">
        <v>5</v>
      </c>
      <c r="D16" s="3" t="s">
        <v>12</v>
      </c>
      <c r="F16" s="4" t="s">
        <v>33</v>
      </c>
      <c r="G16" s="5">
        <f>K4</f>
        <v>42</v>
      </c>
      <c r="H16" s="6" t="s">
        <v>12</v>
      </c>
      <c r="J16" s="17" t="s">
        <v>53</v>
      </c>
      <c r="K16" s="18">
        <v>0.8</v>
      </c>
      <c r="L16" s="19" t="s">
        <v>12</v>
      </c>
      <c r="N16" s="17" t="s">
        <v>26</v>
      </c>
      <c r="O16" s="18">
        <f>O8</f>
        <v>0.77922077922077915</v>
      </c>
      <c r="P16" s="19" t="s">
        <v>14</v>
      </c>
    </row>
    <row r="17" spans="2:16" x14ac:dyDescent="0.35">
      <c r="B17" s="9" t="s">
        <v>43</v>
      </c>
      <c r="C17" s="10">
        <f>C12*C$9</f>
        <v>1920</v>
      </c>
      <c r="D17" s="11" t="s">
        <v>15</v>
      </c>
      <c r="F17" s="1" t="s">
        <v>0</v>
      </c>
      <c r="G17" s="2">
        <f>G4</f>
        <v>24</v>
      </c>
      <c r="H17" s="3" t="s">
        <v>12</v>
      </c>
      <c r="J17" s="1" t="s">
        <v>0</v>
      </c>
      <c r="K17" s="2">
        <v>19</v>
      </c>
      <c r="L17" s="3" t="s">
        <v>12</v>
      </c>
      <c r="N17" s="1" t="s">
        <v>29</v>
      </c>
      <c r="O17" s="2">
        <v>2</v>
      </c>
      <c r="P17" s="3" t="s">
        <v>14</v>
      </c>
    </row>
    <row r="18" spans="2:16" ht="15" thickBot="1" x14ac:dyDescent="0.4">
      <c r="B18" s="9" t="s">
        <v>44</v>
      </c>
      <c r="C18" s="10">
        <f>C13*C$9</f>
        <v>1520</v>
      </c>
      <c r="D18" s="11" t="s">
        <v>15</v>
      </c>
      <c r="F18" s="1" t="s">
        <v>26</v>
      </c>
      <c r="G18" s="2">
        <f>G5</f>
        <v>3.5</v>
      </c>
      <c r="H18" s="3" t="s">
        <v>14</v>
      </c>
      <c r="J18" s="1" t="s">
        <v>54</v>
      </c>
      <c r="K18" s="2">
        <v>10200</v>
      </c>
      <c r="L18" s="3" t="s">
        <v>56</v>
      </c>
      <c r="N18" s="12" t="s">
        <v>31</v>
      </c>
      <c r="O18" s="13">
        <f>O17-O16/2</f>
        <v>1.6103896103896105</v>
      </c>
      <c r="P18" s="14" t="s">
        <v>14</v>
      </c>
    </row>
    <row r="19" spans="2:16" ht="15" thickBot="1" x14ac:dyDescent="0.4">
      <c r="B19" s="9" t="s">
        <v>45</v>
      </c>
      <c r="C19" s="10">
        <f t="shared" ref="C19:C21" si="0">C14*C$9</f>
        <v>1280</v>
      </c>
      <c r="D19" s="11" t="s">
        <v>15</v>
      </c>
      <c r="F19" s="1" t="s">
        <v>25</v>
      </c>
      <c r="G19" s="2">
        <f>O5</f>
        <v>400000</v>
      </c>
      <c r="H19" s="3" t="s">
        <v>27</v>
      </c>
      <c r="J19" s="12" t="s">
        <v>55</v>
      </c>
      <c r="K19" s="13">
        <f>(K17-K16)/K16*K18</f>
        <v>232049.99999999997</v>
      </c>
      <c r="L19" s="14" t="s">
        <v>56</v>
      </c>
    </row>
    <row r="20" spans="2:16" ht="15" thickBot="1" x14ac:dyDescent="0.4">
      <c r="B20" s="9" t="s">
        <v>46</v>
      </c>
      <c r="C20" s="10">
        <f t="shared" si="0"/>
        <v>960</v>
      </c>
      <c r="D20" s="11" t="s">
        <v>15</v>
      </c>
      <c r="F20" s="12" t="s">
        <v>34</v>
      </c>
      <c r="G20" s="20">
        <f>(G17*(G16-G17))/(0.3*G18*G19*G16)</f>
        <v>2.4489795918367348E-5</v>
      </c>
      <c r="H20" s="14" t="s">
        <v>13</v>
      </c>
    </row>
    <row r="21" spans="2:16" x14ac:dyDescent="0.35">
      <c r="B21" s="9" t="s">
        <v>47</v>
      </c>
      <c r="C21" s="10">
        <f t="shared" si="0"/>
        <v>400</v>
      </c>
      <c r="D21" s="11" t="s">
        <v>15</v>
      </c>
    </row>
    <row r="22" spans="2:16" x14ac:dyDescent="0.35">
      <c r="B22" s="9" t="s">
        <v>50</v>
      </c>
      <c r="C22" s="10">
        <f>SUM(C17:C21)</f>
        <v>6080</v>
      </c>
      <c r="D22" s="11" t="s">
        <v>15</v>
      </c>
    </row>
    <row r="23" spans="2:16" x14ac:dyDescent="0.35">
      <c r="B23" s="22" t="s">
        <v>49</v>
      </c>
      <c r="C23" s="23">
        <f>C22/(C9/100)</f>
        <v>7600</v>
      </c>
      <c r="D23" s="24" t="s">
        <v>15</v>
      </c>
      <c r="E23" s="21"/>
      <c r="F23" s="21"/>
      <c r="G23" s="21"/>
      <c r="H23" s="21"/>
    </row>
    <row r="24" spans="2:16" x14ac:dyDescent="0.35">
      <c r="B24" s="25"/>
      <c r="C24" s="25"/>
      <c r="D24" s="25"/>
    </row>
    <row r="25" spans="2:16" x14ac:dyDescent="0.35">
      <c r="F25" s="30" t="s">
        <v>62</v>
      </c>
      <c r="G25" s="30"/>
      <c r="H25" s="30"/>
      <c r="J25" s="30" t="s">
        <v>65</v>
      </c>
      <c r="K25" s="30"/>
      <c r="L25" s="30"/>
      <c r="N25" s="30" t="s">
        <v>70</v>
      </c>
      <c r="O25" s="30"/>
      <c r="P25" s="30"/>
    </row>
    <row r="26" spans="2:16" x14ac:dyDescent="0.35">
      <c r="F26" t="s">
        <v>58</v>
      </c>
      <c r="G26">
        <v>2E-3</v>
      </c>
      <c r="H26" t="s">
        <v>56</v>
      </c>
      <c r="J26" t="s">
        <v>69</v>
      </c>
      <c r="K26">
        <v>45</v>
      </c>
      <c r="L26" t="s">
        <v>66</v>
      </c>
      <c r="N26" t="s">
        <v>71</v>
      </c>
      <c r="O26">
        <v>5.0000000000000001E-3</v>
      </c>
      <c r="P26" t="s">
        <v>14</v>
      </c>
    </row>
    <row r="27" spans="2:16" x14ac:dyDescent="0.35">
      <c r="F27" t="s">
        <v>63</v>
      </c>
      <c r="G27">
        <v>3.5</v>
      </c>
      <c r="H27" t="s">
        <v>14</v>
      </c>
      <c r="J27" t="s">
        <v>67</v>
      </c>
      <c r="K27">
        <v>2.585</v>
      </c>
      <c r="N27" t="s">
        <v>67</v>
      </c>
      <c r="O27">
        <v>19</v>
      </c>
      <c r="P27" t="s">
        <v>12</v>
      </c>
    </row>
    <row r="28" spans="2:16" x14ac:dyDescent="0.35">
      <c r="F28" t="s">
        <v>64</v>
      </c>
      <c r="G28">
        <f>G27/(2^15)</f>
        <v>1.068115234375E-4</v>
      </c>
      <c r="J28" t="s">
        <v>68</v>
      </c>
      <c r="K28">
        <f>(K27-(5.013/2))/0.045</f>
        <v>1.7444444444444449</v>
      </c>
      <c r="N28" s="26" t="s">
        <v>72</v>
      </c>
      <c r="O28">
        <f>O27/O26</f>
        <v>3800</v>
      </c>
      <c r="P28" t="s">
        <v>56</v>
      </c>
    </row>
  </sheetData>
  <mergeCells count="12">
    <mergeCell ref="F25:H25"/>
    <mergeCell ref="J25:L25"/>
    <mergeCell ref="B2:C2"/>
    <mergeCell ref="J15:L15"/>
    <mergeCell ref="N15:P15"/>
    <mergeCell ref="B8:D8"/>
    <mergeCell ref="N25:P25"/>
    <mergeCell ref="R2:S2"/>
    <mergeCell ref="J2:L2"/>
    <mergeCell ref="N2:P2"/>
    <mergeCell ref="F15:H15"/>
    <mergeCell ref="F2:H2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23319B6B573345B80463C8BA005F6D" ma:contentTypeVersion="6" ma:contentTypeDescription="Een nieuw document maken." ma:contentTypeScope="" ma:versionID="b41b03fd4873277aac50c366e6e24fb0">
  <xsd:schema xmlns:xsd="http://www.w3.org/2001/XMLSchema" xmlns:xs="http://www.w3.org/2001/XMLSchema" xmlns:p="http://schemas.microsoft.com/office/2006/metadata/properties" xmlns:ns3="403a2287-8c7c-4a34-90c2-dbf3c4c1f054" targetNamespace="http://schemas.microsoft.com/office/2006/metadata/properties" ma:root="true" ma:fieldsID="f8639b9a5ca5a44d7a5aeb80dad9e886" ns3:_="">
    <xsd:import namespace="403a2287-8c7c-4a34-90c2-dbf3c4c1f0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3a2287-8c7c-4a34-90c2-dbf3c4c1f0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03a2287-8c7c-4a34-90c2-dbf3c4c1f05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2F193B-74DC-4E6D-9C0A-4D5F090DCF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3a2287-8c7c-4a34-90c2-dbf3c4c1f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7A3D88-0D14-4A68-A3DA-4E95883CF175}">
  <ds:schemaRefs>
    <ds:schemaRef ds:uri="http://schemas.microsoft.com/office/infopath/2007/PartnerControls"/>
    <ds:schemaRef ds:uri="http://schemas.microsoft.com/office/2006/documentManagement/types"/>
    <ds:schemaRef ds:uri="403a2287-8c7c-4a34-90c2-dbf3c4c1f054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0D6BF2D-DFAA-4729-8DDC-2D8D8E787D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Nuttin</dc:creator>
  <cp:lastModifiedBy>Dries Nuttin</cp:lastModifiedBy>
  <dcterms:created xsi:type="dcterms:W3CDTF">2025-02-23T10:01:49Z</dcterms:created>
  <dcterms:modified xsi:type="dcterms:W3CDTF">2025-04-28T10:51:54Z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0x0101002223319B6B573345B80463C8BA005F6D</vt:lpwstr>
  </property>
</Properties>
</file>