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ies\Desktop\git\AI.R-ATV\Hardware\UPD_PCB\Computations\"/>
    </mc:Choice>
  </mc:AlternateContent>
  <xr:revisionPtr revIDLastSave="0" documentId="13_ncr:1_{7BEF4609-2595-419F-BD51-996BFB6F024A}" xr6:coauthVersionLast="47" xr6:coauthVersionMax="47" xr10:uidLastSave="{00000000-0000-0000-0000-000000000000}"/>
  <bookViews>
    <workbookView xWindow="-80" yWindow="-80" windowWidth="25760" windowHeight="15440" xr2:uid="{4B964BCB-4FB7-4901-A42B-2621AA10B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3" i="1"/>
  <c r="AF3" i="1"/>
  <c r="AC3" i="1"/>
  <c r="AC76" i="1"/>
  <c r="AD76" i="1"/>
  <c r="AE76" i="1" s="1"/>
  <c r="AC77" i="1"/>
  <c r="AD77" i="1"/>
  <c r="AE77" i="1"/>
  <c r="AF77" i="1"/>
  <c r="AC78" i="1"/>
  <c r="AD78" i="1"/>
  <c r="AF78" i="1"/>
  <c r="AC79" i="1"/>
  <c r="AD79" i="1"/>
  <c r="AF79" i="1" s="1"/>
  <c r="AC80" i="1"/>
  <c r="AD80" i="1"/>
  <c r="AC81" i="1"/>
  <c r="AD81" i="1"/>
  <c r="AF81" i="1" s="1"/>
  <c r="AE81" i="1"/>
  <c r="AC75" i="1"/>
  <c r="AC74" i="1"/>
  <c r="AC73" i="1"/>
  <c r="AC72" i="1"/>
  <c r="AC71" i="1"/>
  <c r="AC70" i="1"/>
  <c r="AC69" i="1"/>
  <c r="AC68" i="1"/>
  <c r="AC67" i="1"/>
  <c r="AD68" i="1"/>
  <c r="AE68" i="1" s="1"/>
  <c r="AF68" i="1"/>
  <c r="AD69" i="1"/>
  <c r="AE69" i="1" s="1"/>
  <c r="AD70" i="1"/>
  <c r="AE70" i="1"/>
  <c r="AF70" i="1"/>
  <c r="AD71" i="1"/>
  <c r="AE71" i="1" s="1"/>
  <c r="AD72" i="1"/>
  <c r="AE72" i="1" s="1"/>
  <c r="AD73" i="1"/>
  <c r="AE73" i="1" s="1"/>
  <c r="AD74" i="1"/>
  <c r="AF74" i="1" s="1"/>
  <c r="AD75" i="1"/>
  <c r="AF75" i="1"/>
  <c r="AD67" i="1"/>
  <c r="AF67" i="1" s="1"/>
  <c r="AC66" i="1"/>
  <c r="AC65" i="1"/>
  <c r="AD65" i="1"/>
  <c r="AD66" i="1"/>
  <c r="AE66" i="1" s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D54" i="1"/>
  <c r="AE54" i="1" s="1"/>
  <c r="AD55" i="1"/>
  <c r="AF55" i="1" s="1"/>
  <c r="AD56" i="1"/>
  <c r="AE56" i="1" s="1"/>
  <c r="AF56" i="1"/>
  <c r="AD57" i="1"/>
  <c r="AF57" i="1" s="1"/>
  <c r="AD58" i="1"/>
  <c r="AF58" i="1" s="1"/>
  <c r="AD59" i="1"/>
  <c r="AD60" i="1"/>
  <c r="AE60" i="1" s="1"/>
  <c r="AD61" i="1"/>
  <c r="AF61" i="1"/>
  <c r="AD62" i="1"/>
  <c r="AD63" i="1"/>
  <c r="AE63" i="1" s="1"/>
  <c r="AD64" i="1"/>
  <c r="AF64" i="1" s="1"/>
  <c r="AD53" i="1"/>
  <c r="AF53" i="1" s="1"/>
  <c r="AD52" i="1"/>
  <c r="AE52" i="1" s="1"/>
  <c r="AC52" i="1"/>
  <c r="AD51" i="1"/>
  <c r="AE51" i="1" s="1"/>
  <c r="AF51" i="1"/>
  <c r="AC51" i="1"/>
  <c r="AD50" i="1"/>
  <c r="AE50" i="1" s="1"/>
  <c r="AC50" i="1"/>
  <c r="AD49" i="1"/>
  <c r="AE49" i="1" s="1"/>
  <c r="AF49" i="1"/>
  <c r="AC49" i="1"/>
  <c r="AD48" i="1"/>
  <c r="AE48" i="1" s="1"/>
  <c r="AC48" i="1"/>
  <c r="AD47" i="1"/>
  <c r="AE47" i="1" s="1"/>
  <c r="AC47" i="1"/>
  <c r="AC46" i="1"/>
  <c r="AC45" i="1"/>
  <c r="AC44" i="1"/>
  <c r="AC43" i="1"/>
  <c r="AC42" i="1"/>
  <c r="AD41" i="1"/>
  <c r="AE41" i="1" s="1"/>
  <c r="AF41" i="1"/>
  <c r="AD42" i="1"/>
  <c r="AE42" i="1" s="1"/>
  <c r="AD43" i="1"/>
  <c r="AF43" i="1" s="1"/>
  <c r="AD44" i="1"/>
  <c r="AE44" i="1" s="1"/>
  <c r="AD45" i="1"/>
  <c r="AE45" i="1" s="1"/>
  <c r="AD46" i="1"/>
  <c r="AE40" i="1"/>
  <c r="AF40" i="1"/>
  <c r="AC41" i="1"/>
  <c r="AD40" i="1"/>
  <c r="AC40" i="1"/>
  <c r="AC39" i="1"/>
  <c r="AD39" i="1"/>
  <c r="AF39" i="1"/>
  <c r="AD38" i="1"/>
  <c r="AE38" i="1" s="1"/>
  <c r="AC38" i="1"/>
  <c r="AD37" i="1"/>
  <c r="AE37" i="1" s="1"/>
  <c r="AC37" i="1"/>
  <c r="AD36" i="1"/>
  <c r="AE36" i="1" s="1"/>
  <c r="AF36" i="1"/>
  <c r="AC36" i="1"/>
  <c r="AD35" i="1"/>
  <c r="AE35" i="1" s="1"/>
  <c r="AC35" i="1"/>
  <c r="AD34" i="1"/>
  <c r="AC34" i="1"/>
  <c r="AD33" i="1"/>
  <c r="AE33" i="1" s="1"/>
  <c r="AC33" i="1"/>
  <c r="AD32" i="1"/>
  <c r="AE32" i="1" s="1"/>
  <c r="AC32" i="1"/>
  <c r="AD31" i="1"/>
  <c r="AE31" i="1" s="1"/>
  <c r="AC31" i="1"/>
  <c r="AD30" i="1"/>
  <c r="AE30" i="1" s="1"/>
  <c r="AC30" i="1"/>
  <c r="AD29" i="1"/>
  <c r="AE29" i="1" s="1"/>
  <c r="AC29" i="1"/>
  <c r="AD28" i="1"/>
  <c r="AE28" i="1" s="1"/>
  <c r="AF28" i="1"/>
  <c r="AC28" i="1"/>
  <c r="AD27" i="1"/>
  <c r="AE27" i="1" s="1"/>
  <c r="AC27" i="1"/>
  <c r="AD26" i="1"/>
  <c r="AE26" i="1" s="1"/>
  <c r="AF26" i="1"/>
  <c r="AC26" i="1"/>
  <c r="AC25" i="1"/>
  <c r="AC24" i="1"/>
  <c r="AC23" i="1"/>
  <c r="AC22" i="1"/>
  <c r="AC21" i="1"/>
  <c r="AD21" i="1"/>
  <c r="AD22" i="1"/>
  <c r="AE22" i="1" s="1"/>
  <c r="AD23" i="1"/>
  <c r="AE23" i="1" s="1"/>
  <c r="AD24" i="1"/>
  <c r="AE24" i="1" s="1"/>
  <c r="AD25" i="1"/>
  <c r="AE25" i="1" s="1"/>
  <c r="AF25" i="1"/>
  <c r="AD19" i="1"/>
  <c r="AE19" i="1" s="1"/>
  <c r="AC19" i="1"/>
  <c r="AD20" i="1"/>
  <c r="AF20" i="1" s="1"/>
  <c r="AC20" i="1"/>
  <c r="AD18" i="1"/>
  <c r="AE18" i="1" s="1"/>
  <c r="AC18" i="1"/>
  <c r="AD17" i="1"/>
  <c r="AE17" i="1"/>
  <c r="AF17" i="1"/>
  <c r="AC17" i="1"/>
  <c r="AD16" i="1"/>
  <c r="AF16" i="1" s="1"/>
  <c r="AE16" i="1"/>
  <c r="AC16" i="1"/>
  <c r="AD15" i="1"/>
  <c r="AF15" i="1" s="1"/>
  <c r="AE15" i="1"/>
  <c r="AC15" i="1"/>
  <c r="AC14" i="1"/>
  <c r="AE14" i="1"/>
  <c r="AF14" i="1"/>
  <c r="AD14" i="1"/>
  <c r="AD13" i="1"/>
  <c r="AE13" i="1" s="1"/>
  <c r="AF13" i="1"/>
  <c r="AC13" i="1"/>
  <c r="AD12" i="1"/>
  <c r="AE12" i="1"/>
  <c r="AF12" i="1"/>
  <c r="AC12" i="1"/>
  <c r="AC11" i="1"/>
  <c r="AE11" i="1" s="1"/>
  <c r="AF11" i="1"/>
  <c r="AD11" i="1"/>
  <c r="AC10" i="1"/>
  <c r="AE10" i="1" s="1"/>
  <c r="AF10" i="1"/>
  <c r="AD10" i="1"/>
  <c r="AC9" i="1"/>
  <c r="AE9" i="1"/>
  <c r="AF9" i="1"/>
  <c r="AD9" i="1"/>
  <c r="AF4" i="1"/>
  <c r="AF5" i="1"/>
  <c r="AF6" i="1"/>
  <c r="AF7" i="1"/>
  <c r="AF8" i="1"/>
  <c r="AD8" i="1"/>
  <c r="AE8" i="1"/>
  <c r="AC8" i="1"/>
  <c r="AD7" i="1"/>
  <c r="AE7" i="1" s="1"/>
  <c r="AC7" i="1"/>
  <c r="AC4" i="1"/>
  <c r="AE4" i="1" s="1"/>
  <c r="AD4" i="1"/>
  <c r="AC5" i="1"/>
  <c r="AD5" i="1"/>
  <c r="AE5" i="1" s="1"/>
  <c r="AC6" i="1"/>
  <c r="AD6" i="1"/>
  <c r="AE6" i="1" s="1"/>
  <c r="AE3" i="1"/>
  <c r="AD3" i="1"/>
  <c r="O28" i="1"/>
  <c r="K3" i="1"/>
  <c r="K28" i="1"/>
  <c r="G28" i="1"/>
  <c r="O4" i="1"/>
  <c r="O8" i="1" s="1"/>
  <c r="G7" i="1"/>
  <c r="G8" i="1" s="1"/>
  <c r="G9" i="1" s="1"/>
  <c r="G18" i="1"/>
  <c r="K5" i="1"/>
  <c r="G16" i="1"/>
  <c r="S6" i="1"/>
  <c r="S5" i="1"/>
  <c r="K19" i="1"/>
  <c r="C19" i="1"/>
  <c r="C20" i="1"/>
  <c r="C21" i="1"/>
  <c r="C18" i="1"/>
  <c r="C17" i="1"/>
  <c r="G17" i="1"/>
  <c r="O3" i="1"/>
  <c r="G19" i="1"/>
  <c r="C3" i="1"/>
  <c r="AE80" i="1" l="1"/>
  <c r="AE79" i="1"/>
  <c r="AE78" i="1"/>
  <c r="AF80" i="1"/>
  <c r="AF76" i="1"/>
  <c r="AE75" i="1"/>
  <c r="AE74" i="1"/>
  <c r="AF72" i="1"/>
  <c r="AF71" i="1"/>
  <c r="AF69" i="1"/>
  <c r="AF73" i="1"/>
  <c r="AE67" i="1"/>
  <c r="AF66" i="1"/>
  <c r="AE65" i="1"/>
  <c r="AF65" i="1"/>
  <c r="AE64" i="1"/>
  <c r="AF63" i="1"/>
  <c r="AE62" i="1"/>
  <c r="AE61" i="1"/>
  <c r="AE59" i="1"/>
  <c r="AE58" i="1"/>
  <c r="AE55" i="1"/>
  <c r="AE57" i="1"/>
  <c r="AF60" i="1"/>
  <c r="AF62" i="1"/>
  <c r="AF54" i="1"/>
  <c r="AF59" i="1"/>
  <c r="AE53" i="1"/>
  <c r="AF52" i="1"/>
  <c r="AF50" i="1"/>
  <c r="AF48" i="1"/>
  <c r="AF47" i="1"/>
  <c r="AE46" i="1"/>
  <c r="AF44" i="1"/>
  <c r="AF42" i="1"/>
  <c r="AF45" i="1"/>
  <c r="AE43" i="1"/>
  <c r="AF46" i="1"/>
  <c r="AE39" i="1"/>
  <c r="AF38" i="1"/>
  <c r="AF37" i="1"/>
  <c r="AE34" i="1"/>
  <c r="AF35" i="1"/>
  <c r="AF34" i="1"/>
  <c r="AF33" i="1"/>
  <c r="AF32" i="1"/>
  <c r="AF31" i="1"/>
  <c r="AF30" i="1"/>
  <c r="AF29" i="1"/>
  <c r="AF27" i="1"/>
  <c r="AF24" i="1"/>
  <c r="AF22" i="1"/>
  <c r="AE21" i="1"/>
  <c r="AF23" i="1"/>
  <c r="AF21" i="1"/>
  <c r="AF19" i="1"/>
  <c r="AE20" i="1"/>
  <c r="AF18" i="1"/>
  <c r="G10" i="1"/>
  <c r="G11" i="1" s="1"/>
  <c r="K6" i="1"/>
  <c r="O7" i="1" s="1"/>
  <c r="O16" i="1" s="1"/>
  <c r="O18" i="1" s="1"/>
  <c r="C22" i="1"/>
  <c r="C23" i="1" s="1"/>
  <c r="G20" i="1" l="1"/>
</calcChain>
</file>

<file path=xl/sharedStrings.xml><?xml version="1.0" encoding="utf-8"?>
<sst xmlns="http://schemas.openxmlformats.org/spreadsheetml/2006/main" count="140" uniqueCount="80">
  <si>
    <t>Vout</t>
  </si>
  <si>
    <t>R1</t>
  </si>
  <si>
    <t>R2</t>
  </si>
  <si>
    <t>Efficiency</t>
  </si>
  <si>
    <t>Efficiency calculations</t>
  </si>
  <si>
    <t xml:space="preserve">Efficiency </t>
  </si>
  <si>
    <t>Iout</t>
  </si>
  <si>
    <t>Pout</t>
  </si>
  <si>
    <t>Ploss</t>
  </si>
  <si>
    <t>Thermal factor</t>
  </si>
  <si>
    <t>Heat</t>
  </si>
  <si>
    <t>Pin</t>
  </si>
  <si>
    <t>V</t>
  </si>
  <si>
    <t>H</t>
  </si>
  <si>
    <t>A</t>
  </si>
  <si>
    <t>W</t>
  </si>
  <si>
    <t>°C/W</t>
  </si>
  <si>
    <t>°C</t>
  </si>
  <si>
    <t>%/100</t>
  </si>
  <si>
    <t>Feedback calculator</t>
  </si>
  <si>
    <t>Total Heat</t>
  </si>
  <si>
    <t>Duty cycle</t>
  </si>
  <si>
    <t>Vin max</t>
  </si>
  <si>
    <t>Inductor ripple current</t>
  </si>
  <si>
    <t xml:space="preserve">Inductor value </t>
  </si>
  <si>
    <t>Switching freq.</t>
  </si>
  <si>
    <t>Ripple current</t>
  </si>
  <si>
    <t>Hz</t>
  </si>
  <si>
    <t xml:space="preserve">H </t>
  </si>
  <si>
    <t>I lim</t>
  </si>
  <si>
    <t>Max output current of IC</t>
  </si>
  <si>
    <t>Iic max</t>
  </si>
  <si>
    <t>Inductor minimum value</t>
  </si>
  <si>
    <t>Vin</t>
  </si>
  <si>
    <t>Min value</t>
  </si>
  <si>
    <t>Current</t>
  </si>
  <si>
    <t>%</t>
  </si>
  <si>
    <t>Bus voltage</t>
  </si>
  <si>
    <t>Drop 1</t>
  </si>
  <si>
    <t>Drop 2</t>
  </si>
  <si>
    <t>Drop 3</t>
  </si>
  <si>
    <t>Drop 4</t>
  </si>
  <si>
    <t>Drop 5</t>
  </si>
  <si>
    <t>Power 1</t>
  </si>
  <si>
    <t>Power 2</t>
  </si>
  <si>
    <t>Power 3</t>
  </si>
  <si>
    <t>Power 4</t>
  </si>
  <si>
    <t>Power 5</t>
  </si>
  <si>
    <t>Total efficiency calculation</t>
  </si>
  <si>
    <t>Actual Power</t>
  </si>
  <si>
    <t>Ideal Power</t>
  </si>
  <si>
    <t>Efficiency each stage</t>
  </si>
  <si>
    <t>LRM51635 FB resistor calculation</t>
  </si>
  <si>
    <t>Ref voltage</t>
  </si>
  <si>
    <t>RFBB</t>
  </si>
  <si>
    <t>RFBT</t>
  </si>
  <si>
    <t>R</t>
  </si>
  <si>
    <t>Shunt resistor calculation</t>
  </si>
  <si>
    <t>Rshunt</t>
  </si>
  <si>
    <t>I max</t>
  </si>
  <si>
    <t>V sense max</t>
  </si>
  <si>
    <t>Power</t>
  </si>
  <si>
    <t>INA219 calculations</t>
  </si>
  <si>
    <t>Max current</t>
  </si>
  <si>
    <t>Current LSB</t>
  </si>
  <si>
    <t>Current measurement</t>
  </si>
  <si>
    <t>Mv/A</t>
  </si>
  <si>
    <t>Voltage</t>
  </si>
  <si>
    <t xml:space="preserve">current  </t>
  </si>
  <si>
    <t>step</t>
  </si>
  <si>
    <t>LED current measurement</t>
  </si>
  <si>
    <t>Imax</t>
  </si>
  <si>
    <t>Resistor</t>
  </si>
  <si>
    <t>21.2mv</t>
  </si>
  <si>
    <t>Resistance</t>
  </si>
  <si>
    <t>Starting Amp</t>
  </si>
  <si>
    <t>Iin</t>
  </si>
  <si>
    <t>Real Efficiency</t>
  </si>
  <si>
    <t>Temperature</t>
  </si>
  <si>
    <t>Ambiant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</si>
</sst>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64" fontId="0" fillId="4" borderId="8" xfId="0" applyNumberFormat="1" applyFill="1" applyBorder="1"/>
    <xf numFmtId="0" fontId="0" fillId="0" borderId="0" xfId="0" applyAlignment="1">
      <alignment horizont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9" xfId="0" applyBorder="1"/>
    <xf numFmtId="2" fontId="0" fillId="0" borderId="0" xfId="0" applyNumberFormat="1"/>
    <xf numFmtId="16" fontId="0" fillId="4" borderId="7" xfId="0" applyNumberFormat="1" applyFill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of buck converter under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Sheet1!$AB$3:$AB$18</c:f>
              <c:numCache>
                <c:formatCode>General</c:formatCode>
                <c:ptCount val="16"/>
                <c:pt idx="0">
                  <c:v>9.6909999999999996E-2</c:v>
                </c:pt>
                <c:pt idx="1">
                  <c:v>0.12620000000000001</c:v>
                </c:pt>
                <c:pt idx="2">
                  <c:v>0.1646</c:v>
                </c:pt>
                <c:pt idx="3">
                  <c:v>0.21279999999999999</c:v>
                </c:pt>
                <c:pt idx="4">
                  <c:v>0.29170000000000001</c:v>
                </c:pt>
                <c:pt idx="5">
                  <c:v>0.35859999999999997</c:v>
                </c:pt>
                <c:pt idx="6">
                  <c:v>0.43430000000000002</c:v>
                </c:pt>
                <c:pt idx="7">
                  <c:v>0.51929999999999998</c:v>
                </c:pt>
                <c:pt idx="8">
                  <c:v>0.77</c:v>
                </c:pt>
                <c:pt idx="9">
                  <c:v>0.95199999999999996</c:v>
                </c:pt>
                <c:pt idx="10">
                  <c:v>1.0920000000000001</c:v>
                </c:pt>
                <c:pt idx="11">
                  <c:v>1.5669999999999999</c:v>
                </c:pt>
                <c:pt idx="12">
                  <c:v>1.9159999999999999</c:v>
                </c:pt>
                <c:pt idx="13">
                  <c:v>2.4630000000000001</c:v>
                </c:pt>
                <c:pt idx="14">
                  <c:v>2.4510000000000001</c:v>
                </c:pt>
                <c:pt idx="15">
                  <c:v>3.9889999999999999</c:v>
                </c:pt>
              </c:numCache>
            </c:numRef>
          </c:xVal>
          <c:yVal>
            <c:numRef>
              <c:f>Sheet1!$AF$3:$AF$18</c:f>
              <c:numCache>
                <c:formatCode>General</c:formatCode>
                <c:ptCount val="16"/>
                <c:pt idx="0">
                  <c:v>85.343921782404536</c:v>
                </c:pt>
                <c:pt idx="1">
                  <c:v>87.984408063258726</c:v>
                </c:pt>
                <c:pt idx="2">
                  <c:v>88.843516592479233</c:v>
                </c:pt>
                <c:pt idx="3">
                  <c:v>89.016237888406266</c:v>
                </c:pt>
                <c:pt idx="4">
                  <c:v>88.742435379521908</c:v>
                </c:pt>
                <c:pt idx="5">
                  <c:v>89.555669696954567</c:v>
                </c:pt>
                <c:pt idx="6">
                  <c:v>88.620374369463704</c:v>
                </c:pt>
                <c:pt idx="7">
                  <c:v>89.578583705622378</c:v>
                </c:pt>
                <c:pt idx="8">
                  <c:v>90.73189554970989</c:v>
                </c:pt>
                <c:pt idx="9">
                  <c:v>91.024122953558305</c:v>
                </c:pt>
                <c:pt idx="10">
                  <c:v>90.904249218325376</c:v>
                </c:pt>
                <c:pt idx="11">
                  <c:v>91.677036628590258</c:v>
                </c:pt>
                <c:pt idx="12">
                  <c:v>88.561413094642575</c:v>
                </c:pt>
                <c:pt idx="13">
                  <c:v>91.581868804989426</c:v>
                </c:pt>
                <c:pt idx="14">
                  <c:v>92.57573917772018</c:v>
                </c:pt>
                <c:pt idx="15">
                  <c:v>92.062684194154173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D-44B0-842A-2AB2BACABBD4}"/>
            </c:ext>
          </c:extLst>
        </c:ser>
        <c:ser>
          <c:idx val="1"/>
          <c:order val="1"/>
          <c:tx>
            <c:v>12V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Sheet1!$AB$23:$AB$38</c:f>
              <c:numCache>
                <c:formatCode>General</c:formatCode>
                <c:ptCount val="16"/>
                <c:pt idx="0">
                  <c:v>0.312</c:v>
                </c:pt>
                <c:pt idx="1">
                  <c:v>0.34300000000000003</c:v>
                </c:pt>
                <c:pt idx="2">
                  <c:v>0.38500000000000001</c:v>
                </c:pt>
                <c:pt idx="3">
                  <c:v>0.41199999999999998</c:v>
                </c:pt>
                <c:pt idx="4">
                  <c:v>0.47499999999999998</c:v>
                </c:pt>
                <c:pt idx="5">
                  <c:v>0.53500000000000003</c:v>
                </c:pt>
                <c:pt idx="6">
                  <c:v>0.61099999999999999</c:v>
                </c:pt>
                <c:pt idx="7">
                  <c:v>0.71199999999999997</c:v>
                </c:pt>
                <c:pt idx="8">
                  <c:v>0.85399999999999998</c:v>
                </c:pt>
                <c:pt idx="9">
                  <c:v>0.97</c:v>
                </c:pt>
                <c:pt idx="10">
                  <c:v>1.1200000000000001</c:v>
                </c:pt>
                <c:pt idx="11">
                  <c:v>1.272</c:v>
                </c:pt>
                <c:pt idx="12">
                  <c:v>1.468</c:v>
                </c:pt>
                <c:pt idx="13">
                  <c:v>1.8220000000000001</c:v>
                </c:pt>
                <c:pt idx="14">
                  <c:v>2.69</c:v>
                </c:pt>
                <c:pt idx="15">
                  <c:v>3.68</c:v>
                </c:pt>
              </c:numCache>
            </c:numRef>
          </c:xVal>
          <c:yVal>
            <c:numRef>
              <c:f>Sheet1!$AF$19:$AF$38</c:f>
              <c:numCache>
                <c:formatCode>General</c:formatCode>
                <c:ptCount val="20"/>
                <c:pt idx="0">
                  <c:v>91.349512498860975</c:v>
                </c:pt>
                <c:pt idx="1">
                  <c:v>91.704267887206058</c:v>
                </c:pt>
                <c:pt idx="2">
                  <c:v>91.512636628323236</c:v>
                </c:pt>
                <c:pt idx="3">
                  <c:v>91.963381222853315</c:v>
                </c:pt>
                <c:pt idx="4">
                  <c:v>92.892304265508415</c:v>
                </c:pt>
                <c:pt idx="5">
                  <c:v>93.785499498830603</c:v>
                </c:pt>
                <c:pt idx="6">
                  <c:v>93.220526610283443</c:v>
                </c:pt>
                <c:pt idx="7">
                  <c:v>93.558415964935122</c:v>
                </c:pt>
                <c:pt idx="8">
                  <c:v>93.588471138538949</c:v>
                </c:pt>
                <c:pt idx="9">
                  <c:v>94.314365097508229</c:v>
                </c:pt>
                <c:pt idx="10">
                  <c:v>94.455395923822238</c:v>
                </c:pt>
                <c:pt idx="11">
                  <c:v>95.076329819412507</c:v>
                </c:pt>
                <c:pt idx="12">
                  <c:v>95.34859115714444</c:v>
                </c:pt>
                <c:pt idx="13">
                  <c:v>95.793542836643397</c:v>
                </c:pt>
                <c:pt idx="14">
                  <c:v>95.985159401788266</c:v>
                </c:pt>
                <c:pt idx="15">
                  <c:v>92.620462237975573</c:v>
                </c:pt>
                <c:pt idx="16">
                  <c:v>96.412544302719411</c:v>
                </c:pt>
                <c:pt idx="17">
                  <c:v>93.053465286006187</c:v>
                </c:pt>
                <c:pt idx="18">
                  <c:v>92.648914304757341</c:v>
                </c:pt>
                <c:pt idx="19">
                  <c:v>94.634120689798905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D-44B0-842A-2AB2BACABBD4}"/>
            </c:ext>
          </c:extLst>
        </c:ser>
        <c:ser>
          <c:idx val="2"/>
          <c:order val="2"/>
          <c:tx>
            <c:v>16V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Sheet1!$AB$39:$AB$52</c:f>
              <c:numCache>
                <c:formatCode>General</c:formatCode>
                <c:ptCount val="14"/>
                <c:pt idx="0">
                  <c:v>0.27</c:v>
                </c:pt>
                <c:pt idx="1">
                  <c:v>0.32300000000000001</c:v>
                </c:pt>
                <c:pt idx="2">
                  <c:v>0.377</c:v>
                </c:pt>
                <c:pt idx="3">
                  <c:v>0.42699999999999999</c:v>
                </c:pt>
                <c:pt idx="4">
                  <c:v>0.52100000000000002</c:v>
                </c:pt>
                <c:pt idx="5">
                  <c:v>0.64500000000000002</c:v>
                </c:pt>
                <c:pt idx="6">
                  <c:v>0.77800000000000002</c:v>
                </c:pt>
                <c:pt idx="7">
                  <c:v>0.90900000000000003</c:v>
                </c:pt>
                <c:pt idx="8">
                  <c:v>1.036</c:v>
                </c:pt>
                <c:pt idx="9">
                  <c:v>1.22</c:v>
                </c:pt>
                <c:pt idx="10">
                  <c:v>1.5229999999999999</c:v>
                </c:pt>
                <c:pt idx="11">
                  <c:v>1.9</c:v>
                </c:pt>
                <c:pt idx="12">
                  <c:v>2.6269999999999998</c:v>
                </c:pt>
                <c:pt idx="13">
                  <c:v>3.778</c:v>
                </c:pt>
              </c:numCache>
            </c:numRef>
          </c:xVal>
          <c:yVal>
            <c:numRef>
              <c:f>Sheet1!$AF$39:$AF$52</c:f>
              <c:numCache>
                <c:formatCode>General</c:formatCode>
                <c:ptCount val="14"/>
                <c:pt idx="0">
                  <c:v>93.370731281695512</c:v>
                </c:pt>
                <c:pt idx="1">
                  <c:v>94.283615173756687</c:v>
                </c:pt>
                <c:pt idx="2">
                  <c:v>94.762006410018444</c:v>
                </c:pt>
                <c:pt idx="3">
                  <c:v>95.404366017277624</c:v>
                </c:pt>
                <c:pt idx="4">
                  <c:v>95.887579493394199</c:v>
                </c:pt>
                <c:pt idx="5">
                  <c:v>96.471657006845192</c:v>
                </c:pt>
                <c:pt idx="6">
                  <c:v>96.659558802728867</c:v>
                </c:pt>
                <c:pt idx="7">
                  <c:v>97.342517155413915</c:v>
                </c:pt>
                <c:pt idx="8">
                  <c:v>98.163894928772137</c:v>
                </c:pt>
                <c:pt idx="9">
                  <c:v>94.62555486611619</c:v>
                </c:pt>
                <c:pt idx="10">
                  <c:v>93.964515688120755</c:v>
                </c:pt>
                <c:pt idx="11">
                  <c:v>93.355083429964026</c:v>
                </c:pt>
                <c:pt idx="12">
                  <c:v>92.316267623375779</c:v>
                </c:pt>
                <c:pt idx="13">
                  <c:v>95.095169520102601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D-44B0-842A-2AB2BACABBD4}"/>
            </c:ext>
          </c:extLst>
        </c:ser>
        <c:ser>
          <c:idx val="3"/>
          <c:order val="3"/>
          <c:tx>
            <c:v>19V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Sheet1!$AB$53:$AB$66</c:f>
              <c:numCache>
                <c:formatCode>General</c:formatCode>
                <c:ptCount val="14"/>
                <c:pt idx="0">
                  <c:v>0.315</c:v>
                </c:pt>
                <c:pt idx="1">
                  <c:v>0.38500000000000001</c:v>
                </c:pt>
                <c:pt idx="2">
                  <c:v>0.41499999999999998</c:v>
                </c:pt>
                <c:pt idx="3">
                  <c:v>0.47799999999999998</c:v>
                </c:pt>
                <c:pt idx="4">
                  <c:v>0.54900000000000004</c:v>
                </c:pt>
                <c:pt idx="5">
                  <c:v>0.64</c:v>
                </c:pt>
                <c:pt idx="6">
                  <c:v>0.78</c:v>
                </c:pt>
                <c:pt idx="7">
                  <c:v>0.89600000000000002</c:v>
                </c:pt>
                <c:pt idx="8">
                  <c:v>1.266</c:v>
                </c:pt>
                <c:pt idx="9">
                  <c:v>1.5129999999999999</c:v>
                </c:pt>
                <c:pt idx="10">
                  <c:v>1.9</c:v>
                </c:pt>
                <c:pt idx="11">
                  <c:v>2.3330000000000002</c:v>
                </c:pt>
                <c:pt idx="12">
                  <c:v>2.9540000000000002</c:v>
                </c:pt>
                <c:pt idx="13">
                  <c:v>3.512</c:v>
                </c:pt>
              </c:numCache>
            </c:numRef>
          </c:xVal>
          <c:yVal>
            <c:numRef>
              <c:f>Sheet1!$AF$53:$AF$66</c:f>
              <c:numCache>
                <c:formatCode>General</c:formatCode>
                <c:ptCount val="14"/>
                <c:pt idx="0">
                  <c:v>94.081673437397555</c:v>
                </c:pt>
                <c:pt idx="1">
                  <c:v>95.378233967111896</c:v>
                </c:pt>
                <c:pt idx="2">
                  <c:v>96.45475807186466</c:v>
                </c:pt>
                <c:pt idx="3">
                  <c:v>96.989695532963154</c:v>
                </c:pt>
                <c:pt idx="4">
                  <c:v>96.933083271648584</c:v>
                </c:pt>
                <c:pt idx="5">
                  <c:v>97.395510158624106</c:v>
                </c:pt>
                <c:pt idx="6">
                  <c:v>97.94563214625876</c:v>
                </c:pt>
                <c:pt idx="7">
                  <c:v>97.561430959575759</c:v>
                </c:pt>
                <c:pt idx="8">
                  <c:v>98.081705798378039</c:v>
                </c:pt>
                <c:pt idx="9">
                  <c:v>97.879160686676471</c:v>
                </c:pt>
                <c:pt idx="10">
                  <c:v>97.542190143802713</c:v>
                </c:pt>
                <c:pt idx="11">
                  <c:v>97.716624942690657</c:v>
                </c:pt>
                <c:pt idx="12">
                  <c:v>96.379419939702743</c:v>
                </c:pt>
                <c:pt idx="13">
                  <c:v>95.115382219529153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D-44B0-842A-2AB2BACABBD4}"/>
            </c:ext>
          </c:extLst>
        </c:ser>
        <c:ser>
          <c:idx val="4"/>
          <c:order val="4"/>
          <c:tx>
            <c:v>24V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Sheet1!$AB$67:$AB$81</c:f>
              <c:numCache>
                <c:formatCode>General</c:formatCode>
                <c:ptCount val="15"/>
                <c:pt idx="0">
                  <c:v>0.39500000000000002</c:v>
                </c:pt>
                <c:pt idx="1">
                  <c:v>0.47399999999999998</c:v>
                </c:pt>
                <c:pt idx="2">
                  <c:v>0.52200000000000002</c:v>
                </c:pt>
                <c:pt idx="3">
                  <c:v>0.60199999999999998</c:v>
                </c:pt>
                <c:pt idx="4">
                  <c:v>0.68200000000000005</c:v>
                </c:pt>
                <c:pt idx="5">
                  <c:v>0.78500000000000003</c:v>
                </c:pt>
                <c:pt idx="6">
                  <c:v>0.90500000000000003</c:v>
                </c:pt>
                <c:pt idx="7">
                  <c:v>1.1299999999999999</c:v>
                </c:pt>
                <c:pt idx="8">
                  <c:v>1.3</c:v>
                </c:pt>
                <c:pt idx="9">
                  <c:v>1.5169999999999999</c:v>
                </c:pt>
                <c:pt idx="10">
                  <c:v>1.7410000000000001</c:v>
                </c:pt>
                <c:pt idx="11">
                  <c:v>2.0609999999999999</c:v>
                </c:pt>
                <c:pt idx="12">
                  <c:v>2.6110000000000002</c:v>
                </c:pt>
                <c:pt idx="13">
                  <c:v>3.11</c:v>
                </c:pt>
                <c:pt idx="14">
                  <c:v>3.8</c:v>
                </c:pt>
              </c:numCache>
            </c:numRef>
          </c:xVal>
          <c:yVal>
            <c:numRef>
              <c:f>Sheet1!$AF$67:$AF$81</c:f>
              <c:numCache>
                <c:formatCode>General</c:formatCode>
                <c:ptCount val="15"/>
                <c:pt idx="0">
                  <c:v>97.147974904406595</c:v>
                </c:pt>
                <c:pt idx="1">
                  <c:v>97.599825950473587</c:v>
                </c:pt>
                <c:pt idx="2">
                  <c:v>97.18705015753271</c:v>
                </c:pt>
                <c:pt idx="3">
                  <c:v>97.501894664786946</c:v>
                </c:pt>
                <c:pt idx="4">
                  <c:v>97.568773577605697</c:v>
                </c:pt>
                <c:pt idx="5">
                  <c:v>98.04617252167283</c:v>
                </c:pt>
                <c:pt idx="6">
                  <c:v>98.250368024937401</c:v>
                </c:pt>
                <c:pt idx="7">
                  <c:v>98.088349940711311</c:v>
                </c:pt>
                <c:pt idx="8">
                  <c:v>98.098214014518732</c:v>
                </c:pt>
                <c:pt idx="9">
                  <c:v>98.040195980401947</c:v>
                </c:pt>
                <c:pt idx="10">
                  <c:v>97.768295155221253</c:v>
                </c:pt>
                <c:pt idx="11">
                  <c:v>97.467483475290024</c:v>
                </c:pt>
                <c:pt idx="12">
                  <c:v>96.727091246381022</c:v>
                </c:pt>
                <c:pt idx="13">
                  <c:v>95.943962160255467</c:v>
                </c:pt>
                <c:pt idx="14">
                  <c:v>95.01303690412027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FD-44B0-842A-2AB2BACA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20191"/>
        <c:axId val="2080920671"/>
      </c:scatterChart>
      <c:valAx>
        <c:axId val="208092019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applied</a:t>
                </a:r>
                <a:r>
                  <a:rPr lang="en-GB" baseline="0"/>
                  <a:t> load (a)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0920671"/>
        <c:crosses val="autoZero"/>
        <c:crossBetween val="midCat"/>
      </c:valAx>
      <c:valAx>
        <c:axId val="2080920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09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68202</xdr:colOff>
      <xdr:row>30</xdr:row>
      <xdr:rowOff>1</xdr:rowOff>
    </xdr:from>
    <xdr:to>
      <xdr:col>8</xdr:col>
      <xdr:colOff>520858</xdr:colOff>
      <xdr:row>40</xdr:row>
      <xdr:rowOff>94291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80E4C-56BE-5861-9BD3-3D37214B9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542" y="5687258"/>
          <a:ext cx="5785511" cy="1943805"/>
        </a:xfrm>
        <a:prstGeom prst="rect">
          <a:avLst/>
        </a:prstGeom>
      </xdr:spPr>
    </xdr:pic>
    <xdr:clientData/>
  </xdr:twoCellAnchor>
  <xdr:twoCellAnchor>
    <xdr:from>
      <xdr:col>35</xdr:col>
      <xdr:colOff>137486</xdr:colOff>
      <xdr:row>1</xdr:row>
      <xdr:rowOff>40119</xdr:rowOff>
    </xdr:from>
    <xdr:to>
      <xdr:col>48</xdr:col>
      <xdr:colOff>127838</xdr:colOff>
      <xdr:row>27</xdr:row>
      <xdr:rowOff>78270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41AAF-E5DD-5C7E-16D1-6F6CEB83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F6AD-D1C3-4C59-93DB-E2C5A9F2A0C6}">
  <dimension ref="B1:AH81"/>
  <sheetViews>
    <sheetView tabSelected="1" topLeftCell="AC1" zoomScale="75" zoomScaleNormal="115" workbookViewId="0">
      <selection activeCell="AJ30" sqref="AJ30"/>
    </sheetView>
  </sheetViews>
  <sheetFormatPr defaultRowHeight="14.5" x14ac:dyDescent="0.35"/>
  <cols>
    <col min="2" max="2" width="17.81640625" bestFit="1" customWidth="1"/>
    <col min="3" max="3" width="8.81640625" bestFit="1" customWidth="1"/>
    <col min="6" max="6" width="12.54296875" bestFit="1" customWidth="1"/>
    <col min="7" max="7" width="13.1796875" bestFit="1" customWidth="1"/>
    <col min="8" max="8" width="6.36328125" bestFit="1" customWidth="1"/>
    <col min="10" max="10" width="12.1796875" customWidth="1"/>
    <col min="11" max="11" width="11.26953125" customWidth="1"/>
    <col min="12" max="12" width="12" bestFit="1" customWidth="1"/>
    <col min="13" max="13" width="9" customWidth="1"/>
    <col min="14" max="14" width="12.54296875" bestFit="1" customWidth="1"/>
    <col min="15" max="15" width="8.81640625" bestFit="1" customWidth="1"/>
    <col min="16" max="16" width="6.36328125" bestFit="1" customWidth="1"/>
    <col min="18" max="18" width="14.7265625" customWidth="1"/>
    <col min="19" max="19" width="13.7265625" customWidth="1"/>
    <col min="23" max="23" width="12.453125" customWidth="1"/>
    <col min="24" max="25" width="8.81640625" bestFit="1" customWidth="1"/>
    <col min="26" max="26" width="9.90625" bestFit="1" customWidth="1"/>
    <col min="27" max="31" width="8.81640625" bestFit="1" customWidth="1"/>
    <col min="32" max="32" width="12.7265625" bestFit="1" customWidth="1"/>
    <col min="33" max="33" width="11.36328125" bestFit="1" customWidth="1"/>
  </cols>
  <sheetData>
    <row r="1" spans="2:34" ht="15" thickBot="1" x14ac:dyDescent="0.4"/>
    <row r="2" spans="2:34" ht="15" thickBot="1" x14ac:dyDescent="0.4">
      <c r="B2" s="28" t="s">
        <v>19</v>
      </c>
      <c r="C2" s="30"/>
      <c r="F2" s="28" t="s">
        <v>4</v>
      </c>
      <c r="G2" s="29"/>
      <c r="H2" s="30"/>
      <c r="J2" s="28" t="s">
        <v>21</v>
      </c>
      <c r="K2" s="29"/>
      <c r="L2" s="30"/>
      <c r="N2" s="28" t="s">
        <v>23</v>
      </c>
      <c r="O2" s="29"/>
      <c r="P2" s="30"/>
      <c r="R2" s="28" t="s">
        <v>57</v>
      </c>
      <c r="S2" s="30"/>
      <c r="T2" s="21"/>
      <c r="W2" t="s">
        <v>75</v>
      </c>
      <c r="X2" t="s">
        <v>33</v>
      </c>
      <c r="Y2" t="s">
        <v>0</v>
      </c>
      <c r="Z2" t="s">
        <v>74</v>
      </c>
      <c r="AA2" t="s">
        <v>76</v>
      </c>
      <c r="AB2" t="s">
        <v>6</v>
      </c>
      <c r="AC2" t="s">
        <v>11</v>
      </c>
      <c r="AD2" t="s">
        <v>7</v>
      </c>
      <c r="AE2" t="s">
        <v>3</v>
      </c>
      <c r="AF2" t="s">
        <v>77</v>
      </c>
      <c r="AG2" t="s">
        <v>78</v>
      </c>
      <c r="AH2" t="s">
        <v>79</v>
      </c>
    </row>
    <row r="3" spans="2:34" x14ac:dyDescent="0.35">
      <c r="B3" s="15" t="s">
        <v>0</v>
      </c>
      <c r="C3" s="16">
        <f>2.21*(1+C4/C5)</f>
        <v>10.209999999999999</v>
      </c>
      <c r="F3" s="4" t="s">
        <v>5</v>
      </c>
      <c r="G3" s="5">
        <v>0.8</v>
      </c>
      <c r="H3" s="6" t="s">
        <v>18</v>
      </c>
      <c r="J3" s="4" t="s">
        <v>0</v>
      </c>
      <c r="K3" s="5">
        <f>G4</f>
        <v>12</v>
      </c>
      <c r="L3" s="6" t="s">
        <v>12</v>
      </c>
      <c r="N3" s="4" t="s">
        <v>22</v>
      </c>
      <c r="O3" s="5">
        <f>K4</f>
        <v>42</v>
      </c>
      <c r="P3" s="6" t="s">
        <v>12</v>
      </c>
      <c r="R3" s="4" t="s">
        <v>60</v>
      </c>
      <c r="S3" s="6">
        <v>0.16384000000000001</v>
      </c>
      <c r="W3">
        <v>1.2999999999999999E-2</v>
      </c>
      <c r="X3">
        <v>29.93</v>
      </c>
      <c r="Y3">
        <v>5.008</v>
      </c>
      <c r="Z3">
        <v>50.2</v>
      </c>
      <c r="AA3">
        <v>3.2000000000000001E-2</v>
      </c>
      <c r="AB3">
        <v>9.6909999999999996E-2</v>
      </c>
      <c r="AC3">
        <f>X$3*AA3</f>
        <v>0.95776000000000006</v>
      </c>
      <c r="AD3">
        <f>Y$3*AB3</f>
        <v>0.48532527999999997</v>
      </c>
      <c r="AE3">
        <f>AD3/AC3*100</f>
        <v>50.672953558302702</v>
      </c>
      <c r="AF3">
        <f>AD3/(X$3*(AA3-W$3))*100</f>
        <v>85.343921782404536</v>
      </c>
      <c r="AG3">
        <f>((X$3*AA3-W$3)-AD3)*6.2</f>
        <v>2.8484952640000007</v>
      </c>
      <c r="AH3">
        <f>AG3+25</f>
        <v>27.848495264</v>
      </c>
    </row>
    <row r="4" spans="2:34" x14ac:dyDescent="0.35">
      <c r="B4" s="1" t="s">
        <v>1</v>
      </c>
      <c r="C4" s="3">
        <v>8</v>
      </c>
      <c r="F4" s="1" t="s">
        <v>0</v>
      </c>
      <c r="G4" s="2">
        <v>12</v>
      </c>
      <c r="H4" s="3" t="s">
        <v>12</v>
      </c>
      <c r="J4" s="1" t="s">
        <v>22</v>
      </c>
      <c r="K4" s="2">
        <v>42</v>
      </c>
      <c r="L4" s="3" t="s">
        <v>12</v>
      </c>
      <c r="N4" s="1" t="s">
        <v>0</v>
      </c>
      <c r="O4" s="2">
        <f>K3</f>
        <v>12</v>
      </c>
      <c r="P4" s="3" t="s">
        <v>12</v>
      </c>
      <c r="R4" s="1" t="s">
        <v>59</v>
      </c>
      <c r="S4" s="3">
        <v>2</v>
      </c>
      <c r="Z4">
        <v>38</v>
      </c>
      <c r="AA4">
        <v>3.6999999999999998E-2</v>
      </c>
      <c r="AB4">
        <v>0.12620000000000001</v>
      </c>
      <c r="AC4">
        <f t="shared" ref="AC4:AC18" si="0">X$3*AA4</f>
        <v>1.10741</v>
      </c>
      <c r="AD4">
        <f t="shared" ref="AD4:AD18" si="1">Y$3*AB4</f>
        <v>0.63200960000000006</v>
      </c>
      <c r="AE4">
        <f t="shared" ref="AE4:AE19" si="2">AD4/AC4*100</f>
        <v>57.070967392384034</v>
      </c>
      <c r="AF4">
        <f t="shared" ref="AF4:AF19" si="3">AD4/(X$3*(AA4-W$3))*100</f>
        <v>87.984408063258726</v>
      </c>
      <c r="AG4">
        <f t="shared" ref="AG4:AG67" si="4">((X$3*AA4-W$3)-AD4)*6.2</f>
        <v>2.8668824800000006</v>
      </c>
      <c r="AH4">
        <f t="shared" ref="AH4:AH67" si="5">AG4+25</f>
        <v>27.866882480000001</v>
      </c>
    </row>
    <row r="5" spans="2:34" ht="15" thickBot="1" x14ac:dyDescent="0.4">
      <c r="B5" s="7" t="s">
        <v>2</v>
      </c>
      <c r="C5" s="8">
        <v>2.21</v>
      </c>
      <c r="F5" s="1" t="s">
        <v>6</v>
      </c>
      <c r="G5" s="2">
        <v>2</v>
      </c>
      <c r="H5" s="3" t="s">
        <v>14</v>
      </c>
      <c r="J5" s="1" t="s">
        <v>3</v>
      </c>
      <c r="K5" s="2">
        <f>G3</f>
        <v>0.8</v>
      </c>
      <c r="L5" s="3" t="s">
        <v>18</v>
      </c>
      <c r="N5" s="1" t="s">
        <v>25</v>
      </c>
      <c r="O5" s="2">
        <v>400000</v>
      </c>
      <c r="P5" s="3" t="s">
        <v>27</v>
      </c>
      <c r="R5" s="9" t="s">
        <v>58</v>
      </c>
      <c r="S5" s="11">
        <f>S3/S4</f>
        <v>8.1920000000000007E-2</v>
      </c>
      <c r="Z5">
        <v>28.6</v>
      </c>
      <c r="AA5">
        <v>4.3999999999999997E-2</v>
      </c>
      <c r="AB5">
        <v>0.1646</v>
      </c>
      <c r="AC5">
        <f t="shared" si="0"/>
        <v>1.3169199999999999</v>
      </c>
      <c r="AD5">
        <f t="shared" si="1"/>
        <v>0.82431679999999996</v>
      </c>
      <c r="AE5">
        <f t="shared" si="2"/>
        <v>62.594295781064915</v>
      </c>
      <c r="AF5">
        <f t="shared" si="3"/>
        <v>88.843516592479233</v>
      </c>
      <c r="AG5">
        <f t="shared" si="4"/>
        <v>2.9735398399999999</v>
      </c>
      <c r="AH5">
        <f t="shared" si="5"/>
        <v>27.973539840000001</v>
      </c>
    </row>
    <row r="6" spans="2:34" ht="15" thickBot="1" x14ac:dyDescent="0.4">
      <c r="F6" s="1" t="s">
        <v>9</v>
      </c>
      <c r="G6" s="2">
        <v>48.5</v>
      </c>
      <c r="H6" s="3" t="s">
        <v>16</v>
      </c>
      <c r="J6" s="12" t="s">
        <v>21</v>
      </c>
      <c r="K6" s="13">
        <f>K3/(K4*K5)</f>
        <v>0.35714285714285715</v>
      </c>
      <c r="L6" s="14"/>
      <c r="N6" s="1" t="s">
        <v>24</v>
      </c>
      <c r="O6" s="2">
        <v>3.3000000000000003E-5</v>
      </c>
      <c r="P6" s="3" t="s">
        <v>28</v>
      </c>
      <c r="R6" s="12" t="s">
        <v>61</v>
      </c>
      <c r="S6" s="14">
        <f>S3*S4</f>
        <v>0.32768000000000003</v>
      </c>
      <c r="Z6">
        <v>22.2</v>
      </c>
      <c r="AA6">
        <v>5.2999999999999999E-2</v>
      </c>
      <c r="AB6">
        <v>0.21279999999999999</v>
      </c>
      <c r="AC6">
        <f t="shared" si="0"/>
        <v>1.58629</v>
      </c>
      <c r="AD6">
        <f t="shared" si="1"/>
        <v>1.0657023999999999</v>
      </c>
      <c r="AE6">
        <f t="shared" si="2"/>
        <v>67.182066330872658</v>
      </c>
      <c r="AF6">
        <f t="shared" si="3"/>
        <v>89.016237888406266</v>
      </c>
      <c r="AG6">
        <f t="shared" si="4"/>
        <v>3.1470431200000011</v>
      </c>
      <c r="AH6">
        <f t="shared" si="5"/>
        <v>28.147043119999999</v>
      </c>
    </row>
    <row r="7" spans="2:34" ht="15" thickBot="1" x14ac:dyDescent="0.4">
      <c r="F7" s="9" t="s">
        <v>7</v>
      </c>
      <c r="G7" s="10">
        <f xml:space="preserve"> G4*G5</f>
        <v>24</v>
      </c>
      <c r="H7" s="11" t="s">
        <v>15</v>
      </c>
      <c r="N7" s="1" t="s">
        <v>21</v>
      </c>
      <c r="O7" s="2">
        <f>K6</f>
        <v>0.35714285714285715</v>
      </c>
      <c r="P7" s="3" t="s">
        <v>18</v>
      </c>
      <c r="Z7">
        <v>15.3</v>
      </c>
      <c r="AA7">
        <v>6.8000000000000005E-2</v>
      </c>
      <c r="AB7">
        <v>0.29170000000000001</v>
      </c>
      <c r="AC7">
        <f t="shared" si="0"/>
        <v>2.0352399999999999</v>
      </c>
      <c r="AD7">
        <f t="shared" si="1"/>
        <v>1.4608336000000002</v>
      </c>
      <c r="AE7">
        <f t="shared" si="2"/>
        <v>71.776969792260388</v>
      </c>
      <c r="AF7">
        <f t="shared" si="3"/>
        <v>88.742435379521908</v>
      </c>
      <c r="AG7">
        <f t="shared" si="4"/>
        <v>3.4807196799999991</v>
      </c>
      <c r="AH7">
        <f t="shared" si="5"/>
        <v>28.48071968</v>
      </c>
    </row>
    <row r="8" spans="2:34" ht="15" thickBot="1" x14ac:dyDescent="0.4">
      <c r="B8" s="31" t="s">
        <v>48</v>
      </c>
      <c r="C8" s="32"/>
      <c r="D8" s="33"/>
      <c r="F8" s="9" t="s">
        <v>11</v>
      </c>
      <c r="G8" s="10">
        <f>G7/G3</f>
        <v>30</v>
      </c>
      <c r="H8" s="11" t="s">
        <v>15</v>
      </c>
      <c r="N8" s="12" t="s">
        <v>26</v>
      </c>
      <c r="O8" s="13">
        <f>(O4*(O3-O4))/(O5*O6*O3)</f>
        <v>0.64935064935064923</v>
      </c>
      <c r="P8" s="14" t="s">
        <v>14</v>
      </c>
      <c r="Z8">
        <v>12</v>
      </c>
      <c r="AA8">
        <v>0.08</v>
      </c>
      <c r="AB8">
        <v>0.35859999999999997</v>
      </c>
      <c r="AC8">
        <f t="shared" si="0"/>
        <v>2.3944000000000001</v>
      </c>
      <c r="AD8">
        <f t="shared" si="1"/>
        <v>1.7958687999999998</v>
      </c>
      <c r="AE8">
        <f t="shared" si="2"/>
        <v>75.002873371199456</v>
      </c>
      <c r="AF8">
        <f t="shared" si="3"/>
        <v>89.555669696954567</v>
      </c>
      <c r="AG8">
        <f t="shared" si="4"/>
        <v>3.6302934400000022</v>
      </c>
      <c r="AH8">
        <f t="shared" si="5"/>
        <v>28.630293440000003</v>
      </c>
    </row>
    <row r="9" spans="2:34" x14ac:dyDescent="0.35">
      <c r="B9" s="17" t="s">
        <v>51</v>
      </c>
      <c r="C9" s="18">
        <v>80</v>
      </c>
      <c r="D9" s="19" t="s">
        <v>36</v>
      </c>
      <c r="F9" s="9" t="s">
        <v>8</v>
      </c>
      <c r="G9" s="10">
        <f>G8-G7</f>
        <v>6</v>
      </c>
      <c r="H9" s="11" t="s">
        <v>15</v>
      </c>
      <c r="Z9">
        <v>9.3000000000000007</v>
      </c>
      <c r="AA9">
        <v>9.5000000000000001E-2</v>
      </c>
      <c r="AB9">
        <v>0.43430000000000002</v>
      </c>
      <c r="AC9">
        <f t="shared" si="0"/>
        <v>2.84335</v>
      </c>
      <c r="AD9">
        <f t="shared" si="1"/>
        <v>2.1749744</v>
      </c>
      <c r="AE9">
        <f t="shared" si="2"/>
        <v>76.493375771537103</v>
      </c>
      <c r="AF9">
        <f t="shared" si="3"/>
        <v>88.620374369463704</v>
      </c>
      <c r="AG9">
        <f t="shared" si="4"/>
        <v>4.0633287200000012</v>
      </c>
      <c r="AH9">
        <f t="shared" si="5"/>
        <v>29.063328720000001</v>
      </c>
    </row>
    <row r="10" spans="2:34" x14ac:dyDescent="0.35">
      <c r="B10" s="1" t="s">
        <v>35</v>
      </c>
      <c r="C10" s="2">
        <v>2</v>
      </c>
      <c r="D10" s="3" t="s">
        <v>14</v>
      </c>
      <c r="F10" s="9" t="s">
        <v>10</v>
      </c>
      <c r="G10" s="10">
        <f>G9*G6</f>
        <v>291</v>
      </c>
      <c r="H10" s="11" t="s">
        <v>17</v>
      </c>
      <c r="Z10">
        <v>7.7</v>
      </c>
      <c r="AA10">
        <v>0.11</v>
      </c>
      <c r="AB10">
        <v>0.51929999999999998</v>
      </c>
      <c r="AC10">
        <f t="shared" si="0"/>
        <v>3.2923</v>
      </c>
      <c r="AD10">
        <f t="shared" si="1"/>
        <v>2.6006543999999998</v>
      </c>
      <c r="AE10">
        <f t="shared" si="2"/>
        <v>78.992023813139738</v>
      </c>
      <c r="AF10">
        <f t="shared" si="3"/>
        <v>89.578583705622378</v>
      </c>
      <c r="AG10">
        <f t="shared" si="4"/>
        <v>4.2076027200000023</v>
      </c>
      <c r="AH10">
        <f t="shared" si="5"/>
        <v>29.207602720000004</v>
      </c>
    </row>
    <row r="11" spans="2:34" ht="15" thickBot="1" x14ac:dyDescent="0.4">
      <c r="B11" s="1" t="s">
        <v>37</v>
      </c>
      <c r="C11" s="2">
        <v>36</v>
      </c>
      <c r="D11" s="3" t="s">
        <v>12</v>
      </c>
      <c r="F11" s="12" t="s">
        <v>20</v>
      </c>
      <c r="G11" s="13">
        <f>25+G10</f>
        <v>316</v>
      </c>
      <c r="H11" s="11" t="s">
        <v>17</v>
      </c>
      <c r="Z11">
        <v>6.4</v>
      </c>
      <c r="AA11">
        <v>0.155</v>
      </c>
      <c r="AB11">
        <v>0.77</v>
      </c>
      <c r="AC11">
        <f t="shared" si="0"/>
        <v>4.6391499999999999</v>
      </c>
      <c r="AD11">
        <f t="shared" si="1"/>
        <v>3.85616</v>
      </c>
      <c r="AE11">
        <f t="shared" si="2"/>
        <v>83.122123664895511</v>
      </c>
      <c r="AF11">
        <f t="shared" si="3"/>
        <v>90.73189554970989</v>
      </c>
      <c r="AG11">
        <f t="shared" si="4"/>
        <v>4.7739380000000002</v>
      </c>
      <c r="AH11">
        <f t="shared" si="5"/>
        <v>29.773938000000001</v>
      </c>
    </row>
    <row r="12" spans="2:34" x14ac:dyDescent="0.35">
      <c r="B12" s="1" t="s">
        <v>38</v>
      </c>
      <c r="C12" s="2">
        <v>24</v>
      </c>
      <c r="D12" s="3" t="s">
        <v>12</v>
      </c>
      <c r="Z12">
        <v>5</v>
      </c>
      <c r="AA12">
        <v>0.188</v>
      </c>
      <c r="AB12">
        <v>0.95199999999999996</v>
      </c>
      <c r="AC12">
        <f t="shared" si="0"/>
        <v>5.6268399999999996</v>
      </c>
      <c r="AD12">
        <f t="shared" si="1"/>
        <v>4.7676159999999994</v>
      </c>
      <c r="AE12">
        <f t="shared" si="2"/>
        <v>84.72990168549309</v>
      </c>
      <c r="AF12">
        <f t="shared" si="3"/>
        <v>91.024122953558305</v>
      </c>
      <c r="AG12">
        <f t="shared" si="4"/>
        <v>5.2465888000000023</v>
      </c>
      <c r="AH12">
        <f t="shared" si="5"/>
        <v>30.246588800000001</v>
      </c>
    </row>
    <row r="13" spans="2:34" x14ac:dyDescent="0.35">
      <c r="B13" s="1" t="s">
        <v>39</v>
      </c>
      <c r="C13" s="2">
        <v>19</v>
      </c>
      <c r="D13" s="3" t="s">
        <v>12</v>
      </c>
      <c r="Z13">
        <v>4.3</v>
      </c>
      <c r="AA13">
        <v>0.214</v>
      </c>
      <c r="AB13">
        <v>1.0920000000000001</v>
      </c>
      <c r="AC13">
        <f t="shared" si="0"/>
        <v>6.4050199999999995</v>
      </c>
      <c r="AD13">
        <f t="shared" si="1"/>
        <v>5.4687360000000007</v>
      </c>
      <c r="AE13">
        <f t="shared" si="2"/>
        <v>85.382028471417755</v>
      </c>
      <c r="AF13">
        <f t="shared" si="3"/>
        <v>90.904249218325376</v>
      </c>
      <c r="AG13">
        <f t="shared" si="4"/>
        <v>5.7243607999999933</v>
      </c>
      <c r="AH13">
        <f t="shared" si="5"/>
        <v>30.724360799999992</v>
      </c>
    </row>
    <row r="14" spans="2:34" ht="15" thickBot="1" x14ac:dyDescent="0.4">
      <c r="B14" s="1" t="s">
        <v>40</v>
      </c>
      <c r="C14" s="2">
        <v>16</v>
      </c>
      <c r="D14" s="3" t="s">
        <v>12</v>
      </c>
      <c r="Z14">
        <v>3.1</v>
      </c>
      <c r="AA14">
        <v>0.29899999999999999</v>
      </c>
      <c r="AB14">
        <v>1.5669999999999999</v>
      </c>
      <c r="AC14">
        <f t="shared" si="0"/>
        <v>8.949069999999999</v>
      </c>
      <c r="AD14">
        <f t="shared" si="1"/>
        <v>7.8475359999999998</v>
      </c>
      <c r="AE14">
        <f t="shared" si="2"/>
        <v>87.69107851430374</v>
      </c>
      <c r="AF14">
        <f t="shared" si="3"/>
        <v>91.677036628590258</v>
      </c>
      <c r="AG14">
        <f t="shared" si="4"/>
        <v>6.7489107999999955</v>
      </c>
      <c r="AH14">
        <f t="shared" si="5"/>
        <v>31.748910799999997</v>
      </c>
    </row>
    <row r="15" spans="2:34" ht="15" thickBot="1" x14ac:dyDescent="0.4">
      <c r="B15" s="1" t="s">
        <v>41</v>
      </c>
      <c r="C15" s="2">
        <v>12</v>
      </c>
      <c r="D15" s="3" t="s">
        <v>12</v>
      </c>
      <c r="F15" s="28" t="s">
        <v>32</v>
      </c>
      <c r="G15" s="29"/>
      <c r="H15" s="30"/>
      <c r="J15" s="31" t="s">
        <v>52</v>
      </c>
      <c r="K15" s="32"/>
      <c r="L15" s="33"/>
      <c r="N15" s="28" t="s">
        <v>30</v>
      </c>
      <c r="O15" s="29"/>
      <c r="P15" s="30"/>
      <c r="Z15">
        <v>2.8</v>
      </c>
      <c r="AA15">
        <v>0.375</v>
      </c>
      <c r="AB15">
        <v>1.9159999999999999</v>
      </c>
      <c r="AC15">
        <f t="shared" si="0"/>
        <v>11.223749999999999</v>
      </c>
      <c r="AD15">
        <f t="shared" si="1"/>
        <v>9.5953280000000003</v>
      </c>
      <c r="AE15">
        <f t="shared" si="2"/>
        <v>85.491284107361636</v>
      </c>
      <c r="AF15">
        <f t="shared" si="3"/>
        <v>88.561413094642575</v>
      </c>
      <c r="AG15">
        <f t="shared" si="4"/>
        <v>10.015616399999994</v>
      </c>
      <c r="AH15">
        <f t="shared" si="5"/>
        <v>35.015616399999992</v>
      </c>
    </row>
    <row r="16" spans="2:34" x14ac:dyDescent="0.35">
      <c r="B16" s="1" t="s">
        <v>42</v>
      </c>
      <c r="C16" s="2">
        <v>5</v>
      </c>
      <c r="D16" s="3" t="s">
        <v>12</v>
      </c>
      <c r="F16" s="4" t="s">
        <v>33</v>
      </c>
      <c r="G16" s="5">
        <f>K4</f>
        <v>42</v>
      </c>
      <c r="H16" s="6" t="s">
        <v>12</v>
      </c>
      <c r="J16" s="17" t="s">
        <v>53</v>
      </c>
      <c r="K16" s="18">
        <v>0.8</v>
      </c>
      <c r="L16" s="19" t="s">
        <v>12</v>
      </c>
      <c r="N16" s="17" t="s">
        <v>26</v>
      </c>
      <c r="O16" s="18">
        <f>O8</f>
        <v>0.64935064935064923</v>
      </c>
      <c r="P16" s="19" t="s">
        <v>14</v>
      </c>
      <c r="Z16">
        <v>1.9</v>
      </c>
      <c r="AA16">
        <v>0.46300000000000002</v>
      </c>
      <c r="AB16">
        <v>2.4630000000000001</v>
      </c>
      <c r="AC16">
        <f t="shared" si="0"/>
        <v>13.85759</v>
      </c>
      <c r="AD16">
        <f t="shared" si="1"/>
        <v>12.334704</v>
      </c>
      <c r="AE16">
        <f t="shared" si="2"/>
        <v>89.010455641998348</v>
      </c>
      <c r="AF16">
        <f t="shared" si="3"/>
        <v>91.581868804989426</v>
      </c>
      <c r="AG16">
        <f t="shared" si="4"/>
        <v>9.3612931999999986</v>
      </c>
      <c r="AH16">
        <f t="shared" si="5"/>
        <v>34.361293199999999</v>
      </c>
    </row>
    <row r="17" spans="2:34" x14ac:dyDescent="0.35">
      <c r="B17" s="9" t="s">
        <v>43</v>
      </c>
      <c r="C17" s="10">
        <f>C12*C$9</f>
        <v>1920</v>
      </c>
      <c r="D17" s="11" t="s">
        <v>15</v>
      </c>
      <c r="F17" s="1" t="s">
        <v>0</v>
      </c>
      <c r="G17" s="2">
        <f>G4</f>
        <v>12</v>
      </c>
      <c r="H17" s="3" t="s">
        <v>12</v>
      </c>
      <c r="J17" s="1" t="s">
        <v>0</v>
      </c>
      <c r="K17" s="2">
        <v>19</v>
      </c>
      <c r="L17" s="3" t="s">
        <v>12</v>
      </c>
      <c r="N17" s="1" t="s">
        <v>29</v>
      </c>
      <c r="O17" s="2">
        <v>2</v>
      </c>
      <c r="P17" s="3" t="s">
        <v>14</v>
      </c>
      <c r="Z17">
        <v>1.8</v>
      </c>
      <c r="AA17">
        <v>0.45600000000000002</v>
      </c>
      <c r="AB17">
        <v>2.4510000000000001</v>
      </c>
      <c r="AC17">
        <f t="shared" si="0"/>
        <v>13.64808</v>
      </c>
      <c r="AD17">
        <f t="shared" si="1"/>
        <v>12.274608000000001</v>
      </c>
      <c r="AE17">
        <f t="shared" si="2"/>
        <v>89.936518543267624</v>
      </c>
      <c r="AF17">
        <f t="shared" si="3"/>
        <v>92.57573917772018</v>
      </c>
      <c r="AG17">
        <f t="shared" si="4"/>
        <v>8.4349263999999984</v>
      </c>
      <c r="AH17">
        <f t="shared" si="5"/>
        <v>33.434926399999995</v>
      </c>
    </row>
    <row r="18" spans="2:34" ht="15" thickBot="1" x14ac:dyDescent="0.4">
      <c r="B18" s="9" t="s">
        <v>44</v>
      </c>
      <c r="C18" s="10">
        <f>C13*C$9</f>
        <v>1520</v>
      </c>
      <c r="D18" s="11" t="s">
        <v>15</v>
      </c>
      <c r="F18" s="1" t="s">
        <v>26</v>
      </c>
      <c r="G18" s="2">
        <f>G5</f>
        <v>2</v>
      </c>
      <c r="H18" s="3" t="s">
        <v>14</v>
      </c>
      <c r="J18" s="1" t="s">
        <v>54</v>
      </c>
      <c r="K18" s="2">
        <v>10200</v>
      </c>
      <c r="L18" s="3" t="s">
        <v>56</v>
      </c>
      <c r="N18" s="12" t="s">
        <v>31</v>
      </c>
      <c r="O18" s="13">
        <f>O17-O16/2</f>
        <v>1.6753246753246753</v>
      </c>
      <c r="P18" s="14" t="s">
        <v>14</v>
      </c>
      <c r="Z18">
        <v>1.2</v>
      </c>
      <c r="AA18">
        <v>0.73799999999999999</v>
      </c>
      <c r="AB18">
        <v>3.9889999999999999</v>
      </c>
      <c r="AC18">
        <f t="shared" si="0"/>
        <v>22.088339999999999</v>
      </c>
      <c r="AD18">
        <f t="shared" si="1"/>
        <v>19.976911999999999</v>
      </c>
      <c r="AE18">
        <f t="shared" si="2"/>
        <v>90.440983795070167</v>
      </c>
      <c r="AF18">
        <f t="shared" si="3"/>
        <v>92.062684194154173</v>
      </c>
      <c r="AG18">
        <f t="shared" si="4"/>
        <v>13.01025359999999</v>
      </c>
      <c r="AH18">
        <f t="shared" si="5"/>
        <v>38.010253599999992</v>
      </c>
    </row>
    <row r="19" spans="2:34" ht="15" thickBot="1" x14ac:dyDescent="0.4">
      <c r="B19" s="9" t="s">
        <v>45</v>
      </c>
      <c r="C19" s="10">
        <f t="shared" ref="C19:C21" si="6">C14*C$9</f>
        <v>1280</v>
      </c>
      <c r="D19" s="11" t="s">
        <v>15</v>
      </c>
      <c r="F19" s="1" t="s">
        <v>25</v>
      </c>
      <c r="G19" s="2">
        <f>O5</f>
        <v>400000</v>
      </c>
      <c r="H19" s="3" t="s">
        <v>27</v>
      </c>
      <c r="J19" s="12" t="s">
        <v>55</v>
      </c>
      <c r="K19" s="13">
        <f>(K17-K16)/K16*K18</f>
        <v>232049.99999999997</v>
      </c>
      <c r="L19" s="14" t="s">
        <v>56</v>
      </c>
      <c r="Y19">
        <v>12.03</v>
      </c>
      <c r="Z19">
        <v>59.5</v>
      </c>
      <c r="AA19">
        <v>0.10100000000000001</v>
      </c>
      <c r="AB19">
        <v>0.2</v>
      </c>
      <c r="AC19">
        <f>X$3*AA19</f>
        <v>3.0229300000000001</v>
      </c>
      <c r="AD19">
        <f>Y$19*AB19</f>
        <v>2.4060000000000001</v>
      </c>
      <c r="AE19">
        <f t="shared" si="2"/>
        <v>79.591654454453135</v>
      </c>
      <c r="AF19">
        <f t="shared" si="3"/>
        <v>91.349512498860975</v>
      </c>
      <c r="AG19">
        <f t="shared" si="4"/>
        <v>3.7443660000000007</v>
      </c>
      <c r="AH19">
        <f t="shared" si="5"/>
        <v>28.744365999999999</v>
      </c>
    </row>
    <row r="20" spans="2:34" ht="15" thickBot="1" x14ac:dyDescent="0.4">
      <c r="B20" s="9" t="s">
        <v>46</v>
      </c>
      <c r="C20" s="10">
        <f t="shared" si="6"/>
        <v>960</v>
      </c>
      <c r="D20" s="11" t="s">
        <v>15</v>
      </c>
      <c r="F20" s="12" t="s">
        <v>34</v>
      </c>
      <c r="G20" s="20">
        <f>(G17*(G16-G17))/(0.3*G18*G19*G16)</f>
        <v>3.5714285714285717E-5</v>
      </c>
      <c r="H20" s="14" t="s">
        <v>13</v>
      </c>
      <c r="Z20">
        <v>50.5</v>
      </c>
      <c r="AA20">
        <v>0.11600000000000001</v>
      </c>
      <c r="AB20">
        <v>0.23499999999999999</v>
      </c>
      <c r="AC20">
        <f t="shared" ref="AC20:AC38" si="7">X$3*AA20</f>
        <v>3.4718800000000001</v>
      </c>
      <c r="AD20">
        <f>Y$19*AB20</f>
        <v>2.8270499999999998</v>
      </c>
      <c r="AE20">
        <f>AD20/AC20*100</f>
        <v>81.427065451570897</v>
      </c>
      <c r="AF20">
        <f>AD20/(X$3*(AA20-W$3))*100</f>
        <v>91.704267887206058</v>
      </c>
      <c r="AG20">
        <f t="shared" si="4"/>
        <v>3.917346000000002</v>
      </c>
      <c r="AH20">
        <f t="shared" si="5"/>
        <v>28.917346000000002</v>
      </c>
    </row>
    <row r="21" spans="2:34" x14ac:dyDescent="0.35">
      <c r="B21" s="9" t="s">
        <v>47</v>
      </c>
      <c r="C21" s="10">
        <f t="shared" si="6"/>
        <v>400</v>
      </c>
      <c r="D21" s="11" t="s">
        <v>15</v>
      </c>
      <c r="Z21">
        <v>46.5</v>
      </c>
      <c r="AA21">
        <v>0.125</v>
      </c>
      <c r="AB21">
        <v>0.255</v>
      </c>
      <c r="AC21">
        <f t="shared" si="7"/>
        <v>3.74125</v>
      </c>
      <c r="AD21">
        <f t="shared" ref="AD21:AD38" si="8">Y$19*AB21</f>
        <v>3.06765</v>
      </c>
      <c r="AE21">
        <f t="shared" ref="AE21:AE38" si="9">AD21/AC21*100</f>
        <v>81.995322418977608</v>
      </c>
      <c r="AF21">
        <f t="shared" ref="AF21:AF38" si="10">AD21/(X$3*(AA21-W$3))*100</f>
        <v>91.512636628323236</v>
      </c>
      <c r="AG21">
        <f t="shared" si="4"/>
        <v>4.0957200000000009</v>
      </c>
      <c r="AH21">
        <f t="shared" si="5"/>
        <v>29.09572</v>
      </c>
    </row>
    <row r="22" spans="2:34" x14ac:dyDescent="0.35">
      <c r="B22" s="9" t="s">
        <v>50</v>
      </c>
      <c r="C22" s="10">
        <f>SUM(C17:C21)</f>
        <v>6080</v>
      </c>
      <c r="D22" s="11" t="s">
        <v>15</v>
      </c>
      <c r="Z22">
        <v>41.4</v>
      </c>
      <c r="AA22">
        <v>0.13800000000000001</v>
      </c>
      <c r="AB22">
        <v>0.28599999999999998</v>
      </c>
      <c r="AC22">
        <f t="shared" si="7"/>
        <v>4.1303400000000003</v>
      </c>
      <c r="AD22">
        <f t="shared" si="8"/>
        <v>3.4405799999999997</v>
      </c>
      <c r="AE22">
        <f t="shared" si="9"/>
        <v>83.300164151135249</v>
      </c>
      <c r="AF22">
        <f t="shared" si="10"/>
        <v>91.963381222853315</v>
      </c>
      <c r="AG22">
        <f t="shared" si="4"/>
        <v>4.1959120000000043</v>
      </c>
      <c r="AH22">
        <f t="shared" si="5"/>
        <v>29.195912000000003</v>
      </c>
    </row>
    <row r="23" spans="2:34" x14ac:dyDescent="0.35">
      <c r="B23" s="22" t="s">
        <v>49</v>
      </c>
      <c r="C23" s="23">
        <f>C22/(C9/100)</f>
        <v>7600</v>
      </c>
      <c r="D23" s="24" t="s">
        <v>15</v>
      </c>
      <c r="E23" s="21"/>
      <c r="F23" s="21"/>
      <c r="G23" s="21"/>
      <c r="H23" s="21"/>
      <c r="Z23">
        <v>38</v>
      </c>
      <c r="AA23">
        <v>0.14799999999999999</v>
      </c>
      <c r="AB23">
        <v>0.312</v>
      </c>
      <c r="AC23">
        <f t="shared" si="7"/>
        <v>4.42964</v>
      </c>
      <c r="AD23">
        <f t="shared" si="8"/>
        <v>3.7533599999999998</v>
      </c>
      <c r="AE23">
        <f t="shared" si="9"/>
        <v>84.732845107051574</v>
      </c>
      <c r="AF23">
        <f t="shared" si="10"/>
        <v>92.892304265508415</v>
      </c>
      <c r="AG23">
        <f t="shared" si="4"/>
        <v>4.1123360000000018</v>
      </c>
      <c r="AH23">
        <f t="shared" si="5"/>
        <v>29.112336000000003</v>
      </c>
    </row>
    <row r="24" spans="2:34" ht="15" thickBot="1" x14ac:dyDescent="0.4">
      <c r="B24" s="25"/>
      <c r="C24" s="25"/>
      <c r="D24" s="25"/>
      <c r="Z24">
        <v>34.5</v>
      </c>
      <c r="AA24">
        <v>0.16</v>
      </c>
      <c r="AB24">
        <v>0.34300000000000003</v>
      </c>
      <c r="AC24">
        <f t="shared" si="7"/>
        <v>4.7888000000000002</v>
      </c>
      <c r="AD24">
        <f t="shared" si="8"/>
        <v>4.12629</v>
      </c>
      <c r="AE24">
        <f t="shared" si="9"/>
        <v>86.16542766455062</v>
      </c>
      <c r="AF24">
        <f t="shared" si="10"/>
        <v>93.785499498830603</v>
      </c>
      <c r="AG24">
        <f t="shared" si="4"/>
        <v>4.0269620000000019</v>
      </c>
      <c r="AH24">
        <f t="shared" si="5"/>
        <v>29.026962000000001</v>
      </c>
    </row>
    <row r="25" spans="2:34" ht="15" thickBot="1" x14ac:dyDescent="0.4">
      <c r="F25" s="28" t="s">
        <v>62</v>
      </c>
      <c r="G25" s="29"/>
      <c r="H25" s="30"/>
      <c r="J25" s="28" t="s">
        <v>65</v>
      </c>
      <c r="K25" s="29"/>
      <c r="L25" s="30"/>
      <c r="N25" s="28" t="s">
        <v>70</v>
      </c>
      <c r="O25" s="29"/>
      <c r="P25" s="30"/>
      <c r="Z25">
        <v>30.6</v>
      </c>
      <c r="AA25">
        <v>0.17899999999999999</v>
      </c>
      <c r="AB25">
        <v>0.38500000000000001</v>
      </c>
      <c r="AC25">
        <f t="shared" si="7"/>
        <v>5.3574699999999993</v>
      </c>
      <c r="AD25">
        <f t="shared" si="8"/>
        <v>4.6315499999999998</v>
      </c>
      <c r="AE25">
        <f t="shared" si="9"/>
        <v>86.450320767078509</v>
      </c>
      <c r="AF25">
        <f t="shared" si="10"/>
        <v>93.220526610283443</v>
      </c>
      <c r="AG25">
        <f t="shared" si="4"/>
        <v>4.4201039999999976</v>
      </c>
      <c r="AH25">
        <f t="shared" si="5"/>
        <v>29.420103999999998</v>
      </c>
    </row>
    <row r="26" spans="2:34" x14ac:dyDescent="0.35">
      <c r="F26" s="4" t="s">
        <v>58</v>
      </c>
      <c r="G26" s="5">
        <v>2E-3</v>
      </c>
      <c r="H26" s="6" t="s">
        <v>56</v>
      </c>
      <c r="J26" s="4" t="s">
        <v>69</v>
      </c>
      <c r="K26" s="5">
        <v>45</v>
      </c>
      <c r="L26" s="6" t="s">
        <v>66</v>
      </c>
      <c r="N26" s="4" t="s">
        <v>71</v>
      </c>
      <c r="O26" s="5">
        <v>5.0000000000000001E-3</v>
      </c>
      <c r="P26" s="6" t="s">
        <v>14</v>
      </c>
      <c r="Z26">
        <v>28.6</v>
      </c>
      <c r="AA26">
        <v>0.19</v>
      </c>
      <c r="AB26">
        <v>0.41199999999999998</v>
      </c>
      <c r="AC26">
        <f t="shared" si="7"/>
        <v>5.6867000000000001</v>
      </c>
      <c r="AD26">
        <f t="shared" si="8"/>
        <v>4.9563599999999992</v>
      </c>
      <c r="AE26">
        <f t="shared" si="9"/>
        <v>87.157050662071128</v>
      </c>
      <c r="AF26">
        <f t="shared" si="10"/>
        <v>93.558415964935122</v>
      </c>
      <c r="AG26">
        <f t="shared" si="4"/>
        <v>4.4475080000000062</v>
      </c>
      <c r="AH26">
        <f t="shared" si="5"/>
        <v>29.447508000000006</v>
      </c>
    </row>
    <row r="27" spans="2:34" x14ac:dyDescent="0.35">
      <c r="F27" s="1" t="s">
        <v>63</v>
      </c>
      <c r="G27" s="2">
        <v>3.5</v>
      </c>
      <c r="H27" s="3" t="s">
        <v>14</v>
      </c>
      <c r="J27" s="1" t="s">
        <v>67</v>
      </c>
      <c r="K27" s="2">
        <v>2.585</v>
      </c>
      <c r="L27" s="3" t="s">
        <v>12</v>
      </c>
      <c r="N27" s="1" t="s">
        <v>67</v>
      </c>
      <c r="O27" s="2">
        <v>42</v>
      </c>
      <c r="P27" s="3" t="s">
        <v>12</v>
      </c>
      <c r="Z27">
        <v>24.7</v>
      </c>
      <c r="AA27">
        <v>0.217</v>
      </c>
      <c r="AB27">
        <v>0.47499999999999998</v>
      </c>
      <c r="AC27">
        <f t="shared" si="7"/>
        <v>6.4948100000000002</v>
      </c>
      <c r="AD27">
        <f t="shared" si="8"/>
        <v>5.7142499999999998</v>
      </c>
      <c r="AE27">
        <f t="shared" si="9"/>
        <v>87.981788535769326</v>
      </c>
      <c r="AF27">
        <f t="shared" si="10"/>
        <v>93.588471138538949</v>
      </c>
      <c r="AG27">
        <f t="shared" si="4"/>
        <v>4.7588720000000029</v>
      </c>
      <c r="AH27">
        <f t="shared" si="5"/>
        <v>29.758872000000004</v>
      </c>
    </row>
    <row r="28" spans="2:34" ht="15" thickBot="1" x14ac:dyDescent="0.4">
      <c r="F28" s="12" t="s">
        <v>64</v>
      </c>
      <c r="G28" s="13">
        <f>G27/(2^15)</f>
        <v>1.068115234375E-4</v>
      </c>
      <c r="H28" s="14"/>
      <c r="J28" s="12" t="s">
        <v>68</v>
      </c>
      <c r="K28" s="13">
        <f>(K27-(5.013/2))/0.045</f>
        <v>1.7444444444444449</v>
      </c>
      <c r="L28" s="14" t="s">
        <v>14</v>
      </c>
      <c r="N28" s="27" t="s">
        <v>72</v>
      </c>
      <c r="O28" s="13">
        <f>O27/O26</f>
        <v>8400</v>
      </c>
      <c r="P28" s="14" t="s">
        <v>56</v>
      </c>
      <c r="Z28">
        <v>22</v>
      </c>
      <c r="AA28">
        <v>0.24099999999999999</v>
      </c>
      <c r="AB28">
        <v>0.53500000000000003</v>
      </c>
      <c r="AC28">
        <f t="shared" si="7"/>
        <v>7.2131299999999996</v>
      </c>
      <c r="AD28">
        <f t="shared" si="8"/>
        <v>6.4360499999999998</v>
      </c>
      <c r="AE28">
        <f t="shared" si="9"/>
        <v>89.226868225028525</v>
      </c>
      <c r="AF28">
        <f t="shared" si="10"/>
        <v>94.314365097508229</v>
      </c>
      <c r="AG28">
        <f t="shared" si="4"/>
        <v>4.7372959999999997</v>
      </c>
      <c r="AH28">
        <f t="shared" si="5"/>
        <v>29.737296000000001</v>
      </c>
    </row>
    <row r="29" spans="2:34" x14ac:dyDescent="0.35">
      <c r="Z29">
        <v>19.100000000000001</v>
      </c>
      <c r="AA29">
        <v>0.27300000000000002</v>
      </c>
      <c r="AB29">
        <v>0.61099999999999999</v>
      </c>
      <c r="AC29">
        <f t="shared" si="7"/>
        <v>8.17089</v>
      </c>
      <c r="AD29">
        <f t="shared" si="8"/>
        <v>7.3503299999999996</v>
      </c>
      <c r="AE29">
        <f t="shared" si="9"/>
        <v>89.957519927449752</v>
      </c>
      <c r="AF29">
        <f t="shared" si="10"/>
        <v>94.455395923822238</v>
      </c>
      <c r="AG29">
        <f t="shared" si="4"/>
        <v>5.0068720000000031</v>
      </c>
      <c r="AH29">
        <f t="shared" si="5"/>
        <v>30.006872000000001</v>
      </c>
    </row>
    <row r="30" spans="2:34" x14ac:dyDescent="0.35">
      <c r="Z30">
        <v>16.399999999999999</v>
      </c>
      <c r="AA30">
        <v>0.314</v>
      </c>
      <c r="AB30">
        <v>0.71199999999999997</v>
      </c>
      <c r="AC30">
        <f t="shared" si="7"/>
        <v>9.3980200000000007</v>
      </c>
      <c r="AD30">
        <f t="shared" si="8"/>
        <v>8.5653599999999983</v>
      </c>
      <c r="AE30">
        <f t="shared" si="9"/>
        <v>91.14004864854509</v>
      </c>
      <c r="AF30">
        <f t="shared" si="10"/>
        <v>95.076329819412507</v>
      </c>
      <c r="AG30">
        <f t="shared" si="4"/>
        <v>5.0818920000000158</v>
      </c>
      <c r="AH30">
        <f t="shared" si="5"/>
        <v>30.081892000000018</v>
      </c>
    </row>
    <row r="31" spans="2:34" x14ac:dyDescent="0.35">
      <c r="Z31">
        <v>13.6</v>
      </c>
      <c r="AA31">
        <v>0.373</v>
      </c>
      <c r="AB31">
        <v>0.85399999999999998</v>
      </c>
      <c r="AC31">
        <f t="shared" si="7"/>
        <v>11.16389</v>
      </c>
      <c r="AD31">
        <f t="shared" si="8"/>
        <v>10.273619999999999</v>
      </c>
      <c r="AE31">
        <f t="shared" si="9"/>
        <v>92.025449910380701</v>
      </c>
      <c r="AF31">
        <f t="shared" si="10"/>
        <v>95.34859115714444</v>
      </c>
      <c r="AG31">
        <f t="shared" si="4"/>
        <v>5.4390740000000068</v>
      </c>
      <c r="AH31">
        <f t="shared" si="5"/>
        <v>30.439074000000005</v>
      </c>
    </row>
    <row r="32" spans="2:34" x14ac:dyDescent="0.35">
      <c r="J32" t="s">
        <v>73</v>
      </c>
      <c r="Z32">
        <v>12</v>
      </c>
      <c r="AA32">
        <v>0.42</v>
      </c>
      <c r="AB32">
        <v>0.97</v>
      </c>
      <c r="AC32">
        <f t="shared" si="7"/>
        <v>12.570599999999999</v>
      </c>
      <c r="AD32">
        <f t="shared" si="8"/>
        <v>11.669099999999998</v>
      </c>
      <c r="AE32">
        <f t="shared" si="9"/>
        <v>92.828504605985401</v>
      </c>
      <c r="AF32">
        <f t="shared" si="10"/>
        <v>95.793542836643397</v>
      </c>
      <c r="AG32">
        <f t="shared" si="4"/>
        <v>5.5087000000000037</v>
      </c>
      <c r="AH32">
        <f t="shared" si="5"/>
        <v>30.508700000000005</v>
      </c>
    </row>
    <row r="33" spans="11:34" x14ac:dyDescent="0.35">
      <c r="Z33">
        <v>10.3</v>
      </c>
      <c r="AA33">
        <v>0.48199999999999998</v>
      </c>
      <c r="AB33">
        <v>1.1200000000000001</v>
      </c>
      <c r="AC33">
        <f t="shared" si="7"/>
        <v>14.426259999999999</v>
      </c>
      <c r="AD33">
        <f t="shared" si="8"/>
        <v>13.473600000000001</v>
      </c>
      <c r="AE33">
        <f t="shared" si="9"/>
        <v>93.396348048627999</v>
      </c>
      <c r="AF33">
        <f t="shared" si="10"/>
        <v>95.985159401788266</v>
      </c>
      <c r="AG33">
        <f t="shared" si="4"/>
        <v>5.825891999999989</v>
      </c>
      <c r="AH33">
        <f t="shared" si="5"/>
        <v>30.825891999999989</v>
      </c>
    </row>
    <row r="34" spans="11:34" x14ac:dyDescent="0.35">
      <c r="Z34">
        <v>9.1</v>
      </c>
      <c r="AA34">
        <v>0.56499999999999995</v>
      </c>
      <c r="AB34">
        <v>1.272</v>
      </c>
      <c r="AC34">
        <f t="shared" si="7"/>
        <v>16.910449999999997</v>
      </c>
      <c r="AD34">
        <f t="shared" si="8"/>
        <v>15.302159999999999</v>
      </c>
      <c r="AE34">
        <f t="shared" si="9"/>
        <v>90.489371956393839</v>
      </c>
      <c r="AF34">
        <f t="shared" si="10"/>
        <v>92.620462237975573</v>
      </c>
      <c r="AG34">
        <f t="shared" si="4"/>
        <v>9.8907979999999807</v>
      </c>
      <c r="AH34">
        <f t="shared" si="5"/>
        <v>34.890797999999982</v>
      </c>
    </row>
    <row r="35" spans="11:34" x14ac:dyDescent="0.35">
      <c r="Z35">
        <v>8.1</v>
      </c>
      <c r="AA35">
        <v>0.625</v>
      </c>
      <c r="AB35">
        <v>1.468</v>
      </c>
      <c r="AC35">
        <f t="shared" si="7"/>
        <v>18.706250000000001</v>
      </c>
      <c r="AD35">
        <f t="shared" si="8"/>
        <v>17.660039999999999</v>
      </c>
      <c r="AE35">
        <f t="shared" si="9"/>
        <v>94.407163381222844</v>
      </c>
      <c r="AF35">
        <f t="shared" si="10"/>
        <v>96.412544302719411</v>
      </c>
      <c r="AG35">
        <f t="shared" si="4"/>
        <v>6.4059020000000029</v>
      </c>
      <c r="AH35">
        <f t="shared" si="5"/>
        <v>31.405902000000005</v>
      </c>
    </row>
    <row r="36" spans="11:34" x14ac:dyDescent="0.35">
      <c r="K36" s="26"/>
      <c r="Z36">
        <v>6.4</v>
      </c>
      <c r="AA36">
        <v>0.8</v>
      </c>
      <c r="AB36">
        <v>1.8220000000000001</v>
      </c>
      <c r="AC36">
        <f t="shared" si="7"/>
        <v>23.944000000000003</v>
      </c>
      <c r="AD36">
        <f t="shared" si="8"/>
        <v>21.918659999999999</v>
      </c>
      <c r="AE36">
        <f t="shared" si="9"/>
        <v>91.541346475108583</v>
      </c>
      <c r="AF36">
        <f t="shared" si="10"/>
        <v>93.053465286006187</v>
      </c>
      <c r="AG36">
        <f t="shared" si="4"/>
        <v>12.476508000000011</v>
      </c>
      <c r="AH36">
        <f t="shared" si="5"/>
        <v>37.47650800000001</v>
      </c>
    </row>
    <row r="37" spans="11:34" x14ac:dyDescent="0.35">
      <c r="K37" s="26"/>
      <c r="Z37">
        <v>4.5</v>
      </c>
      <c r="AA37">
        <v>1.18</v>
      </c>
      <c r="AB37">
        <v>2.69</v>
      </c>
      <c r="AC37">
        <f t="shared" si="7"/>
        <v>35.317399999999999</v>
      </c>
      <c r="AD37">
        <f t="shared" si="8"/>
        <v>32.360699999999994</v>
      </c>
      <c r="AE37">
        <f t="shared" si="9"/>
        <v>91.628205926823597</v>
      </c>
      <c r="AF37">
        <f t="shared" si="10"/>
        <v>92.648914304757341</v>
      </c>
      <c r="AG37">
        <f t="shared" si="4"/>
        <v>18.250940000000043</v>
      </c>
      <c r="AH37">
        <f t="shared" si="5"/>
        <v>43.250940000000043</v>
      </c>
    </row>
    <row r="38" spans="11:34" x14ac:dyDescent="0.35">
      <c r="Z38">
        <v>3.5</v>
      </c>
      <c r="AA38">
        <v>1.5760000000000001</v>
      </c>
      <c r="AB38">
        <v>3.68</v>
      </c>
      <c r="AC38">
        <f t="shared" si="7"/>
        <v>47.16968</v>
      </c>
      <c r="AD38">
        <f t="shared" si="8"/>
        <v>44.270400000000002</v>
      </c>
      <c r="AE38">
        <f t="shared" si="9"/>
        <v>93.853509288169874</v>
      </c>
      <c r="AF38">
        <f t="shared" si="10"/>
        <v>94.634120689798905</v>
      </c>
      <c r="AG38">
        <f t="shared" si="4"/>
        <v>17.894935999999998</v>
      </c>
      <c r="AH38">
        <f t="shared" si="5"/>
        <v>42.894936000000001</v>
      </c>
    </row>
    <row r="39" spans="11:34" x14ac:dyDescent="0.35">
      <c r="Y39">
        <v>16.25</v>
      </c>
      <c r="Z39">
        <v>59.1</v>
      </c>
      <c r="AA39">
        <v>0.17</v>
      </c>
      <c r="AB39">
        <v>0.27</v>
      </c>
      <c r="AC39">
        <f t="shared" ref="AC39:AC75" si="11">X$3*AA39</f>
        <v>5.0881000000000007</v>
      </c>
      <c r="AD39">
        <f>Y$39*AB39</f>
        <v>4.3875000000000002</v>
      </c>
      <c r="AE39">
        <f t="shared" ref="AE39" si="12">AD39/AC39*100</f>
        <v>86.230616536624666</v>
      </c>
      <c r="AF39">
        <f t="shared" ref="AF39" si="13">AD39/(X$3*(AA39-W$3))*100</f>
        <v>93.370731281695512</v>
      </c>
      <c r="AG39">
        <f t="shared" si="4"/>
        <v>4.2631200000000042</v>
      </c>
      <c r="AH39">
        <f t="shared" si="5"/>
        <v>29.263120000000004</v>
      </c>
    </row>
    <row r="40" spans="11:34" x14ac:dyDescent="0.35">
      <c r="Z40">
        <v>49</v>
      </c>
      <c r="AA40">
        <v>0.19900000000000001</v>
      </c>
      <c r="AB40">
        <v>0.32300000000000001</v>
      </c>
      <c r="AC40">
        <f t="shared" si="11"/>
        <v>5.9560700000000004</v>
      </c>
      <c r="AD40">
        <f>Y$39*AB40</f>
        <v>5.2487500000000002</v>
      </c>
      <c r="AE40">
        <f t="shared" ref="AE40" si="14">AD40/AC40*100</f>
        <v>88.124384031752484</v>
      </c>
      <c r="AF40">
        <f t="shared" ref="AF40" si="15">AD40/(X$3*(AA40-W$3))*100</f>
        <v>94.283615173756687</v>
      </c>
      <c r="AG40">
        <f t="shared" si="4"/>
        <v>4.3047840000000015</v>
      </c>
      <c r="AH40">
        <f t="shared" si="5"/>
        <v>29.304784000000001</v>
      </c>
    </row>
    <row r="41" spans="11:34" x14ac:dyDescent="0.35">
      <c r="Z41">
        <v>41.9</v>
      </c>
      <c r="AA41">
        <v>0.22900000000000001</v>
      </c>
      <c r="AB41">
        <v>0.377</v>
      </c>
      <c r="AC41">
        <f t="shared" si="11"/>
        <v>6.8539700000000003</v>
      </c>
      <c r="AD41">
        <f t="shared" ref="AD41:AD52" si="16">Y$39*AB41</f>
        <v>6.1262499999999998</v>
      </c>
      <c r="AE41">
        <f t="shared" ref="AE41:AE52" si="17">AD41/AC41*100</f>
        <v>89.382503862724803</v>
      </c>
      <c r="AF41">
        <f t="shared" ref="AF41:AF52" si="18">AD41/(X$3*(AA41-W$3))*100</f>
        <v>94.762006410018444</v>
      </c>
      <c r="AG41">
        <f t="shared" si="4"/>
        <v>4.4312640000000041</v>
      </c>
      <c r="AH41">
        <f t="shared" si="5"/>
        <v>29.431264000000006</v>
      </c>
    </row>
    <row r="42" spans="11:34" x14ac:dyDescent="0.35">
      <c r="Z42">
        <v>37.1</v>
      </c>
      <c r="AA42">
        <v>0.25600000000000001</v>
      </c>
      <c r="AB42">
        <v>0.42699999999999999</v>
      </c>
      <c r="AC42">
        <f t="shared" si="11"/>
        <v>7.6620800000000004</v>
      </c>
      <c r="AD42">
        <f t="shared" si="16"/>
        <v>6.9387499999999998</v>
      </c>
      <c r="AE42">
        <f t="shared" si="17"/>
        <v>90.559613055462734</v>
      </c>
      <c r="AF42">
        <f t="shared" si="18"/>
        <v>95.404366017277624</v>
      </c>
      <c r="AG42">
        <f t="shared" si="4"/>
        <v>4.4040460000000055</v>
      </c>
      <c r="AH42">
        <f t="shared" si="5"/>
        <v>29.404046000000005</v>
      </c>
    </row>
    <row r="43" spans="11:34" x14ac:dyDescent="0.35">
      <c r="Z43">
        <v>30.3</v>
      </c>
      <c r="AA43">
        <v>0.308</v>
      </c>
      <c r="AB43">
        <v>0.52100000000000002</v>
      </c>
      <c r="AC43">
        <f t="shared" si="11"/>
        <v>9.2184399999999993</v>
      </c>
      <c r="AD43">
        <f t="shared" si="16"/>
        <v>8.4662500000000005</v>
      </c>
      <c r="AE43">
        <f t="shared" si="17"/>
        <v>91.840376462828871</v>
      </c>
      <c r="AF43">
        <f t="shared" si="18"/>
        <v>95.887579493394199</v>
      </c>
      <c r="AG43">
        <f t="shared" si="4"/>
        <v>4.5829779999999936</v>
      </c>
      <c r="AH43">
        <f t="shared" si="5"/>
        <v>29.582977999999994</v>
      </c>
    </row>
    <row r="44" spans="11:34" x14ac:dyDescent="0.35">
      <c r="Z44">
        <v>24.3</v>
      </c>
      <c r="AA44">
        <v>0.376</v>
      </c>
      <c r="AB44">
        <v>0.64500000000000002</v>
      </c>
      <c r="AC44">
        <f t="shared" si="11"/>
        <v>11.253679999999999</v>
      </c>
      <c r="AD44">
        <f t="shared" si="16"/>
        <v>10.481250000000001</v>
      </c>
      <c r="AE44">
        <f t="shared" si="17"/>
        <v>93.136200780544684</v>
      </c>
      <c r="AF44">
        <f t="shared" si="18"/>
        <v>96.471657006845192</v>
      </c>
      <c r="AG44">
        <f t="shared" si="4"/>
        <v>4.7084659999999898</v>
      </c>
      <c r="AH44">
        <f t="shared" si="5"/>
        <v>29.708465999999991</v>
      </c>
    </row>
    <row r="45" spans="11:34" x14ac:dyDescent="0.35">
      <c r="Z45">
        <v>19.899999999999999</v>
      </c>
      <c r="AA45">
        <v>0.45</v>
      </c>
      <c r="AB45">
        <v>0.77800000000000002</v>
      </c>
      <c r="AC45">
        <f t="shared" si="11"/>
        <v>13.468500000000001</v>
      </c>
      <c r="AD45">
        <f t="shared" si="16"/>
        <v>12.6425</v>
      </c>
      <c r="AE45">
        <f t="shared" si="17"/>
        <v>93.867171548427805</v>
      </c>
      <c r="AF45">
        <f t="shared" si="18"/>
        <v>96.659558802728867</v>
      </c>
      <c r="AG45">
        <f t="shared" si="4"/>
        <v>5.040600000000004</v>
      </c>
      <c r="AH45">
        <f t="shared" si="5"/>
        <v>30.040600000000005</v>
      </c>
    </row>
    <row r="46" spans="11:34" x14ac:dyDescent="0.35">
      <c r="Z46">
        <v>17.5</v>
      </c>
      <c r="AA46">
        <v>0.52</v>
      </c>
      <c r="AB46">
        <v>0.90900000000000003</v>
      </c>
      <c r="AC46">
        <f t="shared" si="11"/>
        <v>15.563600000000001</v>
      </c>
      <c r="AD46">
        <f t="shared" si="16"/>
        <v>14.77125</v>
      </c>
      <c r="AE46">
        <f t="shared" si="17"/>
        <v>94.908954226528564</v>
      </c>
      <c r="AF46">
        <f t="shared" si="18"/>
        <v>97.342517155413915</v>
      </c>
      <c r="AG46">
        <f t="shared" si="4"/>
        <v>4.8319700000000054</v>
      </c>
      <c r="AH46">
        <f t="shared" si="5"/>
        <v>29.831970000000005</v>
      </c>
    </row>
    <row r="47" spans="11:34" x14ac:dyDescent="0.35">
      <c r="Z47">
        <v>14.8</v>
      </c>
      <c r="AA47">
        <v>0.58599999999999997</v>
      </c>
      <c r="AB47">
        <v>1.036</v>
      </c>
      <c r="AC47">
        <f t="shared" si="11"/>
        <v>17.538979999999999</v>
      </c>
      <c r="AD47">
        <f t="shared" si="16"/>
        <v>16.835000000000001</v>
      </c>
      <c r="AE47">
        <f t="shared" si="17"/>
        <v>95.986197601000754</v>
      </c>
      <c r="AF47">
        <f t="shared" si="18"/>
        <v>98.163894928772137</v>
      </c>
      <c r="AG47">
        <f t="shared" si="4"/>
        <v>4.2840759999999767</v>
      </c>
      <c r="AH47">
        <f t="shared" si="5"/>
        <v>29.284075999999978</v>
      </c>
    </row>
    <row r="48" spans="11:34" x14ac:dyDescent="0.35">
      <c r="Z48">
        <v>12.9</v>
      </c>
      <c r="AA48">
        <v>0.71299999999999997</v>
      </c>
      <c r="AB48">
        <v>1.22</v>
      </c>
      <c r="AC48">
        <f t="shared" si="11"/>
        <v>21.34009</v>
      </c>
      <c r="AD48">
        <f t="shared" si="16"/>
        <v>19.824999999999999</v>
      </c>
      <c r="AE48">
        <f t="shared" si="17"/>
        <v>92.900264244433828</v>
      </c>
      <c r="AF48">
        <f t="shared" si="18"/>
        <v>94.62555486611619</v>
      </c>
      <c r="AG48">
        <f t="shared" si="4"/>
        <v>9.3129579999999947</v>
      </c>
      <c r="AH48">
        <f t="shared" si="5"/>
        <v>34.312957999999995</v>
      </c>
    </row>
    <row r="49" spans="25:34" x14ac:dyDescent="0.35">
      <c r="Z49">
        <v>10.3</v>
      </c>
      <c r="AA49">
        <v>0.89300000000000002</v>
      </c>
      <c r="AB49">
        <v>1.5229999999999999</v>
      </c>
      <c r="AC49">
        <f t="shared" si="11"/>
        <v>26.72749</v>
      </c>
      <c r="AD49">
        <f t="shared" si="16"/>
        <v>24.748749999999998</v>
      </c>
      <c r="AE49">
        <f t="shared" si="17"/>
        <v>92.596611204419105</v>
      </c>
      <c r="AF49">
        <f t="shared" si="18"/>
        <v>93.964515688120755</v>
      </c>
      <c r="AG49">
        <f t="shared" si="4"/>
        <v>12.187588000000002</v>
      </c>
      <c r="AH49">
        <f t="shared" si="5"/>
        <v>37.187588000000005</v>
      </c>
    </row>
    <row r="50" spans="25:34" x14ac:dyDescent="0.35">
      <c r="Z50">
        <v>8.3000000000000007</v>
      </c>
      <c r="AA50">
        <v>1.1180000000000001</v>
      </c>
      <c r="AB50">
        <v>1.9</v>
      </c>
      <c r="AC50">
        <f t="shared" si="11"/>
        <v>33.461740000000006</v>
      </c>
      <c r="AD50">
        <f t="shared" si="16"/>
        <v>30.875</v>
      </c>
      <c r="AE50">
        <f t="shared" si="17"/>
        <v>92.269559204034195</v>
      </c>
      <c r="AF50">
        <f t="shared" si="18"/>
        <v>93.355083429964026</v>
      </c>
      <c r="AG50">
        <f t="shared" si="4"/>
        <v>15.95718800000005</v>
      </c>
      <c r="AH50">
        <f t="shared" si="5"/>
        <v>40.957188000000052</v>
      </c>
    </row>
    <row r="51" spans="25:34" x14ac:dyDescent="0.35">
      <c r="Z51">
        <v>6.3</v>
      </c>
      <c r="AA51">
        <v>1.5580000000000001</v>
      </c>
      <c r="AB51">
        <v>2.6269999999999998</v>
      </c>
      <c r="AC51">
        <f t="shared" si="11"/>
        <v>46.630940000000002</v>
      </c>
      <c r="AD51">
        <f t="shared" si="16"/>
        <v>42.688749999999999</v>
      </c>
      <c r="AE51">
        <f t="shared" si="17"/>
        <v>91.545977842179454</v>
      </c>
      <c r="AF51">
        <f t="shared" si="18"/>
        <v>92.316267623375779</v>
      </c>
      <c r="AG51">
        <f t="shared" si="4"/>
        <v>24.360978000000035</v>
      </c>
      <c r="AH51">
        <f t="shared" si="5"/>
        <v>49.360978000000031</v>
      </c>
    </row>
    <row r="52" spans="25:34" x14ac:dyDescent="0.35">
      <c r="Z52">
        <v>4.5999999999999996</v>
      </c>
      <c r="AA52">
        <v>2.17</v>
      </c>
      <c r="AB52">
        <v>3.778</v>
      </c>
      <c r="AC52">
        <f t="shared" si="11"/>
        <v>64.948099999999997</v>
      </c>
      <c r="AD52">
        <f t="shared" si="16"/>
        <v>61.392499999999998</v>
      </c>
      <c r="AE52">
        <f t="shared" si="17"/>
        <v>94.525474956157311</v>
      </c>
      <c r="AF52">
        <f t="shared" si="18"/>
        <v>95.095169520102601</v>
      </c>
      <c r="AG52">
        <f t="shared" si="4"/>
        <v>21.964119999999959</v>
      </c>
      <c r="AH52">
        <f t="shared" si="5"/>
        <v>46.964119999999959</v>
      </c>
    </row>
    <row r="53" spans="25:34" x14ac:dyDescent="0.35">
      <c r="Y53">
        <v>19.13</v>
      </c>
      <c r="Z53">
        <v>59</v>
      </c>
      <c r="AA53">
        <v>0.22700000000000001</v>
      </c>
      <c r="AB53">
        <v>0.315</v>
      </c>
      <c r="AC53">
        <f t="shared" si="11"/>
        <v>6.7941099999999999</v>
      </c>
      <c r="AD53">
        <f>Y$53*AB53</f>
        <v>6.0259499999999999</v>
      </c>
      <c r="AE53">
        <f t="shared" ref="AE53" si="19">AD53/AC53*100</f>
        <v>88.693736192084032</v>
      </c>
      <c r="AF53">
        <f t="shared" ref="AF53" si="20">AD53/(X$3*(AA53-W$3))*100</f>
        <v>94.081673437397555</v>
      </c>
      <c r="AG53">
        <f t="shared" si="4"/>
        <v>4.6819920000000002</v>
      </c>
      <c r="AH53">
        <f t="shared" si="5"/>
        <v>29.681992000000001</v>
      </c>
    </row>
    <row r="54" spans="25:34" x14ac:dyDescent="0.35">
      <c r="Z54">
        <v>48.3</v>
      </c>
      <c r="AA54">
        <v>0.27100000000000002</v>
      </c>
      <c r="AB54">
        <v>0.38500000000000001</v>
      </c>
      <c r="AC54">
        <f t="shared" si="11"/>
        <v>8.1110300000000013</v>
      </c>
      <c r="AD54">
        <f t="shared" ref="AD54:AD64" si="21">Y$53*AB54</f>
        <v>7.3650500000000001</v>
      </c>
      <c r="AE54">
        <f t="shared" ref="AE54:AE64" si="22">AD54/AC54*100</f>
        <v>90.802894330313151</v>
      </c>
      <c r="AF54">
        <f t="shared" ref="AF54:AF64" si="23">AD54/(X$3*(AA54-W$3))*100</f>
        <v>95.378233967111896</v>
      </c>
      <c r="AG54">
        <f t="shared" si="4"/>
        <v>4.5444760000000084</v>
      </c>
      <c r="AH54">
        <f t="shared" si="5"/>
        <v>29.54447600000001</v>
      </c>
    </row>
    <row r="55" spans="25:34" x14ac:dyDescent="0.35">
      <c r="Z55">
        <v>44.3</v>
      </c>
      <c r="AA55">
        <v>0.28799999999999998</v>
      </c>
      <c r="AB55">
        <v>0.41499999999999998</v>
      </c>
      <c r="AC55">
        <f t="shared" si="11"/>
        <v>8.6198399999999999</v>
      </c>
      <c r="AD55">
        <f t="shared" si="21"/>
        <v>7.9389499999999993</v>
      </c>
      <c r="AE55">
        <f t="shared" si="22"/>
        <v>92.100897464454093</v>
      </c>
      <c r="AF55">
        <f t="shared" si="23"/>
        <v>96.45475807186466</v>
      </c>
      <c r="AG55">
        <f t="shared" si="4"/>
        <v>4.1409180000000045</v>
      </c>
      <c r="AH55">
        <f t="shared" si="5"/>
        <v>29.140918000000006</v>
      </c>
    </row>
    <row r="56" spans="25:34" x14ac:dyDescent="0.35">
      <c r="Z56">
        <v>38.700000000000003</v>
      </c>
      <c r="AA56">
        <v>0.32800000000000001</v>
      </c>
      <c r="AB56">
        <v>0.47799999999999998</v>
      </c>
      <c r="AC56">
        <f t="shared" si="11"/>
        <v>9.8170400000000004</v>
      </c>
      <c r="AD56">
        <f t="shared" si="21"/>
        <v>9.1441399999999984</v>
      </c>
      <c r="AE56">
        <f t="shared" si="22"/>
        <v>93.145591746595684</v>
      </c>
      <c r="AF56">
        <f t="shared" si="23"/>
        <v>96.989695532963154</v>
      </c>
      <c r="AG56">
        <f t="shared" si="4"/>
        <v>4.0913800000000133</v>
      </c>
      <c r="AH56">
        <f t="shared" si="5"/>
        <v>29.091380000000015</v>
      </c>
    </row>
    <row r="57" spans="25:34" x14ac:dyDescent="0.35">
      <c r="Z57">
        <v>33.5</v>
      </c>
      <c r="AA57">
        <v>0.375</v>
      </c>
      <c r="AB57">
        <v>0.54900000000000004</v>
      </c>
      <c r="AC57">
        <f t="shared" si="11"/>
        <v>11.223749999999999</v>
      </c>
      <c r="AD57">
        <f t="shared" si="21"/>
        <v>10.502370000000001</v>
      </c>
      <c r="AE57">
        <f t="shared" si="22"/>
        <v>93.572736384898121</v>
      </c>
      <c r="AF57">
        <f t="shared" si="23"/>
        <v>96.933083271648584</v>
      </c>
      <c r="AG57">
        <f t="shared" si="4"/>
        <v>4.3919559999999889</v>
      </c>
      <c r="AH57">
        <f t="shared" si="5"/>
        <v>29.39195599999999</v>
      </c>
    </row>
    <row r="58" spans="25:34" x14ac:dyDescent="0.35">
      <c r="Z58">
        <v>28.6</v>
      </c>
      <c r="AA58">
        <v>0.433</v>
      </c>
      <c r="AB58">
        <v>0.64</v>
      </c>
      <c r="AC58">
        <f t="shared" si="11"/>
        <v>12.95969</v>
      </c>
      <c r="AD58">
        <f t="shared" si="21"/>
        <v>12.2432</v>
      </c>
      <c r="AE58">
        <f t="shared" si="22"/>
        <v>94.471395534924056</v>
      </c>
      <c r="AF58">
        <f t="shared" si="23"/>
        <v>97.395510158624106</v>
      </c>
      <c r="AG58">
        <f t="shared" si="4"/>
        <v>4.3616380000000028</v>
      </c>
      <c r="AH58">
        <f t="shared" si="5"/>
        <v>29.361638000000003</v>
      </c>
    </row>
    <row r="59" spans="25:34" x14ac:dyDescent="0.35">
      <c r="Z59">
        <v>23.4</v>
      </c>
      <c r="AA59">
        <v>0.52200000000000002</v>
      </c>
      <c r="AB59">
        <v>0.78</v>
      </c>
      <c r="AC59">
        <f t="shared" si="11"/>
        <v>15.62346</v>
      </c>
      <c r="AD59">
        <f t="shared" si="21"/>
        <v>14.9214</v>
      </c>
      <c r="AE59">
        <f t="shared" si="22"/>
        <v>95.506373108133545</v>
      </c>
      <c r="AF59">
        <f t="shared" si="23"/>
        <v>97.94563214625876</v>
      </c>
      <c r="AG59">
        <f t="shared" si="4"/>
        <v>4.2721719999999976</v>
      </c>
      <c r="AH59">
        <f t="shared" si="5"/>
        <v>29.272171999999998</v>
      </c>
    </row>
    <row r="60" spans="25:34" x14ac:dyDescent="0.35">
      <c r="Z60">
        <v>20.399999999999999</v>
      </c>
      <c r="AA60">
        <v>0.6</v>
      </c>
      <c r="AB60">
        <v>0.89600000000000002</v>
      </c>
      <c r="AC60">
        <f t="shared" si="11"/>
        <v>17.957999999999998</v>
      </c>
      <c r="AD60">
        <f t="shared" si="21"/>
        <v>17.14048</v>
      </c>
      <c r="AE60">
        <f t="shared" si="22"/>
        <v>95.447599955451622</v>
      </c>
      <c r="AF60">
        <f t="shared" si="23"/>
        <v>97.561430959575759</v>
      </c>
      <c r="AG60">
        <f t="shared" si="4"/>
        <v>4.9880239999999789</v>
      </c>
      <c r="AH60">
        <f t="shared" si="5"/>
        <v>29.988023999999978</v>
      </c>
    </row>
    <row r="61" spans="25:34" x14ac:dyDescent="0.35">
      <c r="Z61">
        <v>14.7</v>
      </c>
      <c r="AA61">
        <v>0.83799999999999997</v>
      </c>
      <c r="AB61">
        <v>1.266</v>
      </c>
      <c r="AC61">
        <f t="shared" si="11"/>
        <v>25.081339999999997</v>
      </c>
      <c r="AD61">
        <f t="shared" si="21"/>
        <v>24.218579999999999</v>
      </c>
      <c r="AE61">
        <f t="shared" si="22"/>
        <v>96.560151889811323</v>
      </c>
      <c r="AF61">
        <f t="shared" si="23"/>
        <v>98.081705798378039</v>
      </c>
      <c r="AG61">
        <f t="shared" si="4"/>
        <v>5.2685119999999772</v>
      </c>
      <c r="AH61">
        <f t="shared" si="5"/>
        <v>30.268511999999976</v>
      </c>
    </row>
    <row r="62" spans="25:34" x14ac:dyDescent="0.35">
      <c r="Z62">
        <v>12</v>
      </c>
      <c r="AA62">
        <v>1.0009999999999999</v>
      </c>
      <c r="AB62">
        <v>1.5129999999999999</v>
      </c>
      <c r="AC62">
        <f t="shared" si="11"/>
        <v>29.959929999999996</v>
      </c>
      <c r="AD62">
        <f t="shared" si="21"/>
        <v>28.943689999999997</v>
      </c>
      <c r="AE62">
        <f t="shared" si="22"/>
        <v>96.608002755680673</v>
      </c>
      <c r="AF62">
        <f t="shared" si="23"/>
        <v>97.879160686676471</v>
      </c>
      <c r="AG62">
        <f t="shared" si="4"/>
        <v>6.220087999999989</v>
      </c>
      <c r="AH62">
        <f t="shared" si="5"/>
        <v>31.22008799999999</v>
      </c>
    </row>
    <row r="63" spans="25:34" x14ac:dyDescent="0.35">
      <c r="Z63">
        <v>9.8000000000000007</v>
      </c>
      <c r="AA63">
        <v>1.258</v>
      </c>
      <c r="AB63">
        <v>1.9</v>
      </c>
      <c r="AC63">
        <f t="shared" si="11"/>
        <v>37.651940000000003</v>
      </c>
      <c r="AD63">
        <f t="shared" si="21"/>
        <v>36.346999999999994</v>
      </c>
      <c r="AE63">
        <f t="shared" si="22"/>
        <v>96.534202487308733</v>
      </c>
      <c r="AF63">
        <f t="shared" si="23"/>
        <v>97.542190143802713</v>
      </c>
      <c r="AG63">
        <f t="shared" si="4"/>
        <v>8.0100280000000676</v>
      </c>
      <c r="AH63">
        <f t="shared" si="5"/>
        <v>33.010028000000069</v>
      </c>
    </row>
    <row r="64" spans="25:34" x14ac:dyDescent="0.35">
      <c r="Z64">
        <v>8</v>
      </c>
      <c r="AA64">
        <v>1.5389999999999999</v>
      </c>
      <c r="AB64">
        <v>2.3330000000000002</v>
      </c>
      <c r="AC64">
        <f t="shared" si="11"/>
        <v>46.062269999999998</v>
      </c>
      <c r="AD64">
        <f t="shared" si="21"/>
        <v>44.630290000000002</v>
      </c>
      <c r="AE64">
        <f t="shared" si="22"/>
        <v>96.891208357729667</v>
      </c>
      <c r="AF64">
        <f t="shared" si="23"/>
        <v>97.716624942690657</v>
      </c>
      <c r="AG64">
        <f t="shared" si="4"/>
        <v>8.7976759999999867</v>
      </c>
      <c r="AH64">
        <f t="shared" si="5"/>
        <v>33.797675999999989</v>
      </c>
    </row>
    <row r="65" spans="25:34" x14ac:dyDescent="0.35">
      <c r="Z65">
        <v>6.5</v>
      </c>
      <c r="AA65">
        <v>1.972</v>
      </c>
      <c r="AB65">
        <v>2.9540000000000002</v>
      </c>
      <c r="AC65">
        <f t="shared" si="11"/>
        <v>59.02196</v>
      </c>
      <c r="AD65">
        <f t="shared" ref="AD65:AD66" si="24">Y$53*AB65</f>
        <v>56.510019999999997</v>
      </c>
      <c r="AE65">
        <f t="shared" ref="AE65:AE66" si="25">AD65/AC65*100</f>
        <v>95.744058652067793</v>
      </c>
      <c r="AF65">
        <f t="shared" ref="AF65:AF66" si="26">AD65/(X$3*(AA65-W$3))*100</f>
        <v>96.379419939702743</v>
      </c>
      <c r="AG65">
        <f t="shared" si="4"/>
        <v>15.493428000000028</v>
      </c>
      <c r="AH65">
        <f t="shared" si="5"/>
        <v>40.49342800000003</v>
      </c>
    </row>
    <row r="66" spans="25:34" x14ac:dyDescent="0.35">
      <c r="Z66">
        <v>5.6</v>
      </c>
      <c r="AA66">
        <v>2.3730000000000002</v>
      </c>
      <c r="AB66">
        <v>3.512</v>
      </c>
      <c r="AC66">
        <f t="shared" si="11"/>
        <v>71.023890000000009</v>
      </c>
      <c r="AD66">
        <f t="shared" si="24"/>
        <v>67.184559999999991</v>
      </c>
      <c r="AE66">
        <f t="shared" si="25"/>
        <v>94.594311857601681</v>
      </c>
      <c r="AF66">
        <f t="shared" si="26"/>
        <v>95.115382219529153</v>
      </c>
      <c r="AG66">
        <f t="shared" si="4"/>
        <v>23.723246000000081</v>
      </c>
      <c r="AH66">
        <f t="shared" si="5"/>
        <v>48.723246000000081</v>
      </c>
    </row>
    <row r="67" spans="25:34" x14ac:dyDescent="0.35">
      <c r="Y67">
        <v>23.85</v>
      </c>
      <c r="Z67">
        <v>59.6</v>
      </c>
      <c r="AA67">
        <v>0.33700000000000002</v>
      </c>
      <c r="AB67">
        <v>0.39500000000000002</v>
      </c>
      <c r="AC67">
        <f t="shared" si="11"/>
        <v>10.086410000000001</v>
      </c>
      <c r="AD67">
        <f>Y$67*AB67</f>
        <v>9.4207500000000017</v>
      </c>
      <c r="AE67">
        <f t="shared" ref="AE67" si="27">AD67/AC67*100</f>
        <v>93.40042691106153</v>
      </c>
      <c r="AF67">
        <f t="shared" ref="AF67" si="28">AD67/(X$3*(AA67-W$3))*100</f>
        <v>97.147974904406595</v>
      </c>
      <c r="AG67">
        <f t="shared" si="4"/>
        <v>4.0464919999999944</v>
      </c>
      <c r="AH67">
        <f t="shared" si="5"/>
        <v>29.046491999999994</v>
      </c>
    </row>
    <row r="68" spans="25:34" x14ac:dyDescent="0.35">
      <c r="Z68">
        <v>49.4</v>
      </c>
      <c r="AA68">
        <v>0.4</v>
      </c>
      <c r="AB68">
        <v>0.47399999999999998</v>
      </c>
      <c r="AC68">
        <f t="shared" si="11"/>
        <v>11.972000000000001</v>
      </c>
      <c r="AD68">
        <f t="shared" ref="AD68:AD75" si="29">Y$67*AB68</f>
        <v>11.3049</v>
      </c>
      <c r="AE68">
        <f t="shared" ref="AE68:AE75" si="30">AD68/AC68*100</f>
        <v>94.427831607083178</v>
      </c>
      <c r="AF68">
        <f t="shared" ref="AF68:AF75" si="31">AD68/(X$3*(AA68-W$3))*100</f>
        <v>97.599825950473587</v>
      </c>
      <c r="AG68">
        <f t="shared" ref="AG68:AG81" si="32">((X$3*AA68-W$3)-AD68)*6.2</f>
        <v>4.0554200000000096</v>
      </c>
      <c r="AH68">
        <f t="shared" ref="AH68:AH81" si="33">AG68+25</f>
        <v>29.055420000000009</v>
      </c>
    </row>
    <row r="69" spans="25:34" x14ac:dyDescent="0.35">
      <c r="Z69">
        <v>44.6</v>
      </c>
      <c r="AA69">
        <v>0.441</v>
      </c>
      <c r="AB69">
        <v>0.52200000000000002</v>
      </c>
      <c r="AC69">
        <f t="shared" si="11"/>
        <v>13.19913</v>
      </c>
      <c r="AD69">
        <f t="shared" si="29"/>
        <v>12.449700000000002</v>
      </c>
      <c r="AE69">
        <f t="shared" si="30"/>
        <v>94.322125776471637</v>
      </c>
      <c r="AF69">
        <f t="shared" si="31"/>
        <v>97.18705015753271</v>
      </c>
      <c r="AG69">
        <f t="shared" si="32"/>
        <v>4.5658659999999918</v>
      </c>
      <c r="AH69">
        <f t="shared" si="33"/>
        <v>29.565865999999993</v>
      </c>
    </row>
    <row r="70" spans="25:34" x14ac:dyDescent="0.35">
      <c r="Z70">
        <v>38.6</v>
      </c>
      <c r="AA70">
        <v>0.505</v>
      </c>
      <c r="AB70">
        <v>0.60199999999999998</v>
      </c>
      <c r="AC70">
        <f t="shared" si="11"/>
        <v>15.114649999999999</v>
      </c>
      <c r="AD70">
        <f t="shared" si="29"/>
        <v>14.357700000000001</v>
      </c>
      <c r="AE70">
        <f t="shared" si="30"/>
        <v>94.991944901138964</v>
      </c>
      <c r="AF70">
        <f t="shared" si="31"/>
        <v>97.501894664786946</v>
      </c>
      <c r="AG70">
        <f t="shared" si="32"/>
        <v>4.6124899999999887</v>
      </c>
      <c r="AH70">
        <f t="shared" si="33"/>
        <v>29.612489999999987</v>
      </c>
    </row>
    <row r="71" spans="25:34" x14ac:dyDescent="0.35">
      <c r="Z71">
        <v>34.1</v>
      </c>
      <c r="AA71">
        <v>0.56999999999999995</v>
      </c>
      <c r="AB71">
        <v>0.68200000000000005</v>
      </c>
      <c r="AC71">
        <f t="shared" si="11"/>
        <v>17.060099999999998</v>
      </c>
      <c r="AD71">
        <f t="shared" si="29"/>
        <v>16.265700000000002</v>
      </c>
      <c r="AE71">
        <f t="shared" si="30"/>
        <v>95.343520846888367</v>
      </c>
      <c r="AF71">
        <f t="shared" si="31"/>
        <v>97.568773577605697</v>
      </c>
      <c r="AG71">
        <f t="shared" si="32"/>
        <v>4.8446799999999648</v>
      </c>
      <c r="AH71">
        <f t="shared" si="33"/>
        <v>29.844679999999965</v>
      </c>
    </row>
    <row r="72" spans="25:34" x14ac:dyDescent="0.35">
      <c r="Z72">
        <v>29.6</v>
      </c>
      <c r="AA72">
        <v>0.65100000000000002</v>
      </c>
      <c r="AB72">
        <v>0.78500000000000003</v>
      </c>
      <c r="AC72">
        <f t="shared" si="11"/>
        <v>19.48443</v>
      </c>
      <c r="AD72">
        <f t="shared" si="29"/>
        <v>18.722250000000003</v>
      </c>
      <c r="AE72">
        <f t="shared" si="30"/>
        <v>96.088261242438207</v>
      </c>
      <c r="AF72">
        <f t="shared" si="31"/>
        <v>98.04617252167283</v>
      </c>
      <c r="AG72">
        <f t="shared" si="32"/>
        <v>4.6449159999999727</v>
      </c>
      <c r="AH72">
        <f t="shared" si="33"/>
        <v>29.644915999999974</v>
      </c>
    </row>
    <row r="73" spans="25:34" x14ac:dyDescent="0.35">
      <c r="Z73">
        <v>25.7</v>
      </c>
      <c r="AA73">
        <v>0.747</v>
      </c>
      <c r="AB73">
        <v>0.90500000000000003</v>
      </c>
      <c r="AC73">
        <f t="shared" si="11"/>
        <v>22.357710000000001</v>
      </c>
      <c r="AD73">
        <f t="shared" si="29"/>
        <v>21.584250000000001</v>
      </c>
      <c r="AE73">
        <f t="shared" si="30"/>
        <v>96.540522262789892</v>
      </c>
      <c r="AF73">
        <f t="shared" si="31"/>
        <v>98.250368024937401</v>
      </c>
      <c r="AG73">
        <f t="shared" si="32"/>
        <v>4.7148519999999898</v>
      </c>
      <c r="AH73">
        <f t="shared" si="33"/>
        <v>29.71485199999999</v>
      </c>
    </row>
    <row r="74" spans="25:34" x14ac:dyDescent="0.35">
      <c r="Z74">
        <v>20.5</v>
      </c>
      <c r="AA74">
        <v>0.93100000000000005</v>
      </c>
      <c r="AB74">
        <v>1.1299999999999999</v>
      </c>
      <c r="AC74">
        <f t="shared" si="11"/>
        <v>27.864830000000001</v>
      </c>
      <c r="AD74">
        <f t="shared" si="29"/>
        <v>26.950499999999998</v>
      </c>
      <c r="AE74">
        <f t="shared" si="30"/>
        <v>96.718695215438231</v>
      </c>
      <c r="AF74">
        <f t="shared" si="31"/>
        <v>98.088349940711311</v>
      </c>
      <c r="AG74">
        <f t="shared" si="32"/>
        <v>5.5882460000000096</v>
      </c>
      <c r="AH74">
        <f t="shared" si="33"/>
        <v>30.588246000000009</v>
      </c>
    </row>
    <row r="75" spans="25:34" x14ac:dyDescent="0.35">
      <c r="Z75">
        <v>17.8</v>
      </c>
      <c r="AA75">
        <v>1.069</v>
      </c>
      <c r="AB75">
        <v>1.3</v>
      </c>
      <c r="AC75">
        <f t="shared" si="11"/>
        <v>31.995169999999998</v>
      </c>
      <c r="AD75">
        <f t="shared" si="29"/>
        <v>31.005000000000003</v>
      </c>
      <c r="AE75">
        <f t="shared" si="30"/>
        <v>96.905251636418882</v>
      </c>
      <c r="AF75">
        <f t="shared" si="31"/>
        <v>98.098214014518732</v>
      </c>
      <c r="AG75">
        <f t="shared" si="32"/>
        <v>6.058453999999962</v>
      </c>
      <c r="AH75">
        <f t="shared" si="33"/>
        <v>31.058453999999962</v>
      </c>
    </row>
    <row r="76" spans="25:34" x14ac:dyDescent="0.35">
      <c r="Z76">
        <v>15.3</v>
      </c>
      <c r="AA76">
        <v>1.246</v>
      </c>
      <c r="AB76">
        <v>1.5169999999999999</v>
      </c>
      <c r="AC76">
        <f t="shared" ref="AC76:AC81" si="34">X$3*AA76</f>
        <v>37.29278</v>
      </c>
      <c r="AD76">
        <f t="shared" ref="AD76:AD81" si="35">Y$67*AB76</f>
        <v>36.18045</v>
      </c>
      <c r="AE76">
        <f t="shared" ref="AE76:AE81" si="36">AD76/AC76*100</f>
        <v>97.017304690076728</v>
      </c>
      <c r="AF76">
        <f t="shared" ref="AF76:AF81" si="37">AD76/(X$3*(AA76-W$3))*100</f>
        <v>98.040195980401947</v>
      </c>
      <c r="AG76">
        <f t="shared" si="32"/>
        <v>6.8158460000000121</v>
      </c>
      <c r="AH76">
        <f t="shared" si="33"/>
        <v>31.815846000000011</v>
      </c>
    </row>
    <row r="77" spans="25:34" x14ac:dyDescent="0.35">
      <c r="Z77">
        <v>13.4</v>
      </c>
      <c r="AA77">
        <v>1.4319999999999999</v>
      </c>
      <c r="AB77">
        <v>1.7410000000000001</v>
      </c>
      <c r="AC77">
        <f t="shared" si="34"/>
        <v>42.859759999999994</v>
      </c>
      <c r="AD77">
        <f t="shared" si="35"/>
        <v>41.522850000000005</v>
      </c>
      <c r="AE77">
        <f t="shared" si="36"/>
        <v>96.880733816521627</v>
      </c>
      <c r="AF77">
        <f t="shared" si="37"/>
        <v>97.768295155221253</v>
      </c>
      <c r="AG77">
        <f t="shared" si="32"/>
        <v>8.2082419999999434</v>
      </c>
      <c r="AH77">
        <f t="shared" si="33"/>
        <v>33.208241999999942</v>
      </c>
    </row>
    <row r="78" spans="25:34" x14ac:dyDescent="0.35">
      <c r="Z78">
        <v>11.3</v>
      </c>
      <c r="AA78">
        <v>1.698</v>
      </c>
      <c r="AB78">
        <v>2.0609999999999999</v>
      </c>
      <c r="AC78">
        <f t="shared" si="34"/>
        <v>50.82114</v>
      </c>
      <c r="AD78">
        <f t="shared" si="35"/>
        <v>49.154850000000003</v>
      </c>
      <c r="AE78">
        <f t="shared" si="36"/>
        <v>96.721265992852594</v>
      </c>
      <c r="AF78">
        <f t="shared" si="37"/>
        <v>97.467483475290024</v>
      </c>
      <c r="AG78">
        <f t="shared" si="32"/>
        <v>10.25039799999999</v>
      </c>
      <c r="AH78">
        <f t="shared" si="33"/>
        <v>35.25039799999999</v>
      </c>
    </row>
    <row r="79" spans="25:34" x14ac:dyDescent="0.35">
      <c r="Z79">
        <v>9.1999999999999993</v>
      </c>
      <c r="AA79">
        <v>2.1640000000000001</v>
      </c>
      <c r="AB79">
        <v>2.6110000000000002</v>
      </c>
      <c r="AC79">
        <f t="shared" si="34"/>
        <v>64.768520000000009</v>
      </c>
      <c r="AD79">
        <f t="shared" si="35"/>
        <v>62.27235000000001</v>
      </c>
      <c r="AE79">
        <f t="shared" si="36"/>
        <v>96.146013526324211</v>
      </c>
      <c r="AF79">
        <f t="shared" si="37"/>
        <v>96.727091246381022</v>
      </c>
      <c r="AG79">
        <f t="shared" si="32"/>
        <v>15.395653999999963</v>
      </c>
      <c r="AH79">
        <f t="shared" si="33"/>
        <v>40.395653999999965</v>
      </c>
    </row>
    <row r="80" spans="25:34" x14ac:dyDescent="0.35">
      <c r="Z80">
        <v>7.8</v>
      </c>
      <c r="AA80">
        <v>2.5960000000000001</v>
      </c>
      <c r="AB80">
        <v>3.11</v>
      </c>
      <c r="AC80">
        <f t="shared" si="34"/>
        <v>77.698279999999997</v>
      </c>
      <c r="AD80">
        <f t="shared" si="35"/>
        <v>74.173500000000004</v>
      </c>
      <c r="AE80">
        <f t="shared" si="36"/>
        <v>95.463503181795033</v>
      </c>
      <c r="AF80">
        <f t="shared" si="37"/>
        <v>95.943962160255467</v>
      </c>
      <c r="AG80">
        <f t="shared" si="32"/>
        <v>21.773035999999923</v>
      </c>
      <c r="AH80">
        <f t="shared" si="33"/>
        <v>46.773035999999919</v>
      </c>
    </row>
    <row r="81" spans="26:34" x14ac:dyDescent="0.35">
      <c r="Z81">
        <v>6.7</v>
      </c>
      <c r="AA81">
        <v>3.2</v>
      </c>
      <c r="AB81">
        <v>3.8</v>
      </c>
      <c r="AC81">
        <f t="shared" si="34"/>
        <v>95.77600000000001</v>
      </c>
      <c r="AD81">
        <f t="shared" si="35"/>
        <v>90.63</v>
      </c>
      <c r="AE81">
        <f t="shared" si="36"/>
        <v>94.627046441697289</v>
      </c>
      <c r="AF81">
        <f t="shared" si="37"/>
        <v>95.01303690412027</v>
      </c>
      <c r="AG81">
        <f t="shared" si="32"/>
        <v>31.824600000000061</v>
      </c>
      <c r="AH81">
        <f t="shared" si="33"/>
        <v>56.824600000000061</v>
      </c>
    </row>
  </sheetData>
  <mergeCells count="12">
    <mergeCell ref="R2:S2"/>
    <mergeCell ref="J2:L2"/>
    <mergeCell ref="N2:P2"/>
    <mergeCell ref="F15:H15"/>
    <mergeCell ref="F2:H2"/>
    <mergeCell ref="F25:H25"/>
    <mergeCell ref="J25:L25"/>
    <mergeCell ref="B2:C2"/>
    <mergeCell ref="J15:L15"/>
    <mergeCell ref="N15:P15"/>
    <mergeCell ref="B8:D8"/>
    <mergeCell ref="N25:P25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a2287-8c7c-4a34-90c2-dbf3c4c1f0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23319B6B573345B80463C8BA005F6D" ma:contentTypeVersion="6" ma:contentTypeDescription="Een nieuw document maken." ma:contentTypeScope="" ma:versionID="b41b03fd4873277aac50c366e6e24fb0">
  <xsd:schema xmlns:xsd="http://www.w3.org/2001/XMLSchema" xmlns:xs="http://www.w3.org/2001/XMLSchema" xmlns:p="http://schemas.microsoft.com/office/2006/metadata/properties" xmlns:ns3="403a2287-8c7c-4a34-90c2-dbf3c4c1f054" targetNamespace="http://schemas.microsoft.com/office/2006/metadata/properties" ma:root="true" ma:fieldsID="f8639b9a5ca5a44d7a5aeb80dad9e886" ns3:_="">
    <xsd:import namespace="403a2287-8c7c-4a34-90c2-dbf3c4c1f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a2287-8c7c-4a34-90c2-dbf3c4c1f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7A3D88-0D14-4A68-A3DA-4E95883CF175}">
  <ds:schemaRefs>
    <ds:schemaRef ds:uri="http://schemas.microsoft.com/office/infopath/2007/PartnerControls"/>
    <ds:schemaRef ds:uri="http://schemas.microsoft.com/office/2006/documentManagement/types"/>
    <ds:schemaRef ds:uri="403a2287-8c7c-4a34-90c2-dbf3c4c1f054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2F193B-74DC-4E6D-9C0A-4D5F090DC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a2287-8c7c-4a34-90c2-dbf3c4c1f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D6BF2D-DFAA-4729-8DDC-2D8D8E787D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Nuttin</dc:creator>
  <cp:lastModifiedBy>Dries Nuttin</cp:lastModifiedBy>
  <dcterms:created xsi:type="dcterms:W3CDTF">2025-02-23T10:01:49Z</dcterms:created>
  <dcterms:modified xsi:type="dcterms:W3CDTF">2025-05-30T08:17:51Z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0x0101002223319B6B573345B80463C8BA005F6D</vt:lpwstr>
  </property>
</Properties>
</file>