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eren\Desktop\HENRRY\PREPARACION_TRABAJO\Proyectos_Laborales\excel_and_sheet\"/>
    </mc:Choice>
  </mc:AlternateContent>
  <bookViews>
    <workbookView xWindow="0" yWindow="0" windowWidth="20490" windowHeight="7620" firstSheet="1" activeTab="4"/>
  </bookViews>
  <sheets>
    <sheet name="README" sheetId="58" r:id="rId1"/>
    <sheet name="Tabla Madre - Granos  " sheetId="4" r:id="rId2"/>
    <sheet name="1-Alpiste" sheetId="8" r:id="rId3"/>
    <sheet name="2-Arroz" sheetId="20" r:id="rId4"/>
    <sheet name="3-Avena " sheetId="21" r:id="rId5"/>
    <sheet name="4-Cartamo" sheetId="22" r:id="rId6"/>
    <sheet name="5-Cebada" sheetId="23" r:id="rId7"/>
    <sheet name="6-Centeno" sheetId="27" r:id="rId8"/>
    <sheet name="7-Girasol" sheetId="28" r:id="rId9"/>
    <sheet name="8-Lino" sheetId="29" r:id="rId10"/>
    <sheet name="9-Maiz" sheetId="30" r:id="rId11"/>
    <sheet name="10-Mani" sheetId="24" r:id="rId12"/>
    <sheet name="11-Mijo" sheetId="25" r:id="rId13"/>
    <sheet name="12-Soja" sheetId="26" r:id="rId14"/>
    <sheet name="13-Sorgogranifero" sheetId="31" r:id="rId15"/>
    <sheet name="14-Trigo" sheetId="32" r:id="rId16"/>
    <sheet name="Resumen de Informacion " sheetId="19" r:id="rId17"/>
    <sheet name="Preguntas y Respuestas - Aux. " sheetId="53" r:id="rId18"/>
    <sheet name="Hectareas - Aux." sheetId="55" r:id="rId19"/>
    <sheet name="Toneladas- Aux." sheetId="56" r:id="rId20"/>
    <sheet name="Tablero de control" sheetId="33" r:id="rId21"/>
  </sheets>
  <definedNames>
    <definedName name="_xlcn.WorksheetConnection_Lara1_preentregaLedesma.xlsxAlpiste1" hidden="1">Alpiste[]</definedName>
    <definedName name="_xlcn.WorksheetConnection_Lara1_preentregaLedesma.xlsxArroz1" hidden="1">Arroz[]</definedName>
    <definedName name="_xlcn.WorksheetConnection_Lara1_preentregaLedesma.xlsxAvena1" hidden="1">Avena[]</definedName>
    <definedName name="_xlcn.WorksheetConnection_Lara1_preentregaLedesma.xlsxGranos1" hidden="1">Granos[]</definedName>
    <definedName name="_xlcn.WorksheetConnection_Lara1_preentregaLedesma.xlsxResumen_de_información1" hidden="1">Resumen_de_información[]</definedName>
    <definedName name="_xlcn.WorksheetConnection_Lara1_preentregaLedesma.xlsxTrigo1" hidden="1">Trigo[]</definedName>
    <definedName name="_xlnm.Print_Area" localSheetId="0">README!$A$1:$N$33</definedName>
    <definedName name="_xlnm.Print_Area" localSheetId="20">'Tablero de control'!$A$1:$N$2</definedName>
    <definedName name="SegmentaciónDeDatos_Años">#N/A</definedName>
    <definedName name="SegmentaciónDeDatos_Preguntas">#N/A</definedName>
  </definedNames>
  <calcPr calcId="162913"/>
  <pivotCaches>
    <pivotCache cacheId="0" r:id="rId22"/>
    <pivotCache cacheId="1" r:id="rId23"/>
    <pivotCache cacheId="2" r:id="rId24"/>
  </pivotCaches>
  <extLst>
    <ext xmlns:x14="http://schemas.microsoft.com/office/spreadsheetml/2009/9/main" uri="{876F7934-8845-4945-9796-88D515C7AA90}">
      <x14:pivotCaches>
        <pivotCache cacheId="3" r:id="rId25"/>
      </x14:pivotCaches>
    </ext>
    <ext xmlns:x14="http://schemas.microsoft.com/office/spreadsheetml/2009/9/main" uri="{BBE1A952-AA13-448e-AADC-164F8A28A991}">
      <x14:slicerCaches>
        <x14:slicerCache r:id="rId26"/>
        <x14:slicerCache r:id="rId2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rigo" name="Trigo" connection="WorksheetConnection_Lara -1_pre-entrega-Ledesma.xlsx!Trigo"/>
          <x15:modelTable id="Resumen_de_información" name="Resumen_de_información" connection="WorksheetConnection_Lara -1_pre-entrega-Ledesma.xlsx!Resumen_de_información"/>
          <x15:modelTable id="Granos" name="Granos" connection="WorksheetConnection_Lara -1_pre-entrega-Ledesma.xlsx!Granos"/>
          <x15:modelTable id="Avena" name="Avena" connection="WorksheetConnection_Lara -1_pre-entrega-Ledesma.xlsx!Avena"/>
          <x15:modelTable id="Arroz" name="Arroz" connection="WorksheetConnection_Lara -1_pre-entrega-Ledesma.xlsx!Arroz"/>
          <x15:modelTable id="Alpiste" name="Alpiste" connection="WorksheetConnection_Lara -1_pre-entrega-Ledesma.xlsx!Alpiste"/>
        </x15:modelTables>
      </x15:dataModel>
    </ext>
  </extLst>
</workbook>
</file>

<file path=xl/calcChain.xml><?xml version="1.0" encoding="utf-8"?>
<calcChain xmlns="http://schemas.openxmlformats.org/spreadsheetml/2006/main">
  <c r="P2" i="19" l="1"/>
  <c r="P3" i="19"/>
  <c r="P4" i="19"/>
  <c r="P5" i="19"/>
  <c r="P6" i="19"/>
  <c r="P7" i="19"/>
  <c r="P8" i="19"/>
  <c r="P9" i="19"/>
  <c r="P10" i="19"/>
  <c r="P11" i="19"/>
  <c r="P12" i="19"/>
  <c r="P13" i="19"/>
  <c r="O2" i="19"/>
  <c r="O3" i="19"/>
  <c r="O4" i="19"/>
  <c r="O5" i="19"/>
  <c r="O6" i="19"/>
  <c r="O7" i="19"/>
  <c r="O8" i="19"/>
  <c r="O9" i="19"/>
  <c r="O10" i="19"/>
  <c r="O11" i="19"/>
  <c r="O12" i="19"/>
  <c r="O13" i="19"/>
  <c r="N2" i="19"/>
  <c r="N3" i="19"/>
  <c r="N4" i="19"/>
  <c r="N5" i="19"/>
  <c r="N6" i="19"/>
  <c r="N7" i="19"/>
  <c r="N8" i="19"/>
  <c r="N9" i="19"/>
  <c r="N10" i="19"/>
  <c r="N11" i="19"/>
  <c r="N12" i="19"/>
  <c r="N13" i="19"/>
  <c r="M2" i="19"/>
  <c r="M3" i="19"/>
  <c r="M4" i="19"/>
  <c r="M5" i="19"/>
  <c r="M6" i="19"/>
  <c r="M7" i="19"/>
  <c r="M8" i="19"/>
  <c r="M9" i="19"/>
  <c r="M10" i="19"/>
  <c r="M11" i="19"/>
  <c r="M12" i="19"/>
  <c r="M13" i="19"/>
  <c r="L2" i="19"/>
  <c r="L3" i="19"/>
  <c r="L4" i="19"/>
  <c r="L5" i="19"/>
  <c r="L6" i="19"/>
  <c r="L7" i="19"/>
  <c r="L8" i="19"/>
  <c r="L9" i="19"/>
  <c r="L10" i="19"/>
  <c r="L11" i="19"/>
  <c r="L12" i="19"/>
  <c r="L13" i="19"/>
  <c r="K2" i="19"/>
  <c r="K3" i="19"/>
  <c r="K4" i="19"/>
  <c r="K5" i="19"/>
  <c r="K6" i="19"/>
  <c r="K7" i="19"/>
  <c r="K8" i="19"/>
  <c r="K9" i="19"/>
  <c r="K10" i="19"/>
  <c r="K11" i="19"/>
  <c r="K12" i="19"/>
  <c r="K13" i="19"/>
  <c r="J2" i="19"/>
  <c r="J3" i="19"/>
  <c r="J4" i="19"/>
  <c r="J5" i="19"/>
  <c r="J6" i="19"/>
  <c r="J7" i="19"/>
  <c r="J8" i="19"/>
  <c r="J9" i="19"/>
  <c r="J10" i="19"/>
  <c r="J11" i="19"/>
  <c r="J12" i="19"/>
  <c r="J13" i="19"/>
  <c r="I2" i="19"/>
  <c r="I3" i="19"/>
  <c r="I4" i="19"/>
  <c r="I5" i="19"/>
  <c r="I6" i="19"/>
  <c r="I7" i="19"/>
  <c r="I8" i="19"/>
  <c r="I9" i="19"/>
  <c r="I10" i="19"/>
  <c r="I11" i="19"/>
  <c r="I12" i="19"/>
  <c r="I13" i="19"/>
  <c r="H2" i="19"/>
  <c r="H3" i="19"/>
  <c r="H4" i="19"/>
  <c r="H5" i="19"/>
  <c r="H6" i="19"/>
  <c r="H7" i="19"/>
  <c r="H8" i="19"/>
  <c r="H9" i="19"/>
  <c r="H10" i="19"/>
  <c r="H11" i="19"/>
  <c r="H12" i="19"/>
  <c r="H13" i="19"/>
  <c r="G2" i="19"/>
  <c r="G3" i="19"/>
  <c r="G4" i="19"/>
  <c r="G5" i="19"/>
  <c r="G6" i="19"/>
  <c r="G7" i="19"/>
  <c r="G8" i="19"/>
  <c r="G9" i="19"/>
  <c r="G10" i="19"/>
  <c r="G11" i="19"/>
  <c r="G12" i="19"/>
  <c r="G13" i="19"/>
  <c r="F4" i="19"/>
  <c r="F13" i="19"/>
  <c r="F12" i="19"/>
  <c r="F11" i="19"/>
  <c r="F10" i="19"/>
  <c r="F9" i="19"/>
  <c r="F8" i="19"/>
  <c r="F7" i="19"/>
  <c r="F6" i="19"/>
  <c r="F5" i="19"/>
  <c r="F3" i="19"/>
  <c r="F2" i="19"/>
  <c r="E8" i="19"/>
  <c r="E2" i="19"/>
  <c r="E3" i="19"/>
  <c r="E4" i="19"/>
  <c r="E5" i="19"/>
  <c r="E6" i="19"/>
  <c r="E7" i="19"/>
  <c r="E9" i="19"/>
  <c r="E10" i="19"/>
  <c r="E11" i="19"/>
  <c r="E12" i="19"/>
  <c r="E13" i="19"/>
  <c r="D2" i="19"/>
  <c r="D3" i="19"/>
  <c r="D4" i="19"/>
  <c r="D5" i="19"/>
  <c r="D6" i="19"/>
  <c r="D7" i="19"/>
  <c r="D8" i="19"/>
  <c r="D9" i="19"/>
  <c r="D10" i="19"/>
  <c r="D11" i="19"/>
  <c r="D12" i="19"/>
  <c r="D13" i="19"/>
  <c r="C2" i="19"/>
  <c r="C3" i="19"/>
  <c r="C4" i="19"/>
  <c r="C5" i="19"/>
  <c r="C6" i="19"/>
  <c r="C7" i="19"/>
  <c r="C8" i="19"/>
  <c r="C9" i="19"/>
  <c r="C10" i="19"/>
  <c r="C11" i="19"/>
  <c r="C12" i="19"/>
  <c r="C13" i="19"/>
  <c r="A13" i="19" l="1"/>
  <c r="A12" i="19"/>
  <c r="A11" i="19"/>
  <c r="A10" i="19"/>
  <c r="A9" i="19"/>
  <c r="A8" i="19"/>
  <c r="A7" i="19"/>
  <c r="A6" i="19"/>
  <c r="A5" i="19"/>
  <c r="A4" i="19"/>
  <c r="A3" i="19"/>
  <c r="A2" i="19"/>
  <c r="C14" i="32"/>
  <c r="B14" i="32"/>
  <c r="A14" i="32"/>
  <c r="C13" i="32"/>
  <c r="B13" i="32"/>
  <c r="A13" i="32"/>
  <c r="C12" i="32"/>
  <c r="B12" i="32"/>
  <c r="A12" i="32"/>
  <c r="C11" i="32"/>
  <c r="B11" i="32"/>
  <c r="A11" i="32"/>
  <c r="C10" i="32"/>
  <c r="B10" i="32"/>
  <c r="A10" i="32"/>
  <c r="C9" i="32"/>
  <c r="B9" i="32"/>
  <c r="A9" i="32"/>
  <c r="C8" i="32"/>
  <c r="B8" i="32"/>
  <c r="A8" i="32"/>
  <c r="C7" i="32"/>
  <c r="B7" i="32"/>
  <c r="A7" i="32"/>
  <c r="C6" i="32"/>
  <c r="B6" i="32"/>
  <c r="A6" i="32"/>
  <c r="C5" i="32"/>
  <c r="B5" i="32"/>
  <c r="A5" i="32"/>
  <c r="C4" i="32"/>
  <c r="B4" i="32"/>
  <c r="A4" i="32"/>
  <c r="C3" i="32"/>
  <c r="B3" i="32"/>
  <c r="A3" i="32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  <c r="C6" i="31"/>
  <c r="B6" i="31"/>
  <c r="A6" i="31"/>
  <c r="C5" i="31"/>
  <c r="B5" i="31"/>
  <c r="A5" i="31"/>
  <c r="C4" i="31"/>
  <c r="B4" i="31"/>
  <c r="A4" i="31"/>
  <c r="C3" i="31"/>
  <c r="B3" i="31"/>
  <c r="A3" i="31"/>
  <c r="C14" i="26"/>
  <c r="B14" i="26"/>
  <c r="A14" i="26"/>
  <c r="C13" i="26"/>
  <c r="B13" i="26"/>
  <c r="A13" i="26"/>
  <c r="C12" i="26"/>
  <c r="B12" i="26"/>
  <c r="A12" i="26"/>
  <c r="C11" i="26"/>
  <c r="B11" i="26"/>
  <c r="A11" i="26"/>
  <c r="C10" i="26"/>
  <c r="B10" i="26"/>
  <c r="A10" i="26"/>
  <c r="C9" i="26"/>
  <c r="B9" i="26"/>
  <c r="A9" i="26"/>
  <c r="C8" i="26"/>
  <c r="B8" i="26"/>
  <c r="A8" i="26"/>
  <c r="C7" i="26"/>
  <c r="B7" i="26"/>
  <c r="A7" i="26"/>
  <c r="C6" i="26"/>
  <c r="B6" i="26"/>
  <c r="A6" i="26"/>
  <c r="C5" i="26"/>
  <c r="B5" i="26"/>
  <c r="A5" i="26"/>
  <c r="C4" i="26"/>
  <c r="B4" i="26"/>
  <c r="A4" i="26"/>
  <c r="C3" i="26"/>
  <c r="B3" i="26"/>
  <c r="A3" i="26"/>
  <c r="C14" i="25"/>
  <c r="B14" i="25"/>
  <c r="A14" i="25"/>
  <c r="C13" i="25"/>
  <c r="B13" i="25"/>
  <c r="A13" i="25"/>
  <c r="C12" i="25"/>
  <c r="B12" i="25"/>
  <c r="A12" i="25"/>
  <c r="C11" i="25"/>
  <c r="B11" i="25"/>
  <c r="A11" i="25"/>
  <c r="C10" i="25"/>
  <c r="B10" i="25"/>
  <c r="A10" i="25"/>
  <c r="C9" i="25"/>
  <c r="B9" i="25"/>
  <c r="A9" i="25"/>
  <c r="C8" i="25"/>
  <c r="B8" i="25"/>
  <c r="A8" i="25"/>
  <c r="C7" i="25"/>
  <c r="B7" i="25"/>
  <c r="A7" i="25"/>
  <c r="C6" i="25"/>
  <c r="B6" i="25"/>
  <c r="A6" i="25"/>
  <c r="C5" i="25"/>
  <c r="B5" i="25"/>
  <c r="A5" i="25"/>
  <c r="C4" i="25"/>
  <c r="B4" i="25"/>
  <c r="A4" i="25"/>
  <c r="C3" i="25"/>
  <c r="B3" i="25"/>
  <c r="A3" i="25"/>
  <c r="C14" i="24"/>
  <c r="B14" i="24"/>
  <c r="A14" i="24"/>
  <c r="C13" i="24"/>
  <c r="B13" i="24"/>
  <c r="A13" i="24"/>
  <c r="C12" i="24"/>
  <c r="B12" i="24"/>
  <c r="A12" i="24"/>
  <c r="C11" i="24"/>
  <c r="B11" i="24"/>
  <c r="A11" i="24"/>
  <c r="C10" i="24"/>
  <c r="B10" i="24"/>
  <c r="A10" i="24"/>
  <c r="C9" i="24"/>
  <c r="B9" i="24"/>
  <c r="A9" i="24"/>
  <c r="C8" i="24"/>
  <c r="B8" i="24"/>
  <c r="A8" i="24"/>
  <c r="C7" i="24"/>
  <c r="B7" i="24"/>
  <c r="A7" i="24"/>
  <c r="C6" i="24"/>
  <c r="B6" i="24"/>
  <c r="A6" i="24"/>
  <c r="C5" i="24"/>
  <c r="B5" i="24"/>
  <c r="A5" i="24"/>
  <c r="C4" i="24"/>
  <c r="B4" i="24"/>
  <c r="A4" i="24"/>
  <c r="C3" i="24"/>
  <c r="B3" i="24"/>
  <c r="A3" i="24"/>
  <c r="C14" i="30"/>
  <c r="B14" i="30"/>
  <c r="A14" i="30"/>
  <c r="C13" i="30"/>
  <c r="B13" i="30"/>
  <c r="A13" i="30"/>
  <c r="C12" i="30"/>
  <c r="B12" i="30"/>
  <c r="A12" i="30"/>
  <c r="C11" i="30"/>
  <c r="B11" i="30"/>
  <c r="A11" i="30"/>
  <c r="C10" i="30"/>
  <c r="B10" i="30"/>
  <c r="A10" i="30"/>
  <c r="C9" i="30"/>
  <c r="B9" i="30"/>
  <c r="A9" i="30"/>
  <c r="C8" i="30"/>
  <c r="B8" i="30"/>
  <c r="A8" i="30"/>
  <c r="C7" i="30"/>
  <c r="B7" i="30"/>
  <c r="A7" i="30"/>
  <c r="C6" i="30"/>
  <c r="B6" i="30"/>
  <c r="A6" i="30"/>
  <c r="C5" i="30"/>
  <c r="B5" i="30"/>
  <c r="A5" i="30"/>
  <c r="C4" i="30"/>
  <c r="B4" i="30"/>
  <c r="A4" i="30"/>
  <c r="C3" i="30"/>
  <c r="B3" i="30"/>
  <c r="A3" i="30"/>
  <c r="C14" i="29"/>
  <c r="B14" i="29"/>
  <c r="A14" i="29"/>
  <c r="C13" i="29"/>
  <c r="B13" i="29"/>
  <c r="A13" i="29"/>
  <c r="C12" i="29"/>
  <c r="B12" i="29"/>
  <c r="A12" i="29"/>
  <c r="C11" i="29"/>
  <c r="B11" i="29"/>
  <c r="A11" i="29"/>
  <c r="C10" i="29"/>
  <c r="B10" i="29"/>
  <c r="A10" i="29"/>
  <c r="C9" i="29"/>
  <c r="B9" i="29"/>
  <c r="A9" i="29"/>
  <c r="C8" i="29"/>
  <c r="B8" i="29"/>
  <c r="A8" i="29"/>
  <c r="C7" i="29"/>
  <c r="B7" i="29"/>
  <c r="A7" i="29"/>
  <c r="C6" i="29"/>
  <c r="B6" i="29"/>
  <c r="A6" i="29"/>
  <c r="C5" i="29"/>
  <c r="B5" i="29"/>
  <c r="A5" i="29"/>
  <c r="C4" i="29"/>
  <c r="B4" i="29"/>
  <c r="A4" i="29"/>
  <c r="C3" i="29"/>
  <c r="B3" i="29"/>
  <c r="A3" i="29"/>
  <c r="C14" i="28"/>
  <c r="B14" i="28"/>
  <c r="A14" i="28"/>
  <c r="C13" i="28"/>
  <c r="B13" i="28"/>
  <c r="A13" i="28"/>
  <c r="C12" i="28"/>
  <c r="B12" i="28"/>
  <c r="A12" i="28"/>
  <c r="C11" i="28"/>
  <c r="B11" i="28"/>
  <c r="A11" i="28"/>
  <c r="C10" i="28"/>
  <c r="B10" i="28"/>
  <c r="A10" i="28"/>
  <c r="C9" i="28"/>
  <c r="B9" i="28"/>
  <c r="A9" i="28"/>
  <c r="C8" i="28"/>
  <c r="B8" i="28"/>
  <c r="A8" i="28"/>
  <c r="C7" i="28"/>
  <c r="B7" i="28"/>
  <c r="A7" i="28"/>
  <c r="C6" i="28"/>
  <c r="B6" i="28"/>
  <c r="A6" i="28"/>
  <c r="C5" i="28"/>
  <c r="B5" i="28"/>
  <c r="A5" i="28"/>
  <c r="C4" i="28"/>
  <c r="B4" i="28"/>
  <c r="A4" i="28"/>
  <c r="C3" i="28"/>
  <c r="B3" i="28"/>
  <c r="A3" i="28"/>
  <c r="C14" i="27"/>
  <c r="B14" i="27"/>
  <c r="A14" i="27"/>
  <c r="C13" i="27"/>
  <c r="B13" i="27"/>
  <c r="A13" i="27"/>
  <c r="C12" i="27"/>
  <c r="B12" i="27"/>
  <c r="A12" i="27"/>
  <c r="C11" i="27"/>
  <c r="B11" i="27"/>
  <c r="A11" i="27"/>
  <c r="C10" i="27"/>
  <c r="B10" i="27"/>
  <c r="A10" i="27"/>
  <c r="C9" i="27"/>
  <c r="B9" i="27"/>
  <c r="A9" i="27"/>
  <c r="C8" i="27"/>
  <c r="B8" i="27"/>
  <c r="A8" i="27"/>
  <c r="C7" i="27"/>
  <c r="B7" i="27"/>
  <c r="A7" i="27"/>
  <c r="C6" i="27"/>
  <c r="B6" i="27"/>
  <c r="A6" i="27"/>
  <c r="C5" i="27"/>
  <c r="B5" i="27"/>
  <c r="A5" i="27"/>
  <c r="C4" i="27"/>
  <c r="B4" i="27"/>
  <c r="A4" i="27"/>
  <c r="C3" i="27"/>
  <c r="B3" i="27"/>
  <c r="A3" i="27"/>
  <c r="C14" i="23"/>
  <c r="B14" i="23"/>
  <c r="A14" i="23"/>
  <c r="C13" i="23"/>
  <c r="B13" i="23"/>
  <c r="A13" i="23"/>
  <c r="C12" i="23"/>
  <c r="B12" i="23"/>
  <c r="A12" i="23"/>
  <c r="C11" i="23"/>
  <c r="B11" i="23"/>
  <c r="A11" i="23"/>
  <c r="C10" i="23"/>
  <c r="B10" i="23"/>
  <c r="A10" i="23"/>
  <c r="C9" i="23"/>
  <c r="B9" i="23"/>
  <c r="A9" i="23"/>
  <c r="C8" i="23"/>
  <c r="B8" i="23"/>
  <c r="A8" i="23"/>
  <c r="C7" i="23"/>
  <c r="B7" i="23"/>
  <c r="A7" i="23"/>
  <c r="C6" i="23"/>
  <c r="B6" i="23"/>
  <c r="A6" i="23"/>
  <c r="C5" i="23"/>
  <c r="B5" i="23"/>
  <c r="A5" i="23"/>
  <c r="C4" i="23"/>
  <c r="B4" i="23"/>
  <c r="A4" i="23"/>
  <c r="C3" i="23"/>
  <c r="B3" i="23"/>
  <c r="A3" i="23"/>
  <c r="C14" i="22"/>
  <c r="B14" i="22"/>
  <c r="A14" i="22"/>
  <c r="C13" i="22"/>
  <c r="B13" i="22"/>
  <c r="A13" i="22"/>
  <c r="C12" i="22"/>
  <c r="B12" i="22"/>
  <c r="A12" i="22"/>
  <c r="C11" i="22"/>
  <c r="B11" i="22"/>
  <c r="A11" i="22"/>
  <c r="C10" i="22"/>
  <c r="B10" i="22"/>
  <c r="A10" i="22"/>
  <c r="C9" i="22"/>
  <c r="B9" i="22"/>
  <c r="A9" i="22"/>
  <c r="C8" i="22"/>
  <c r="B8" i="22"/>
  <c r="A8" i="22"/>
  <c r="C7" i="22"/>
  <c r="B7" i="22"/>
  <c r="A7" i="22"/>
  <c r="C6" i="22"/>
  <c r="B6" i="22"/>
  <c r="A6" i="22"/>
  <c r="C5" i="22"/>
  <c r="B5" i="22"/>
  <c r="A5" i="22"/>
  <c r="C4" i="22"/>
  <c r="B4" i="22"/>
  <c r="A4" i="22"/>
  <c r="C3" i="22"/>
  <c r="B3" i="22"/>
  <c r="A3" i="22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  <c r="C6" i="21"/>
  <c r="B6" i="21"/>
  <c r="A6" i="21"/>
  <c r="C5" i="21"/>
  <c r="B5" i="21"/>
  <c r="A5" i="21"/>
  <c r="C4" i="21"/>
  <c r="B4" i="21"/>
  <c r="A4" i="21"/>
  <c r="C3" i="21"/>
  <c r="B3" i="21"/>
  <c r="A3" i="21"/>
  <c r="C14" i="20"/>
  <c r="B14" i="20"/>
  <c r="A14" i="20"/>
  <c r="C13" i="20"/>
  <c r="B13" i="20"/>
  <c r="A13" i="20"/>
  <c r="C12" i="20"/>
  <c r="B12" i="20"/>
  <c r="A12" i="20"/>
  <c r="C11" i="20"/>
  <c r="B11" i="20"/>
  <c r="A11" i="20"/>
  <c r="C10" i="20"/>
  <c r="B10" i="20"/>
  <c r="A10" i="20"/>
  <c r="C9" i="20"/>
  <c r="B9" i="20"/>
  <c r="A9" i="20"/>
  <c r="C8" i="20"/>
  <c r="B8" i="20"/>
  <c r="A8" i="20"/>
  <c r="C7" i="20"/>
  <c r="B7" i="20"/>
  <c r="A7" i="20"/>
  <c r="C6" i="20"/>
  <c r="B6" i="20"/>
  <c r="A6" i="20"/>
  <c r="C5" i="20"/>
  <c r="B5" i="20"/>
  <c r="A5" i="20"/>
  <c r="C4" i="20"/>
  <c r="B4" i="20"/>
  <c r="A4" i="20"/>
  <c r="C3" i="20"/>
  <c r="B3" i="20"/>
  <c r="A3" i="20"/>
  <c r="C14" i="8"/>
  <c r="B14" i="8"/>
  <c r="A14" i="8"/>
  <c r="C13" i="8"/>
  <c r="B13" i="8"/>
  <c r="A13" i="8"/>
  <c r="C12" i="8"/>
  <c r="B12" i="8"/>
  <c r="A12" i="8"/>
  <c r="C11" i="8"/>
  <c r="B11" i="8"/>
  <c r="A11" i="8"/>
  <c r="C10" i="8"/>
  <c r="B10" i="8"/>
  <c r="A10" i="8"/>
  <c r="C9" i="8"/>
  <c r="B9" i="8"/>
  <c r="A9" i="8"/>
  <c r="C8" i="8"/>
  <c r="B8" i="8"/>
  <c r="A8" i="8"/>
  <c r="C7" i="8"/>
  <c r="B7" i="8"/>
  <c r="A7" i="8"/>
  <c r="C6" i="8"/>
  <c r="B6" i="8"/>
  <c r="A6" i="8"/>
  <c r="C5" i="8"/>
  <c r="B5" i="8"/>
  <c r="A5" i="8"/>
  <c r="C4" i="8"/>
  <c r="B4" i="8"/>
  <c r="A4" i="8"/>
  <c r="C3" i="8"/>
  <c r="B3" i="8"/>
  <c r="A3" i="8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1" i="4"/>
  <c r="B42" i="4" s="1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Lara -1_pre-entrega-Ledesma.xlsx!Alpiste" type="102" refreshedVersion="6" minRefreshableVersion="5">
    <extLst>
      <ext xmlns:x15="http://schemas.microsoft.com/office/spreadsheetml/2010/11/main" uri="{DE250136-89BD-433C-8126-D09CA5730AF9}">
        <x15:connection id="Alpiste" autoDelete="1">
          <x15:rangePr sourceName="_xlcn.WorksheetConnection_Lara1_preentregaLedesma.xlsxAlpiste1"/>
        </x15:connection>
      </ext>
    </extLst>
  </connection>
  <connection id="3" name="WorksheetConnection_Lara -1_pre-entrega-Ledesma.xlsx!Arroz" type="102" refreshedVersion="6" minRefreshableVersion="5">
    <extLst>
      <ext xmlns:x15="http://schemas.microsoft.com/office/spreadsheetml/2010/11/main" uri="{DE250136-89BD-433C-8126-D09CA5730AF9}">
        <x15:connection id="Arroz" autoDelete="1">
          <x15:rangePr sourceName="_xlcn.WorksheetConnection_Lara1_preentregaLedesma.xlsxArroz1"/>
        </x15:connection>
      </ext>
    </extLst>
  </connection>
  <connection id="4" name="WorksheetConnection_Lara -1_pre-entrega-Ledesma.xlsx!Avena" type="102" refreshedVersion="6" minRefreshableVersion="5">
    <extLst>
      <ext xmlns:x15="http://schemas.microsoft.com/office/spreadsheetml/2010/11/main" uri="{DE250136-89BD-433C-8126-D09CA5730AF9}">
        <x15:connection id="Avena" autoDelete="1">
          <x15:rangePr sourceName="_xlcn.WorksheetConnection_Lara1_preentregaLedesma.xlsxAvena1"/>
        </x15:connection>
      </ext>
    </extLst>
  </connection>
  <connection id="5" name="WorksheetConnection_Lara -1_pre-entrega-Ledesma.xlsx!Granos" type="102" refreshedVersion="6" minRefreshableVersion="5">
    <extLst>
      <ext xmlns:x15="http://schemas.microsoft.com/office/spreadsheetml/2010/11/main" uri="{DE250136-89BD-433C-8126-D09CA5730AF9}">
        <x15:connection id="Granos">
          <x15:rangePr sourceName="_xlcn.WorksheetConnection_Lara1_preentregaLedesma.xlsxGranos1"/>
        </x15:connection>
      </ext>
    </extLst>
  </connection>
  <connection id="6" name="WorksheetConnection_Lara -1_pre-entrega-Ledesma.xlsx!Resumen_de_información" type="102" refreshedVersion="6" minRefreshableVersion="5">
    <extLst>
      <ext xmlns:x15="http://schemas.microsoft.com/office/spreadsheetml/2010/11/main" uri="{DE250136-89BD-433C-8126-D09CA5730AF9}">
        <x15:connection id="Resumen_de_información">
          <x15:rangePr sourceName="_xlcn.WorksheetConnection_Lara1_preentregaLedesma.xlsxResumen_de_información1"/>
        </x15:connection>
      </ext>
    </extLst>
  </connection>
  <connection id="7" name="WorksheetConnection_Lara -1_pre-entrega-Ledesma.xlsx!Trigo" type="102" refreshedVersion="6" minRefreshableVersion="5">
    <extLst>
      <ext xmlns:x15="http://schemas.microsoft.com/office/spreadsheetml/2010/11/main" uri="{DE250136-89BD-433C-8126-D09CA5730AF9}">
        <x15:connection id="Trigo" autoDelete="1">
          <x15:rangePr sourceName="_xlcn.WorksheetConnection_Lara1_preentregaLedesma.xlsxTrigo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Granos].[Años].&amp;[2019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<sst xmlns="http://schemas.openxmlformats.org/spreadsheetml/2006/main" count="155" uniqueCount="96">
  <si>
    <t>Tiempo</t>
  </si>
  <si>
    <t>Alpiste</t>
  </si>
  <si>
    <t>Avena</t>
  </si>
  <si>
    <t>id</t>
  </si>
  <si>
    <t>Alpiste Hectareas</t>
  </si>
  <si>
    <t>Alpiste Toneladas</t>
  </si>
  <si>
    <t>Arroz Toneladas</t>
  </si>
  <si>
    <t>Arroz Hectareas</t>
  </si>
  <si>
    <t>Avena Toneladas</t>
  </si>
  <si>
    <t>Avena Hetareas</t>
  </si>
  <si>
    <t>Cartamo Toneladas</t>
  </si>
  <si>
    <t>Cartamo Hectareas</t>
  </si>
  <si>
    <t>Cebada Hectareas</t>
  </si>
  <si>
    <t>Cebada Toneladas</t>
  </si>
  <si>
    <t>Centeno Toneladas</t>
  </si>
  <si>
    <t>Centeno Hectareas</t>
  </si>
  <si>
    <t>Girasol Toneladas</t>
  </si>
  <si>
    <t>Girasol Hectareas</t>
  </si>
  <si>
    <t>Lino Hectareas</t>
  </si>
  <si>
    <t>Lino Toneladas</t>
  </si>
  <si>
    <t xml:space="preserve">Maiz Hectareas </t>
  </si>
  <si>
    <t xml:space="preserve">Maiz Toneladas </t>
  </si>
  <si>
    <t>Mani Toneladas</t>
  </si>
  <si>
    <t>Mani Hectareas</t>
  </si>
  <si>
    <t>Mijo Toneladas</t>
  </si>
  <si>
    <t>Mijo Hectareas</t>
  </si>
  <si>
    <t>Soja Hectareas</t>
  </si>
  <si>
    <t>Soja Toneladas</t>
  </si>
  <si>
    <t xml:space="preserve">Trigo Toneladas </t>
  </si>
  <si>
    <t>Trigo Hectareas</t>
  </si>
  <si>
    <t>sorgogranifero Toneladas</t>
  </si>
  <si>
    <t>Sorgogranifero Hectareas</t>
  </si>
  <si>
    <t>PREGUNTAS</t>
  </si>
  <si>
    <t>INFORMACION</t>
  </si>
  <si>
    <t xml:space="preserve">Arroz </t>
  </si>
  <si>
    <t xml:space="preserve">Cartamo </t>
  </si>
  <si>
    <t xml:space="preserve">Cebada </t>
  </si>
  <si>
    <t xml:space="preserve">Centeno </t>
  </si>
  <si>
    <t xml:space="preserve">Girasol </t>
  </si>
  <si>
    <t xml:space="preserve">Lino </t>
  </si>
  <si>
    <t xml:space="preserve">Maiz  </t>
  </si>
  <si>
    <t xml:space="preserve">Mani </t>
  </si>
  <si>
    <t xml:space="preserve">Mijo </t>
  </si>
  <si>
    <t xml:space="preserve">Soja </t>
  </si>
  <si>
    <t xml:space="preserve">Sorgogranifero </t>
  </si>
  <si>
    <t xml:space="preserve">Trigo </t>
  </si>
  <si>
    <t>Preguntas</t>
  </si>
  <si>
    <t xml:space="preserve"> PREGUNTAS</t>
  </si>
  <si>
    <t xml:space="preserve">Promedio </t>
  </si>
  <si>
    <t>¿cuál es el promedio de toneladas obtenidas ?</t>
  </si>
  <si>
    <t>¿cuál es el promedio de las hectáreas sembradas?</t>
  </si>
  <si>
    <t>¿cuál es la máxima cantidad de hectáreas sembradas?</t>
  </si>
  <si>
    <t>¿cuál es la cantidad máxima de toneladas obtenidas?</t>
  </si>
  <si>
    <t>¿cuál es la cantidad mínima de toneladas obtenidas?</t>
  </si>
  <si>
    <t>¿cuánto varían las cantidades mínimas?</t>
  </si>
  <si>
    <t>¿cuál es el rendimiento promedio de las toneladas sobre las hectáreas?</t>
  </si>
  <si>
    <t>¿cuál es el promedio entre los valores máximos y mínimos de las toneladas?</t>
  </si>
  <si>
    <t>¿cuál es el promedio entre los promedios de los valores máximos y mínimos de las hectáreas y toneladas?</t>
  </si>
  <si>
    <t>¿cuál es la cantidad mínima de hectáreas sembradas?</t>
  </si>
  <si>
    <t>¿cuánto varían las cantidades máximas ?</t>
  </si>
  <si>
    <t>¿cuál es el promedio entre los valores máximos y mínimos de las hectáreas?</t>
  </si>
  <si>
    <t xml:space="preserve">Años </t>
  </si>
  <si>
    <t>Suma de Avena</t>
  </si>
  <si>
    <t xml:space="preserve">Suma de Arroz </t>
  </si>
  <si>
    <t>Suma de Alpiste</t>
  </si>
  <si>
    <t xml:space="preserve">Suma de Cartamo </t>
  </si>
  <si>
    <t xml:space="preserve">Suma de Cebada </t>
  </si>
  <si>
    <t xml:space="preserve">Suma de Centeno </t>
  </si>
  <si>
    <t xml:space="preserve">Suma de Girasol </t>
  </si>
  <si>
    <t xml:space="preserve">Suma de Lino </t>
  </si>
  <si>
    <t xml:space="preserve">Suma de Maiz  </t>
  </si>
  <si>
    <t xml:space="preserve">Suma de Mani </t>
  </si>
  <si>
    <t xml:space="preserve">Suma de Mijo </t>
  </si>
  <si>
    <t xml:space="preserve">Suma de Soja </t>
  </si>
  <si>
    <t xml:space="preserve">Suma de Sorgogranifero </t>
  </si>
  <si>
    <t xml:space="preserve">Suma de Trigo </t>
  </si>
  <si>
    <t>Valores</t>
  </si>
  <si>
    <t>Años</t>
  </si>
  <si>
    <t xml:space="preserve">Alpiste </t>
  </si>
  <si>
    <t>Arroz</t>
  </si>
  <si>
    <t>Cartamo</t>
  </si>
  <si>
    <t>Centeno</t>
  </si>
  <si>
    <t>Girasol</t>
  </si>
  <si>
    <t>Lino</t>
  </si>
  <si>
    <t>Maiz</t>
  </si>
  <si>
    <t>Mani</t>
  </si>
  <si>
    <t>Mijo</t>
  </si>
  <si>
    <t>Soja</t>
  </si>
  <si>
    <t>Sorgogranifero</t>
  </si>
  <si>
    <t>Trigo</t>
  </si>
  <si>
    <t>Cebada</t>
  </si>
  <si>
    <t>sorgogranifero</t>
  </si>
  <si>
    <t>Granos</t>
  </si>
  <si>
    <t>Suma Ton/Año</t>
  </si>
  <si>
    <t>suma Hra./Año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</si>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</sst>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2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right"/>
    </xf>
    <xf numFmtId="1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0" fontId="0" fillId="0" borderId="0" xfId="0" applyNumberFormat="1"/>
    <xf numFmtId="0" fontId="0" fillId="0" borderId="6" xfId="0" applyBorder="1"/>
    <xf numFmtId="164" fontId="0" fillId="0" borderId="8" xfId="1" applyNumberFormat="1" applyFont="1" applyBorder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NumberFormat="1" applyAlignment="1">
      <alignment horizontal="right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164" fontId="0" fillId="0" borderId="0" xfId="1" applyNumberFormat="1" applyFont="1" applyAlignment="1">
      <alignment horizontal="center" vertical="center" wrapText="1"/>
    </xf>
    <xf numFmtId="164" fontId="0" fillId="0" borderId="1" xfId="1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0" fillId="0" borderId="15" xfId="0" applyBorder="1"/>
    <xf numFmtId="9" fontId="0" fillId="0" borderId="8" xfId="2" applyFont="1" applyBorder="1"/>
    <xf numFmtId="0" fontId="1" fillId="0" borderId="7" xfId="0" applyFont="1" applyBorder="1"/>
    <xf numFmtId="0" fontId="1" fillId="0" borderId="6" xfId="0" applyFont="1" applyBorder="1"/>
    <xf numFmtId="9" fontId="0" fillId="0" borderId="5" xfId="2" applyFont="1" applyBorder="1"/>
    <xf numFmtId="0" fontId="1" fillId="0" borderId="14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2" xfId="0" applyFont="1" applyBorder="1"/>
    <xf numFmtId="0" fontId="0" fillId="0" borderId="1" xfId="0" applyBorder="1" applyAlignment="1">
      <alignment wrapText="1"/>
    </xf>
    <xf numFmtId="0" fontId="1" fillId="0" borderId="12" xfId="0" applyFont="1" applyBorder="1" applyAlignment="1">
      <alignment horizontal="center" vertical="center" wrapText="1"/>
    </xf>
    <xf numFmtId="0" fontId="1" fillId="0" borderId="7" xfId="0" applyFont="1" applyBorder="1" applyAlignment="1">
      <alignment wrapText="1"/>
    </xf>
    <xf numFmtId="0" fontId="0" fillId="0" borderId="15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7" xfId="0" applyBorder="1" applyAlignment="1">
      <alignment wrapText="1"/>
    </xf>
    <xf numFmtId="164" fontId="0" fillId="0" borderId="8" xfId="1" applyNumberFormat="1" applyFont="1" applyBorder="1" applyAlignment="1">
      <alignment wrapText="1"/>
    </xf>
    <xf numFmtId="0" fontId="1" fillId="0" borderId="6" xfId="0" applyFont="1" applyBorder="1" applyAlignment="1">
      <alignment wrapText="1"/>
    </xf>
    <xf numFmtId="9" fontId="0" fillId="0" borderId="8" xfId="2" applyFont="1" applyBorder="1" applyAlignment="1">
      <alignment wrapText="1"/>
    </xf>
    <xf numFmtId="9" fontId="0" fillId="0" borderId="5" xfId="2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4" fontId="0" fillId="0" borderId="9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8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4" fontId="3" fillId="0" borderId="0" xfId="0" applyNumberFormat="1" applyFont="1"/>
    <xf numFmtId="0" fontId="4" fillId="0" borderId="0" xfId="3"/>
    <xf numFmtId="0" fontId="0" fillId="0" borderId="0" xfId="0" pivotButton="1"/>
    <xf numFmtId="9" fontId="0" fillId="0" borderId="0" xfId="2" applyFont="1"/>
    <xf numFmtId="0" fontId="0" fillId="0" borderId="0" xfId="0" applyAlignment="1">
      <alignment horizontal="left"/>
    </xf>
    <xf numFmtId="164" fontId="0" fillId="0" borderId="1" xfId="2" applyNumberFormat="1" applyFont="1" applyBorder="1" applyAlignment="1">
      <alignment horizontal="center" vertical="center" wrapText="1"/>
    </xf>
    <xf numFmtId="164" fontId="0" fillId="0" borderId="4" xfId="2" applyNumberFormat="1" applyFont="1" applyBorder="1" applyAlignment="1">
      <alignment horizontal="center" vertical="center" wrapText="1"/>
    </xf>
    <xf numFmtId="164" fontId="0" fillId="0" borderId="9" xfId="2" applyNumberFormat="1" applyFont="1" applyBorder="1" applyAlignment="1">
      <alignment horizontal="center" vertical="center"/>
    </xf>
    <xf numFmtId="164" fontId="0" fillId="0" borderId="13" xfId="2" applyNumberFormat="1" applyFont="1" applyBorder="1" applyAlignment="1">
      <alignment horizontal="center" vertical="center"/>
    </xf>
    <xf numFmtId="164" fontId="0" fillId="0" borderId="1" xfId="2" applyNumberFormat="1" applyFont="1" applyBorder="1" applyAlignment="1">
      <alignment horizontal="center" vertical="center"/>
    </xf>
    <xf numFmtId="164" fontId="0" fillId="0" borderId="4" xfId="2" applyNumberFormat="1" applyFont="1" applyBorder="1" applyAlignment="1">
      <alignment horizontal="center" vertical="center"/>
    </xf>
    <xf numFmtId="164" fontId="0" fillId="0" borderId="8" xfId="2" applyNumberFormat="1" applyFont="1" applyBorder="1" applyAlignment="1">
      <alignment horizontal="center" vertical="center"/>
    </xf>
    <xf numFmtId="164" fontId="0" fillId="0" borderId="5" xfId="2" applyNumberFormat="1" applyFont="1" applyBorder="1" applyAlignment="1">
      <alignment horizontal="center" vertical="center"/>
    </xf>
  </cellXfs>
  <cellStyles count="4">
    <cellStyle name="Hipervínculo" xfId="3" builtinId="8"/>
    <cellStyle name="Millares" xfId="1" builtinId="3"/>
    <cellStyle name="Normal" xfId="0" builtinId="0"/>
    <cellStyle name="Porcentaje" xfId="2" builtinId="5"/>
  </cellStyles>
  <dxfs count="181">
    <dxf>
      <numFmt numFmtId="164" formatCode="_-* #,##0_-;\-* #,##0_-;_-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_-* #,##0_-;\-* #,##0_-;_-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* #,##0_-;\-* #,##0_-;_-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* #,##0_-;\-* #,##0_-;_-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* #,##0_-;\-* #,##0_-;_-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* #,##0_-;\-* #,##0_-;_-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* #,##0_-;\-* #,##0_-;_-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* #,##0_-;\-* #,##0_-;_-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* #,##0_-;\-* #,##0_-;_-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* #,##0_-;\-* #,##0_-;_-* &quot;-&quot;??_-;_-@_-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* #,##0_-;\-* #,##0_-;_-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* #,##0_-;\-* #,##0_-;_-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* #,##0_-;\-* #,##0_-;_-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* #,##0_-;\-* #,##0_-;_-* &quot;-&quot;??_-;_-@_-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numFmt numFmtId="164" formatCode="_-* #,##0_-;\-* #,##0_-;_-* &quot;-&quot;??_-;_-@_-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numFmt numFmtId="164" formatCode="_-* #,##0_-;\-* #,##0_-;_-* &quot;-&quot;??_-;_-@_-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numFmt numFmtId="164" formatCode="_-* #,##0_-;\-* #,##0_-;_-* &quot;-&quot;??_-;_-@_-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numFmt numFmtId="164" formatCode="_-* #,##0_-;\-* #,##0_-;_-* &quot;-&quot;??_-;_-@_-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numFmt numFmtId="164" formatCode="_-* #,##0_-;\-* #,##0_-;_-* &quot;-&quot;??_-;_-@_-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numFmt numFmtId="164" formatCode="_-* #,##0_-;\-* #,##0_-;_-* &quot;-&quot;??_-;_-@_-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numFmt numFmtId="164" formatCode="_-* #,##0_-;\-* #,##0_-;_-* &quot;-&quot;??_-;_-@_-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numFmt numFmtId="164" formatCode="_-* #,##0_-;\-* #,##0_-;_-* &quot;-&quot;??_-;_-@_-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numFmt numFmtId="164" formatCode="_-* #,##0_-;\-* #,##0_-;_-* &quot;-&quot;??_-;_-@_-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numFmt numFmtId="164" formatCode="_-* #,##0_-;\-* #,##0_-;_-* &quot;-&quot;??_-;_-@_-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numFmt numFmtId="164" formatCode="_-* #,##0_-;\-* #,##0_-;_-* &quot;-&quot;??_-;_-@_-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numFmt numFmtId="164" formatCode="_-* #,##0_-;\-* #,##0_-;_-* &quot;-&quot;??_-;_-@_-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numFmt numFmtId="164" formatCode="_-* #,##0_-;\-* #,##0_-;_-* &quot;-&quot;??_-;_-@_-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numFmt numFmtId="164" formatCode="_-* #,##0_-;\-* #,##0_-;_-* &quot;-&quot;??_-;_-@_-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numFmt numFmtId="164" formatCode="_-* #,##0_-;\-* #,##0_-;_-* &quot;-&quot;??_-;_-@_-"/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1" indent="0" justifyLastLine="0" shrinkToFit="0" readingOrder="0"/>
    </dxf>
    <dxf>
      <numFmt numFmtId="165" formatCode="d/m/yyyy"/>
    </dxf>
    <dxf>
      <numFmt numFmtId="165" formatCode="d/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</dxfs>
  <tableStyles count="1" defaultTableStyle="TableStyleMedium2" defaultPivotStyle="PivotStyleLight16">
    <tableStyle name="Estilo de segmentación de datos 1" pivot="0" table="0" count="1">
      <tableStyleElement type="wholeTable" dxfId="180"/>
    </tableStyle>
  </tableStyles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>
        <x14:slicerStyle name="Estilo de segmentación de datos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07/relationships/slicerCache" Target="slicerCaches/slicerCache1.xml"/><Relationship Id="rId39" Type="http://schemas.openxmlformats.org/officeDocument/2006/relationships/customXml" Target="../customXml/item5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42" Type="http://schemas.openxmlformats.org/officeDocument/2006/relationships/customXml" Target="../customXml/item8.xml"/><Relationship Id="rId47" Type="http://schemas.openxmlformats.org/officeDocument/2006/relationships/customXml" Target="../customXml/item13.xml"/><Relationship Id="rId50" Type="http://schemas.openxmlformats.org/officeDocument/2006/relationships/customXml" Target="../customXml/item16.xml"/><Relationship Id="rId55" Type="http://schemas.openxmlformats.org/officeDocument/2006/relationships/customXml" Target="../customXml/item2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connections" Target="connections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3.xml"/><Relationship Id="rId32" Type="http://schemas.openxmlformats.org/officeDocument/2006/relationships/sheetMetadata" Target="metadata.xml"/><Relationship Id="rId37" Type="http://schemas.openxmlformats.org/officeDocument/2006/relationships/customXml" Target="../customXml/item3.xml"/><Relationship Id="rId40" Type="http://schemas.openxmlformats.org/officeDocument/2006/relationships/customXml" Target="../customXml/item6.xml"/><Relationship Id="rId45" Type="http://schemas.openxmlformats.org/officeDocument/2006/relationships/customXml" Target="../customXml/item11.xml"/><Relationship Id="rId53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4" Type="http://schemas.openxmlformats.org/officeDocument/2006/relationships/customXml" Target="../customXml/item10.xml"/><Relationship Id="rId52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microsoft.com/office/2007/relationships/slicerCache" Target="slicerCaches/slicerCache2.xml"/><Relationship Id="rId30" Type="http://schemas.openxmlformats.org/officeDocument/2006/relationships/styles" Target="styles.xml"/><Relationship Id="rId35" Type="http://schemas.openxmlformats.org/officeDocument/2006/relationships/customXml" Target="../customXml/item1.xml"/><Relationship Id="rId43" Type="http://schemas.openxmlformats.org/officeDocument/2006/relationships/customXml" Target="../customXml/item9.xml"/><Relationship Id="rId48" Type="http://schemas.openxmlformats.org/officeDocument/2006/relationships/customXml" Target="../customXml/item14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4.xml"/><Relationship Id="rId33" Type="http://schemas.openxmlformats.org/officeDocument/2006/relationships/powerPivotData" Target="model/item.data"/><Relationship Id="rId38" Type="http://schemas.openxmlformats.org/officeDocument/2006/relationships/customXml" Target="../customXml/item4.xml"/><Relationship Id="rId46" Type="http://schemas.openxmlformats.org/officeDocument/2006/relationships/customXml" Target="../customXml/item12.xml"/><Relationship Id="rId20" Type="http://schemas.openxmlformats.org/officeDocument/2006/relationships/worksheet" Target="worksheets/sheet20.xml"/><Relationship Id="rId41" Type="http://schemas.openxmlformats.org/officeDocument/2006/relationships/customXml" Target="../customXml/item7.xml"/><Relationship Id="rId54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28" Type="http://schemas.openxmlformats.org/officeDocument/2006/relationships/theme" Target="theme/theme1.xml"/><Relationship Id="rId36" Type="http://schemas.openxmlformats.org/officeDocument/2006/relationships/customXml" Target="../customXml/item2.xml"/><Relationship Id="rId49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[entrega_proyecto _LARA_LEDESMA.xlsx]Preguntas y Respuestas - Aux. !TablaDinámica11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Respuestas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'Preguntas y Respuestas - Aux. '!$A$3</c:f>
              <c:strCache>
                <c:ptCount val="1"/>
                <c:pt idx="0">
                  <c:v>Suma de Alpiste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'Preguntas y Respuestas - Aux. 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'Preguntas y Respuestas - Aux. '!$A$4</c:f>
              <c:numCache>
                <c:formatCode>General</c:formatCode>
                <c:ptCount val="1"/>
                <c:pt idx="0">
                  <c:v>3.7645744169482832E-2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0-4073-A432-A0DA5DC0681A}"/>
            </c:ext>
          </c:extLst>
        </c:ser>
        <c:ser>
          <c:idx val="1"/>
          <c:order val="1"/>
          <c:tx>
            <c:strRef>
              <c:f>'Preguntas y Respuestas - Aux. '!$B$3</c:f>
              <c:strCache>
                <c:ptCount val="1"/>
                <c:pt idx="0">
                  <c:v>Suma de Arroz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'Preguntas y Respuestas - Aux. 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'Preguntas y Respuestas - Aux. '!$B$4</c:f>
              <c:numCache>
                <c:formatCode>General</c:formatCode>
                <c:ptCount val="1"/>
                <c:pt idx="0">
                  <c:v>0.35591421268378387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F0-4073-A432-A0DA5DC0681A}"/>
            </c:ext>
          </c:extLst>
        </c:ser>
        <c:ser>
          <c:idx val="2"/>
          <c:order val="2"/>
          <c:tx>
            <c:strRef>
              <c:f>'Preguntas y Respuestas - Aux. '!$C$3</c:f>
              <c:strCache>
                <c:ptCount val="1"/>
                <c:pt idx="0">
                  <c:v>Suma de Avena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'Preguntas y Respuestas - Aux. 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'Preguntas y Respuestas - Aux. '!$C$4</c:f>
              <c:numCache>
                <c:formatCode>General</c:formatCode>
                <c:ptCount val="1"/>
                <c:pt idx="0">
                  <c:v>-0.51408492401492512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F0-4073-A432-A0DA5DC0681A}"/>
            </c:ext>
          </c:extLst>
        </c:ser>
        <c:ser>
          <c:idx val="3"/>
          <c:order val="3"/>
          <c:tx>
            <c:strRef>
              <c:f>'Preguntas y Respuestas - Aux. '!$D$3</c:f>
              <c:strCache>
                <c:ptCount val="1"/>
                <c:pt idx="0">
                  <c:v>Suma de Cartamo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'Preguntas y Respuestas - Aux. 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'Preguntas y Respuestas - Aux. '!$D$4</c:f>
              <c:numCache>
                <c:formatCode>General</c:formatCode>
                <c:ptCount val="1"/>
                <c:pt idx="0">
                  <c:v>-0.98002489577469676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F0-4073-A432-A0DA5DC0681A}"/>
            </c:ext>
          </c:extLst>
        </c:ser>
        <c:ser>
          <c:idx val="4"/>
          <c:order val="4"/>
          <c:tx>
            <c:strRef>
              <c:f>'Preguntas y Respuestas - Aux. '!$E$3</c:f>
              <c:strCache>
                <c:ptCount val="1"/>
                <c:pt idx="0">
                  <c:v>Suma de Cebada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'Preguntas y Respuestas - Aux. 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'Preguntas y Respuestas - Aux. '!$E$4</c:f>
              <c:numCache>
                <c:formatCode>General</c:formatCode>
                <c:ptCount val="1"/>
                <c:pt idx="0">
                  <c:v>0.48424909533569732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F0-4073-A432-A0DA5DC0681A}"/>
            </c:ext>
          </c:extLst>
        </c:ser>
        <c:ser>
          <c:idx val="5"/>
          <c:order val="5"/>
          <c:tx>
            <c:strRef>
              <c:f>'Preguntas y Respuestas - Aux. '!$F$3</c:f>
              <c:strCache>
                <c:ptCount val="1"/>
                <c:pt idx="0">
                  <c:v>Suma de Centeno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'Preguntas y Respuestas - Aux. 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'Preguntas y Respuestas - Aux. '!$F$4</c:f>
              <c:numCache>
                <c:formatCode>General</c:formatCode>
                <c:ptCount val="1"/>
                <c:pt idx="0">
                  <c:v>-0.72423118343903314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F0-4073-A432-A0DA5DC0681A}"/>
            </c:ext>
          </c:extLst>
        </c:ser>
        <c:ser>
          <c:idx val="6"/>
          <c:order val="6"/>
          <c:tx>
            <c:strRef>
              <c:f>'Preguntas y Respuestas - Aux. '!$G$3</c:f>
              <c:strCache>
                <c:ptCount val="1"/>
                <c:pt idx="0">
                  <c:v>Suma de Girasol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'Preguntas y Respuestas - Aux. 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'Preguntas y Respuestas - Aux. '!$G$4</c:f>
              <c:numCache>
                <c:formatCode>General</c:formatCode>
                <c:ptCount val="1"/>
                <c:pt idx="0">
                  <c:v>0.23902597542391224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F0-4073-A432-A0DA5DC0681A}"/>
            </c:ext>
          </c:extLst>
        </c:ser>
        <c:ser>
          <c:idx val="7"/>
          <c:order val="7"/>
          <c:tx>
            <c:strRef>
              <c:f>'Preguntas y Respuestas - Aux. '!$H$3</c:f>
              <c:strCache>
                <c:ptCount val="1"/>
                <c:pt idx="0">
                  <c:v>Suma de Lino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'Preguntas y Respuestas - Aux. 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'Preguntas y Respuestas - Aux. '!$H$4</c:f>
              <c:numCache>
                <c:formatCode>General</c:formatCode>
                <c:ptCount val="1"/>
                <c:pt idx="0">
                  <c:v>-0.11205127995078983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F0-4073-A432-A0DA5DC0681A}"/>
            </c:ext>
          </c:extLst>
        </c:ser>
        <c:ser>
          <c:idx val="8"/>
          <c:order val="8"/>
          <c:tx>
            <c:strRef>
              <c:f>'Preguntas y Respuestas - Aux. '!$I$3</c:f>
              <c:strCache>
                <c:ptCount val="1"/>
                <c:pt idx="0">
                  <c:v>Suma de Maiz 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'Preguntas y Respuestas - Aux. 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'Preguntas y Respuestas - Aux. '!$I$4</c:f>
              <c:numCache>
                <c:formatCode>General</c:formatCode>
                <c:ptCount val="1"/>
                <c:pt idx="0">
                  <c:v>0.6521101322084365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7F0-4073-A432-A0DA5DC0681A}"/>
            </c:ext>
          </c:extLst>
        </c:ser>
        <c:ser>
          <c:idx val="9"/>
          <c:order val="9"/>
          <c:tx>
            <c:strRef>
              <c:f>'Preguntas y Respuestas - Aux. '!$J$3</c:f>
              <c:strCache>
                <c:ptCount val="1"/>
                <c:pt idx="0">
                  <c:v>Suma de Mani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'Preguntas y Respuestas - Aux. 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'Preguntas y Respuestas - Aux. '!$J$4</c:f>
              <c:numCache>
                <c:formatCode>General</c:formatCode>
                <c:ptCount val="1"/>
                <c:pt idx="0">
                  <c:v>0.36019330903256075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7F0-4073-A432-A0DA5DC0681A}"/>
            </c:ext>
          </c:extLst>
        </c:ser>
        <c:ser>
          <c:idx val="10"/>
          <c:order val="10"/>
          <c:tx>
            <c:strRef>
              <c:f>'Preguntas y Respuestas - Aux. '!$K$3</c:f>
              <c:strCache>
                <c:ptCount val="1"/>
                <c:pt idx="0">
                  <c:v>Suma de Mijo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'Preguntas y Respuestas - Aux. 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'Preguntas y Respuestas - Aux. '!$K$4</c:f>
              <c:numCache>
                <c:formatCode>General</c:formatCode>
                <c:ptCount val="1"/>
                <c:pt idx="0">
                  <c:v>-0.24526812122524225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7F0-4073-A432-A0DA5DC0681A}"/>
            </c:ext>
          </c:extLst>
        </c:ser>
        <c:ser>
          <c:idx val="11"/>
          <c:order val="11"/>
          <c:tx>
            <c:strRef>
              <c:f>'Preguntas y Respuestas - Aux. '!$L$3</c:f>
              <c:strCache>
                <c:ptCount val="1"/>
                <c:pt idx="0">
                  <c:v>Suma de Soja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'Preguntas y Respuestas - Aux. 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'Preguntas y Respuestas - Aux. '!$L$4</c:f>
              <c:numCache>
                <c:formatCode>General</c:formatCode>
                <c:ptCount val="1"/>
                <c:pt idx="0">
                  <c:v>0.43487881812886159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7F0-4073-A432-A0DA5DC0681A}"/>
            </c:ext>
          </c:extLst>
        </c:ser>
        <c:ser>
          <c:idx val="12"/>
          <c:order val="12"/>
          <c:tx>
            <c:strRef>
              <c:f>'Preguntas y Respuestas - Aux. '!$M$3</c:f>
              <c:strCache>
                <c:ptCount val="1"/>
                <c:pt idx="0">
                  <c:v>Suma de Sorgogranifero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'Preguntas y Respuestas - Aux. 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'Preguntas y Respuestas - Aux. '!$M$4</c:f>
              <c:numCache>
                <c:formatCode>General</c:formatCode>
                <c:ptCount val="1"/>
                <c:pt idx="0">
                  <c:v>0.53023518313354379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7F0-4073-A432-A0DA5DC0681A}"/>
            </c:ext>
          </c:extLst>
        </c:ser>
        <c:ser>
          <c:idx val="13"/>
          <c:order val="13"/>
          <c:tx>
            <c:strRef>
              <c:f>'Preguntas y Respuestas - Aux. '!$N$3</c:f>
              <c:strCache>
                <c:ptCount val="1"/>
                <c:pt idx="0">
                  <c:v>Suma de Trigo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'Preguntas y Respuestas - Aux. 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'Preguntas y Respuestas - Aux. '!$N$4</c:f>
              <c:numCache>
                <c:formatCode>General</c:formatCode>
                <c:ptCount val="1"/>
                <c:pt idx="0">
                  <c:v>-0.17710862298166855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7F0-4073-A432-A0DA5DC06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632063"/>
        <c:axId val="803637055"/>
      </c:barChart>
      <c:catAx>
        <c:axId val="80363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3637055"/>
        <c:crosses val="autoZero"/>
        <c:auto val="1"/>
        <c:lblAlgn val="ctr"/>
        <c:lblOffset val="100"/>
        <c:noMultiLvlLbl val="0"/>
      </c:catAx>
      <c:valAx>
        <c:axId val="80363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363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[entrega_proyecto _LARA_LEDESMA.xlsx]Hectareas - Aux.!TablaDinámica2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Hectareas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'Hectareas - Aux.'!$B$3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'Hectareas - Aux.'!$A$4:$A$17</c:f>
              <c:strCache>
                <c:ptCount val="14"/>
                <c:pt idx="0">
                  <c:v>Alpiste </c:v>
                </c:pt>
                <c:pt idx="1">
                  <c:v>Arroz</c:v>
                </c:pt>
                <c:pt idx="2">
                  <c:v>Avena</c:v>
                </c:pt>
                <c:pt idx="3">
                  <c:v>Cartamo</c:v>
                </c:pt>
                <c:pt idx="4">
                  <c:v>Cebada </c:v>
                </c:pt>
                <c:pt idx="5">
                  <c:v>Centeno</c:v>
                </c:pt>
                <c:pt idx="6">
                  <c:v>Girasol</c:v>
                </c:pt>
                <c:pt idx="7">
                  <c:v>Lino</c:v>
                </c:pt>
                <c:pt idx="8">
                  <c:v>Maiz</c:v>
                </c:pt>
                <c:pt idx="9">
                  <c:v>Mani</c:v>
                </c:pt>
                <c:pt idx="10">
                  <c:v>Mijo</c:v>
                </c:pt>
                <c:pt idx="11">
                  <c:v>Soja</c:v>
                </c:pt>
                <c:pt idx="12">
                  <c:v>Sorgogranifero</c:v>
                </c:pt>
                <c:pt idx="13">
                  <c:v>Trigo</c:v>
                </c:pt>
              </c:strCache>
            </c:strRef>
          </c:cat>
          <c:val>
            <c:numRef>
              <c:f>'Hectareas - Aux.'!$B$4:$B$17</c:f>
              <c:numCache>
                <c:formatCode>General</c:formatCode>
                <c:ptCount val="14"/>
                <c:pt idx="0">
                  <c:v>15000</c:v>
                </c:pt>
                <c:pt idx="1">
                  <c:v>185000</c:v>
                </c:pt>
                <c:pt idx="2">
                  <c:v>1485000</c:v>
                </c:pt>
                <c:pt idx="3">
                  <c:v>27000</c:v>
                </c:pt>
                <c:pt idx="4">
                  <c:v>1277000</c:v>
                </c:pt>
                <c:pt idx="5">
                  <c:v>726000</c:v>
                </c:pt>
                <c:pt idx="6">
                  <c:v>1400000</c:v>
                </c:pt>
                <c:pt idx="7">
                  <c:v>9000</c:v>
                </c:pt>
                <c:pt idx="8">
                  <c:v>9500000</c:v>
                </c:pt>
                <c:pt idx="9">
                  <c:v>370000</c:v>
                </c:pt>
                <c:pt idx="10">
                  <c:v>11000</c:v>
                </c:pt>
                <c:pt idx="11">
                  <c:v>16900000</c:v>
                </c:pt>
                <c:pt idx="12">
                  <c:v>520000</c:v>
                </c:pt>
                <c:pt idx="13">
                  <c:v>6950000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B8-4B78-BA0A-5EAD927B6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8637040"/>
        <c:axId val="1628634128"/>
      </c:lineChart>
      <c:catAx>
        <c:axId val="162863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8634128"/>
        <c:crosses val="autoZero"/>
        <c:auto val="1"/>
        <c:lblAlgn val="ctr"/>
        <c:lblOffset val="100"/>
        <c:noMultiLvlLbl val="0"/>
      </c:catAx>
      <c:valAx>
        <c:axId val="162863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863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[entrega_proyecto _LARA_LEDESMA.xlsx]Toneladas- Aux.!TablaDinámica3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Toneladas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'Toneladas- Aux.'!$B$4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'Toneladas- Aux.'!$A$5:$A$18</c:f>
              <c:strCache>
                <c:ptCount val="14"/>
                <c:pt idx="0">
                  <c:v>Alpiste</c:v>
                </c:pt>
                <c:pt idx="1">
                  <c:v>Arroz</c:v>
                </c:pt>
                <c:pt idx="2">
                  <c:v>Avena</c:v>
                </c:pt>
                <c:pt idx="3">
                  <c:v>Cartamo</c:v>
                </c:pt>
                <c:pt idx="4">
                  <c:v>Cebada</c:v>
                </c:pt>
                <c:pt idx="5">
                  <c:v>Centeno</c:v>
                </c:pt>
                <c:pt idx="6">
                  <c:v>Girasol</c:v>
                </c:pt>
                <c:pt idx="7">
                  <c:v>Lino</c:v>
                </c:pt>
                <c:pt idx="8">
                  <c:v>Maiz</c:v>
                </c:pt>
                <c:pt idx="9">
                  <c:v>Mani</c:v>
                </c:pt>
                <c:pt idx="10">
                  <c:v>Mijo</c:v>
                </c:pt>
                <c:pt idx="11">
                  <c:v>Soja</c:v>
                </c:pt>
                <c:pt idx="12">
                  <c:v>sorgogranifero</c:v>
                </c:pt>
                <c:pt idx="13">
                  <c:v>Trigo</c:v>
                </c:pt>
              </c:strCache>
            </c:strRef>
          </c:cat>
          <c:val>
            <c:numRef>
              <c:f>'Toneladas- Aux.'!$B$5:$B$18</c:f>
              <c:numCache>
                <c:formatCode>General</c:formatCode>
                <c:ptCount val="14"/>
                <c:pt idx="0">
                  <c:v>20500</c:v>
                </c:pt>
                <c:pt idx="1">
                  <c:v>122000</c:v>
                </c:pt>
                <c:pt idx="2">
                  <c:v>600000</c:v>
                </c:pt>
                <c:pt idx="3">
                  <c:v>225</c:v>
                </c:pt>
                <c:pt idx="4">
                  <c:v>3612800</c:v>
                </c:pt>
                <c:pt idx="5">
                  <c:v>221000</c:v>
                </c:pt>
                <c:pt idx="6">
                  <c:v>2850000</c:v>
                </c:pt>
                <c:pt idx="7">
                  <c:v>99500</c:v>
                </c:pt>
                <c:pt idx="8">
                  <c:v>58500000</c:v>
                </c:pt>
                <c:pt idx="9">
                  <c:v>1300000</c:v>
                </c:pt>
                <c:pt idx="10">
                  <c:v>5400</c:v>
                </c:pt>
                <c:pt idx="11">
                  <c:v>49000000</c:v>
                </c:pt>
                <c:pt idx="12">
                  <c:v>1850000</c:v>
                </c:pt>
                <c:pt idx="13">
                  <c:v>1977000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5E-4A54-99F3-A3037E331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597968"/>
        <c:axId val="976593808"/>
      </c:lineChart>
      <c:catAx>
        <c:axId val="97659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6593808"/>
        <c:crosses val="autoZero"/>
        <c:auto val="1"/>
        <c:lblAlgn val="ctr"/>
        <c:lblOffset val="100"/>
        <c:noMultiLvlLbl val="0"/>
      </c:catAx>
      <c:valAx>
        <c:axId val="97659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659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[entrega_proyecto _LARA_LEDESMA.xlsx]Preguntas y Respuestas - Aux. !TablaDinámica11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j-lt"/>
                <a:ea typeface="+mn-ea"/>
                <a:cs typeface="+mn-cs"/>
              </a:defRPr>
            </a:pPr>
            <a:r>
              <a:rPr lang="en-US">
                <a:latin typeface="+mj-lt"/>
              </a:rPr>
              <a:t>Respuestas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j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</c:pivotFmt>
      <c:pivotFmt>
        <c:idx val="113"/>
      </c:pivotFmt>
      <c:pivotFmt>
        <c:idx val="114"/>
      </c:pivotFmt>
      <c:pivotFmt>
        <c:idx val="115"/>
      </c:pivotFmt>
      <c:pivotFmt>
        <c:idx val="116"/>
      </c:pivotFmt>
      <c:pivotFmt>
        <c:idx val="117"/>
      </c:pivotFmt>
      <c:pivotFmt>
        <c:idx val="118"/>
      </c:pivotFmt>
      <c:pivotFmt>
        <c:idx val="119"/>
      </c:pivotFmt>
      <c:pivotFmt>
        <c:idx val="120"/>
      </c:pivotFmt>
      <c:pivotFmt>
        <c:idx val="121"/>
      </c:pivotFmt>
      <c:pivotFmt>
        <c:idx val="122"/>
      </c:pivotFmt>
      <c:pivotFmt>
        <c:idx val="123"/>
      </c:pivotFmt>
      <c:pivotFmt>
        <c:idx val="124"/>
      </c:pivotFmt>
      <c:pivotFmt>
        <c:idx val="125"/>
      </c:pivotFmt>
      <c:pivotFmt>
        <c:idx val="1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</c:pivotFmt>
      <c:pivotFmt>
        <c:idx val="141"/>
      </c:pivotFmt>
      <c:pivotFmt>
        <c:idx val="142"/>
      </c:pivotFmt>
      <c:pivotFmt>
        <c:idx val="143"/>
      </c:pivotFmt>
      <c:pivotFmt>
        <c:idx val="144"/>
      </c:pivotFmt>
      <c:pivotFmt>
        <c:idx val="145"/>
      </c:pivotFmt>
      <c:pivotFmt>
        <c:idx val="146"/>
      </c:pivotFmt>
      <c:pivotFmt>
        <c:idx val="147"/>
      </c:pivotFmt>
      <c:pivotFmt>
        <c:idx val="148"/>
      </c:pivotFmt>
      <c:pivotFmt>
        <c:idx val="149"/>
      </c:pivotFmt>
      <c:pivotFmt>
        <c:idx val="150"/>
      </c:pivotFmt>
      <c:pivotFmt>
        <c:idx val="151"/>
      </c:pivotFmt>
      <c:pivotFmt>
        <c:idx val="152"/>
      </c:pivotFmt>
      <c:pivotFmt>
        <c:idx val="153"/>
      </c:pivotFmt>
      <c:pivotFmt>
        <c:idx val="1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'Preguntas y Respuestas - Aux. '!$A$3</c:f>
              <c:strCache>
                <c:ptCount val="1"/>
                <c:pt idx="0">
                  <c:v>Suma de Alpiste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'Preguntas y Respuestas - Aux. 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'Preguntas y Respuestas - Aux. '!$A$4</c:f>
              <c:numCache>
                <c:formatCode>General</c:formatCode>
                <c:ptCount val="1"/>
                <c:pt idx="0">
                  <c:v>3.7645744169482832E-2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2-485D-9CF2-3E16B5685450}"/>
            </c:ext>
          </c:extLst>
        </c:ser>
        <c:ser>
          <c:idx val="1"/>
          <c:order val="1"/>
          <c:tx>
            <c:strRef>
              <c:f>'Preguntas y Respuestas - Aux. '!$B$3</c:f>
              <c:strCache>
                <c:ptCount val="1"/>
                <c:pt idx="0">
                  <c:v>Suma de Arroz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'Preguntas y Respuestas - Aux. 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'Preguntas y Respuestas - Aux. '!$B$4</c:f>
              <c:numCache>
                <c:formatCode>General</c:formatCode>
                <c:ptCount val="1"/>
                <c:pt idx="0">
                  <c:v>0.35591421268378387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52-485D-9CF2-3E16B5685450}"/>
            </c:ext>
          </c:extLst>
        </c:ser>
        <c:ser>
          <c:idx val="2"/>
          <c:order val="2"/>
          <c:tx>
            <c:strRef>
              <c:f>'Preguntas y Respuestas - Aux. '!$C$3</c:f>
              <c:strCache>
                <c:ptCount val="1"/>
                <c:pt idx="0">
                  <c:v>Suma de Avena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'Preguntas y Respuestas - Aux. 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'Preguntas y Respuestas - Aux. '!$C$4</c:f>
              <c:numCache>
                <c:formatCode>General</c:formatCode>
                <c:ptCount val="1"/>
                <c:pt idx="0">
                  <c:v>-0.51408492401492512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52-485D-9CF2-3E16B5685450}"/>
            </c:ext>
          </c:extLst>
        </c:ser>
        <c:ser>
          <c:idx val="3"/>
          <c:order val="3"/>
          <c:tx>
            <c:strRef>
              <c:f>'Preguntas y Respuestas - Aux. '!$D$3</c:f>
              <c:strCache>
                <c:ptCount val="1"/>
                <c:pt idx="0">
                  <c:v>Suma de Cartamo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'Preguntas y Respuestas - Aux. 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'Preguntas y Respuestas - Aux. '!$D$4</c:f>
              <c:numCache>
                <c:formatCode>General</c:formatCode>
                <c:ptCount val="1"/>
                <c:pt idx="0">
                  <c:v>-0.98002489577469676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52-485D-9CF2-3E16B5685450}"/>
            </c:ext>
          </c:extLst>
        </c:ser>
        <c:ser>
          <c:idx val="4"/>
          <c:order val="4"/>
          <c:tx>
            <c:strRef>
              <c:f>'Preguntas y Respuestas - Aux. '!$E$3</c:f>
              <c:strCache>
                <c:ptCount val="1"/>
                <c:pt idx="0">
                  <c:v>Suma de Cebada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'Preguntas y Respuestas - Aux. 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'Preguntas y Respuestas - Aux. '!$E$4</c:f>
              <c:numCache>
                <c:formatCode>General</c:formatCode>
                <c:ptCount val="1"/>
                <c:pt idx="0">
                  <c:v>0.48424909533569732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52-485D-9CF2-3E16B5685450}"/>
            </c:ext>
          </c:extLst>
        </c:ser>
        <c:ser>
          <c:idx val="5"/>
          <c:order val="5"/>
          <c:tx>
            <c:strRef>
              <c:f>'Preguntas y Respuestas - Aux. '!$F$3</c:f>
              <c:strCache>
                <c:ptCount val="1"/>
                <c:pt idx="0">
                  <c:v>Suma de Centeno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'Preguntas y Respuestas - Aux. 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'Preguntas y Respuestas - Aux. '!$F$4</c:f>
              <c:numCache>
                <c:formatCode>General</c:formatCode>
                <c:ptCount val="1"/>
                <c:pt idx="0">
                  <c:v>-0.72423118343903314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52-485D-9CF2-3E16B5685450}"/>
            </c:ext>
          </c:extLst>
        </c:ser>
        <c:ser>
          <c:idx val="6"/>
          <c:order val="6"/>
          <c:tx>
            <c:strRef>
              <c:f>'Preguntas y Respuestas - Aux. '!$G$3</c:f>
              <c:strCache>
                <c:ptCount val="1"/>
                <c:pt idx="0">
                  <c:v>Suma de Girasol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'Preguntas y Respuestas - Aux. 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'Preguntas y Respuestas - Aux. '!$G$4</c:f>
              <c:numCache>
                <c:formatCode>General</c:formatCode>
                <c:ptCount val="1"/>
                <c:pt idx="0">
                  <c:v>0.23902597542391224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52-485D-9CF2-3E16B5685450}"/>
            </c:ext>
          </c:extLst>
        </c:ser>
        <c:ser>
          <c:idx val="7"/>
          <c:order val="7"/>
          <c:tx>
            <c:strRef>
              <c:f>'Preguntas y Respuestas - Aux. '!$H$3</c:f>
              <c:strCache>
                <c:ptCount val="1"/>
                <c:pt idx="0">
                  <c:v>Suma de Lino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'Preguntas y Respuestas - Aux. 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'Preguntas y Respuestas - Aux. '!$H$4</c:f>
              <c:numCache>
                <c:formatCode>General</c:formatCode>
                <c:ptCount val="1"/>
                <c:pt idx="0">
                  <c:v>-0.11205127995078983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52-485D-9CF2-3E16B5685450}"/>
            </c:ext>
          </c:extLst>
        </c:ser>
        <c:ser>
          <c:idx val="8"/>
          <c:order val="8"/>
          <c:tx>
            <c:strRef>
              <c:f>'Preguntas y Respuestas - Aux. '!$I$3</c:f>
              <c:strCache>
                <c:ptCount val="1"/>
                <c:pt idx="0">
                  <c:v>Suma de Maiz 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'Preguntas y Respuestas - Aux. 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'Preguntas y Respuestas - Aux. '!$I$4</c:f>
              <c:numCache>
                <c:formatCode>General</c:formatCode>
                <c:ptCount val="1"/>
                <c:pt idx="0">
                  <c:v>0.6521101322084365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2-485D-9CF2-3E16B5685450}"/>
            </c:ext>
          </c:extLst>
        </c:ser>
        <c:ser>
          <c:idx val="9"/>
          <c:order val="9"/>
          <c:tx>
            <c:strRef>
              <c:f>'Preguntas y Respuestas - Aux. '!$J$3</c:f>
              <c:strCache>
                <c:ptCount val="1"/>
                <c:pt idx="0">
                  <c:v>Suma de Mani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'Preguntas y Respuestas - Aux. 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'Preguntas y Respuestas - Aux. '!$J$4</c:f>
              <c:numCache>
                <c:formatCode>General</c:formatCode>
                <c:ptCount val="1"/>
                <c:pt idx="0">
                  <c:v>0.36019330903256075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A52-485D-9CF2-3E16B5685450}"/>
            </c:ext>
          </c:extLst>
        </c:ser>
        <c:ser>
          <c:idx val="10"/>
          <c:order val="10"/>
          <c:tx>
            <c:strRef>
              <c:f>'Preguntas y Respuestas - Aux. '!$K$3</c:f>
              <c:strCache>
                <c:ptCount val="1"/>
                <c:pt idx="0">
                  <c:v>Suma de Mijo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'Preguntas y Respuestas - Aux. 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'Preguntas y Respuestas - Aux. '!$K$4</c:f>
              <c:numCache>
                <c:formatCode>General</c:formatCode>
                <c:ptCount val="1"/>
                <c:pt idx="0">
                  <c:v>-0.24526812122524225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52-485D-9CF2-3E16B5685450}"/>
            </c:ext>
          </c:extLst>
        </c:ser>
        <c:ser>
          <c:idx val="11"/>
          <c:order val="11"/>
          <c:tx>
            <c:strRef>
              <c:f>'Preguntas y Respuestas - Aux. '!$L$3</c:f>
              <c:strCache>
                <c:ptCount val="1"/>
                <c:pt idx="0">
                  <c:v>Suma de Soja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'Preguntas y Respuestas - Aux. 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'Preguntas y Respuestas - Aux. '!$L$4</c:f>
              <c:numCache>
                <c:formatCode>General</c:formatCode>
                <c:ptCount val="1"/>
                <c:pt idx="0">
                  <c:v>0.43487881812886159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A52-485D-9CF2-3E16B5685450}"/>
            </c:ext>
          </c:extLst>
        </c:ser>
        <c:ser>
          <c:idx val="12"/>
          <c:order val="12"/>
          <c:tx>
            <c:strRef>
              <c:f>'Preguntas y Respuestas - Aux. '!$M$3</c:f>
              <c:strCache>
                <c:ptCount val="1"/>
                <c:pt idx="0">
                  <c:v>Suma de Sorgogranifero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'Preguntas y Respuestas - Aux. 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'Preguntas y Respuestas - Aux. '!$M$4</c:f>
              <c:numCache>
                <c:formatCode>General</c:formatCode>
                <c:ptCount val="1"/>
                <c:pt idx="0">
                  <c:v>0.53023518313354379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A52-485D-9CF2-3E16B5685450}"/>
            </c:ext>
          </c:extLst>
        </c:ser>
        <c:ser>
          <c:idx val="13"/>
          <c:order val="13"/>
          <c:tx>
            <c:strRef>
              <c:f>'Preguntas y Respuestas - Aux. '!$N$3</c:f>
              <c:strCache>
                <c:ptCount val="1"/>
                <c:pt idx="0">
                  <c:v>Suma de Trigo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'Preguntas y Respuestas - Aux. 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'Preguntas y Respuestas - Aux. '!$N$4</c:f>
              <c:numCache>
                <c:formatCode>General</c:formatCode>
                <c:ptCount val="1"/>
                <c:pt idx="0">
                  <c:v>-0.17710862298166855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A52-485D-9CF2-3E16B5685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03632063"/>
        <c:axId val="803637055"/>
      </c:barChart>
      <c:catAx>
        <c:axId val="80363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3637055"/>
        <c:crosses val="autoZero"/>
        <c:auto val="1"/>
        <c:lblAlgn val="ctr"/>
        <c:lblOffset val="100"/>
        <c:noMultiLvlLbl val="0"/>
      </c:catAx>
      <c:valAx>
        <c:axId val="80363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363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[entrega_proyecto _LARA_LEDESMA.xlsx]Hectareas - Aux.!TablaDinámica2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chemeClr val="tx1"/>
                </a:solidFill>
              </a:rPr>
              <a:t>Hectareas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'Hectareas - Aux.'!$B$3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'Hectareas - Aux.'!$A$4:$A$17</c:f>
              <c:strCache>
                <c:ptCount val="14"/>
                <c:pt idx="0">
                  <c:v>Alpiste </c:v>
                </c:pt>
                <c:pt idx="1">
                  <c:v>Arroz</c:v>
                </c:pt>
                <c:pt idx="2">
                  <c:v>Avena</c:v>
                </c:pt>
                <c:pt idx="3">
                  <c:v>Cartamo</c:v>
                </c:pt>
                <c:pt idx="4">
                  <c:v>Cebada </c:v>
                </c:pt>
                <c:pt idx="5">
                  <c:v>Centeno</c:v>
                </c:pt>
                <c:pt idx="6">
                  <c:v>Girasol</c:v>
                </c:pt>
                <c:pt idx="7">
                  <c:v>Lino</c:v>
                </c:pt>
                <c:pt idx="8">
                  <c:v>Maiz</c:v>
                </c:pt>
                <c:pt idx="9">
                  <c:v>Mani</c:v>
                </c:pt>
                <c:pt idx="10">
                  <c:v>Mijo</c:v>
                </c:pt>
                <c:pt idx="11">
                  <c:v>Soja</c:v>
                </c:pt>
                <c:pt idx="12">
                  <c:v>Sorgogranifero</c:v>
                </c:pt>
                <c:pt idx="13">
                  <c:v>Trigo</c:v>
                </c:pt>
              </c:strCache>
            </c:strRef>
          </c:cat>
          <c:val>
            <c:numRef>
              <c:f>'Hectareas - Aux.'!$B$4:$B$17</c:f>
              <c:numCache>
                <c:formatCode>General</c:formatCode>
                <c:ptCount val="14"/>
                <c:pt idx="0">
                  <c:v>15000</c:v>
                </c:pt>
                <c:pt idx="1">
                  <c:v>185000</c:v>
                </c:pt>
                <c:pt idx="2">
                  <c:v>1485000</c:v>
                </c:pt>
                <c:pt idx="3">
                  <c:v>27000</c:v>
                </c:pt>
                <c:pt idx="4">
                  <c:v>1277000</c:v>
                </c:pt>
                <c:pt idx="5">
                  <c:v>726000</c:v>
                </c:pt>
                <c:pt idx="6">
                  <c:v>1400000</c:v>
                </c:pt>
                <c:pt idx="7">
                  <c:v>9000</c:v>
                </c:pt>
                <c:pt idx="8">
                  <c:v>9500000</c:v>
                </c:pt>
                <c:pt idx="9">
                  <c:v>370000</c:v>
                </c:pt>
                <c:pt idx="10">
                  <c:v>11000</c:v>
                </c:pt>
                <c:pt idx="11">
                  <c:v>16900000</c:v>
                </c:pt>
                <c:pt idx="12">
                  <c:v>520000</c:v>
                </c:pt>
                <c:pt idx="13">
                  <c:v>6950000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2C-4821-976E-A7C9948D9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637040"/>
        <c:axId val="1628634128"/>
      </c:lineChart>
      <c:catAx>
        <c:axId val="162863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8634128"/>
        <c:crosses val="autoZero"/>
        <c:auto val="1"/>
        <c:lblAlgn val="ctr"/>
        <c:lblOffset val="100"/>
        <c:noMultiLvlLbl val="0"/>
      </c:catAx>
      <c:valAx>
        <c:axId val="162863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863704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[entrega_proyecto _LARA_LEDESMA.xlsx]Toneladas- Aux.!TablaDinámica3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chemeClr val="tx1"/>
                </a:solidFill>
              </a:rPr>
              <a:t>Toneladas</a:t>
            </a:r>
          </a:p>
        </c:rich>
      </c:tx>
      <c:layout>
        <c:manualLayout>
          <c:xMode val="edge"/>
          <c:yMode val="edge"/>
          <c:x val="0.40563625145223009"/>
          <c:y val="3.81861862223037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  <c:pivotFmt>
        <c:idx val="10"/>
      </c:pivotFmt>
      <c:pivotFmt>
        <c:idx val="1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'Toneladas- Aux.'!$B$4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'Toneladas- Aux.'!$A$5:$A$18</c:f>
              <c:strCache>
                <c:ptCount val="14"/>
                <c:pt idx="0">
                  <c:v>Alpiste</c:v>
                </c:pt>
                <c:pt idx="1">
                  <c:v>Arroz</c:v>
                </c:pt>
                <c:pt idx="2">
                  <c:v>Avena</c:v>
                </c:pt>
                <c:pt idx="3">
                  <c:v>Cartamo</c:v>
                </c:pt>
                <c:pt idx="4">
                  <c:v>Cebada</c:v>
                </c:pt>
                <c:pt idx="5">
                  <c:v>Centeno</c:v>
                </c:pt>
                <c:pt idx="6">
                  <c:v>Girasol</c:v>
                </c:pt>
                <c:pt idx="7">
                  <c:v>Lino</c:v>
                </c:pt>
                <c:pt idx="8">
                  <c:v>Maiz</c:v>
                </c:pt>
                <c:pt idx="9">
                  <c:v>Mani</c:v>
                </c:pt>
                <c:pt idx="10">
                  <c:v>Mijo</c:v>
                </c:pt>
                <c:pt idx="11">
                  <c:v>Soja</c:v>
                </c:pt>
                <c:pt idx="12">
                  <c:v>sorgogranifero</c:v>
                </c:pt>
                <c:pt idx="13">
                  <c:v>Trigo</c:v>
                </c:pt>
              </c:strCache>
            </c:strRef>
          </c:cat>
          <c:val>
            <c:numRef>
              <c:f>'Toneladas- Aux.'!$B$5:$B$18</c:f>
              <c:numCache>
                <c:formatCode>General</c:formatCode>
                <c:ptCount val="14"/>
                <c:pt idx="0">
                  <c:v>20500</c:v>
                </c:pt>
                <c:pt idx="1">
                  <c:v>122000</c:v>
                </c:pt>
                <c:pt idx="2">
                  <c:v>600000</c:v>
                </c:pt>
                <c:pt idx="3">
                  <c:v>225</c:v>
                </c:pt>
                <c:pt idx="4">
                  <c:v>3612800</c:v>
                </c:pt>
                <c:pt idx="5">
                  <c:v>221000</c:v>
                </c:pt>
                <c:pt idx="6">
                  <c:v>2850000</c:v>
                </c:pt>
                <c:pt idx="7">
                  <c:v>99500</c:v>
                </c:pt>
                <c:pt idx="8">
                  <c:v>58500000</c:v>
                </c:pt>
                <c:pt idx="9">
                  <c:v>1300000</c:v>
                </c:pt>
                <c:pt idx="10">
                  <c:v>5400</c:v>
                </c:pt>
                <c:pt idx="11">
                  <c:v>49000000</c:v>
                </c:pt>
                <c:pt idx="12">
                  <c:v>1850000</c:v>
                </c:pt>
                <c:pt idx="13">
                  <c:v>1977000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A-4E1E-82DB-E720BE48C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597968"/>
        <c:axId val="976593808"/>
      </c:lineChart>
      <c:catAx>
        <c:axId val="97659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6593808"/>
        <c:crosses val="autoZero"/>
        <c:auto val="1"/>
        <c:lblAlgn val="ctr"/>
        <c:lblOffset val="100"/>
        <c:noMultiLvlLbl val="0"/>
      </c:catAx>
      <c:valAx>
        <c:axId val="97659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659796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07/relationships/hdphoto" Target="../media/hdphoto1.wdp"/><Relationship Id="rId1" Type="http://schemas.openxmlformats.org/officeDocument/2006/relationships/image" Target="../media/image2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hyperlink" Target="https://datos.gob.ar/dataset/sspm-indicadores-evolucion-sector-agropecuario" TargetMode="External"/><Relationship Id="rId1" Type="http://schemas.openxmlformats.org/officeDocument/2006/relationships/chart" Target="../charts/chart4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474858</xdr:colOff>
      <xdr:row>0</xdr:row>
      <xdr:rowOff>35719</xdr:rowOff>
    </xdr:from>
    <xdr:to>
      <xdr:col>11</xdr:col>
      <xdr:colOff>430327</xdr:colOff>
      <xdr:row>37</xdr:row>
      <xdr:rowOff>23812</xdr:rowOff>
    </xdr:to>
    <xdr:pic>
      <xdr:nvPicPr>
        <xdr:cNvPr id="2" name="Imagen 1" descr="Novo fórum quer levar crítica ao agronegócio para as cidadesNovo fórum ...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D9C3A5">
              <a:tint val="50000"/>
              <a:satMod val="180000"/>
            </a:srgb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backgroundMark x1="34375" y1="15213" x2="721" y2="47681"/>
                    </a14:backgroundRemoval>
                  </a14:imgEffect>
                  <a14:imgEffect>
                    <a14:artisticGlowEdges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4108" y="35719"/>
          <a:ext cx="7242094" cy="7036593"/>
        </a:xfrm>
        <a:prstGeom prst="rect">
          <a:avLst/>
        </a:prstGeom>
        <a:ln>
          <a:solidFill>
            <a:sysClr val="windowText" lastClr="000000"/>
          </a:solidFill>
        </a:ln>
        <a:effectLst>
          <a:softEdge rad="112500"/>
        </a:effectLst>
      </xdr:spPr>
    </xdr:pic>
    <xdr:clientData/>
  </xdr:twoCellAnchor>
  <xdr:twoCellAnchor>
    <xdr:from>
      <xdr:col>5</xdr:col>
      <xdr:colOff>44478</xdr:colOff>
      <xdr:row>0</xdr:row>
      <xdr:rowOff>0</xdr:rowOff>
    </xdr:from>
    <xdr:to>
      <xdr:col>10</xdr:col>
      <xdr:colOff>736840</xdr:colOff>
      <xdr:row>32</xdr:row>
      <xdr:rowOff>119062</xdr:rowOff>
    </xdr:to>
    <xdr:sp macro="" textlink="">
      <xdr:nvSpPr>
        <xdr:cNvPr id="3" name="Flecha curvada hacia la izquierda 2"/>
        <xdr:cNvSpPr/>
      </xdr:nvSpPr>
      <xdr:spPr>
        <a:xfrm>
          <a:off x="4092603" y="0"/>
          <a:ext cx="4740487" cy="6215062"/>
        </a:xfrm>
        <a:prstGeom prst="curvedLeft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611040</xdr:colOff>
      <xdr:row>0</xdr:row>
      <xdr:rowOff>0</xdr:rowOff>
    </xdr:from>
    <xdr:to>
      <xdr:col>10</xdr:col>
      <xdr:colOff>736842</xdr:colOff>
      <xdr:row>13</xdr:row>
      <xdr:rowOff>89859</xdr:rowOff>
    </xdr:to>
    <xdr:sp macro="" textlink="">
      <xdr:nvSpPr>
        <xdr:cNvPr id="4" name="Sol 3"/>
        <xdr:cNvSpPr/>
      </xdr:nvSpPr>
      <xdr:spPr>
        <a:xfrm>
          <a:off x="6278415" y="0"/>
          <a:ext cx="2554677" cy="2566359"/>
        </a:xfrm>
        <a:prstGeom prst="su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47624</xdr:colOff>
      <xdr:row>0</xdr:row>
      <xdr:rowOff>0</xdr:rowOff>
    </xdr:from>
    <xdr:to>
      <xdr:col>5</xdr:col>
      <xdr:colOff>790574</xdr:colOff>
      <xdr:row>32</xdr:row>
      <xdr:rowOff>180974</xdr:rowOff>
    </xdr:to>
    <xdr:sp macro="" textlink="">
      <xdr:nvSpPr>
        <xdr:cNvPr id="5" name="Franja diagonal 4"/>
        <xdr:cNvSpPr/>
      </xdr:nvSpPr>
      <xdr:spPr>
        <a:xfrm>
          <a:off x="47624" y="0"/>
          <a:ext cx="4791075" cy="6276974"/>
        </a:xfrm>
        <a:prstGeom prst="diagStrip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89857</xdr:colOff>
      <xdr:row>26</xdr:row>
      <xdr:rowOff>107830</xdr:rowOff>
    </xdr:to>
    <xdr:sp macro="" textlink="">
      <xdr:nvSpPr>
        <xdr:cNvPr id="6" name="Sol 5"/>
        <xdr:cNvSpPr/>
      </xdr:nvSpPr>
      <xdr:spPr>
        <a:xfrm>
          <a:off x="0" y="0"/>
          <a:ext cx="5757232" cy="5060830"/>
        </a:xfrm>
        <a:prstGeom prst="su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250031</xdr:colOff>
      <xdr:row>33</xdr:row>
      <xdr:rowOff>0</xdr:rowOff>
    </xdr:from>
    <xdr:to>
      <xdr:col>5</xdr:col>
      <xdr:colOff>395155</xdr:colOff>
      <xdr:row>33</xdr:row>
      <xdr:rowOff>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721178</xdr:colOff>
      <xdr:row>33</xdr:row>
      <xdr:rowOff>0</xdr:rowOff>
    </xdr:from>
    <xdr:to>
      <xdr:col>10</xdr:col>
      <xdr:colOff>653143</xdr:colOff>
      <xdr:row>33</xdr:row>
      <xdr:rowOff>0</xdr:rowOff>
    </xdr:to>
    <xdr:sp macro="" textlink="">
      <xdr:nvSpPr>
        <xdr:cNvPr id="10" name="CuadroTexto 9"/>
        <xdr:cNvSpPr txBox="1"/>
      </xdr:nvSpPr>
      <xdr:spPr>
        <a:xfrm>
          <a:off x="7198178" y="6422571"/>
          <a:ext cx="1551215" cy="557893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>
          <a:sp3d extrusionH="57150">
            <a:bevelT w="38100" h="38100" prst="slope"/>
          </a:sp3d>
        </a:bodyPr>
        <a:lstStyle/>
        <a:p>
          <a:pPr algn="ctr"/>
          <a:r>
            <a:rPr lang="en-US" sz="1600" b="1" cap="none" spc="0">
              <a:ln w="0"/>
              <a:solidFill>
                <a:sysClr val="windowText" lastClr="000000"/>
              </a:solidFill>
              <a:effectLst>
                <a:glow rad="228600">
                  <a:schemeClr val="accent1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Documentación </a:t>
          </a:r>
        </a:p>
      </xdr:txBody>
    </xdr:sp>
    <xdr:clientData/>
  </xdr:twoCellAnchor>
  <xdr:twoCellAnchor>
    <xdr:from>
      <xdr:col>7</xdr:col>
      <xdr:colOff>714375</xdr:colOff>
      <xdr:row>21</xdr:row>
      <xdr:rowOff>114300</xdr:rowOff>
    </xdr:from>
    <xdr:to>
      <xdr:col>11</xdr:col>
      <xdr:colOff>0</xdr:colOff>
      <xdr:row>33</xdr:row>
      <xdr:rowOff>0</xdr:rowOff>
    </xdr:to>
    <xdr:sp macro="" textlink="">
      <xdr:nvSpPr>
        <xdr:cNvPr id="11" name="Sol 10"/>
        <xdr:cNvSpPr/>
      </xdr:nvSpPr>
      <xdr:spPr>
        <a:xfrm>
          <a:off x="6381750" y="4114800"/>
          <a:ext cx="2524125" cy="2219325"/>
        </a:xfrm>
        <a:prstGeom prst="su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310012</xdr:colOff>
      <xdr:row>25</xdr:row>
      <xdr:rowOff>114300</xdr:rowOff>
    </xdr:from>
    <xdr:to>
      <xdr:col>5</xdr:col>
      <xdr:colOff>138562</xdr:colOff>
      <xdr:row>31</xdr:row>
      <xdr:rowOff>104775</xdr:rowOff>
    </xdr:to>
    <xdr:sp macro="" textlink="">
      <xdr:nvSpPr>
        <xdr:cNvPr id="12" name="Sol 11"/>
        <xdr:cNvSpPr/>
      </xdr:nvSpPr>
      <xdr:spPr>
        <a:xfrm>
          <a:off x="2738887" y="4876800"/>
          <a:ext cx="1447800" cy="1133475"/>
        </a:xfrm>
        <a:prstGeom prst="su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452438</xdr:colOff>
      <xdr:row>33</xdr:row>
      <xdr:rowOff>0</xdr:rowOff>
    </xdr:from>
    <xdr:to>
      <xdr:col>10</xdr:col>
      <xdr:colOff>639535</xdr:colOff>
      <xdr:row>33</xdr:row>
      <xdr:rowOff>0</xdr:rowOff>
    </xdr:to>
    <xdr:graphicFrame macro="">
      <xdr:nvGraphicFramePr>
        <xdr:cNvPr id="1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464345</xdr:colOff>
      <xdr:row>33</xdr:row>
      <xdr:rowOff>0</xdr:rowOff>
    </xdr:from>
    <xdr:to>
      <xdr:col>10</xdr:col>
      <xdr:colOff>653143</xdr:colOff>
      <xdr:row>33</xdr:row>
      <xdr:rowOff>0</xdr:rowOff>
    </xdr:to>
    <xdr:graphicFrame macro="">
      <xdr:nvGraphicFramePr>
        <xdr:cNvPr id="15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0</xdr:col>
      <xdr:colOff>217713</xdr:colOff>
      <xdr:row>8</xdr:row>
      <xdr:rowOff>47625</xdr:rowOff>
    </xdr:from>
    <xdr:ext cx="8694965" cy="2905125"/>
    <xdr:sp macro="" textlink="">
      <xdr:nvSpPr>
        <xdr:cNvPr id="16" name="Rectángulo 15"/>
        <xdr:cNvSpPr/>
      </xdr:nvSpPr>
      <xdr:spPr>
        <a:xfrm>
          <a:off x="217713" y="1571625"/>
          <a:ext cx="8694965" cy="2905125"/>
        </a:xfrm>
        <a:prstGeom prst="rect">
          <a:avLst/>
        </a:prstGeom>
        <a:ln>
          <a:noFill/>
          <a:headEnd type="none" w="med" len="med"/>
          <a:tailEnd type="none" w="med" len="med"/>
        </a:ln>
        <a:effectLst>
          <a:glow rad="228600">
            <a:schemeClr val="accent1">
              <a:satMod val="175000"/>
              <a:alpha val="40000"/>
            </a:schemeClr>
          </a:glow>
        </a:effectLst>
        <a:scene3d>
          <a:camera prst="isometricOffAxis1Right"/>
          <a:lightRig rig="chilly" dir="t">
            <a:rot lat="0" lon="0" rev="18480000"/>
          </a:lightRig>
        </a:scene3d>
        <a:sp3d prstMaterial="clear">
          <a:bevelT h="63500"/>
        </a:sp3d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 lIns="91440" tIns="45720" rIns="91440" bIns="45720" anchor="ctr">
          <a:noAutofit/>
        </a:bodyPr>
        <a:lstStyle/>
        <a:p>
          <a:pPr algn="ctr"/>
          <a:r>
            <a:rPr lang="es-ES" sz="3200" b="1" cap="none" spc="0">
              <a:ln w="10160">
                <a:solidFill>
                  <a:sysClr val="windowText" lastClr="000000"/>
                </a:solidFill>
                <a:prstDash val="solid"/>
              </a:ln>
              <a:solidFill>
                <a:schemeClr val="bg2">
                  <a:lumMod val="10000"/>
                </a:schemeClr>
              </a:solidFill>
              <a:effectLst>
                <a:glow rad="101600">
                  <a:schemeClr val="bg1">
                    <a:alpha val="60000"/>
                  </a:schemeClr>
                </a:glow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El Análisis</a:t>
          </a:r>
          <a:r>
            <a:rPr lang="es-ES" sz="3200" b="1" cap="none" spc="0" baseline="0">
              <a:ln w="10160">
                <a:solidFill>
                  <a:sysClr val="windowText" lastClr="000000"/>
                </a:solidFill>
                <a:prstDash val="solid"/>
              </a:ln>
              <a:solidFill>
                <a:schemeClr val="bg2">
                  <a:lumMod val="10000"/>
                </a:schemeClr>
              </a:solidFill>
              <a:effectLst>
                <a:glow rad="101600">
                  <a:schemeClr val="bg1">
                    <a:alpha val="60000"/>
                  </a:schemeClr>
                </a:glow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de la producción de granos en Argentina durante los años 1981 -2020</a:t>
          </a:r>
          <a:endParaRPr lang="es-ES" sz="3200" b="1" cap="none" spc="0">
            <a:ln w="10160">
              <a:solidFill>
                <a:sysClr val="windowText" lastClr="000000"/>
              </a:solidFill>
              <a:prstDash val="solid"/>
            </a:ln>
            <a:solidFill>
              <a:schemeClr val="bg2">
                <a:lumMod val="10000"/>
              </a:schemeClr>
            </a:solidFill>
            <a:effectLst>
              <a:glow rad="101600">
                <a:schemeClr val="bg1">
                  <a:alpha val="60000"/>
                </a:schemeClr>
              </a:glow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oneCellAnchor>
  <xdr:twoCellAnchor>
    <xdr:from>
      <xdr:col>0</xdr:col>
      <xdr:colOff>163286</xdr:colOff>
      <xdr:row>34</xdr:row>
      <xdr:rowOff>81643</xdr:rowOff>
    </xdr:from>
    <xdr:to>
      <xdr:col>10</xdr:col>
      <xdr:colOff>449035</xdr:colOff>
      <xdr:row>64</xdr:row>
      <xdr:rowOff>27214</xdr:rowOff>
    </xdr:to>
    <xdr:sp macro="" textlink="">
      <xdr:nvSpPr>
        <xdr:cNvPr id="17" name="CuadroTexto 16"/>
        <xdr:cNvSpPr txBox="1"/>
      </xdr:nvSpPr>
      <xdr:spPr>
        <a:xfrm>
          <a:off x="163286" y="6558643"/>
          <a:ext cx="8450035" cy="56605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342900" indent="-342900" algn="ctr">
            <a:buFont typeface="Wingdings" panose="05000000000000000000" pitchFamily="2" charset="2"/>
            <a:buChar char="§"/>
          </a:pPr>
          <a:r>
            <a:rPr lang="en-US" sz="2000">
              <a:solidFill>
                <a:schemeClr val="accent1"/>
              </a:solidFill>
            </a:rPr>
            <a:t>En el siguiente análisis</a:t>
          </a:r>
          <a:r>
            <a:rPr lang="en-US" sz="2000" baseline="0">
              <a:solidFill>
                <a:schemeClr val="accent1"/>
              </a:solidFill>
            </a:rPr>
            <a:t> se presenta una tabla madre con los datos de la producción de granos en Argentina desde 1981 a 2020, luego se hace un análisis por cada tipo de granos para contestar a las preguntas planteadas. Se hace un resumen de la información en un cuadro que luego pasa a tablas y graficos dinámicos para presentar las respuestas del anáisis.</a:t>
          </a:r>
        </a:p>
        <a:p>
          <a:pPr algn="ctr"/>
          <a:endParaRPr lang="en-US" sz="2000" baseline="0">
            <a:solidFill>
              <a:schemeClr val="accent1"/>
            </a:solidFill>
          </a:endParaRPr>
        </a:p>
        <a:p>
          <a:pPr algn="ctr"/>
          <a:r>
            <a:rPr lang="en-US" sz="2000" baseline="0">
              <a:solidFill>
                <a:schemeClr val="accent1"/>
              </a:solidFill>
            </a:rPr>
            <a:t>Como información extra también desde la tabla madre se presenta una comparación entre las toneladas y hectareas producidas dentro de los años analizados.</a:t>
          </a:r>
          <a:endParaRPr lang="en-US" sz="2000">
            <a:solidFill>
              <a:schemeClr val="accent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44478</xdr:colOff>
      <xdr:row>0</xdr:row>
      <xdr:rowOff>0</xdr:rowOff>
    </xdr:from>
    <xdr:to>
      <xdr:col>10</xdr:col>
      <xdr:colOff>736840</xdr:colOff>
      <xdr:row>0</xdr:row>
      <xdr:rowOff>0</xdr:rowOff>
    </xdr:to>
    <xdr:sp macro="" textlink="">
      <xdr:nvSpPr>
        <xdr:cNvPr id="15" name="Flecha curvada hacia la izquierda 14"/>
        <xdr:cNvSpPr/>
      </xdr:nvSpPr>
      <xdr:spPr>
        <a:xfrm>
          <a:off x="4088110" y="0"/>
          <a:ext cx="4735994" cy="6445100"/>
        </a:xfrm>
        <a:prstGeom prst="curvedLeft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611040</xdr:colOff>
      <xdr:row>0</xdr:row>
      <xdr:rowOff>0</xdr:rowOff>
    </xdr:from>
    <xdr:to>
      <xdr:col>10</xdr:col>
      <xdr:colOff>736842</xdr:colOff>
      <xdr:row>0</xdr:row>
      <xdr:rowOff>0</xdr:rowOff>
    </xdr:to>
    <xdr:sp macro="" textlink="">
      <xdr:nvSpPr>
        <xdr:cNvPr id="13" name="Sol 12"/>
        <xdr:cNvSpPr/>
      </xdr:nvSpPr>
      <xdr:spPr>
        <a:xfrm>
          <a:off x="6272125" y="0"/>
          <a:ext cx="2551981" cy="2659812"/>
        </a:xfrm>
        <a:prstGeom prst="su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47624</xdr:colOff>
      <xdr:row>0</xdr:row>
      <xdr:rowOff>0</xdr:rowOff>
    </xdr:from>
    <xdr:to>
      <xdr:col>5</xdr:col>
      <xdr:colOff>790574</xdr:colOff>
      <xdr:row>0</xdr:row>
      <xdr:rowOff>0</xdr:rowOff>
    </xdr:to>
    <xdr:sp macro="" textlink="">
      <xdr:nvSpPr>
        <xdr:cNvPr id="16" name="Franja diagonal 15"/>
        <xdr:cNvSpPr/>
      </xdr:nvSpPr>
      <xdr:spPr>
        <a:xfrm>
          <a:off x="47624" y="0"/>
          <a:ext cx="4817533" cy="6276974"/>
        </a:xfrm>
        <a:prstGeom prst="diagStrip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89857</xdr:colOff>
      <xdr:row>0</xdr:row>
      <xdr:rowOff>0</xdr:rowOff>
    </xdr:to>
    <xdr:sp macro="" textlink="">
      <xdr:nvSpPr>
        <xdr:cNvPr id="11" name="Sol 10"/>
        <xdr:cNvSpPr/>
      </xdr:nvSpPr>
      <xdr:spPr>
        <a:xfrm>
          <a:off x="0" y="0"/>
          <a:ext cx="5750942" cy="5247736"/>
        </a:xfrm>
        <a:prstGeom prst="su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276225</xdr:colOff>
      <xdr:row>0</xdr:row>
      <xdr:rowOff>171450</xdr:rowOff>
    </xdr:from>
    <xdr:ext cx="7324725" cy="523875"/>
    <xdr:sp macro="" textlink="">
      <xdr:nvSpPr>
        <xdr:cNvPr id="14" name="Rectángulo 13"/>
        <xdr:cNvSpPr/>
      </xdr:nvSpPr>
      <xdr:spPr>
        <a:xfrm>
          <a:off x="276225" y="171450"/>
          <a:ext cx="7324725" cy="5238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>
          <a:glow rad="228600">
            <a:srgbClr val="FFFFFF">
              <a:alpha val="40000"/>
            </a:srgbClr>
          </a:glow>
          <a:outerShdw blurRad="44450" dist="27940" dir="5400000" algn="ctr">
            <a:srgbClr val="000000">
              <a:alpha val="32000"/>
            </a:srgbClr>
          </a:outerShdw>
        </a:effectLst>
        <a:scene3d>
          <a:camera prst="obliqueBottomLeft"/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lIns="91440" tIns="45720" rIns="91440" bIns="45720" anchor="ctr">
          <a:noAutofit/>
          <a:scene3d>
            <a:camera prst="obliqueBottomLef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" sz="1600" b="1" i="0" u="none" strike="noStrike" kern="0" cap="none" spc="0" normalizeH="0" baseline="0" noProof="0">
              <a:ln/>
              <a:solidFill>
                <a:schemeClr val="bg2">
                  <a:lumMod val="10000"/>
                </a:schemeClr>
              </a:solidFill>
              <a:effectLst>
                <a:glow rad="228600">
                  <a:schemeClr val="accent1">
                    <a:satMod val="175000"/>
                    <a:alpha val="40000"/>
                  </a:schemeClr>
                </a:glow>
              </a:effectLst>
              <a:uLnTx/>
              <a:uFillTx/>
              <a:latin typeface="+mj-lt"/>
            </a:rPr>
            <a:t>El Análisis de la producción de granos en Argentina durante los años 1981 -2020</a:t>
          </a:r>
        </a:p>
      </xdr:txBody>
    </xdr:sp>
    <xdr:clientData/>
  </xdr:oneCellAnchor>
  <xdr:twoCellAnchor editAs="oneCell">
    <xdr:from>
      <xdr:col>0</xdr:col>
      <xdr:colOff>261937</xdr:colOff>
      <xdr:row>4</xdr:row>
      <xdr:rowOff>32814</xdr:rowOff>
    </xdr:from>
    <xdr:to>
      <xdr:col>7</xdr:col>
      <xdr:colOff>452437</xdr:colOff>
      <xdr:row>10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Pregunta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egunta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1937" y="794814"/>
              <a:ext cx="5857875" cy="11578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276226</xdr:colOff>
      <xdr:row>10</xdr:row>
      <xdr:rowOff>119062</xdr:rowOff>
    </xdr:from>
    <xdr:to>
      <xdr:col>5</xdr:col>
      <xdr:colOff>357055</xdr:colOff>
      <xdr:row>32</xdr:row>
      <xdr:rowOff>57149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371476</xdr:colOff>
      <xdr:row>0</xdr:row>
      <xdr:rowOff>171449</xdr:rowOff>
    </xdr:from>
    <xdr:to>
      <xdr:col>10</xdr:col>
      <xdr:colOff>638175</xdr:colOff>
      <xdr:row>3</xdr:row>
      <xdr:rowOff>123824</xdr:rowOff>
    </xdr:to>
    <xdr:sp macro="" textlink="">
      <xdr:nvSpPr>
        <xdr:cNvPr id="5" name="CuadroTexto 4">
          <a:hlinkClick xmlns:r="http://schemas.openxmlformats.org/officeDocument/2006/relationships" r:id="rId2"/>
        </xdr:cNvPr>
        <xdr:cNvSpPr txBox="1"/>
      </xdr:nvSpPr>
      <xdr:spPr>
        <a:xfrm>
          <a:off x="7658101" y="171449"/>
          <a:ext cx="1076324" cy="523875"/>
        </a:xfrm>
        <a:prstGeom prst="rect">
          <a:avLst/>
        </a:prstGeom>
        <a:ln>
          <a:solidFill>
            <a:sysClr val="windowText" lastClr="000000"/>
          </a:solidFill>
        </a:ln>
        <a:effectLst>
          <a:glow rad="101600">
            <a:srgbClr val="FFFFFF">
              <a:alpha val="60000"/>
            </a:srgbClr>
          </a:glow>
        </a:effectLst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>
          <a:sp3d extrusionH="57150">
            <a:bevelT w="38100" h="38100" prst="slope"/>
          </a:sp3d>
        </a:bodyPr>
        <a:lstStyle/>
        <a:p>
          <a:pPr algn="ctr"/>
          <a:r>
            <a:rPr lang="en-US" sz="1600" b="1" cap="none" spc="0">
              <a:ln w="0"/>
              <a:solidFill>
                <a:sysClr val="windowText" lastClr="000000"/>
              </a:solidFill>
              <a:effectLst>
                <a:glow rad="228600">
                  <a:schemeClr val="accent1">
                    <a:satMod val="175000"/>
                    <a:alpha val="40000"/>
                  </a:schemeClr>
                </a:glow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j-lt"/>
            </a:rPr>
            <a:t>Fuente</a:t>
          </a:r>
        </a:p>
      </xdr:txBody>
    </xdr:sp>
    <xdr:clientData/>
  </xdr:twoCellAnchor>
  <xdr:twoCellAnchor>
    <xdr:from>
      <xdr:col>7</xdr:col>
      <xdr:colOff>714375</xdr:colOff>
      <xdr:row>0</xdr:row>
      <xdr:rowOff>0</xdr:rowOff>
    </xdr:from>
    <xdr:to>
      <xdr:col>11</xdr:col>
      <xdr:colOff>0</xdr:colOff>
      <xdr:row>0</xdr:row>
      <xdr:rowOff>47625</xdr:rowOff>
    </xdr:to>
    <xdr:sp macro="" textlink="">
      <xdr:nvSpPr>
        <xdr:cNvPr id="8" name="Sol 7"/>
        <xdr:cNvSpPr/>
      </xdr:nvSpPr>
      <xdr:spPr>
        <a:xfrm>
          <a:off x="6381750" y="4114800"/>
          <a:ext cx="2524125" cy="2219325"/>
        </a:xfrm>
        <a:prstGeom prst="su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310012</xdr:colOff>
      <xdr:row>0</xdr:row>
      <xdr:rowOff>0</xdr:rowOff>
    </xdr:from>
    <xdr:to>
      <xdr:col>5</xdr:col>
      <xdr:colOff>138562</xdr:colOff>
      <xdr:row>0</xdr:row>
      <xdr:rowOff>0</xdr:rowOff>
    </xdr:to>
    <xdr:sp macro="" textlink="">
      <xdr:nvSpPr>
        <xdr:cNvPr id="9" name="Sol 8"/>
        <xdr:cNvSpPr/>
      </xdr:nvSpPr>
      <xdr:spPr>
        <a:xfrm>
          <a:off x="2736191" y="5056517"/>
          <a:ext cx="1446003" cy="1176607"/>
        </a:xfrm>
        <a:prstGeom prst="su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523875</xdr:colOff>
      <xdr:row>4</xdr:row>
      <xdr:rowOff>30147</xdr:rowOff>
    </xdr:from>
    <xdr:to>
      <xdr:col>10</xdr:col>
      <xdr:colOff>642938</xdr:colOff>
      <xdr:row>10</xdr:row>
      <xdr:rowOff>23813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Año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91250" y="792147"/>
              <a:ext cx="2547938" cy="11366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5</xdr:col>
      <xdr:colOff>452438</xdr:colOff>
      <xdr:row>21</xdr:row>
      <xdr:rowOff>107156</xdr:rowOff>
    </xdr:from>
    <xdr:to>
      <xdr:col>10</xdr:col>
      <xdr:colOff>619125</xdr:colOff>
      <xdr:row>32</xdr:row>
      <xdr:rowOff>57150</xdr:rowOff>
    </xdr:to>
    <xdr:graphicFrame macro="">
      <xdr:nvGraphicFramePr>
        <xdr:cNvPr id="7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464345</xdr:colOff>
      <xdr:row>10</xdr:row>
      <xdr:rowOff>123826</xdr:rowOff>
    </xdr:from>
    <xdr:to>
      <xdr:col>10</xdr:col>
      <xdr:colOff>638175</xdr:colOff>
      <xdr:row>21</xdr:row>
      <xdr:rowOff>23812</xdr:rowOff>
    </xdr:to>
    <xdr:graphicFrame macro="">
      <xdr:nvGraphicFramePr>
        <xdr:cNvPr id="1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543704003126" refreshedDate="45106.588144097223" createdVersion="6" refreshedVersion="6" minRefreshableVersion="3" recordCount="12">
  <cacheSource type="worksheet">
    <worksheetSource name="Resumen_de_información"/>
  </cacheSource>
  <cacheFields count="16">
    <cacheField name="id" numFmtId="0">
      <sharedItems containsSemiMixedTypes="0" containsString="0" containsNumber="1" containsInteger="1" minValue="1" maxValue="12"/>
    </cacheField>
    <cacheField name="Preguntas" numFmtId="0">
      <sharedItems count="12">
        <s v="¿cuál es el promedio de las hectáreas sembradas?"/>
        <s v="¿cuál es el promedio de toneladas obtenidas ?"/>
        <s v="¿cuál es la máxima cantidad de hectáreas sembradas?"/>
        <s v="¿cuál es la cantidad mínima de hectáreas sembradas?"/>
        <s v="¿cuál es la cantidad máxima de toneladas obtenidas?"/>
        <s v="¿cuál es la cantidad mínima de toneladas obtenidas?"/>
        <s v="¿cuánto varían las cantidades máximas ?"/>
        <s v="¿cuánto varían las cantidades mínimas?"/>
        <s v="¿cuál es el rendimiento promedio de las toneladas sobre las hectáreas?"/>
        <s v="¿cuál es el promedio entre los valores máximos y mínimos de las hectáreas?"/>
        <s v="¿cuál es el promedio entre los valores máximos y mínimos de las toneladas?"/>
        <s v="¿cuál es el promedio entre los promedios de los valores máximos y mínimos de las hectáreas y toneladas?"/>
      </sharedItems>
    </cacheField>
    <cacheField name="Alpiste" numFmtId="0">
      <sharedItems containsSemiMixedTypes="0" containsString="0" containsNumber="1" minValue="0" maxValue="63000" count="11">
        <n v="28053.625"/>
        <n v="30248.45"/>
        <n v="60000"/>
        <n v="9000"/>
        <n v="63000"/>
        <n v="2.4390243902439025E-2"/>
        <n v="0"/>
        <n v="3.7645744169482832E-2"/>
        <n v="0.73913043478260865"/>
        <n v="0.75"/>
        <n v="7.2992700729927334E-3"/>
      </sharedItems>
    </cacheField>
    <cacheField name="Arroz " numFmtId="0">
      <sharedItems containsSemiMixedTypes="0" containsString="0" containsNumber="1" minValue="4.881932234859683E-2" maxValue="986000" count="12">
        <n v="175773.95"/>
        <n v="370035.17499999999"/>
        <n v="290850"/>
        <n v="91700"/>
        <n v="986000"/>
        <n v="101113"/>
        <n v="0.54442573520773774"/>
        <n v="4.881932234859683E-2"/>
        <n v="0.35591421268378387"/>
        <n v="0.52058554437328453"/>
        <n v="0.81397885960337146"/>
        <n v="0.21984200564307793"/>
      </sharedItems>
    </cacheField>
    <cacheField name="Avena" numFmtId="0">
      <sharedItems containsSemiMixedTypes="0" containsString="0" containsNumber="1" minValue="-0.66878980891719741" maxValue="2180000"/>
    </cacheField>
    <cacheField name="Cartamo " numFmtId="0">
      <sharedItems containsSemiMixedTypes="0" containsString="0" containsNumber="1" minValue="-0.98889244279026489" maxValue="171000"/>
    </cacheField>
    <cacheField name="Cebada " numFmtId="0">
      <sharedItems containsSemiMixedTypes="0" containsString="0" containsNumber="1" minValue="0" maxValue="5170000"/>
    </cacheField>
    <cacheField name="Centeno " numFmtId="0">
      <sharedItems containsSemiMixedTypes="0" containsString="0" containsNumber="1" minValue="-0.79881656804733725" maxValue="1483000"/>
    </cacheField>
    <cacheField name="Girasol " numFmtId="0">
      <sharedItems containsSemiMixedTypes="0" containsString="0" containsNumber="1" minValue="3.1086187298460771E-2" maxValue="7125140"/>
    </cacheField>
    <cacheField name="Lino " numFmtId="0">
      <sharedItems containsSemiMixedTypes="0" containsString="0" containsNumber="1" minValue="-0.11205127995078983" maxValue="910000"/>
    </cacheField>
    <cacheField name="Maiz  " numFmtId="0">
      <sharedItems containsSemiMixedTypes="0" containsString="0" containsNumber="1" minValue="0.13361346277245351" maxValue="60500000"/>
    </cacheField>
    <cacheField name="Mani " numFmtId="0">
      <sharedItems containsSemiMixedTypes="0" containsString="0" containsNumber="1" minValue="0.12366635162937964" maxValue="1337000"/>
    </cacheField>
    <cacheField name="Mijo " numFmtId="0">
      <sharedItems containsSemiMixedTypes="0" containsString="0" containsNumber="1" minValue="-0.47856315179606024" maxValue="236000"/>
    </cacheField>
    <cacheField name="Soja " numFmtId="0">
      <sharedItems containsSemiMixedTypes="0" containsString="0" containsNumber="1" minValue="3.4692799026872591E-2" maxValue="61400000"/>
    </cacheField>
    <cacheField name="Sorgogranifero " numFmtId="0">
      <sharedItems containsSemiMixedTypes="0" containsString="0" containsNumber="1" minValue="6.7965564114181795E-3" maxValue="8100000"/>
    </cacheField>
    <cacheField name="Trigo " numFmtId="0">
      <sharedItems containsSemiMixedTypes="0" containsString="0" containsNumber="1" minValue="-0.51923076923076927" maxValue="98840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543704003126" refreshedDate="45109.448640972223" backgroundQuery="1" createdVersion="6" refreshedVersion="6" minRefreshableVersion="3" recordCount="0" supportSubquery="1" supportAdvancedDrill="1">
  <cacheSource type="external" connectionId="1"/>
  <cacheFields count="15">
    <cacheField name="[Granos].[Años].[Años]" caption="Años" numFmtId="0" hierarchy="10" level="1">
      <sharedItems containsSemiMixedTypes="0" containsNonDate="0" containsString="0"/>
    </cacheField>
    <cacheField name="[Measures].[Suma de Alpiste Hectareas]" caption="Suma de Alpiste Hectareas" numFmtId="0" hierarchy="81" level="32767"/>
    <cacheField name="[Measures].[Suma de Arroz Hectareas]" caption="Suma de Arroz Hectareas" numFmtId="0" hierarchy="82" level="32767"/>
    <cacheField name="[Measures].[Suma de Avena Hetareas]" caption="Suma de Avena Hetareas" numFmtId="0" hierarchy="83" level="32767"/>
    <cacheField name="[Measures].[Suma de Cartamo Hectareas]" caption="Suma de Cartamo Hectareas" numFmtId="0" hierarchy="84" level="32767"/>
    <cacheField name="[Measures].[Suma de Cebada Hectareas]" caption="Suma de Cebada Hectareas" numFmtId="0" hierarchy="85" level="32767"/>
    <cacheField name="[Measures].[Suma de Centeno Hectareas]" caption="Suma de Centeno Hectareas" numFmtId="0" hierarchy="86" level="32767"/>
    <cacheField name="[Measures].[Suma de Girasol Hectareas]" caption="Suma de Girasol Hectareas" numFmtId="0" hierarchy="87" level="32767"/>
    <cacheField name="[Measures].[Suma de Lino Hectareas]" caption="Suma de Lino Hectareas" numFmtId="0" hierarchy="88" level="32767"/>
    <cacheField name="[Measures].[Suma de Maiz Hectareas]" caption="Suma de Maiz Hectareas" numFmtId="0" hierarchy="89" level="32767"/>
    <cacheField name="[Measures].[Suma de Mani Hectareas]" caption="Suma de Mani Hectareas" numFmtId="0" hierarchy="90" level="32767"/>
    <cacheField name="[Measures].[Suma de Mijo Hectareas]" caption="Suma de Mijo Hectareas" numFmtId="0" hierarchy="91" level="32767"/>
    <cacheField name="[Measures].[Suma de Soja Hectareas]" caption="Suma de Soja Hectareas" numFmtId="0" hierarchy="92" level="32767"/>
    <cacheField name="[Measures].[Suma de Sorgogranifero Hectareas]" caption="Suma de Sorgogranifero Hectareas" numFmtId="0" hierarchy="93" level="32767"/>
    <cacheField name="[Measures].[Suma de Trigo Hectareas]" caption="Suma de Trigo Hectareas" numFmtId="0" hierarchy="94" level="32767"/>
  </cacheFields>
  <cacheHierarchies count="95">
    <cacheHierarchy uniqueName="[Alpiste].[id]" caption="id" attribute="1" defaultMemberUniqueName="[Alpiste].[id].[All]" allUniqueName="[Alpiste].[id].[All]" dimensionUniqueName="[Alpiste]" displayFolder="" count="2" memberValueDatatype="20" unbalanced="0"/>
    <cacheHierarchy uniqueName="[Alpiste].[PREGUNTAS]" caption="PREGUNTAS" attribute="1" defaultMemberUniqueName="[Alpiste].[PREGUNTAS].[All]" allUniqueName="[Alpiste].[PREGUNTAS].[All]" dimensionUniqueName="[Alpiste]" displayFolder="" count="2" memberValueDatatype="130" unbalanced="0"/>
    <cacheHierarchy uniqueName="[Alpiste].[INFORMACION]" caption="INFORMACION" attribute="1" defaultMemberUniqueName="[Alpiste].[INFORMACION].[All]" allUniqueName="[Alpiste].[INFORMACION].[All]" dimensionUniqueName="[Alpiste]" displayFolder="" count="2" memberValueDatatype="5" unbalanced="0"/>
    <cacheHierarchy uniqueName="[Arroz].[id]" caption="id" attribute="1" defaultMemberUniqueName="[Arroz].[id].[All]" allUniqueName="[Arroz].[id].[All]" dimensionUniqueName="[Arroz]" displayFolder="" count="2" memberValueDatatype="20" unbalanced="0"/>
    <cacheHierarchy uniqueName="[Arroz].[PREGUNTAS]" caption="PREGUNTAS" attribute="1" defaultMemberUniqueName="[Arroz].[PREGUNTAS].[All]" allUniqueName="[Arroz].[PREGUNTAS].[All]" dimensionUniqueName="[Arroz]" displayFolder="" count="2" memberValueDatatype="130" unbalanced="0"/>
    <cacheHierarchy uniqueName="[Arroz].[INFORMACION]" caption="INFORMACION" attribute="1" defaultMemberUniqueName="[Arroz].[INFORMACION].[All]" allUniqueName="[Arroz].[INFORMACION].[All]" dimensionUniqueName="[Arroz]" displayFolder="" count="2" memberValueDatatype="5" unbalanced="0"/>
    <cacheHierarchy uniqueName="[Avena].[id]" caption="id" attribute="1" defaultMemberUniqueName="[Avena].[id].[All]" allUniqueName="[Avena].[id].[All]" dimensionUniqueName="[Avena]" displayFolder="" count="2" memberValueDatatype="20" unbalanced="0"/>
    <cacheHierarchy uniqueName="[Avena].[PREGUNTAS]" caption="PREGUNTAS" attribute="1" defaultMemberUniqueName="[Avena].[PREGUNTAS].[All]" allUniqueName="[Avena].[PREGUNTAS].[All]" dimensionUniqueName="[Avena]" displayFolder="" count="2" memberValueDatatype="130" unbalanced="0"/>
    <cacheHierarchy uniqueName="[Avena].[INFORMACION]" caption="INFORMACION" attribute="1" defaultMemberUniqueName="[Avena].[INFORMACION].[All]" allUniqueName="[Avena].[INFORMACION].[All]" dimensionUniqueName="[Avena]" displayFolder="" count="2" memberValueDatatype="5" unbalanced="0"/>
    <cacheHierarchy uniqueName="[Granos].[Tiempo]" caption="Tiempo" attribute="1" time="1" defaultMemberUniqueName="[Granos].[Tiempo].[All]" allUniqueName="[Granos].[Tiempo].[All]" dimensionUniqueName="[Granos]" displayFolder="" count="2" memberValueDatatype="7" unbalanced="0"/>
    <cacheHierarchy uniqueName="[Granos].[Años]" caption="Años" attribute="1" defaultMemberUniqueName="[Granos].[Años].[All]" allUniqueName="[Granos].[Años].[All]" dimensionUniqueName="[Granos]" displayFolder="" count="2" memberValueDatatype="20" unbalanced="0">
      <fieldsUsage count="2">
        <fieldUsage x="-1"/>
        <fieldUsage x="0"/>
      </fieldsUsage>
    </cacheHierarchy>
    <cacheHierarchy uniqueName="[Granos].[Alpiste Hectareas]" caption="Alpiste Hectareas" attribute="1" defaultMemberUniqueName="[Granos].[Alpiste Hectareas].[All]" allUniqueName="[Granos].[Alpiste Hectareas].[All]" dimensionUniqueName="[Granos]" displayFolder="" count="2" memberValueDatatype="20" unbalanced="0"/>
    <cacheHierarchy uniqueName="[Granos].[Alpiste Toneladas]" caption="Alpiste Toneladas" attribute="1" defaultMemberUniqueName="[Granos].[Alpiste Toneladas].[All]" allUniqueName="[Granos].[Alpiste Toneladas].[All]" dimensionUniqueName="[Granos]" displayFolder="" count="2" memberValueDatatype="20" unbalanced="0"/>
    <cacheHierarchy uniqueName="[Granos].[Arroz Hectareas]" caption="Arroz Hectareas" attribute="1" defaultMemberUniqueName="[Granos].[Arroz Hectareas].[All]" allUniqueName="[Granos].[Arroz Hectareas].[All]" dimensionUniqueName="[Granos]" displayFolder="" count="2" memberValueDatatype="20" unbalanced="0"/>
    <cacheHierarchy uniqueName="[Granos].[Arroz Toneladas]" caption="Arroz Toneladas" attribute="1" defaultMemberUniqueName="[Granos].[Arroz Toneladas].[All]" allUniqueName="[Granos].[Arroz Toneladas].[All]" dimensionUniqueName="[Granos]" displayFolder="" count="2" memberValueDatatype="20" unbalanced="0"/>
    <cacheHierarchy uniqueName="[Granos].[Avena Hetareas]" caption="Avena Hetareas" attribute="1" defaultMemberUniqueName="[Granos].[Avena Hetareas].[All]" allUniqueName="[Granos].[Avena Hetareas].[All]" dimensionUniqueName="[Granos]" displayFolder="" count="2" memberValueDatatype="20" unbalanced="0"/>
    <cacheHierarchy uniqueName="[Granos].[Avena Toneladas]" caption="Avena Toneladas" attribute="1" defaultMemberUniqueName="[Granos].[Avena Toneladas].[All]" allUniqueName="[Granos].[Avena Toneladas].[All]" dimensionUniqueName="[Granos]" displayFolder="" count="2" memberValueDatatype="20" unbalanced="0"/>
    <cacheHierarchy uniqueName="[Granos].[Cartamo Hectareas]" caption="Cartamo Hectareas" attribute="1" defaultMemberUniqueName="[Granos].[Cartamo Hectareas].[All]" allUniqueName="[Granos].[Cartamo Hectareas].[All]" dimensionUniqueName="[Granos]" displayFolder="" count="2" memberValueDatatype="20" unbalanced="0"/>
    <cacheHierarchy uniqueName="[Granos].[Cartamo Toneladas]" caption="Cartamo Toneladas" attribute="1" defaultMemberUniqueName="[Granos].[Cartamo Toneladas].[All]" allUniqueName="[Granos].[Cartamo Toneladas].[All]" dimensionUniqueName="[Granos]" displayFolder="" count="2" memberValueDatatype="20" unbalanced="0"/>
    <cacheHierarchy uniqueName="[Granos].[Cebada Hectareas]" caption="Cebada Hectareas" attribute="1" defaultMemberUniqueName="[Granos].[Cebada Hectareas].[All]" allUniqueName="[Granos].[Cebada Hectareas].[All]" dimensionUniqueName="[Granos]" displayFolder="" count="2" memberValueDatatype="20" unbalanced="0"/>
    <cacheHierarchy uniqueName="[Granos].[Cebada Toneladas]" caption="Cebada Toneladas" attribute="1" defaultMemberUniqueName="[Granos].[Cebada Toneladas].[All]" allUniqueName="[Granos].[Cebada Toneladas].[All]" dimensionUniqueName="[Granos]" displayFolder="" count="2" memberValueDatatype="20" unbalanced="0"/>
    <cacheHierarchy uniqueName="[Granos].[Centeno Hectareas]" caption="Centeno Hectareas" attribute="1" defaultMemberUniqueName="[Granos].[Centeno Hectareas].[All]" allUniqueName="[Granos].[Centeno Hectareas].[All]" dimensionUniqueName="[Granos]" displayFolder="" count="2" memberValueDatatype="20" unbalanced="0"/>
    <cacheHierarchy uniqueName="[Granos].[Centeno Toneladas]" caption="Centeno Toneladas" attribute="1" defaultMemberUniqueName="[Granos].[Centeno Toneladas].[All]" allUniqueName="[Granos].[Centeno Toneladas].[All]" dimensionUniqueName="[Granos]" displayFolder="" count="2" memberValueDatatype="20" unbalanced="0"/>
    <cacheHierarchy uniqueName="[Granos].[Girasol Hectareas]" caption="Girasol Hectareas" attribute="1" defaultMemberUniqueName="[Granos].[Girasol Hectareas].[All]" allUniqueName="[Granos].[Girasol Hectareas].[All]" dimensionUniqueName="[Granos]" displayFolder="" count="2" memberValueDatatype="20" unbalanced="0"/>
    <cacheHierarchy uniqueName="[Granos].[Girasol Toneladas]" caption="Girasol Toneladas" attribute="1" defaultMemberUniqueName="[Granos].[Girasol Toneladas].[All]" allUniqueName="[Granos].[Girasol Toneladas].[All]" dimensionUniqueName="[Granos]" displayFolder="" count="2" memberValueDatatype="20" unbalanced="0"/>
    <cacheHierarchy uniqueName="[Granos].[Lino Hectareas]" caption="Lino Hectareas" attribute="1" defaultMemberUniqueName="[Granos].[Lino Hectareas].[All]" allUniqueName="[Granos].[Lino Hectareas].[All]" dimensionUniqueName="[Granos]" displayFolder="" count="2" memberValueDatatype="20" unbalanced="0"/>
    <cacheHierarchy uniqueName="[Granos].[Lino Toneladas]" caption="Lino Toneladas" attribute="1" defaultMemberUniqueName="[Granos].[Lino Toneladas].[All]" allUniqueName="[Granos].[Lino Toneladas].[All]" dimensionUniqueName="[Granos]" displayFolder="" count="2" memberValueDatatype="20" unbalanced="0"/>
    <cacheHierarchy uniqueName="[Granos].[Maiz Hectareas]" caption="Maiz Hectareas" attribute="1" defaultMemberUniqueName="[Granos].[Maiz Hectareas].[All]" allUniqueName="[Granos].[Maiz Hectareas].[All]" dimensionUniqueName="[Granos]" displayFolder="" count="2" memberValueDatatype="20" unbalanced="0"/>
    <cacheHierarchy uniqueName="[Granos].[Maiz Toneladas]" caption="Maiz Toneladas" attribute="1" defaultMemberUniqueName="[Granos].[Maiz Toneladas].[All]" allUniqueName="[Granos].[Maiz Toneladas].[All]" dimensionUniqueName="[Granos]" displayFolder="" count="2" memberValueDatatype="20" unbalanced="0"/>
    <cacheHierarchy uniqueName="[Granos].[Mani Hectareas]" caption="Mani Hectareas" attribute="1" defaultMemberUniqueName="[Granos].[Mani Hectareas].[All]" allUniqueName="[Granos].[Mani Hectareas].[All]" dimensionUniqueName="[Granos]" displayFolder="" count="2" memberValueDatatype="20" unbalanced="0"/>
    <cacheHierarchy uniqueName="[Granos].[Mani Toneladas]" caption="Mani Toneladas" attribute="1" defaultMemberUniqueName="[Granos].[Mani Toneladas].[All]" allUniqueName="[Granos].[Mani Toneladas].[All]" dimensionUniqueName="[Granos]" displayFolder="" count="2" memberValueDatatype="20" unbalanced="0"/>
    <cacheHierarchy uniqueName="[Granos].[Mijo Hectareas]" caption="Mijo Hectareas" attribute="1" defaultMemberUniqueName="[Granos].[Mijo Hectareas].[All]" allUniqueName="[Granos].[Mijo Hectareas].[All]" dimensionUniqueName="[Granos]" displayFolder="" count="2" memberValueDatatype="20" unbalanced="0"/>
    <cacheHierarchy uniqueName="[Granos].[Mijo Toneladas]" caption="Mijo Toneladas" attribute="1" defaultMemberUniqueName="[Granos].[Mijo Toneladas].[All]" allUniqueName="[Granos].[Mijo Toneladas].[All]" dimensionUniqueName="[Granos]" displayFolder="" count="2" memberValueDatatype="20" unbalanced="0"/>
    <cacheHierarchy uniqueName="[Granos].[Soja Hectareas]" caption="Soja Hectareas" attribute="1" defaultMemberUniqueName="[Granos].[Soja Hectareas].[All]" allUniqueName="[Granos].[Soja Hectareas].[All]" dimensionUniqueName="[Granos]" displayFolder="" count="2" memberValueDatatype="20" unbalanced="0"/>
    <cacheHierarchy uniqueName="[Granos].[Soja Toneladas]" caption="Soja Toneladas" attribute="1" defaultMemberUniqueName="[Granos].[Soja Toneladas].[All]" allUniqueName="[Granos].[Soja Toneladas].[All]" dimensionUniqueName="[Granos]" displayFolder="" count="2" memberValueDatatype="20" unbalanced="0"/>
    <cacheHierarchy uniqueName="[Granos].[Sorgogranifero Hectareas]" caption="Sorgogranifero Hectareas" attribute="1" defaultMemberUniqueName="[Granos].[Sorgogranifero Hectareas].[All]" allUniqueName="[Granos].[Sorgogranifero Hectareas].[All]" dimensionUniqueName="[Granos]" displayFolder="" count="2" memberValueDatatype="20" unbalanced="0"/>
    <cacheHierarchy uniqueName="[Granos].[sorgogranifero Toneladas]" caption="sorgogranifero Toneladas" attribute="1" defaultMemberUniqueName="[Granos].[sorgogranifero Toneladas].[All]" allUniqueName="[Granos].[sorgogranifero Toneladas].[All]" dimensionUniqueName="[Granos]" displayFolder="" count="2" memberValueDatatype="20" unbalanced="0"/>
    <cacheHierarchy uniqueName="[Granos].[Trigo Hectareas]" caption="Trigo Hectareas" attribute="1" defaultMemberUniqueName="[Granos].[Trigo Hectareas].[All]" allUniqueName="[Granos].[Trigo Hectareas].[All]" dimensionUniqueName="[Granos]" displayFolder="" count="2" memberValueDatatype="20" unbalanced="0"/>
    <cacheHierarchy uniqueName="[Granos].[Trigo Toneladas]" caption="Trigo Toneladas" attribute="1" defaultMemberUniqueName="[Granos].[Trigo Toneladas].[All]" allUniqueName="[Granos].[Trigo Toneladas].[All]" dimensionUniqueName="[Granos]" displayFolder="" count="2" memberValueDatatype="20" unbalanced="0"/>
    <cacheHierarchy uniqueName="[Resumen_de_información].[id]" caption="id" attribute="1" defaultMemberUniqueName="[Resumen_de_información].[id].[All]" allUniqueName="[Resumen_de_información].[id].[All]" dimensionUniqueName="[Resumen_de_información]" displayFolder="" count="2" memberValueDatatype="20" unbalanced="0"/>
    <cacheHierarchy uniqueName="[Resumen_de_información].[Preguntas]" caption="Preguntas" attribute="1" defaultMemberUniqueName="[Resumen_de_información].[Preguntas].[All]" allUniqueName="[Resumen_de_información].[Preguntas].[All]" dimensionUniqueName="[Resumen_de_información]" displayFolder="" count="2" memberValueDatatype="130" unbalanced="0"/>
    <cacheHierarchy uniqueName="[Resumen_de_información].[Alpiste]" caption="Alpiste" attribute="1" defaultMemberUniqueName="[Resumen_de_información].[Alpiste].[All]" allUniqueName="[Resumen_de_información].[Alpiste].[All]" dimensionUniqueName="[Resumen_de_información]" displayFolder="" count="2" memberValueDatatype="5" unbalanced="0"/>
    <cacheHierarchy uniqueName="[Resumen_de_información].[Arroz]" caption="Arroz" attribute="1" defaultMemberUniqueName="[Resumen_de_información].[Arroz].[All]" allUniqueName="[Resumen_de_información].[Arroz].[All]" dimensionUniqueName="[Resumen_de_información]" displayFolder="" count="2" memberValueDatatype="5" unbalanced="0"/>
    <cacheHierarchy uniqueName="[Resumen_de_información].[Avena]" caption="Avena" attribute="1" defaultMemberUniqueName="[Resumen_de_información].[Avena].[All]" allUniqueName="[Resumen_de_información].[Avena].[All]" dimensionUniqueName="[Resumen_de_información]" displayFolder="" count="2" memberValueDatatype="5" unbalanced="0"/>
    <cacheHierarchy uniqueName="[Resumen_de_información].[Cartamo]" caption="Cartamo" attribute="1" defaultMemberUniqueName="[Resumen_de_información].[Cartamo].[All]" allUniqueName="[Resumen_de_información].[Cartamo].[All]" dimensionUniqueName="[Resumen_de_información]" displayFolder="" count="2" memberValueDatatype="5" unbalanced="0"/>
    <cacheHierarchy uniqueName="[Resumen_de_información].[Cebada]" caption="Cebada" attribute="1" defaultMemberUniqueName="[Resumen_de_información].[Cebada].[All]" allUniqueName="[Resumen_de_información].[Cebada].[All]" dimensionUniqueName="[Resumen_de_información]" displayFolder="" count="2" memberValueDatatype="5" unbalanced="0"/>
    <cacheHierarchy uniqueName="[Resumen_de_información].[Centeno]" caption="Centeno" attribute="1" defaultMemberUniqueName="[Resumen_de_información].[Centeno].[All]" allUniqueName="[Resumen_de_información].[Centeno].[All]" dimensionUniqueName="[Resumen_de_información]" displayFolder="" count="2" memberValueDatatype="5" unbalanced="0"/>
    <cacheHierarchy uniqueName="[Resumen_de_información].[Girasol]" caption="Girasol" attribute="1" defaultMemberUniqueName="[Resumen_de_información].[Girasol].[All]" allUniqueName="[Resumen_de_información].[Girasol].[All]" dimensionUniqueName="[Resumen_de_información]" displayFolder="" count="2" memberValueDatatype="5" unbalanced="0"/>
    <cacheHierarchy uniqueName="[Resumen_de_información].[Lino]" caption="Lino" attribute="1" defaultMemberUniqueName="[Resumen_de_información].[Lino].[All]" allUniqueName="[Resumen_de_información].[Lino].[All]" dimensionUniqueName="[Resumen_de_información]" displayFolder="" count="2" memberValueDatatype="5" unbalanced="0"/>
    <cacheHierarchy uniqueName="[Resumen_de_información].[Maiz]" caption="Maiz" attribute="1" defaultMemberUniqueName="[Resumen_de_información].[Maiz].[All]" allUniqueName="[Resumen_de_información].[Maiz].[All]" dimensionUniqueName="[Resumen_de_información]" displayFolder="" count="2" memberValueDatatype="5" unbalanced="0"/>
    <cacheHierarchy uniqueName="[Resumen_de_información].[Mani]" caption="Mani" attribute="1" defaultMemberUniqueName="[Resumen_de_información].[Mani].[All]" allUniqueName="[Resumen_de_información].[Mani].[All]" dimensionUniqueName="[Resumen_de_información]" displayFolder="" count="2" memberValueDatatype="5" unbalanced="0"/>
    <cacheHierarchy uniqueName="[Resumen_de_información].[Mijo]" caption="Mijo" attribute="1" defaultMemberUniqueName="[Resumen_de_información].[Mijo].[All]" allUniqueName="[Resumen_de_información].[Mijo].[All]" dimensionUniqueName="[Resumen_de_información]" displayFolder="" count="2" memberValueDatatype="5" unbalanced="0"/>
    <cacheHierarchy uniqueName="[Resumen_de_información].[Soja]" caption="Soja" attribute="1" defaultMemberUniqueName="[Resumen_de_información].[Soja].[All]" allUniqueName="[Resumen_de_información].[Soja].[All]" dimensionUniqueName="[Resumen_de_información]" displayFolder="" count="2" memberValueDatatype="5" unbalanced="0"/>
    <cacheHierarchy uniqueName="[Resumen_de_información].[Sorgogranifero]" caption="Sorgogranifero" attribute="1" defaultMemberUniqueName="[Resumen_de_información].[Sorgogranifero].[All]" allUniqueName="[Resumen_de_información].[Sorgogranifero].[All]" dimensionUniqueName="[Resumen_de_información]" displayFolder="" count="2" memberValueDatatype="5" unbalanced="0"/>
    <cacheHierarchy uniqueName="[Resumen_de_información].[Trigo]" caption="Trigo" attribute="1" defaultMemberUniqueName="[Resumen_de_información].[Trigo].[All]" allUniqueName="[Resumen_de_información].[Trigo].[All]" dimensionUniqueName="[Resumen_de_información]" displayFolder="" count="2" memberValueDatatype="5" unbalanced="0"/>
    <cacheHierarchy uniqueName="[Trigo].[id]" caption="id" attribute="1" defaultMemberUniqueName="[Trigo].[id].[All]" allUniqueName="[Trigo].[id].[All]" dimensionUniqueName="[Trigo]" displayFolder="" count="2" memberValueDatatype="20" unbalanced="0"/>
    <cacheHierarchy uniqueName="[Trigo].[PREGUNTAS]" caption="PREGUNTAS" attribute="1" defaultMemberUniqueName="[Trigo].[PREGUNTAS].[All]" allUniqueName="[Trigo].[PREGUNTAS].[All]" dimensionUniqueName="[Trigo]" displayFolder="" count="2" memberValueDatatype="130" unbalanced="0"/>
    <cacheHierarchy uniqueName="[Trigo].[INFORMACION]" caption="INFORMACION" attribute="1" defaultMemberUniqueName="[Trigo].[INFORMACION].[All]" allUniqueName="[Trigo].[INFORMACION].[All]" dimensionUniqueName="[Trigo]" displayFolder="" count="2" memberValueDatatype="5" unbalanced="0"/>
    <cacheHierarchy uniqueName="[Measures].[__XL_Count Alpiste]" caption="__XL_Count Alpiste" measure="1" displayFolder="" measureGroup="Alpiste" count="0" hidden="1"/>
    <cacheHierarchy uniqueName="[Measures].[__XL_Count Avena]" caption="__XL_Count Avena" measure="1" displayFolder="" measureGroup="Avena" count="0" hidden="1"/>
    <cacheHierarchy uniqueName="[Measures].[__XL_Count Arroz]" caption="__XL_Count Arroz" measure="1" displayFolder="" measureGroup="Arroz" count="0" hidden="1"/>
    <cacheHierarchy uniqueName="[Measures].[__XL_Count Trigo]" caption="__XL_Count Trigo" measure="1" displayFolder="" measureGroup="Trigo" count="0" hidden="1"/>
    <cacheHierarchy uniqueName="[Measures].[__XL_Count Resumen_de_información]" caption="__XL_Count Resumen_de_información" measure="1" displayFolder="" measureGroup="Resumen_de_información" count="0" hidden="1"/>
    <cacheHierarchy uniqueName="[Measures].[__XL_Count Granos]" caption="__XL_Count Granos" measure="1" displayFolder="" measureGroup="Granos" count="0" hidden="1"/>
    <cacheHierarchy uniqueName="[Measures].[__No hay medidas definidas]" caption="__No hay medidas definidas" measure="1" displayFolder="" count="0" hidden="1"/>
    <cacheHierarchy uniqueName="[Measures].[Suma de INFORMACION]" caption="Suma de INFORMACION" measure="1" displayFolder="" measureGroup="Alpist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Años]" caption="Suma de Años" measure="1" displayFolder="" measureGroup="Grano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Alpiste Toneladas]" caption="Suma de Alpiste Toneladas" measure="1" displayFolder="" measureGroup="Gran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Arroz Toneladas]" caption="Suma de Arroz Toneladas" measure="1" displayFolder="" measureGroup="Grano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Avena Toneladas]" caption="Suma de Avena Toneladas" measure="1" displayFolder="" measureGroup="Grano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Cartamo Toneladas]" caption="Suma de Cartamo Toneladas" measure="1" displayFolder="" measureGroup="Grano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Cebada Toneladas]" caption="Suma de Cebada Toneladas" measure="1" displayFolder="" measureGroup="Grano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Centeno Toneladas]" caption="Suma de Centeno Toneladas" measure="1" displayFolder="" measureGroup="Grano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Girasol Toneladas]" caption="Suma de Girasol Toneladas" measure="1" displayFolder="" measureGroup="Grano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Lino Toneladas]" caption="Suma de Lino Toneladas" measure="1" displayFolder="" measureGroup="Grano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Maiz Toneladas]" caption="Suma de Maiz Toneladas" measure="1" displayFolder="" measureGroup="Grano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a de Mani Toneladas]" caption="Suma de Mani Toneladas" measure="1" displayFolder="" measureGroup="Grano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Mijo Toneladas]" caption="Suma de Mijo Toneladas" measure="1" displayFolder="" measureGroup="Grano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a de Soja Toneladas]" caption="Suma de Soja Toneladas" measure="1" displayFolder="" measureGroup="Grano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a de sorgogranifero Toneladas]" caption="Suma de sorgogranifero Toneladas" measure="1" displayFolder="" measureGroup="Grano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Trigo Toneladas]" caption="Suma de Trigo Toneladas" measure="1" displayFolder="" measureGroup="Grano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a de Alpiste Hectareas]" caption="Suma de Alpiste Hectareas" measure="1" displayFolder="" measureGroup="Grano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Arroz Hectareas]" caption="Suma de Arroz Hectareas" measure="1" displayFolder="" measureGroup="Grano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Avena Hetareas]" caption="Suma de Avena Hetareas" measure="1" displayFolder="" measureGroup="Grano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Cartamo Hectareas]" caption="Suma de Cartamo Hectareas" measure="1" displayFolder="" measureGroup="Grano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Cebada Hectareas]" caption="Suma de Cebada Hectareas" measure="1" displayFolder="" measureGroup="Granos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enteno Hectareas]" caption="Suma de Centeno Hectareas" measure="1" displayFolder="" measureGroup="Granos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Girasol Hectareas]" caption="Suma de Girasol Hectareas" measure="1" displayFolder="" measureGroup="Granos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Lino Hectareas]" caption="Suma de Lino Hectareas" measure="1" displayFolder="" measureGroup="Granos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Maiz Hectareas]" caption="Suma de Maiz Hectareas" measure="1" displayFolder="" measureGroup="Granos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a de Mani Hectareas]" caption="Suma de Mani Hectareas" measure="1" displayFolder="" measureGroup="Granos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Mijo Hectareas]" caption="Suma de Mijo Hectareas" measure="1" displayFolder="" measureGroup="Granos" count="0" oneField="1" hidden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Soja Hectareas]" caption="Suma de Soja Hectareas" measure="1" displayFolder="" measureGroup="Granos" count="0" oneField="1" hidden="1">
      <fieldsUsage count="1">
        <fieldUsage x="12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Sorgogranifero Hectareas]" caption="Suma de Sorgogranifero Hectareas" measure="1" displayFolder="" measureGroup="Granos" count="0" oneField="1" hidden="1">
      <fieldsUsage count="1">
        <fieldUsage x="13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a de Trigo Hectareas]" caption="Suma de Trigo Hectareas" measure="1" displayFolder="" measureGroup="Granos" count="0" oneField="1" hidden="1">
      <fieldsUsage count="1">
        <fieldUsage x="14"/>
      </fieldsUsage>
      <extLst>
        <ext xmlns:x15="http://schemas.microsoft.com/office/spreadsheetml/2010/11/main" uri="{B97F6D7D-B522-45F9-BDA1-12C45D357490}">
          <x15:cacheHierarchy aggregatedColumn="37"/>
        </ext>
      </extLst>
    </cacheHierarchy>
  </cacheHierarchies>
  <kpis count="0"/>
  <dimensions count="7">
    <dimension name="Alpiste" uniqueName="[Alpiste]" caption="Alpiste"/>
    <dimension name="Arroz" uniqueName="[Arroz]" caption="Arroz"/>
    <dimension name="Avena" uniqueName="[Avena]" caption="Avena"/>
    <dimension name="Granos" uniqueName="[Granos]" caption="Granos"/>
    <dimension measure="1" name="Measures" uniqueName="[Measures]" caption="Measures"/>
    <dimension name="Resumen_de_información" uniqueName="[Resumen_de_información]" caption="Resumen_de_información"/>
    <dimension name="Trigo" uniqueName="[Trigo]" caption="Trigo"/>
  </dimensions>
  <measureGroups count="6">
    <measureGroup name="Alpiste" caption="Alpiste"/>
    <measureGroup name="Arroz" caption="Arroz"/>
    <measureGroup name="Avena" caption="Avena"/>
    <measureGroup name="Granos" caption="Granos"/>
    <measureGroup name="Resumen_de_información" caption="Resumen_de_información"/>
    <measureGroup name="Trigo" caption="Trigo"/>
  </measureGroups>
  <maps count="6">
    <map measureGroup="0" dimension="0"/>
    <map measureGroup="1" dimension="1"/>
    <map measureGroup="2" dimension="2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543704003126" refreshedDate="45109.448642129631" backgroundQuery="1" createdVersion="6" refreshedVersion="6" minRefreshableVersion="3" recordCount="0" supportSubquery="1" supportAdvancedDrill="1">
  <cacheSource type="external" connectionId="1"/>
  <cacheFields count="15">
    <cacheField name="[Granos].[Años].[Años]" caption="Años" numFmtId="0" hierarchy="10" level="1">
      <sharedItems containsSemiMixedTypes="0" containsNonDate="0" containsString="0"/>
    </cacheField>
    <cacheField name="[Measures].[Suma de Alpiste Toneladas]" caption="Suma de Alpiste Toneladas" numFmtId="0" hierarchy="67" level="32767"/>
    <cacheField name="[Measures].[Suma de Arroz Toneladas]" caption="Suma de Arroz Toneladas" numFmtId="0" hierarchy="68" level="32767"/>
    <cacheField name="[Measures].[Suma de Avena Toneladas]" caption="Suma de Avena Toneladas" numFmtId="0" hierarchy="69" level="32767"/>
    <cacheField name="[Measures].[Suma de Cartamo Toneladas]" caption="Suma de Cartamo Toneladas" numFmtId="0" hierarchy="70" level="32767"/>
    <cacheField name="[Measures].[Suma de Cebada Toneladas]" caption="Suma de Cebada Toneladas" numFmtId="0" hierarchy="71" level="32767"/>
    <cacheField name="[Measures].[Suma de Centeno Toneladas]" caption="Suma de Centeno Toneladas" numFmtId="0" hierarchy="72" level="32767"/>
    <cacheField name="[Measures].[Suma de Girasol Toneladas]" caption="Suma de Girasol Toneladas" numFmtId="0" hierarchy="73" level="32767"/>
    <cacheField name="[Measures].[Suma de Lino Toneladas]" caption="Suma de Lino Toneladas" numFmtId="0" hierarchy="74" level="32767"/>
    <cacheField name="[Measures].[Suma de Maiz Toneladas]" caption="Suma de Maiz Toneladas" numFmtId="0" hierarchy="75" level="32767"/>
    <cacheField name="[Measures].[Suma de Mani Toneladas]" caption="Suma de Mani Toneladas" numFmtId="0" hierarchy="76" level="32767"/>
    <cacheField name="[Measures].[Suma de Mijo Toneladas]" caption="Suma de Mijo Toneladas" numFmtId="0" hierarchy="77" level="32767"/>
    <cacheField name="[Measures].[Suma de Soja Toneladas]" caption="Suma de Soja Toneladas" numFmtId="0" hierarchy="78" level="32767"/>
    <cacheField name="[Measures].[Suma de sorgogranifero Toneladas]" caption="Suma de sorgogranifero Toneladas" numFmtId="0" hierarchy="79" level="32767"/>
    <cacheField name="[Measures].[Suma de Trigo Toneladas]" caption="Suma de Trigo Toneladas" numFmtId="0" hierarchy="80" level="32767"/>
  </cacheFields>
  <cacheHierarchies count="95">
    <cacheHierarchy uniqueName="[Alpiste].[id]" caption="id" attribute="1" defaultMemberUniqueName="[Alpiste].[id].[All]" allUniqueName="[Alpiste].[id].[All]" dimensionUniqueName="[Alpiste]" displayFolder="" count="0" memberValueDatatype="20" unbalanced="0"/>
    <cacheHierarchy uniqueName="[Alpiste].[PREGUNTAS]" caption="PREGUNTAS" attribute="1" defaultMemberUniqueName="[Alpiste].[PREGUNTAS].[All]" allUniqueName="[Alpiste].[PREGUNTAS].[All]" dimensionUniqueName="[Alpiste]" displayFolder="" count="0" memberValueDatatype="130" unbalanced="0"/>
    <cacheHierarchy uniqueName="[Alpiste].[INFORMACION]" caption="INFORMACION" attribute="1" defaultMemberUniqueName="[Alpiste].[INFORMACION].[All]" allUniqueName="[Alpiste].[INFORMACION].[All]" dimensionUniqueName="[Alpiste]" displayFolder="" count="0" memberValueDatatype="5" unbalanced="0"/>
    <cacheHierarchy uniqueName="[Arroz].[id]" caption="id" attribute="1" defaultMemberUniqueName="[Arroz].[id].[All]" allUniqueName="[Arroz].[id].[All]" dimensionUniqueName="[Arroz]" displayFolder="" count="0" memberValueDatatype="20" unbalanced="0"/>
    <cacheHierarchy uniqueName="[Arroz].[PREGUNTAS]" caption="PREGUNTAS" attribute="1" defaultMemberUniqueName="[Arroz].[PREGUNTAS].[All]" allUniqueName="[Arroz].[PREGUNTAS].[All]" dimensionUniqueName="[Arroz]" displayFolder="" count="0" memberValueDatatype="130" unbalanced="0"/>
    <cacheHierarchy uniqueName="[Arroz].[INFORMACION]" caption="INFORMACION" attribute="1" defaultMemberUniqueName="[Arroz].[INFORMACION].[All]" allUniqueName="[Arroz].[INFORMACION].[All]" dimensionUniqueName="[Arroz]" displayFolder="" count="0" memberValueDatatype="5" unbalanced="0"/>
    <cacheHierarchy uniqueName="[Avena].[id]" caption="id" attribute="1" defaultMemberUniqueName="[Avena].[id].[All]" allUniqueName="[Avena].[id].[All]" dimensionUniqueName="[Avena]" displayFolder="" count="0" memberValueDatatype="20" unbalanced="0"/>
    <cacheHierarchy uniqueName="[Avena].[PREGUNTAS]" caption="PREGUNTAS" attribute="1" defaultMemberUniqueName="[Avena].[PREGUNTAS].[All]" allUniqueName="[Avena].[PREGUNTAS].[All]" dimensionUniqueName="[Avena]" displayFolder="" count="0" memberValueDatatype="130" unbalanced="0"/>
    <cacheHierarchy uniqueName="[Avena].[INFORMACION]" caption="INFORMACION" attribute="1" defaultMemberUniqueName="[Avena].[INFORMACION].[All]" allUniqueName="[Avena].[INFORMACION].[All]" dimensionUniqueName="[Avena]" displayFolder="" count="0" memberValueDatatype="5" unbalanced="0"/>
    <cacheHierarchy uniqueName="[Granos].[Tiempo]" caption="Tiempo" attribute="1" time="1" defaultMemberUniqueName="[Granos].[Tiempo].[All]" allUniqueName="[Granos].[Tiempo].[All]" dimensionUniqueName="[Granos]" displayFolder="" count="0" memberValueDatatype="7" unbalanced="0"/>
    <cacheHierarchy uniqueName="[Granos].[Años]" caption="Años" attribute="1" defaultMemberUniqueName="[Granos].[Años].[All]" allUniqueName="[Granos].[Años].[All]" dimensionUniqueName="[Granos]" displayFolder="" count="2" memberValueDatatype="20" unbalanced="0">
      <fieldsUsage count="2">
        <fieldUsage x="-1"/>
        <fieldUsage x="0"/>
      </fieldsUsage>
    </cacheHierarchy>
    <cacheHierarchy uniqueName="[Granos].[Alpiste Hectareas]" caption="Alpiste Hectareas" attribute="1" defaultMemberUniqueName="[Granos].[Alpiste Hectareas].[All]" allUniqueName="[Granos].[Alpiste Hectareas].[All]" dimensionUniqueName="[Granos]" displayFolder="" count="0" memberValueDatatype="20" unbalanced="0"/>
    <cacheHierarchy uniqueName="[Granos].[Alpiste Toneladas]" caption="Alpiste Toneladas" attribute="1" defaultMemberUniqueName="[Granos].[Alpiste Toneladas].[All]" allUniqueName="[Granos].[Alpiste Toneladas].[All]" dimensionUniqueName="[Granos]" displayFolder="" count="0" memberValueDatatype="20" unbalanced="0"/>
    <cacheHierarchy uniqueName="[Granos].[Arroz Hectareas]" caption="Arroz Hectareas" attribute="1" defaultMemberUniqueName="[Granos].[Arroz Hectareas].[All]" allUniqueName="[Granos].[Arroz Hectareas].[All]" dimensionUniqueName="[Granos]" displayFolder="" count="0" memberValueDatatype="20" unbalanced="0"/>
    <cacheHierarchy uniqueName="[Granos].[Arroz Toneladas]" caption="Arroz Toneladas" attribute="1" defaultMemberUniqueName="[Granos].[Arroz Toneladas].[All]" allUniqueName="[Granos].[Arroz Toneladas].[All]" dimensionUniqueName="[Granos]" displayFolder="" count="0" memberValueDatatype="20" unbalanced="0"/>
    <cacheHierarchy uniqueName="[Granos].[Avena Hetareas]" caption="Avena Hetareas" attribute="1" defaultMemberUniqueName="[Granos].[Avena Hetareas].[All]" allUniqueName="[Granos].[Avena Hetareas].[All]" dimensionUniqueName="[Granos]" displayFolder="" count="0" memberValueDatatype="20" unbalanced="0"/>
    <cacheHierarchy uniqueName="[Granos].[Avena Toneladas]" caption="Avena Toneladas" attribute="1" defaultMemberUniqueName="[Granos].[Avena Toneladas].[All]" allUniqueName="[Granos].[Avena Toneladas].[All]" dimensionUniqueName="[Granos]" displayFolder="" count="0" memberValueDatatype="20" unbalanced="0"/>
    <cacheHierarchy uniqueName="[Granos].[Cartamo Hectareas]" caption="Cartamo Hectareas" attribute="1" defaultMemberUniqueName="[Granos].[Cartamo Hectareas].[All]" allUniqueName="[Granos].[Cartamo Hectareas].[All]" dimensionUniqueName="[Granos]" displayFolder="" count="0" memberValueDatatype="20" unbalanced="0"/>
    <cacheHierarchy uniqueName="[Granos].[Cartamo Toneladas]" caption="Cartamo Toneladas" attribute="1" defaultMemberUniqueName="[Granos].[Cartamo Toneladas].[All]" allUniqueName="[Granos].[Cartamo Toneladas].[All]" dimensionUniqueName="[Granos]" displayFolder="" count="0" memberValueDatatype="20" unbalanced="0"/>
    <cacheHierarchy uniqueName="[Granos].[Cebada Hectareas]" caption="Cebada Hectareas" attribute="1" defaultMemberUniqueName="[Granos].[Cebada Hectareas].[All]" allUniqueName="[Granos].[Cebada Hectareas].[All]" dimensionUniqueName="[Granos]" displayFolder="" count="0" memberValueDatatype="20" unbalanced="0"/>
    <cacheHierarchy uniqueName="[Granos].[Cebada Toneladas]" caption="Cebada Toneladas" attribute="1" defaultMemberUniqueName="[Granos].[Cebada Toneladas].[All]" allUniqueName="[Granos].[Cebada Toneladas].[All]" dimensionUniqueName="[Granos]" displayFolder="" count="0" memberValueDatatype="20" unbalanced="0"/>
    <cacheHierarchy uniqueName="[Granos].[Centeno Hectareas]" caption="Centeno Hectareas" attribute="1" defaultMemberUniqueName="[Granos].[Centeno Hectareas].[All]" allUniqueName="[Granos].[Centeno Hectareas].[All]" dimensionUniqueName="[Granos]" displayFolder="" count="0" memberValueDatatype="20" unbalanced="0"/>
    <cacheHierarchy uniqueName="[Granos].[Centeno Toneladas]" caption="Centeno Toneladas" attribute="1" defaultMemberUniqueName="[Granos].[Centeno Toneladas].[All]" allUniqueName="[Granos].[Centeno Toneladas].[All]" dimensionUniqueName="[Granos]" displayFolder="" count="0" memberValueDatatype="20" unbalanced="0"/>
    <cacheHierarchy uniqueName="[Granos].[Girasol Hectareas]" caption="Girasol Hectareas" attribute="1" defaultMemberUniqueName="[Granos].[Girasol Hectareas].[All]" allUniqueName="[Granos].[Girasol Hectareas].[All]" dimensionUniqueName="[Granos]" displayFolder="" count="0" memberValueDatatype="20" unbalanced="0"/>
    <cacheHierarchy uniqueName="[Granos].[Girasol Toneladas]" caption="Girasol Toneladas" attribute="1" defaultMemberUniqueName="[Granos].[Girasol Toneladas].[All]" allUniqueName="[Granos].[Girasol Toneladas].[All]" dimensionUniqueName="[Granos]" displayFolder="" count="0" memberValueDatatype="20" unbalanced="0"/>
    <cacheHierarchy uniqueName="[Granos].[Lino Hectareas]" caption="Lino Hectareas" attribute="1" defaultMemberUniqueName="[Granos].[Lino Hectareas].[All]" allUniqueName="[Granos].[Lino Hectareas].[All]" dimensionUniqueName="[Granos]" displayFolder="" count="0" memberValueDatatype="20" unbalanced="0"/>
    <cacheHierarchy uniqueName="[Granos].[Lino Toneladas]" caption="Lino Toneladas" attribute="1" defaultMemberUniqueName="[Granos].[Lino Toneladas].[All]" allUniqueName="[Granos].[Lino Toneladas].[All]" dimensionUniqueName="[Granos]" displayFolder="" count="0" memberValueDatatype="20" unbalanced="0"/>
    <cacheHierarchy uniqueName="[Granos].[Maiz Hectareas]" caption="Maiz Hectareas" attribute="1" defaultMemberUniqueName="[Granos].[Maiz Hectareas].[All]" allUniqueName="[Granos].[Maiz Hectareas].[All]" dimensionUniqueName="[Granos]" displayFolder="" count="0" memberValueDatatype="20" unbalanced="0"/>
    <cacheHierarchy uniqueName="[Granos].[Maiz Toneladas]" caption="Maiz Toneladas" attribute="1" defaultMemberUniqueName="[Granos].[Maiz Toneladas].[All]" allUniqueName="[Granos].[Maiz Toneladas].[All]" dimensionUniqueName="[Granos]" displayFolder="" count="0" memberValueDatatype="20" unbalanced="0"/>
    <cacheHierarchy uniqueName="[Granos].[Mani Hectareas]" caption="Mani Hectareas" attribute="1" defaultMemberUniqueName="[Granos].[Mani Hectareas].[All]" allUniqueName="[Granos].[Mani Hectareas].[All]" dimensionUniqueName="[Granos]" displayFolder="" count="0" memberValueDatatype="20" unbalanced="0"/>
    <cacheHierarchy uniqueName="[Granos].[Mani Toneladas]" caption="Mani Toneladas" attribute="1" defaultMemberUniqueName="[Granos].[Mani Toneladas].[All]" allUniqueName="[Granos].[Mani Toneladas].[All]" dimensionUniqueName="[Granos]" displayFolder="" count="0" memberValueDatatype="20" unbalanced="0"/>
    <cacheHierarchy uniqueName="[Granos].[Mijo Hectareas]" caption="Mijo Hectareas" attribute="1" defaultMemberUniqueName="[Granos].[Mijo Hectareas].[All]" allUniqueName="[Granos].[Mijo Hectareas].[All]" dimensionUniqueName="[Granos]" displayFolder="" count="0" memberValueDatatype="20" unbalanced="0"/>
    <cacheHierarchy uniqueName="[Granos].[Mijo Toneladas]" caption="Mijo Toneladas" attribute="1" defaultMemberUniqueName="[Granos].[Mijo Toneladas].[All]" allUniqueName="[Granos].[Mijo Toneladas].[All]" dimensionUniqueName="[Granos]" displayFolder="" count="0" memberValueDatatype="20" unbalanced="0"/>
    <cacheHierarchy uniqueName="[Granos].[Soja Hectareas]" caption="Soja Hectareas" attribute="1" defaultMemberUniqueName="[Granos].[Soja Hectareas].[All]" allUniqueName="[Granos].[Soja Hectareas].[All]" dimensionUniqueName="[Granos]" displayFolder="" count="0" memberValueDatatype="20" unbalanced="0"/>
    <cacheHierarchy uniqueName="[Granos].[Soja Toneladas]" caption="Soja Toneladas" attribute="1" defaultMemberUniqueName="[Granos].[Soja Toneladas].[All]" allUniqueName="[Granos].[Soja Toneladas].[All]" dimensionUniqueName="[Granos]" displayFolder="" count="0" memberValueDatatype="20" unbalanced="0"/>
    <cacheHierarchy uniqueName="[Granos].[Sorgogranifero Hectareas]" caption="Sorgogranifero Hectareas" attribute="1" defaultMemberUniqueName="[Granos].[Sorgogranifero Hectareas].[All]" allUniqueName="[Granos].[Sorgogranifero Hectareas].[All]" dimensionUniqueName="[Granos]" displayFolder="" count="0" memberValueDatatype="20" unbalanced="0"/>
    <cacheHierarchy uniqueName="[Granos].[sorgogranifero Toneladas]" caption="sorgogranifero Toneladas" attribute="1" defaultMemberUniqueName="[Granos].[sorgogranifero Toneladas].[All]" allUniqueName="[Granos].[sorgogranifero Toneladas].[All]" dimensionUniqueName="[Granos]" displayFolder="" count="0" memberValueDatatype="20" unbalanced="0"/>
    <cacheHierarchy uniqueName="[Granos].[Trigo Hectareas]" caption="Trigo Hectareas" attribute="1" defaultMemberUniqueName="[Granos].[Trigo Hectareas].[All]" allUniqueName="[Granos].[Trigo Hectareas].[All]" dimensionUniqueName="[Granos]" displayFolder="" count="0" memberValueDatatype="20" unbalanced="0"/>
    <cacheHierarchy uniqueName="[Granos].[Trigo Toneladas]" caption="Trigo Toneladas" attribute="1" defaultMemberUniqueName="[Granos].[Trigo Toneladas].[All]" allUniqueName="[Granos].[Trigo Toneladas].[All]" dimensionUniqueName="[Granos]" displayFolder="" count="0" memberValueDatatype="20" unbalanced="0"/>
    <cacheHierarchy uniqueName="[Resumen_de_información].[id]" caption="id" attribute="1" defaultMemberUniqueName="[Resumen_de_información].[id].[All]" allUniqueName="[Resumen_de_información].[id].[All]" dimensionUniqueName="[Resumen_de_información]" displayFolder="" count="0" memberValueDatatype="20" unbalanced="0"/>
    <cacheHierarchy uniqueName="[Resumen_de_información].[Preguntas]" caption="Preguntas" attribute="1" defaultMemberUniqueName="[Resumen_de_información].[Preguntas].[All]" allUniqueName="[Resumen_de_información].[Preguntas].[All]" dimensionUniqueName="[Resumen_de_información]" displayFolder="" count="0" memberValueDatatype="130" unbalanced="0"/>
    <cacheHierarchy uniqueName="[Resumen_de_información].[Alpiste]" caption="Alpiste" attribute="1" defaultMemberUniqueName="[Resumen_de_información].[Alpiste].[All]" allUniqueName="[Resumen_de_información].[Alpiste].[All]" dimensionUniqueName="[Resumen_de_información]" displayFolder="" count="0" memberValueDatatype="5" unbalanced="0"/>
    <cacheHierarchy uniqueName="[Resumen_de_información].[Arroz]" caption="Arroz" attribute="1" defaultMemberUniqueName="[Resumen_de_información].[Arroz].[All]" allUniqueName="[Resumen_de_información].[Arroz].[All]" dimensionUniqueName="[Resumen_de_información]" displayFolder="" count="0" memberValueDatatype="5" unbalanced="0"/>
    <cacheHierarchy uniqueName="[Resumen_de_información].[Avena]" caption="Avena" attribute="1" defaultMemberUniqueName="[Resumen_de_información].[Avena].[All]" allUniqueName="[Resumen_de_información].[Avena].[All]" dimensionUniqueName="[Resumen_de_información]" displayFolder="" count="0" memberValueDatatype="5" unbalanced="0"/>
    <cacheHierarchy uniqueName="[Resumen_de_información].[Cartamo]" caption="Cartamo" attribute="1" defaultMemberUniqueName="[Resumen_de_información].[Cartamo].[All]" allUniqueName="[Resumen_de_información].[Cartamo].[All]" dimensionUniqueName="[Resumen_de_información]" displayFolder="" count="0" memberValueDatatype="5" unbalanced="0"/>
    <cacheHierarchy uniqueName="[Resumen_de_información].[Cebada]" caption="Cebada" attribute="1" defaultMemberUniqueName="[Resumen_de_información].[Cebada].[All]" allUniqueName="[Resumen_de_información].[Cebada].[All]" dimensionUniqueName="[Resumen_de_información]" displayFolder="" count="0" memberValueDatatype="5" unbalanced="0"/>
    <cacheHierarchy uniqueName="[Resumen_de_información].[Centeno]" caption="Centeno" attribute="1" defaultMemberUniqueName="[Resumen_de_información].[Centeno].[All]" allUniqueName="[Resumen_de_información].[Centeno].[All]" dimensionUniqueName="[Resumen_de_información]" displayFolder="" count="0" memberValueDatatype="5" unbalanced="0"/>
    <cacheHierarchy uniqueName="[Resumen_de_información].[Girasol]" caption="Girasol" attribute="1" defaultMemberUniqueName="[Resumen_de_información].[Girasol].[All]" allUniqueName="[Resumen_de_información].[Girasol].[All]" dimensionUniqueName="[Resumen_de_información]" displayFolder="" count="0" memberValueDatatype="5" unbalanced="0"/>
    <cacheHierarchy uniqueName="[Resumen_de_información].[Lino]" caption="Lino" attribute="1" defaultMemberUniqueName="[Resumen_de_información].[Lino].[All]" allUniqueName="[Resumen_de_información].[Lino].[All]" dimensionUniqueName="[Resumen_de_información]" displayFolder="" count="0" memberValueDatatype="5" unbalanced="0"/>
    <cacheHierarchy uniqueName="[Resumen_de_información].[Maiz]" caption="Maiz" attribute="1" defaultMemberUniqueName="[Resumen_de_información].[Maiz].[All]" allUniqueName="[Resumen_de_información].[Maiz].[All]" dimensionUniqueName="[Resumen_de_información]" displayFolder="" count="0" memberValueDatatype="5" unbalanced="0"/>
    <cacheHierarchy uniqueName="[Resumen_de_información].[Mani]" caption="Mani" attribute="1" defaultMemberUniqueName="[Resumen_de_información].[Mani].[All]" allUniqueName="[Resumen_de_información].[Mani].[All]" dimensionUniqueName="[Resumen_de_información]" displayFolder="" count="0" memberValueDatatype="5" unbalanced="0"/>
    <cacheHierarchy uniqueName="[Resumen_de_información].[Mijo]" caption="Mijo" attribute="1" defaultMemberUniqueName="[Resumen_de_información].[Mijo].[All]" allUniqueName="[Resumen_de_información].[Mijo].[All]" dimensionUniqueName="[Resumen_de_información]" displayFolder="" count="0" memberValueDatatype="5" unbalanced="0"/>
    <cacheHierarchy uniqueName="[Resumen_de_información].[Soja]" caption="Soja" attribute="1" defaultMemberUniqueName="[Resumen_de_información].[Soja].[All]" allUniqueName="[Resumen_de_información].[Soja].[All]" dimensionUniqueName="[Resumen_de_información]" displayFolder="" count="0" memberValueDatatype="5" unbalanced="0"/>
    <cacheHierarchy uniqueName="[Resumen_de_información].[Sorgogranifero]" caption="Sorgogranifero" attribute="1" defaultMemberUniqueName="[Resumen_de_información].[Sorgogranifero].[All]" allUniqueName="[Resumen_de_información].[Sorgogranifero].[All]" dimensionUniqueName="[Resumen_de_información]" displayFolder="" count="0" memberValueDatatype="5" unbalanced="0"/>
    <cacheHierarchy uniqueName="[Resumen_de_información].[Trigo]" caption="Trigo" attribute="1" defaultMemberUniqueName="[Resumen_de_información].[Trigo].[All]" allUniqueName="[Resumen_de_información].[Trigo].[All]" dimensionUniqueName="[Resumen_de_información]" displayFolder="" count="0" memberValueDatatype="5" unbalanced="0"/>
    <cacheHierarchy uniqueName="[Trigo].[id]" caption="id" attribute="1" defaultMemberUniqueName="[Trigo].[id].[All]" allUniqueName="[Trigo].[id].[All]" dimensionUniqueName="[Trigo]" displayFolder="" count="0" memberValueDatatype="20" unbalanced="0"/>
    <cacheHierarchy uniqueName="[Trigo].[PREGUNTAS]" caption="PREGUNTAS" attribute="1" defaultMemberUniqueName="[Trigo].[PREGUNTAS].[All]" allUniqueName="[Trigo].[PREGUNTAS].[All]" dimensionUniqueName="[Trigo]" displayFolder="" count="0" memberValueDatatype="130" unbalanced="0"/>
    <cacheHierarchy uniqueName="[Trigo].[INFORMACION]" caption="INFORMACION" attribute="1" defaultMemberUniqueName="[Trigo].[INFORMACION].[All]" allUniqueName="[Trigo].[INFORMACION].[All]" dimensionUniqueName="[Trigo]" displayFolder="" count="0" memberValueDatatype="5" unbalanced="0"/>
    <cacheHierarchy uniqueName="[Measures].[__XL_Count Alpiste]" caption="__XL_Count Alpiste" measure="1" displayFolder="" measureGroup="Alpiste" count="0" hidden="1"/>
    <cacheHierarchy uniqueName="[Measures].[__XL_Count Avena]" caption="__XL_Count Avena" measure="1" displayFolder="" measureGroup="Avena" count="0" hidden="1"/>
    <cacheHierarchy uniqueName="[Measures].[__XL_Count Arroz]" caption="__XL_Count Arroz" measure="1" displayFolder="" measureGroup="Arroz" count="0" hidden="1"/>
    <cacheHierarchy uniqueName="[Measures].[__XL_Count Trigo]" caption="__XL_Count Trigo" measure="1" displayFolder="" measureGroup="Trigo" count="0" hidden="1"/>
    <cacheHierarchy uniqueName="[Measures].[__XL_Count Resumen_de_información]" caption="__XL_Count Resumen_de_información" measure="1" displayFolder="" measureGroup="Resumen_de_información" count="0" hidden="1"/>
    <cacheHierarchy uniqueName="[Measures].[__XL_Count Granos]" caption="__XL_Count Granos" measure="1" displayFolder="" measureGroup="Granos" count="0" hidden="1"/>
    <cacheHierarchy uniqueName="[Measures].[__No hay medidas definidas]" caption="__No hay medidas definidas" measure="1" displayFolder="" count="0" hidden="1"/>
    <cacheHierarchy uniqueName="[Measures].[Suma de INFORMACION]" caption="Suma de INFORMACION" measure="1" displayFolder="" measureGroup="Alpist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Años]" caption="Suma de Años" measure="1" displayFolder="" measureGroup="Grano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Alpiste Toneladas]" caption="Suma de Alpiste Toneladas" measure="1" displayFolder="" measureGroup="Grano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Arroz Toneladas]" caption="Suma de Arroz Toneladas" measure="1" displayFolder="" measureGroup="Grano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Avena Toneladas]" caption="Suma de Avena Toneladas" measure="1" displayFolder="" measureGroup="Grano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Cartamo Toneladas]" caption="Suma de Cartamo Toneladas" measure="1" displayFolder="" measureGroup="Grano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Cebada Toneladas]" caption="Suma de Cebada Toneladas" measure="1" displayFolder="" measureGroup="Granos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Centeno Toneladas]" caption="Suma de Centeno Toneladas" measure="1" displayFolder="" measureGroup="Granos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Girasol Toneladas]" caption="Suma de Girasol Toneladas" measure="1" displayFolder="" measureGroup="Granos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Lino Toneladas]" caption="Suma de Lino Toneladas" measure="1" displayFolder="" measureGroup="Granos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Maiz Toneladas]" caption="Suma de Maiz Toneladas" measure="1" displayFolder="" measureGroup="Granos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a de Mani Toneladas]" caption="Suma de Mani Toneladas" measure="1" displayFolder="" measureGroup="Granos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Mijo Toneladas]" caption="Suma de Mijo Toneladas" measure="1" displayFolder="" measureGroup="Granos" count="0" oneField="1" hidden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a de Soja Toneladas]" caption="Suma de Soja Toneladas" measure="1" displayFolder="" measureGroup="Granos" count="0" oneField="1" hidden="1">
      <fieldsUsage count="1">
        <fieldUsage x="12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a de sorgogranifero Toneladas]" caption="Suma de sorgogranifero Toneladas" measure="1" displayFolder="" measureGroup="Granos" count="0" oneField="1" hidden="1">
      <fieldsUsage count="1">
        <fieldUsage x="13"/>
      </fieldsUsage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Trigo Toneladas]" caption="Suma de Trigo Toneladas" measure="1" displayFolder="" measureGroup="Granos" count="0" oneField="1" hidden="1">
      <fieldsUsage count="1">
        <fieldUsage x="14"/>
      </fieldsUsage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a de Alpiste Hectareas]" caption="Suma de Alpiste Hectareas" measure="1" displayFolder="" measureGroup="Grano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Arroz Hectareas]" caption="Suma de Arroz Hectareas" measure="1" displayFolder="" measureGroup="Grano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Avena Hetareas]" caption="Suma de Avena Hetareas" measure="1" displayFolder="" measureGroup="Grano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Cartamo Hectareas]" caption="Suma de Cartamo Hectareas" measure="1" displayFolder="" measureGroup="Grano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Cebada Hectareas]" caption="Suma de Cebada Hectareas" measure="1" displayFolder="" measureGroup="Grano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enteno Hectareas]" caption="Suma de Centeno Hectareas" measure="1" displayFolder="" measureGroup="Grano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Girasol Hectareas]" caption="Suma de Girasol Hectareas" measure="1" displayFolder="" measureGroup="Grano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Lino Hectareas]" caption="Suma de Lino Hectareas" measure="1" displayFolder="" measureGroup="Granos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Maiz Hectareas]" caption="Suma de Maiz Hectareas" measure="1" displayFolder="" measureGroup="Granos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a de Mani Hectareas]" caption="Suma de Mani Hectareas" measure="1" displayFolder="" measureGroup="Granos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Mijo Hectareas]" caption="Suma de Mijo Hectareas" measure="1" displayFolder="" measureGroup="Granos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Soja Hectareas]" caption="Suma de Soja Hectareas" measure="1" displayFolder="" measureGroup="Granos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Sorgogranifero Hectareas]" caption="Suma de Sorgogranifero Hectareas" measure="1" displayFolder="" measureGroup="Granos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a de Trigo Hectareas]" caption="Suma de Trigo Hectareas" measure="1" displayFolder="" measureGroup="Granos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</cacheHierarchies>
  <kpis count="0"/>
  <dimensions count="7">
    <dimension name="Alpiste" uniqueName="[Alpiste]" caption="Alpiste"/>
    <dimension name="Arroz" uniqueName="[Arroz]" caption="Arroz"/>
    <dimension name="Avena" uniqueName="[Avena]" caption="Avena"/>
    <dimension name="Granos" uniqueName="[Granos]" caption="Granos"/>
    <dimension measure="1" name="Measures" uniqueName="[Measures]" caption="Measures"/>
    <dimension name="Resumen_de_información" uniqueName="[Resumen_de_información]" caption="Resumen_de_información"/>
    <dimension name="Trigo" uniqueName="[Trigo]" caption="Trigo"/>
  </dimensions>
  <measureGroups count="6">
    <measureGroup name="Alpiste" caption="Alpiste"/>
    <measureGroup name="Arroz" caption="Arroz"/>
    <measureGroup name="Avena" caption="Avena"/>
    <measureGroup name="Granos" caption="Granos"/>
    <measureGroup name="Resumen_de_información" caption="Resumen_de_información"/>
    <measureGroup name="Trigo" caption="Trigo"/>
  </measureGroups>
  <maps count="6">
    <map measureGroup="0" dimension="0"/>
    <map measureGroup="1" dimension="1"/>
    <map measureGroup="2" dimension="2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543704003126" refreshedDate="45106.735643749998" backgroundQuery="1" createdVersion="3" refreshedVersion="6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81">
    <cacheHierarchy uniqueName="[Alpiste].[id]" caption="id" attribute="1" defaultMemberUniqueName="[Alpiste].[id].[All]" allUniqueName="[Alpiste].[id].[All]" dimensionUniqueName="[Alpiste]" displayFolder="" count="0" memberValueDatatype="20" unbalanced="0"/>
    <cacheHierarchy uniqueName="[Alpiste].[PREGUNTAS]" caption="PREGUNTAS" attribute="1" defaultMemberUniqueName="[Alpiste].[PREGUNTAS].[All]" allUniqueName="[Alpiste].[PREGUNTAS].[All]" dimensionUniqueName="[Alpiste]" displayFolder="" count="0" memberValueDatatype="130" unbalanced="0"/>
    <cacheHierarchy uniqueName="[Alpiste].[INFORMACION]" caption="INFORMACION" attribute="1" defaultMemberUniqueName="[Alpiste].[INFORMACION].[All]" allUniqueName="[Alpiste].[INFORMACION].[All]" dimensionUniqueName="[Alpiste]" displayFolder="" count="0" memberValueDatatype="5" unbalanced="0"/>
    <cacheHierarchy uniqueName="[Arroz].[id]" caption="id" attribute="1" defaultMemberUniqueName="[Arroz].[id].[All]" allUniqueName="[Arroz].[id].[All]" dimensionUniqueName="[Arroz]" displayFolder="" count="0" memberValueDatatype="20" unbalanced="0"/>
    <cacheHierarchy uniqueName="[Arroz].[PREGUNTAS]" caption="PREGUNTAS" attribute="1" defaultMemberUniqueName="[Arroz].[PREGUNTAS].[All]" allUniqueName="[Arroz].[PREGUNTAS].[All]" dimensionUniqueName="[Arroz]" displayFolder="" count="0" memberValueDatatype="130" unbalanced="0"/>
    <cacheHierarchy uniqueName="[Arroz].[INFORMACION]" caption="INFORMACION" attribute="1" defaultMemberUniqueName="[Arroz].[INFORMACION].[All]" allUniqueName="[Arroz].[INFORMACION].[All]" dimensionUniqueName="[Arroz]" displayFolder="" count="0" memberValueDatatype="5" unbalanced="0"/>
    <cacheHierarchy uniqueName="[Avena].[id]" caption="id" attribute="1" defaultMemberUniqueName="[Avena].[id].[All]" allUniqueName="[Avena].[id].[All]" dimensionUniqueName="[Avena]" displayFolder="" count="0" memberValueDatatype="20" unbalanced="0"/>
    <cacheHierarchy uniqueName="[Avena].[PREGUNTAS]" caption="PREGUNTAS" attribute="1" defaultMemberUniqueName="[Avena].[PREGUNTAS].[All]" allUniqueName="[Avena].[PREGUNTAS].[All]" dimensionUniqueName="[Avena]" displayFolder="" count="0" memberValueDatatype="130" unbalanced="0"/>
    <cacheHierarchy uniqueName="[Avena].[INFORMACION]" caption="INFORMACION" attribute="1" defaultMemberUniqueName="[Avena].[INFORMACION].[All]" allUniqueName="[Avena].[INFORMACION].[All]" dimensionUniqueName="[Avena]" displayFolder="" count="0" memberValueDatatype="5" unbalanced="0"/>
    <cacheHierarchy uniqueName="[Granos].[Tiempo]" caption="Tiempo" attribute="1" time="1" defaultMemberUniqueName="[Granos].[Tiempo].[All]" allUniqueName="[Granos].[Tiempo].[All]" dimensionUniqueName="[Granos]" displayFolder="" count="0" memberValueDatatype="7" unbalanced="0"/>
    <cacheHierarchy uniqueName="[Granos].[Años]" caption="Años" attribute="1" defaultMemberUniqueName="[Granos].[Años].[All]" allUniqueName="[Granos].[Años].[All]" dimensionUniqueName="[Granos]" displayFolder="" count="2" memberValueDatatype="20" unbalanced="0"/>
    <cacheHierarchy uniqueName="[Granos].[Alpiste Hectareas]" caption="Alpiste Hectareas" attribute="1" defaultMemberUniqueName="[Granos].[Alpiste Hectareas].[All]" allUniqueName="[Granos].[Alpiste Hectareas].[All]" dimensionUniqueName="[Granos]" displayFolder="" count="0" memberValueDatatype="20" unbalanced="0"/>
    <cacheHierarchy uniqueName="[Granos].[Alpiste Toneladas]" caption="Alpiste Toneladas" attribute="1" defaultMemberUniqueName="[Granos].[Alpiste Toneladas].[All]" allUniqueName="[Granos].[Alpiste Toneladas].[All]" dimensionUniqueName="[Granos]" displayFolder="" count="0" memberValueDatatype="20" unbalanced="0"/>
    <cacheHierarchy uniqueName="[Granos].[Arroz Hectareas]" caption="Arroz Hectareas" attribute="1" defaultMemberUniqueName="[Granos].[Arroz Hectareas].[All]" allUniqueName="[Granos].[Arroz Hectareas].[All]" dimensionUniqueName="[Granos]" displayFolder="" count="0" memberValueDatatype="20" unbalanced="0"/>
    <cacheHierarchy uniqueName="[Granos].[Arroz Toneladas]" caption="Arroz Toneladas" attribute="1" defaultMemberUniqueName="[Granos].[Arroz Toneladas].[All]" allUniqueName="[Granos].[Arroz Toneladas].[All]" dimensionUniqueName="[Granos]" displayFolder="" count="0" memberValueDatatype="20" unbalanced="0"/>
    <cacheHierarchy uniqueName="[Granos].[Avena Hetareas]" caption="Avena Hetareas" attribute="1" defaultMemberUniqueName="[Granos].[Avena Hetareas].[All]" allUniqueName="[Granos].[Avena Hetareas].[All]" dimensionUniqueName="[Granos]" displayFolder="" count="0" memberValueDatatype="20" unbalanced="0"/>
    <cacheHierarchy uniqueName="[Granos].[Avena Toneladas]" caption="Avena Toneladas" attribute="1" defaultMemberUniqueName="[Granos].[Avena Toneladas].[All]" allUniqueName="[Granos].[Avena Toneladas].[All]" dimensionUniqueName="[Granos]" displayFolder="" count="0" memberValueDatatype="20" unbalanced="0"/>
    <cacheHierarchy uniqueName="[Granos].[Cartamo Hectareas]" caption="Cartamo Hectareas" attribute="1" defaultMemberUniqueName="[Granos].[Cartamo Hectareas].[All]" allUniqueName="[Granos].[Cartamo Hectareas].[All]" dimensionUniqueName="[Granos]" displayFolder="" count="0" memberValueDatatype="20" unbalanced="0"/>
    <cacheHierarchy uniqueName="[Granos].[Cartamo Toneladas]" caption="Cartamo Toneladas" attribute="1" defaultMemberUniqueName="[Granos].[Cartamo Toneladas].[All]" allUniqueName="[Granos].[Cartamo Toneladas].[All]" dimensionUniqueName="[Granos]" displayFolder="" count="0" memberValueDatatype="20" unbalanced="0"/>
    <cacheHierarchy uniqueName="[Granos].[Cebada Hectareas]" caption="Cebada Hectareas" attribute="1" defaultMemberUniqueName="[Granos].[Cebada Hectareas].[All]" allUniqueName="[Granos].[Cebada Hectareas].[All]" dimensionUniqueName="[Granos]" displayFolder="" count="0" memberValueDatatype="20" unbalanced="0"/>
    <cacheHierarchy uniqueName="[Granos].[Cebada Toneladas]" caption="Cebada Toneladas" attribute="1" defaultMemberUniqueName="[Granos].[Cebada Toneladas].[All]" allUniqueName="[Granos].[Cebada Toneladas].[All]" dimensionUniqueName="[Granos]" displayFolder="" count="0" memberValueDatatype="20" unbalanced="0"/>
    <cacheHierarchy uniqueName="[Granos].[Centeno Hectareas]" caption="Centeno Hectareas" attribute="1" defaultMemberUniqueName="[Granos].[Centeno Hectareas].[All]" allUniqueName="[Granos].[Centeno Hectareas].[All]" dimensionUniqueName="[Granos]" displayFolder="" count="0" memberValueDatatype="20" unbalanced="0"/>
    <cacheHierarchy uniqueName="[Granos].[Centeno Toneladas]" caption="Centeno Toneladas" attribute="1" defaultMemberUniqueName="[Granos].[Centeno Toneladas].[All]" allUniqueName="[Granos].[Centeno Toneladas].[All]" dimensionUniqueName="[Granos]" displayFolder="" count="0" memberValueDatatype="20" unbalanced="0"/>
    <cacheHierarchy uniqueName="[Granos].[Girasol Hectareas]" caption="Girasol Hectareas" attribute="1" defaultMemberUniqueName="[Granos].[Girasol Hectareas].[All]" allUniqueName="[Granos].[Girasol Hectareas].[All]" dimensionUniqueName="[Granos]" displayFolder="" count="0" memberValueDatatype="20" unbalanced="0"/>
    <cacheHierarchy uniqueName="[Granos].[Girasol Toneladas]" caption="Girasol Toneladas" attribute="1" defaultMemberUniqueName="[Granos].[Girasol Toneladas].[All]" allUniqueName="[Granos].[Girasol Toneladas].[All]" dimensionUniqueName="[Granos]" displayFolder="" count="0" memberValueDatatype="20" unbalanced="0"/>
    <cacheHierarchy uniqueName="[Granos].[Lino Hectareas]" caption="Lino Hectareas" attribute="1" defaultMemberUniqueName="[Granos].[Lino Hectareas].[All]" allUniqueName="[Granos].[Lino Hectareas].[All]" dimensionUniqueName="[Granos]" displayFolder="" count="0" memberValueDatatype="20" unbalanced="0"/>
    <cacheHierarchy uniqueName="[Granos].[Lino Toneladas]" caption="Lino Toneladas" attribute="1" defaultMemberUniqueName="[Granos].[Lino Toneladas].[All]" allUniqueName="[Granos].[Lino Toneladas].[All]" dimensionUniqueName="[Granos]" displayFolder="" count="0" memberValueDatatype="20" unbalanced="0"/>
    <cacheHierarchy uniqueName="[Granos].[Maiz Hectareas]" caption="Maiz Hectareas" attribute="1" defaultMemberUniqueName="[Granos].[Maiz Hectareas].[All]" allUniqueName="[Granos].[Maiz Hectareas].[All]" dimensionUniqueName="[Granos]" displayFolder="" count="0" memberValueDatatype="20" unbalanced="0"/>
    <cacheHierarchy uniqueName="[Granos].[Maiz Toneladas]" caption="Maiz Toneladas" attribute="1" defaultMemberUniqueName="[Granos].[Maiz Toneladas].[All]" allUniqueName="[Granos].[Maiz Toneladas].[All]" dimensionUniqueName="[Granos]" displayFolder="" count="0" memberValueDatatype="20" unbalanced="0"/>
    <cacheHierarchy uniqueName="[Granos].[Mani Hectareas]" caption="Mani Hectareas" attribute="1" defaultMemberUniqueName="[Granos].[Mani Hectareas].[All]" allUniqueName="[Granos].[Mani Hectareas].[All]" dimensionUniqueName="[Granos]" displayFolder="" count="0" memberValueDatatype="20" unbalanced="0"/>
    <cacheHierarchy uniqueName="[Granos].[Mani Toneladas]" caption="Mani Toneladas" attribute="1" defaultMemberUniqueName="[Granos].[Mani Toneladas].[All]" allUniqueName="[Granos].[Mani Toneladas].[All]" dimensionUniqueName="[Granos]" displayFolder="" count="0" memberValueDatatype="20" unbalanced="0"/>
    <cacheHierarchy uniqueName="[Granos].[Mijo Hectareas]" caption="Mijo Hectareas" attribute="1" defaultMemberUniqueName="[Granos].[Mijo Hectareas].[All]" allUniqueName="[Granos].[Mijo Hectareas].[All]" dimensionUniqueName="[Granos]" displayFolder="" count="0" memberValueDatatype="20" unbalanced="0"/>
    <cacheHierarchy uniqueName="[Granos].[Mijo Toneladas]" caption="Mijo Toneladas" attribute="1" defaultMemberUniqueName="[Granos].[Mijo Toneladas].[All]" allUniqueName="[Granos].[Mijo Toneladas].[All]" dimensionUniqueName="[Granos]" displayFolder="" count="0" memberValueDatatype="20" unbalanced="0"/>
    <cacheHierarchy uniqueName="[Granos].[Soja Hectareas]" caption="Soja Hectareas" attribute="1" defaultMemberUniqueName="[Granos].[Soja Hectareas].[All]" allUniqueName="[Granos].[Soja Hectareas].[All]" dimensionUniqueName="[Granos]" displayFolder="" count="0" memberValueDatatype="20" unbalanced="0"/>
    <cacheHierarchy uniqueName="[Granos].[Soja Toneladas]" caption="Soja Toneladas" attribute="1" defaultMemberUniqueName="[Granos].[Soja Toneladas].[All]" allUniqueName="[Granos].[Soja Toneladas].[All]" dimensionUniqueName="[Granos]" displayFolder="" count="0" memberValueDatatype="20" unbalanced="0"/>
    <cacheHierarchy uniqueName="[Granos].[Sorgogranifero Hectareas]" caption="Sorgogranifero Hectareas" attribute="1" defaultMemberUniqueName="[Granos].[Sorgogranifero Hectareas].[All]" allUniqueName="[Granos].[Sorgogranifero Hectareas].[All]" dimensionUniqueName="[Granos]" displayFolder="" count="0" memberValueDatatype="20" unbalanced="0"/>
    <cacheHierarchy uniqueName="[Granos].[sorgogranifero Toneladas]" caption="sorgogranifero Toneladas" attribute="1" defaultMemberUniqueName="[Granos].[sorgogranifero Toneladas].[All]" allUniqueName="[Granos].[sorgogranifero Toneladas].[All]" dimensionUniqueName="[Granos]" displayFolder="" count="0" memberValueDatatype="20" unbalanced="0"/>
    <cacheHierarchy uniqueName="[Granos].[Trigo Hectareas]" caption="Trigo Hectareas" attribute="1" defaultMemberUniqueName="[Granos].[Trigo Hectareas].[All]" allUniqueName="[Granos].[Trigo Hectareas].[All]" dimensionUniqueName="[Granos]" displayFolder="" count="0" memberValueDatatype="20" unbalanced="0"/>
    <cacheHierarchy uniqueName="[Granos].[Trigo Toneladas]" caption="Trigo Toneladas" attribute="1" defaultMemberUniqueName="[Granos].[Trigo Toneladas].[All]" allUniqueName="[Granos].[Trigo Toneladas].[All]" dimensionUniqueName="[Granos]" displayFolder="" count="0" memberValueDatatype="20" unbalanced="0"/>
    <cacheHierarchy uniqueName="[Resumen_de_información].[id]" caption="id" attribute="1" defaultMemberUniqueName="[Resumen_de_información].[id].[All]" allUniqueName="[Resumen_de_información].[id].[All]" dimensionUniqueName="[Resumen_de_información]" displayFolder="" count="0" memberValueDatatype="20" unbalanced="0"/>
    <cacheHierarchy uniqueName="[Resumen_de_información].[Preguntas]" caption="Preguntas" attribute="1" defaultMemberUniqueName="[Resumen_de_información].[Preguntas].[All]" allUniqueName="[Resumen_de_información].[Preguntas].[All]" dimensionUniqueName="[Resumen_de_información]" displayFolder="" count="0" memberValueDatatype="130" unbalanced="0"/>
    <cacheHierarchy uniqueName="[Resumen_de_información].[Alpiste]" caption="Alpiste" attribute="1" defaultMemberUniqueName="[Resumen_de_información].[Alpiste].[All]" allUniqueName="[Resumen_de_información].[Alpiste].[All]" dimensionUniqueName="[Resumen_de_información]" displayFolder="" count="0" memberValueDatatype="5" unbalanced="0"/>
    <cacheHierarchy uniqueName="[Resumen_de_información].[Arroz]" caption="Arroz" attribute="1" defaultMemberUniqueName="[Resumen_de_información].[Arroz].[All]" allUniqueName="[Resumen_de_información].[Arroz].[All]" dimensionUniqueName="[Resumen_de_información]" displayFolder="" count="0" memberValueDatatype="5" unbalanced="0"/>
    <cacheHierarchy uniqueName="[Resumen_de_información].[Avena]" caption="Avena" attribute="1" defaultMemberUniqueName="[Resumen_de_información].[Avena].[All]" allUniqueName="[Resumen_de_información].[Avena].[All]" dimensionUniqueName="[Resumen_de_información]" displayFolder="" count="0" memberValueDatatype="5" unbalanced="0"/>
    <cacheHierarchy uniqueName="[Resumen_de_información].[Cartamo]" caption="Cartamo" attribute="1" defaultMemberUniqueName="[Resumen_de_información].[Cartamo].[All]" allUniqueName="[Resumen_de_información].[Cartamo].[All]" dimensionUniqueName="[Resumen_de_información]" displayFolder="" count="0" memberValueDatatype="5" unbalanced="0"/>
    <cacheHierarchy uniqueName="[Resumen_de_información].[Cebada]" caption="Cebada" attribute="1" defaultMemberUniqueName="[Resumen_de_información].[Cebada].[All]" allUniqueName="[Resumen_de_información].[Cebada].[All]" dimensionUniqueName="[Resumen_de_información]" displayFolder="" count="0" memberValueDatatype="5" unbalanced="0"/>
    <cacheHierarchy uniqueName="[Resumen_de_información].[Centeno]" caption="Centeno" attribute="1" defaultMemberUniqueName="[Resumen_de_información].[Centeno].[All]" allUniqueName="[Resumen_de_información].[Centeno].[All]" dimensionUniqueName="[Resumen_de_información]" displayFolder="" count="0" memberValueDatatype="5" unbalanced="0"/>
    <cacheHierarchy uniqueName="[Resumen_de_información].[Girasol]" caption="Girasol" attribute="1" defaultMemberUniqueName="[Resumen_de_información].[Girasol].[All]" allUniqueName="[Resumen_de_información].[Girasol].[All]" dimensionUniqueName="[Resumen_de_información]" displayFolder="" count="0" memberValueDatatype="5" unbalanced="0"/>
    <cacheHierarchy uniqueName="[Resumen_de_información].[Lino]" caption="Lino" attribute="1" defaultMemberUniqueName="[Resumen_de_información].[Lino].[All]" allUniqueName="[Resumen_de_información].[Lino].[All]" dimensionUniqueName="[Resumen_de_información]" displayFolder="" count="0" memberValueDatatype="5" unbalanced="0"/>
    <cacheHierarchy uniqueName="[Resumen_de_información].[Maiz]" caption="Maiz" attribute="1" defaultMemberUniqueName="[Resumen_de_información].[Maiz].[All]" allUniqueName="[Resumen_de_información].[Maiz].[All]" dimensionUniqueName="[Resumen_de_información]" displayFolder="" count="0" memberValueDatatype="5" unbalanced="0"/>
    <cacheHierarchy uniqueName="[Resumen_de_información].[Mani]" caption="Mani" attribute="1" defaultMemberUniqueName="[Resumen_de_información].[Mani].[All]" allUniqueName="[Resumen_de_información].[Mani].[All]" dimensionUniqueName="[Resumen_de_información]" displayFolder="" count="0" memberValueDatatype="5" unbalanced="0"/>
    <cacheHierarchy uniqueName="[Resumen_de_información].[Mijo]" caption="Mijo" attribute="1" defaultMemberUniqueName="[Resumen_de_información].[Mijo].[All]" allUniqueName="[Resumen_de_información].[Mijo].[All]" dimensionUniqueName="[Resumen_de_información]" displayFolder="" count="0" memberValueDatatype="5" unbalanced="0"/>
    <cacheHierarchy uniqueName="[Resumen_de_información].[Soja]" caption="Soja" attribute="1" defaultMemberUniqueName="[Resumen_de_información].[Soja].[All]" allUniqueName="[Resumen_de_información].[Soja].[All]" dimensionUniqueName="[Resumen_de_información]" displayFolder="" count="0" memberValueDatatype="5" unbalanced="0"/>
    <cacheHierarchy uniqueName="[Resumen_de_información].[Sorgogranifero]" caption="Sorgogranifero" attribute="1" defaultMemberUniqueName="[Resumen_de_información].[Sorgogranifero].[All]" allUniqueName="[Resumen_de_información].[Sorgogranifero].[All]" dimensionUniqueName="[Resumen_de_información]" displayFolder="" count="0" memberValueDatatype="5" unbalanced="0"/>
    <cacheHierarchy uniqueName="[Resumen_de_información].[Trigo]" caption="Trigo" attribute="1" defaultMemberUniqueName="[Resumen_de_información].[Trigo].[All]" allUniqueName="[Resumen_de_información].[Trigo].[All]" dimensionUniqueName="[Resumen_de_información]" displayFolder="" count="0" memberValueDatatype="5" unbalanced="0"/>
    <cacheHierarchy uniqueName="[Trigo].[id]" caption="id" attribute="1" defaultMemberUniqueName="[Trigo].[id].[All]" allUniqueName="[Trigo].[id].[All]" dimensionUniqueName="[Trigo]" displayFolder="" count="0" memberValueDatatype="20" unbalanced="0"/>
    <cacheHierarchy uniqueName="[Trigo].[PREGUNTAS]" caption="PREGUNTAS" attribute="1" defaultMemberUniqueName="[Trigo].[PREGUNTAS].[All]" allUniqueName="[Trigo].[PREGUNTAS].[All]" dimensionUniqueName="[Trigo]" displayFolder="" count="0" memberValueDatatype="130" unbalanced="0"/>
    <cacheHierarchy uniqueName="[Trigo].[INFORMACION]" caption="INFORMACION" attribute="1" defaultMemberUniqueName="[Trigo].[INFORMACION].[All]" allUniqueName="[Trigo].[INFORMACION].[All]" dimensionUniqueName="[Trigo]" displayFolder="" count="0" memberValueDatatype="5" unbalanced="0"/>
    <cacheHierarchy uniqueName="[Measures].[__XL_Count Alpiste]" caption="__XL_Count Alpiste" measure="1" displayFolder="" measureGroup="Alpiste" count="0" hidden="1"/>
    <cacheHierarchy uniqueName="[Measures].[__XL_Count Avena]" caption="__XL_Count Avena" measure="1" displayFolder="" measureGroup="Avena" count="0" hidden="1"/>
    <cacheHierarchy uniqueName="[Measures].[__XL_Count Arroz]" caption="__XL_Count Arroz" measure="1" displayFolder="" measureGroup="Arroz" count="0" hidden="1"/>
    <cacheHierarchy uniqueName="[Measures].[__XL_Count Trigo]" caption="__XL_Count Trigo" measure="1" displayFolder="" measureGroup="Trigo" count="0" hidden="1"/>
    <cacheHierarchy uniqueName="[Measures].[__XL_Count Resumen_de_información]" caption="__XL_Count Resumen_de_información" measure="1" displayFolder="" measureGroup="Resumen_de_información" count="0" hidden="1"/>
    <cacheHierarchy uniqueName="[Measures].[__XL_Count Granos]" caption="__XL_Count Granos" measure="1" displayFolder="" measureGroup="Granos" count="0" hidden="1"/>
    <cacheHierarchy uniqueName="[Measures].[__No hay medidas definidas]" caption="__No hay medidas definidas" measure="1" displayFolder="" count="0" hidden="1"/>
    <cacheHierarchy uniqueName="[Measures].[Suma de INFORMACION]" caption="Suma de INFORMACION" measure="1" displayFolder="" measureGroup="Alpist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Años]" caption="Suma de Años" measure="1" displayFolder="" measureGroup="Grano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Alpiste Toneladas]" caption="Suma de Alpiste Toneladas" measure="1" displayFolder="" measureGroup="Grano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Arroz Toneladas]" caption="Suma de Arroz Toneladas" measure="1" displayFolder="" measureGroup="Grano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Avena Toneladas]" caption="Suma de Avena Toneladas" measure="1" displayFolder="" measureGroup="Grano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Cartamo Toneladas]" caption="Suma de Cartamo Toneladas" measure="1" displayFolder="" measureGroup="Granos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Cebada Toneladas]" caption="Suma de Cebada Toneladas" measure="1" displayFolder="" measureGroup="Grano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Centeno Toneladas]" caption="Suma de Centeno Toneladas" measure="1" displayFolder="" measureGroup="Granos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Girasol Toneladas]" caption="Suma de Girasol Toneladas" measure="1" displayFolder="" measureGroup="Grano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Lino Toneladas]" caption="Suma de Lino Toneladas" measure="1" displayFolder="" measureGroup="Granos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Maiz Toneladas]" caption="Suma de Maiz Toneladas" measure="1" displayFolder="" measureGroup="Grano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a de Mani Toneladas]" caption="Suma de Mani Toneladas" measure="1" displayFolder="" measureGroup="Grano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Mijo Toneladas]" caption="Suma de Mijo Toneladas" measure="1" displayFolder="" measureGroup="Granos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a de Soja Toneladas]" caption="Suma de Soja Toneladas" measure="1" displayFolder="" measureGroup="Granos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a de sorgogranifero Toneladas]" caption="Suma de sorgogranifero Toneladas" measure="1" displayFolder="" measureGroup="Grano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Suma de Trigo Toneladas]" caption="Suma de Trigo Toneladas" measure="1" displayFolder="" measureGroup="Grano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3"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n v="1"/>
    <x v="0"/>
    <x v="0"/>
    <x v="0"/>
    <n v="1545470.75"/>
    <n v="37241.125"/>
    <n v="532510.875"/>
    <n v="477311.375"/>
    <n v="2240160.375"/>
    <n v="227380.875"/>
    <n v="4395474.75"/>
    <n v="252700.25"/>
    <n v="78226"/>
    <n v="11203984.875"/>
    <n v="992230.875"/>
    <n v="5600687.875"/>
  </r>
  <r>
    <n v="2"/>
    <x v="1"/>
    <x v="1"/>
    <x v="1"/>
    <n v="495987.72499999998"/>
    <n v="375.7"/>
    <n v="1532481.625"/>
    <n v="76339.875"/>
    <n v="3647452.875"/>
    <n v="181558.67499999999"/>
    <n v="20873871.425000001"/>
    <n v="537226.625"/>
    <n v="47411.199999999997"/>
    <n v="28447634.050000001"/>
    <n v="3232142"/>
    <n v="3915320.7"/>
  </r>
  <r>
    <n v="3"/>
    <x v="2"/>
    <x v="2"/>
    <x v="2"/>
    <n v="2180000"/>
    <n v="171000"/>
    <n v="1876000"/>
    <n v="1483000"/>
    <n v="4243800"/>
    <n v="910000"/>
    <n v="9750000"/>
    <n v="452000"/>
    <n v="236000"/>
    <n v="20479000"/>
    <n v="2712000"/>
    <n v="7410000"/>
  </r>
  <r>
    <n v="4"/>
    <x v="3"/>
    <x v="3"/>
    <x v="3"/>
    <n v="917000"/>
    <n v="650"/>
    <n v="59300"/>
    <n v="152000"/>
    <n v="1300000"/>
    <n v="9000"/>
    <n v="2070000"/>
    <n v="110000"/>
    <n v="6380"/>
    <n v="2040000"/>
    <n v="520000"/>
    <n v="3160000"/>
  </r>
  <r>
    <n v="5"/>
    <x v="4"/>
    <x v="4"/>
    <x v="4"/>
    <n v="785000"/>
    <n v="955"/>
    <n v="5170000"/>
    <n v="221000"/>
    <n v="7125140"/>
    <n v="730000"/>
    <n v="60500000"/>
    <n v="1337000"/>
    <n v="236000"/>
    <n v="61400000"/>
    <n v="8100000"/>
    <n v="9884000"/>
  </r>
  <r>
    <n v="6"/>
    <x v="5"/>
    <x v="3"/>
    <x v="5"/>
    <n v="182000"/>
    <n v="104"/>
    <n v="59300"/>
    <n v="17000"/>
    <n v="1980000"/>
    <n v="10000"/>
    <n v="4900000"/>
    <n v="165000"/>
    <n v="2250"/>
    <n v="4000000"/>
    <n v="1500000"/>
    <n v="1000000"/>
  </r>
  <r>
    <n v="7"/>
    <x v="6"/>
    <x v="5"/>
    <x v="6"/>
    <n v="-0.47048903878583476"/>
    <n v="-0.98889244279026489"/>
    <n v="0.46749929037751914"/>
    <n v="-0.74061032863849763"/>
    <n v="0.25343963465371444"/>
    <n v="-0.10975609756097561"/>
    <n v="0.72241992882562278"/>
    <n v="0.49468977082168808"/>
    <n v="0"/>
    <n v="0.49977405683997117"/>
    <n v="0.4983351831298557"/>
    <n v="0.14305539493465941"/>
  </r>
  <r>
    <n v="8"/>
    <x v="7"/>
    <x v="6"/>
    <x v="7"/>
    <n v="-0.66878980891719741"/>
    <n v="-0.72413793103448276"/>
    <n v="0"/>
    <n v="-0.79881656804733725"/>
    <n v="0.2073170731707317"/>
    <n v="5.2631578947368418E-2"/>
    <n v="0.40602582496413198"/>
    <n v="0.2"/>
    <n v="-0.47856315179606024"/>
    <n v="0.32450331125827814"/>
    <n v="0.48514851485148514"/>
    <n v="-0.51923076923076927"/>
  </r>
  <r>
    <n v="9"/>
    <x v="8"/>
    <x v="7"/>
    <x v="8"/>
    <n v="-0.51408492401492512"/>
    <n v="-0.98002489577469676"/>
    <n v="0.48424909533569732"/>
    <n v="-0.72423118343903314"/>
    <n v="0.23902597542391224"/>
    <n v="-0.11205127995078983"/>
    <n v="0.6521101322084365"/>
    <n v="0.36019330903256075"/>
    <n v="-0.24526812122524225"/>
    <n v="0.43487881812886159"/>
    <n v="0.53023518313354379"/>
    <n v="-0.17710862298166855"/>
  </r>
  <r>
    <n v="10"/>
    <x v="9"/>
    <x v="8"/>
    <x v="9"/>
    <n v="0.40781401356151115"/>
    <n v="0.99242644916982237"/>
    <n v="0.93871751149692551"/>
    <n v="0.81406727828746173"/>
    <n v="0.53100761210721892"/>
    <n v="0.98041349292709468"/>
    <n v="0.64974619289340096"/>
    <n v="0.60854092526690395"/>
    <n v="0.94735539235910549"/>
    <n v="0.81881966339535506"/>
    <n v="0.67821782178217827"/>
    <n v="0.40208136234626302"/>
  </r>
  <r>
    <n v="11"/>
    <x v="10"/>
    <x v="9"/>
    <x v="10"/>
    <n v="0.62357807652533614"/>
    <n v="0.8035882908404155"/>
    <n v="0.97732010020461635"/>
    <n v="0.8571428571428571"/>
    <n v="0.56508082248048908"/>
    <n v="0.97297297297297303"/>
    <n v="0.85015290519877673"/>
    <n v="0.78029294274300931"/>
    <n v="0.98111227701993708"/>
    <n v="0.8776758409785933"/>
    <n v="0.6875"/>
    <n v="0.81624402793090778"/>
  </r>
  <r>
    <n v="12"/>
    <x v="11"/>
    <x v="10"/>
    <x v="11"/>
    <n v="0.20919693396684555"/>
    <n v="-0.10514287779638735"/>
    <n v="2.0147093393124847E-2"/>
    <n v="2.5775082344330007E-2"/>
    <n v="3.1086187298460771E-2"/>
    <n v="-3.8090362987609106E-3"/>
    <n v="0.13361346277245351"/>
    <n v="0.12366635162937964"/>
    <n v="1.7504511585460573E-2"/>
    <n v="3.4692799026872591E-2"/>
    <n v="6.7965564114181795E-3"/>
    <n v="0.33994421267903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Dinámica1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3:N4" firstHeaderRow="0" firstDataRow="1" firstDataCol="0" rowPageCount="1" colPageCount="1"/>
  <pivotFields count="16">
    <pivotField showAll="0"/>
    <pivotField axis="axisPage" multipleItemSelectionAllowed="1" showAll="0">
      <items count="13">
        <item h="1" x="0"/>
        <item h="1" x="1"/>
        <item h="1" x="11"/>
        <item h="1" x="9"/>
        <item h="1" x="10"/>
        <item x="8"/>
        <item h="1" x="4"/>
        <item h="1" x="3"/>
        <item h="1" x="5"/>
        <item h="1" x="2"/>
        <item h="1" x="6"/>
        <item h="1" x="7"/>
        <item t="default"/>
      </items>
    </pivotField>
    <pivotField dataField="1" showAll="0">
      <items count="12">
        <item h="1" x="6"/>
        <item x="10"/>
        <item h="1" x="5"/>
        <item h="1" x="7"/>
        <item h="1" x="8"/>
        <item h="1" x="9"/>
        <item h="1" x="3"/>
        <item h="1" x="0"/>
        <item h="1" x="1"/>
        <item h="1" x="2"/>
        <item h="1" x="4"/>
        <item t="default"/>
      </items>
    </pivotField>
    <pivotField dataField="1" showAll="0">
      <items count="13">
        <item x="7"/>
        <item x="11"/>
        <item x="8"/>
        <item x="9"/>
        <item x="6"/>
        <item x="10"/>
        <item x="3"/>
        <item x="5"/>
        <item x="0"/>
        <item x="2"/>
        <item x="1"/>
        <item x="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pageFields count="1">
    <pageField fld="1" hier="-1"/>
  </pageFields>
  <dataFields count="14">
    <dataField name="Suma de Alpiste" fld="2" baseField="0" baseItem="0"/>
    <dataField name="Suma de Arroz " fld="3" baseField="0" baseItem="0"/>
    <dataField name="Suma de Avena" fld="4" baseField="0" baseItem="0"/>
    <dataField name="Suma de Cartamo " fld="5" baseField="0" baseItem="0"/>
    <dataField name="Suma de Cebada " fld="6" baseField="0" baseItem="0"/>
    <dataField name="Suma de Centeno " fld="7" baseField="0" baseItem="0"/>
    <dataField name="Suma de Girasol " fld="8" baseField="0" baseItem="0"/>
    <dataField name="Suma de Lino " fld="9" baseField="0" baseItem="0"/>
    <dataField name="Suma de Maiz  " fld="10" baseField="0" baseItem="0"/>
    <dataField name="Suma de Mani " fld="11" baseField="0" baseItem="0"/>
    <dataField name="Suma de Mijo " fld="12" baseField="0" baseItem="0"/>
    <dataField name="Suma de Soja " fld="13" baseField="0" baseItem="0"/>
    <dataField name="Suma de Sorgogranifero " fld="14" baseField="0" baseItem="0"/>
    <dataField name="Suma de Trigo " fld="15" baseField="0" baseItem="0"/>
  </dataFields>
  <chartFormats count="28">
    <chartFormat chart="3" format="1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4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4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4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4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4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14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14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14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3" format="14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3" format="15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3" format="15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3" format="15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3" format="15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1" format="16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6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7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7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7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7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17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175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176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177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" format="178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" format="179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1" format="180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1" format="181" series="1">
      <pivotArea type="data" outline="0" fieldPosition="0">
        <references count="1">
          <reference field="4294967294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1" dataOnRows="1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outline="1" outlineData="1" multipleFieldFilters="0" chartFormat="4">
  <location ref="A3:B17" firstHeaderRow="1" firstDataRow="1" firstDataCol="1" rowPageCount="1" colPageCount="1"/>
  <pivotFields count="15"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rowItems>
  <colItems count="1">
    <i/>
  </colItems>
  <pageFields count="1">
    <pageField fld="0" hier="10" name="[Granos].[Años].&amp;[2019]" cap="2019"/>
  </pageFields>
  <dataFields count="14">
    <dataField name="Alpiste " fld="1" baseField="0" baseItem="0"/>
    <dataField name="Arroz" fld="2" baseField="0" baseItem="0"/>
    <dataField name="Avena" fld="3" baseField="0" baseItem="0"/>
    <dataField name="Cartamo" fld="4" baseField="0" baseItem="0"/>
    <dataField name="Cebada " fld="5" baseField="0" baseItem="0"/>
    <dataField name="Centeno" fld="6" baseField="0" baseItem="0"/>
    <dataField name="Girasol" fld="7" baseField="0" baseItem="0"/>
    <dataField name="Lino" fld="8" baseField="0" baseItem="0"/>
    <dataField name="Maiz" fld="9" baseField="0" baseItem="0"/>
    <dataField name="Mani" fld="10" baseField="0" baseItem="0"/>
    <dataField name="Mijo" fld="11" baseField="0" baseItem="0"/>
    <dataField name="Soja" fld="12" baseField="0" baseItem="0"/>
    <dataField name="Sorgogranifero" fld="13" baseField="0" baseItem="0"/>
    <dataField name="Trigo" fld="14" baseField="0" baseItem="0"/>
  </dataFields>
  <chartFormats count="2">
    <chartFormat chart="3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9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Granos].[Años].&amp;[2019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ranos]"/>
      </x15:pivotTableUISettings>
    </ext>
  </extLst>
</pivotTableDefinition>
</file>

<file path=xl/pivotTables/pivotTable3.xml><?xml version="1.0" encoding="utf-8"?>
<pivotTableDefinition xmlns="http://schemas.openxmlformats.org/spreadsheetml/2006/main" name="TablaDinámica3" cacheId="2" dataOnRows="1" applyNumberFormats="0" applyBorderFormats="0" applyFontFormats="0" applyPatternFormats="0" applyAlignmentFormats="0" applyWidthHeightFormats="1" dataCaption="Valores" updatedVersion="6" minRefreshableVersion="3" useAutoFormatting="1" subtotalHiddenItems="1" itemPrintTitles="1" createdVersion="6" indent="0" outline="1" outlineData="1" multipleFieldFilters="0" chartFormat="4">
  <location ref="A4:B18" firstHeaderRow="1" firstDataRow="1" firstDataCol="1" rowPageCount="1" colPageCount="1"/>
  <pivotFields count="15"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rowItems>
  <colItems count="1">
    <i/>
  </colItems>
  <pageFields count="1">
    <pageField fld="0" hier="10" name="[Granos].[Años].&amp;[2019]" cap="2019"/>
  </pageFields>
  <dataFields count="14">
    <dataField name="Alpiste" fld="1" baseField="0" baseItem="0"/>
    <dataField name="Arroz" fld="2" baseField="0" baseItem="0"/>
    <dataField name="Avena" fld="3" baseField="0" baseItem="0"/>
    <dataField name="Cartamo" fld="4" baseField="0" baseItem="0"/>
    <dataField name="Cebada" fld="5" baseField="0" baseItem="0"/>
    <dataField name="Centeno" fld="6" baseField="0" baseItem="0"/>
    <dataField name="Girasol" fld="7" baseField="0" baseItem="0"/>
    <dataField name="Lino" fld="8" baseField="0" baseItem="0"/>
    <dataField name="Maiz" fld="9" baseField="0" baseItem="0"/>
    <dataField name="Mani" fld="10" baseField="0" baseItem="0"/>
    <dataField name="Mijo" fld="11" baseField="0" baseItem="0"/>
    <dataField name="Soja" fld="12" baseField="0" baseItem="0"/>
    <dataField name="sorgogranifero" fld="13" baseField="0" baseItem="0"/>
    <dataField name="Trigo" fld="14" baseField="0" baseItem="0"/>
  </dataFields>
  <chartFormats count="2"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9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Granos].[Años].&amp;[2019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ranos]"/>
      </x15:pivotTableUISettings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Preguntas" sourceName="Preguntas">
  <pivotTables>
    <pivotTable tabId="53" name="TablaDinámica11"/>
  </pivotTables>
  <data>
    <tabular pivotCacheId="1">
      <items count="12">
        <i x="0"/>
        <i x="1"/>
        <i x="11"/>
        <i x="9"/>
        <i x="10"/>
        <i x="8" s="1"/>
        <i x="4"/>
        <i x="3"/>
        <i x="5"/>
        <i x="2"/>
        <i x="6"/>
        <i x="7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Años" sourceName="[Granos].[Años]">
  <pivotTables>
    <pivotTable tabId="55" name="TablaDinámica2"/>
    <pivotTable tabId="56" name="TablaDinámica3"/>
  </pivotTables>
  <data>
    <olap pivotCacheId="3">
      <levels count="2">
        <level uniqueName="[Granos].[Años].[(All)]" sourceCaption="(All)" count="0"/>
        <level uniqueName="[Granos].[Años].[Años]" sourceCaption="Años" count="40">
          <ranges>
            <range startItem="0">
              <i n="[Granos].[Años].&amp;[1981]" c="1981"/>
              <i n="[Granos].[Años].&amp;[1982]" c="1982"/>
              <i n="[Granos].[Años].&amp;[1983]" c="1983"/>
              <i n="[Granos].[Años].&amp;[1984]" c="1984"/>
              <i n="[Granos].[Años].&amp;[1985]" c="1985"/>
              <i n="[Granos].[Años].&amp;[1986]" c="1986"/>
              <i n="[Granos].[Años].&amp;[1987]" c="1987"/>
              <i n="[Granos].[Años].&amp;[1988]" c="1988"/>
              <i n="[Granos].[Años].&amp;[1989]" c="1989"/>
              <i n="[Granos].[Años].&amp;[1990]" c="1990"/>
              <i n="[Granos].[Años].&amp;[1991]" c="1991"/>
              <i n="[Granos].[Años].&amp;[1992]" c="1992"/>
              <i n="[Granos].[Años].&amp;[1993]" c="1993"/>
              <i n="[Granos].[Años].&amp;[1994]" c="1994"/>
              <i n="[Granos].[Años].&amp;[1995]" c="1995"/>
              <i n="[Granos].[Años].&amp;[1996]" c="1996"/>
              <i n="[Granos].[Años].&amp;[1997]" c="1997"/>
              <i n="[Granos].[Años].&amp;[1998]" c="1998"/>
              <i n="[Granos].[Años].&amp;[1999]" c="1999"/>
              <i n="[Granos].[Años].&amp;[2000]" c="2000"/>
              <i n="[Granos].[Años].&amp;[2001]" c="2001"/>
              <i n="[Granos].[Años].&amp;[2002]" c="2002"/>
              <i n="[Granos].[Años].&amp;[2003]" c="2003"/>
              <i n="[Granos].[Años].&amp;[2004]" c="2004"/>
              <i n="[Granos].[Años].&amp;[2005]" c="2005"/>
              <i n="[Granos].[Años].&amp;[2006]" c="2006"/>
              <i n="[Granos].[Años].&amp;[2007]" c="2007"/>
              <i n="[Granos].[Años].&amp;[2008]" c="2008"/>
              <i n="[Granos].[Años].&amp;[2009]" c="2009"/>
              <i n="[Granos].[Años].&amp;[2010]" c="2010"/>
              <i n="[Granos].[Años].&amp;[2011]" c="2011"/>
              <i n="[Granos].[Años].&amp;[2012]" c="2012"/>
              <i n="[Granos].[Años].&amp;[2013]" c="2013"/>
              <i n="[Granos].[Años].&amp;[2014]" c="2014"/>
              <i n="[Granos].[Años].&amp;[2015]" c="2015"/>
              <i n="[Granos].[Años].&amp;[2016]" c="2016"/>
              <i n="[Granos].[Años].&amp;[2017]" c="2017"/>
              <i n="[Granos].[Años].&amp;[2018]" c="2018"/>
              <i n="[Granos].[Años].&amp;[2019]" c="2019"/>
              <i n="[Granos].[Años].&amp;[2020]" c="2020"/>
            </range>
          </ranges>
        </level>
      </levels>
      <selections count="1">
        <selection n="[Granos].[Años].&amp;[2019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reguntas" cache="SegmentaciónDeDatos_Preguntas" caption="Preguntas de 1981 - 2020" startItem="4" style="SlicerStyleDark6" rowHeight="241300"/>
  <slicer name="Años" cache="SegmentaciónDeDatos_Años" caption="Toneladas y Hectareas por año" startItem="37" level="1" style="SlicerStyleDark6" rowHeight="241300"/>
</slicers>
</file>

<file path=xl/tables/table1.xml><?xml version="1.0" encoding="utf-8"?>
<table xmlns="http://schemas.openxmlformats.org/spreadsheetml/2006/main" id="8" name="Granos" displayName="Granos" ref="A1:AD42" totalsRowCount="1" dataDxfId="179">
  <autoFilter ref="A1:AD41"/>
  <tableColumns count="30">
    <tableColumn id="11" name="Tiempo" totalsRowLabel="Promedio " dataDxfId="178" totalsRowDxfId="177"/>
    <tableColumn id="34" name="Años " totalsRowFunction="count" dataDxfId="176" totalsRowDxfId="175">
      <calculatedColumnFormula>YEAR(Granos[[#This Row],[Tiempo]])</calculatedColumnFormula>
    </tableColumn>
    <tableColumn id="13" name="Alpiste Hectareas" totalsRowFunction="average" dataDxfId="174" totalsRowDxfId="173" dataCellStyle="Millares"/>
    <tableColumn id="18" name="Alpiste Toneladas" totalsRowFunction="average" dataDxfId="172" totalsRowDxfId="171" dataCellStyle="Millares"/>
    <tableColumn id="14" name="Arroz Hectareas" totalsRowFunction="average" dataDxfId="170" totalsRowDxfId="169" dataCellStyle="Millares"/>
    <tableColumn id="19" name="Arroz Toneladas" totalsRowFunction="average" dataDxfId="168" totalsRowDxfId="167" dataCellStyle="Millares"/>
    <tableColumn id="15" name="Avena Hetareas" totalsRowFunction="average" dataDxfId="166" totalsRowDxfId="165" dataCellStyle="Millares"/>
    <tableColumn id="20" name="Avena Toneladas" totalsRowFunction="average" dataDxfId="164" totalsRowDxfId="163" dataCellStyle="Millares"/>
    <tableColumn id="16" name="Cartamo Hectareas" totalsRowFunction="average" dataDxfId="162" totalsRowDxfId="161" dataCellStyle="Millares"/>
    <tableColumn id="21" name="Cartamo Toneladas" totalsRowFunction="average" dataDxfId="160" totalsRowDxfId="159" dataCellStyle="Millares"/>
    <tableColumn id="17" name="Cebada Hectareas" totalsRowFunction="average" dataDxfId="158" totalsRowDxfId="157" dataCellStyle="Millares"/>
    <tableColumn id="22" name="Cebada Toneladas" totalsRowFunction="average" dataDxfId="156" totalsRowDxfId="155" dataCellStyle="Millares"/>
    <tableColumn id="1" name="Centeno Hectareas" totalsRowFunction="average" dataDxfId="154" totalsRowDxfId="153" dataCellStyle="Millares"/>
    <tableColumn id="24" name="Centeno Toneladas" totalsRowFunction="average" dataDxfId="152" totalsRowDxfId="151" dataCellStyle="Millares"/>
    <tableColumn id="2" name="Girasol Hectareas" totalsRowFunction="average" dataDxfId="150" totalsRowDxfId="149" dataCellStyle="Millares"/>
    <tableColumn id="25" name="Girasol Toneladas" totalsRowFunction="average" dataDxfId="148" totalsRowDxfId="147" dataCellStyle="Millares"/>
    <tableColumn id="3" name="Lino Hectareas" totalsRowFunction="average" dataDxfId="146" totalsRowDxfId="145" dataCellStyle="Millares"/>
    <tableColumn id="26" name="Lino Toneladas" totalsRowFunction="average" dataDxfId="144" totalsRowDxfId="143" dataCellStyle="Millares"/>
    <tableColumn id="4" name="Maiz Hectareas " totalsRowFunction="average" dataDxfId="142" totalsRowDxfId="141" dataCellStyle="Millares"/>
    <tableColumn id="27" name="Maiz Toneladas " totalsRowFunction="average" dataDxfId="140" totalsRowDxfId="139" dataCellStyle="Millares"/>
    <tableColumn id="5" name="Mani Hectareas" totalsRowFunction="average" dataDxfId="138" totalsRowDxfId="137" dataCellStyle="Millares"/>
    <tableColumn id="28" name="Mani Toneladas" totalsRowFunction="average" dataDxfId="136" totalsRowDxfId="135" dataCellStyle="Millares"/>
    <tableColumn id="6" name="Mijo Hectareas" totalsRowFunction="average" dataDxfId="134" totalsRowDxfId="133" dataCellStyle="Millares"/>
    <tableColumn id="29" name="Mijo Toneladas" totalsRowFunction="average" dataDxfId="132" totalsRowDxfId="131" dataCellStyle="Millares"/>
    <tableColumn id="7" name="Soja Hectareas" totalsRowFunction="average" dataDxfId="130" totalsRowDxfId="129" dataCellStyle="Millares"/>
    <tableColumn id="30" name="Soja Toneladas" totalsRowFunction="average" dataDxfId="128" totalsRowDxfId="127" dataCellStyle="Millares"/>
    <tableColumn id="8" name="Sorgogranifero Hectareas" totalsRowFunction="average" dataDxfId="126" totalsRowDxfId="125" dataCellStyle="Millares"/>
    <tableColumn id="31" name="sorgogranifero Toneladas" totalsRowFunction="average" dataDxfId="124" totalsRowDxfId="123" dataCellStyle="Millares"/>
    <tableColumn id="9" name="Trigo Hectareas" totalsRowFunction="average" dataDxfId="122" totalsRowDxfId="121" dataCellStyle="Millares"/>
    <tableColumn id="32" name="Trigo Toneladas " totalsRowFunction="average" dataDxfId="120" totalsRowDxfId="119" dataCellStyle="Millares"/>
  </tableColumns>
  <tableStyleInfo name="TableStyleLight16" showFirstColumn="0" showLastColumn="0" showRowStripes="1" showColumnStripes="0"/>
</table>
</file>

<file path=xl/tables/table10.xml><?xml version="1.0" encoding="utf-8"?>
<table xmlns="http://schemas.openxmlformats.org/spreadsheetml/2006/main" id="18" name="Maiz" displayName="Maiz" ref="A2:C14" totalsRowShown="0" headerRowDxfId="60" headerRowBorderDxfId="59" tableBorderDxfId="58" totalsRowBorderDxfId="57">
  <autoFilter ref="A2:C14"/>
  <tableColumns count="3">
    <tableColumn id="3" name="id" dataDxfId="56">
      <calculatedColumnFormula>+ROW()-ROW(Maiz[[#Headers],[id]])</calculatedColumnFormula>
    </tableColumn>
    <tableColumn id="1" name="PREGUNTAS" dataDxfId="55">
      <calculatedColumnFormula>VLOOKUP(Maiz[[#This Row],[id]],Resumen_de_información[],2,FALSE)</calculatedColumnFormula>
    </tableColumn>
    <tableColumn id="2" name="INFORMACION" dataDxfId="54" dataCellStyle="Porcentaje"/>
  </tableColumns>
  <tableStyleInfo name="TableStyleLight16" showFirstColumn="0" showLastColumn="0" showRowStripes="1" showColumnStripes="0"/>
</table>
</file>

<file path=xl/tables/table11.xml><?xml version="1.0" encoding="utf-8"?>
<table xmlns="http://schemas.openxmlformats.org/spreadsheetml/2006/main" id="19" name="Mani" displayName="Mani" ref="A2:C14" totalsRowShown="0" headerRowDxfId="53" headerRowBorderDxfId="52" tableBorderDxfId="51" totalsRowBorderDxfId="50">
  <autoFilter ref="A2:C14"/>
  <tableColumns count="3">
    <tableColumn id="3" name="id" dataDxfId="49">
      <calculatedColumnFormula>ROW()-ROW(Mani[[#Headers],[id]])</calculatedColumnFormula>
    </tableColumn>
    <tableColumn id="1" name="PREGUNTAS" dataDxfId="48">
      <calculatedColumnFormula>VLOOKUP(Mani[[#This Row],[id]],Resumen_de_información[],2,FALSE)</calculatedColumnFormula>
    </tableColumn>
    <tableColumn id="2" name="INFORMACION" dataDxfId="47" dataCellStyle="Porcentaje"/>
  </tableColumns>
  <tableStyleInfo name="TableStyleLight16" showFirstColumn="0" showLastColumn="0" showRowStripes="1" showColumnStripes="0"/>
</table>
</file>

<file path=xl/tables/table12.xml><?xml version="1.0" encoding="utf-8"?>
<table xmlns="http://schemas.openxmlformats.org/spreadsheetml/2006/main" id="20" name="Mijo" displayName="Mijo" ref="A2:C14" totalsRowShown="0" headerRowDxfId="46" headerRowBorderDxfId="45" tableBorderDxfId="44" totalsRowBorderDxfId="43">
  <autoFilter ref="A2:C14"/>
  <tableColumns count="3">
    <tableColumn id="3" name="id" dataDxfId="42">
      <calculatedColumnFormula>ROW()-ROW(Mijo[[#Headers],[id]])</calculatedColumnFormula>
    </tableColumn>
    <tableColumn id="1" name="PREGUNTAS" dataDxfId="41">
      <calculatedColumnFormula>VLOOKUP(Mijo[[#This Row],[id]],Resumen_de_información[],2,FALSE)</calculatedColumnFormula>
    </tableColumn>
    <tableColumn id="2" name="INFORMACION" dataDxfId="40" dataCellStyle="Porcentaje"/>
  </tableColumns>
  <tableStyleInfo name="TableStyleLight16" showFirstColumn="0" showLastColumn="0" showRowStripes="1" showColumnStripes="0"/>
</table>
</file>

<file path=xl/tables/table13.xml><?xml version="1.0" encoding="utf-8"?>
<table xmlns="http://schemas.openxmlformats.org/spreadsheetml/2006/main" id="21" name="Soja" displayName="Soja" ref="A2:C14" totalsRowShown="0" headerRowDxfId="39" headerRowBorderDxfId="38" tableBorderDxfId="37" totalsRowBorderDxfId="36">
  <autoFilter ref="A2:C14"/>
  <tableColumns count="3">
    <tableColumn id="3" name="id" dataDxfId="35">
      <calculatedColumnFormula>ROW()-ROW(Soja[[#Headers],[id]])</calculatedColumnFormula>
    </tableColumn>
    <tableColumn id="1" name="PREGUNTAS" dataDxfId="34">
      <calculatedColumnFormula>VLOOKUP(Soja[[#This Row],[id]],Resumen_de_información[],2,FALSE)</calculatedColumnFormula>
    </tableColumn>
    <tableColumn id="2" name="INFORMACION" dataDxfId="33" dataCellStyle="Porcentaje"/>
  </tableColumns>
  <tableStyleInfo name="TableStyleLight16" showFirstColumn="0" showLastColumn="0" showRowStripes="1" showColumnStripes="0"/>
</table>
</file>

<file path=xl/tables/table14.xml><?xml version="1.0" encoding="utf-8"?>
<table xmlns="http://schemas.openxmlformats.org/spreadsheetml/2006/main" id="22" name="Sorgogranifero" displayName="Sorgogranifero" ref="A2:C14" totalsRowShown="0" headerRowDxfId="32" headerRowBorderDxfId="31" tableBorderDxfId="30" totalsRowBorderDxfId="29">
  <autoFilter ref="A2:C14"/>
  <tableColumns count="3">
    <tableColumn id="3" name="id" dataDxfId="28">
      <calculatedColumnFormula>ROW()-ROW(Sorgogranifero[[#Headers],[id]])</calculatedColumnFormula>
    </tableColumn>
    <tableColumn id="1" name="PREGUNTAS" dataDxfId="27">
      <calculatedColumnFormula>VLOOKUP(Sorgogranifero[[#This Row],[id]],Resumen_de_información[],2,FALSE)</calculatedColumnFormula>
    </tableColumn>
    <tableColumn id="2" name="INFORMACION" dataDxfId="26" dataCellStyle="Porcentaje"/>
  </tableColumns>
  <tableStyleInfo name="TableStyleLight16" showFirstColumn="0" showLastColumn="0" showRowStripes="1" showColumnStripes="0"/>
</table>
</file>

<file path=xl/tables/table15.xml><?xml version="1.0" encoding="utf-8"?>
<table xmlns="http://schemas.openxmlformats.org/spreadsheetml/2006/main" id="23" name="Trigo" displayName="Trigo" ref="A2:C14" totalsRowShown="0" headerRowDxfId="25" headerRowBorderDxfId="24" tableBorderDxfId="23" totalsRowBorderDxfId="22">
  <autoFilter ref="A2:C14"/>
  <tableColumns count="3">
    <tableColumn id="3" name="id" dataDxfId="21">
      <calculatedColumnFormula>ROW()-ROW(Trigo[[#Headers],[id]])</calculatedColumnFormula>
    </tableColumn>
    <tableColumn id="1" name="PREGUNTAS" dataDxfId="20">
      <calculatedColumnFormula>VLOOKUP(Trigo[[#This Row],[id]],Resumen_de_información[],2,FALSE)</calculatedColumnFormula>
    </tableColumn>
    <tableColumn id="2" name="INFORMACION" dataDxfId="19" dataCellStyle="Porcentaje"/>
  </tableColumns>
  <tableStyleInfo name="TableStyleLight16" showFirstColumn="0" showLastColumn="0" showRowStripes="1" showColumnStripes="0"/>
</table>
</file>

<file path=xl/tables/table16.xml><?xml version="1.0" encoding="utf-8"?>
<table xmlns="http://schemas.openxmlformats.org/spreadsheetml/2006/main" id="24" name="Resumen_de_información" displayName="Resumen_de_información" ref="A1:P13" totalsRowShown="0" headerRowDxfId="18" dataDxfId="17" tableBorderDxfId="16">
  <autoFilter ref="A1:P13"/>
  <tableColumns count="16">
    <tableColumn id="16" name="id" dataDxfId="15">
      <calculatedColumnFormula>ROW()-ROW(Resumen_de_información[[#Headers],[id]])</calculatedColumnFormula>
    </tableColumn>
    <tableColumn id="1" name="Preguntas" dataDxfId="14"/>
    <tableColumn id="2" name="Alpiste" dataDxfId="13">
      <calculatedColumnFormula>IFERROR(VLOOKUP(Resumen_de_información[[#This Row],[id]],Alpiste[],3,TRUE),"--")</calculatedColumnFormula>
    </tableColumn>
    <tableColumn id="3" name="Arroz " dataDxfId="12">
      <calculatedColumnFormula>IFERROR(VLOOKUP(Resumen_de_información[[#This Row],[id]],Arroz[],3,FALSE),"--")</calculatedColumnFormula>
    </tableColumn>
    <tableColumn id="4" name="Avena" dataDxfId="11">
      <calculatedColumnFormula>IFERROR(VLOOKUP(Resumen_de_información[[#This Row],[id]],Avena[],3,FALSE),"--")</calculatedColumnFormula>
    </tableColumn>
    <tableColumn id="5" name="Cartamo " dataDxfId="10">
      <calculatedColumnFormula>IFERROR(VLOOKUP(Resumen_de_información[[#This Row],[id]],Cartamo[],3,FALSE),"--")</calculatedColumnFormula>
    </tableColumn>
    <tableColumn id="6" name="Cebada " dataDxfId="9">
      <calculatedColumnFormula>IFERROR(VLOOKUP(Resumen_de_información[[#This Row],[id]],Cebada[],3,FALSE),"--")</calculatedColumnFormula>
    </tableColumn>
    <tableColumn id="7" name="Centeno " dataDxfId="8">
      <calculatedColumnFormula>IFERROR(VLOOKUP(Resumen_de_información[[#This Row],[id]],Centeno[],3,FALSE),"--")</calculatedColumnFormula>
    </tableColumn>
    <tableColumn id="8" name="Girasol " dataDxfId="7">
      <calculatedColumnFormula>IFERROR(VLOOKUP(Resumen_de_información[[#This Row],[id]],Girasol[],3,FALSE),"--")</calculatedColumnFormula>
    </tableColumn>
    <tableColumn id="9" name="Lino " dataDxfId="6">
      <calculatedColumnFormula>IFERROR(VLOOKUP(Resumen_de_información[[#This Row],[id]],Lino[],3,FALSE),"--")</calculatedColumnFormula>
    </tableColumn>
    <tableColumn id="10" name="Maiz  " dataDxfId="5">
      <calculatedColumnFormula>IFERROR(VLOOKUP(Resumen_de_información[[#This Row],[id]],Maiz[],3,FALSE),"--")</calculatedColumnFormula>
    </tableColumn>
    <tableColumn id="11" name="Mani " dataDxfId="4">
      <calculatedColumnFormula>IFERROR(VLOOKUP(Resumen_de_información[[#This Row],[id]],Mani[],3,FALSE),"--")</calculatedColumnFormula>
    </tableColumn>
    <tableColumn id="12" name="Mijo " dataDxfId="3">
      <calculatedColumnFormula>IFERROR(VLOOKUP(Resumen_de_información[[#This Row],[id]],Mijo[],3,FALSE),"--")</calculatedColumnFormula>
    </tableColumn>
    <tableColumn id="13" name="Soja " dataDxfId="2">
      <calculatedColumnFormula>IFERROR(VLOOKUP(Resumen_de_información[[#This Row],[id]],Soja[],3,FALSE),"--")</calculatedColumnFormula>
    </tableColumn>
    <tableColumn id="14" name="Sorgogranifero " dataDxfId="1">
      <calculatedColumnFormula>IFERROR(VLOOKUP(Resumen_de_información[[#This Row],[id]],Sorgogranifero[],3,FALSE),"--")</calculatedColumnFormula>
    </tableColumn>
    <tableColumn id="15" name="Trigo " dataDxfId="0">
      <calculatedColumnFormula>IFERROR(VLOOKUP(Resumen_de_información[id],Trigo[],3,FALSE),"--")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10" name="Alpiste" displayName="Alpiste" ref="A2:C14" totalsRowShown="0" headerRowDxfId="118" dataDxfId="116" headerRowBorderDxfId="117" tableBorderDxfId="115" totalsRowBorderDxfId="114">
  <autoFilter ref="A2:C14"/>
  <tableColumns count="3">
    <tableColumn id="3" name="id" dataDxfId="113">
      <calculatedColumnFormula>ROW()-ROW(Alpiste[[#Headers],[id]])</calculatedColumnFormula>
    </tableColumn>
    <tableColumn id="1" name="PREGUNTAS" dataDxfId="112">
      <calculatedColumnFormula>VLOOKUP(Alpiste[[#This Row],[id]],Resumen_de_información[],2,FALSE)</calculatedColumnFormula>
    </tableColumn>
    <tableColumn id="2" name="INFORMACION" dataDxfId="111" dataCellStyle="Porcentaje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11" name="Arroz" displayName="Arroz" ref="A2:C14" totalsRowShown="0" headerRowDxfId="110" dataDxfId="108" headerRowBorderDxfId="109" tableBorderDxfId="107" totalsRowBorderDxfId="106">
  <autoFilter ref="A2:C14"/>
  <tableColumns count="3">
    <tableColumn id="3" name="id" dataDxfId="105">
      <calculatedColumnFormula>ROW()-ROW(Arroz[[#Headers],[id]])</calculatedColumnFormula>
    </tableColumn>
    <tableColumn id="1" name="PREGUNTAS" dataDxfId="104">
      <calculatedColumnFormula>VLOOKUP(Arroz[[#This Row],[id]],Resumen_de_información[],2,FALSE)</calculatedColumnFormula>
    </tableColumn>
    <tableColumn id="2" name="INFORMACION" dataDxfId="103" dataCellStyle="Porcentaje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12" name="Avena" displayName="Avena" ref="A2:C14" totalsRowShown="0" headerRowDxfId="102" headerRowBorderDxfId="101" tableBorderDxfId="100" totalsRowBorderDxfId="99">
  <autoFilter ref="A2:C14"/>
  <tableColumns count="3">
    <tableColumn id="3" name="id" dataDxfId="98">
      <calculatedColumnFormula>ROW()-ROW(Avena[[#Headers],[id]])</calculatedColumnFormula>
    </tableColumn>
    <tableColumn id="1" name="PREGUNTAS" dataDxfId="97">
      <calculatedColumnFormula>VLOOKUP(Avena[[#This Row],[id]],Resumen_de_información[],2,FALSE)</calculatedColumnFormula>
    </tableColumn>
    <tableColumn id="2" name="INFORMACION" dataDxfId="96" dataCellStyle="Porcentaje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13" name="Cartamo" displayName="Cartamo" ref="A2:C14" totalsRowShown="0" headerRowDxfId="95" headerRowBorderDxfId="94" tableBorderDxfId="93" totalsRowBorderDxfId="92">
  <autoFilter ref="A2:C14"/>
  <tableColumns count="3">
    <tableColumn id="3" name="id" dataDxfId="91">
      <calculatedColumnFormula>ROW()-ROW(Cartamo[[#Headers],[id]])</calculatedColumnFormula>
    </tableColumn>
    <tableColumn id="1" name="PREGUNTAS" dataDxfId="90">
      <calculatedColumnFormula>VLOOKUP(Cartamo[[#This Row],[id]],Resumen_de_información[],2,FALSE)</calculatedColumnFormula>
    </tableColumn>
    <tableColumn id="2" name="INFORMACION" dataDxfId="89" dataCellStyle="Porcentaje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id="14" name="Cebada" displayName="Cebada" ref="A2:C14" totalsRowShown="0" headerRowDxfId="88" headerRowBorderDxfId="87" tableBorderDxfId="86" totalsRowBorderDxfId="85">
  <autoFilter ref="A2:C14"/>
  <tableColumns count="3">
    <tableColumn id="3" name="id" dataDxfId="84">
      <calculatedColumnFormula>ROW()-ROW(Cebada[[#Headers],[id]])</calculatedColumnFormula>
    </tableColumn>
    <tableColumn id="1" name="PREGUNTAS" dataDxfId="83">
      <calculatedColumnFormula>VLOOKUP(Cebada[[#This Row],[id]],Resumen_de_información[],2,FALSE)</calculatedColumnFormula>
    </tableColumn>
    <tableColumn id="2" name="INFORMACION" dataDxfId="82" dataCellStyle="Porcentaje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id="15" name="Centeno" displayName="Centeno" ref="A2:C14" totalsRowShown="0" headerRowDxfId="81" headerRowBorderDxfId="80" tableBorderDxfId="79" totalsRowBorderDxfId="78">
  <autoFilter ref="A2:C14"/>
  <tableColumns count="3">
    <tableColumn id="3" name="id" dataDxfId="77">
      <calculatedColumnFormula>ROW()-ROW(Centeno[[#Headers],[id]])</calculatedColumnFormula>
    </tableColumn>
    <tableColumn id="1" name="PREGUNTAS" dataDxfId="76">
      <calculatedColumnFormula>VLOOKUP(Centeno[[#This Row],[id]],Resumen_de_información[],2,FALSE)</calculatedColumnFormula>
    </tableColumn>
    <tableColumn id="2" name="INFORMACION" dataDxfId="75" dataCellStyle="Porcentaje"/>
  </tableColumns>
  <tableStyleInfo name="TableStyleLight16" showFirstColumn="0" showLastColumn="0" showRowStripes="1" showColumnStripes="0"/>
</table>
</file>

<file path=xl/tables/table8.xml><?xml version="1.0" encoding="utf-8"?>
<table xmlns="http://schemas.openxmlformats.org/spreadsheetml/2006/main" id="16" name="Girasol" displayName="Girasol" ref="A2:C14" totalsRowShown="0" headerRowDxfId="74" headerRowBorderDxfId="73" tableBorderDxfId="72" totalsRowBorderDxfId="71">
  <autoFilter ref="A2:C14"/>
  <tableColumns count="3">
    <tableColumn id="3" name="id" dataDxfId="70">
      <calculatedColumnFormula>ROW()-ROW(Girasol[[#Headers],[id]])</calculatedColumnFormula>
    </tableColumn>
    <tableColumn id="1" name=" PREGUNTAS" dataDxfId="69">
      <calculatedColumnFormula>VLOOKUP(Girasol[[#This Row],[id]],Resumen_de_información[],2,FALSE)</calculatedColumnFormula>
    </tableColumn>
    <tableColumn id="2" name="INFORMACION" dataDxfId="68" dataCellStyle="Porcentaje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17" name="Lino" displayName="Lino" ref="A2:C14" totalsRowShown="0" headerRowDxfId="67" headerRowBorderDxfId="66" tableBorderDxfId="65" totalsRowBorderDxfId="64">
  <autoFilter ref="A2:C14"/>
  <tableColumns count="3">
    <tableColumn id="3" name="id" dataDxfId="63">
      <calculatedColumnFormula>ROW()-ROW(Lino[[#Headers],[id]])</calculatedColumnFormula>
    </tableColumn>
    <tableColumn id="1" name="PREGUNTAS" dataDxfId="62">
      <calculatedColumnFormula>VLOOKUP(Lino[[#This Row],[id]],Resumen_de_información[],2,FALSE)</calculatedColumnFormula>
    </tableColumn>
    <tableColumn id="2" name="INFORMACION" dataDxfId="61" dataCellStyle="Porcentaj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Aspecto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0C3CD8F-0064-4101-B951-3284A00A2604}">
  <we:reference id="wa200000113" version="1.0.0.0" store="es-ES" storeType="OMEX"/>
  <we:alternateReferences>
    <we:reference id="WA200000113" version="1.0.0.0" store="WA20000011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K7"/>
  <sheetViews>
    <sheetView showGridLines="0" view="pageLayout" zoomScale="70" zoomScaleNormal="80" zoomScaleSheetLayoutView="40" zoomScalePageLayoutView="70" workbookViewId="0">
      <selection activeCell="L38" sqref="L38"/>
    </sheetView>
  </sheetViews>
  <sheetFormatPr baseColWidth="10" defaultRowHeight="15" x14ac:dyDescent="0.25"/>
  <sheetData>
    <row r="7" spans="11:11" x14ac:dyDescent="0.25">
      <c r="K7" s="60"/>
    </row>
  </sheetData>
  <pageMargins left="0.7" right="0.7" top="0.75" bottom="0.75" header="0.3" footer="0.3"/>
  <pageSetup paperSize="3" orientation="landscape" r:id="rId1"/>
  <headerFooter>
    <oddHeader>&amp;C&amp;A&amp;RUltima Actualizacion: &amp;D</oddHeader>
    <oddFooter>&amp;C&amp;F&amp;RPágina &amp;P</oddFooter>
  </headerFooter>
  <drawing r:id="rId2"/>
  <picture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workbookViewId="0">
      <selection activeCell="C8" sqref="C8"/>
    </sheetView>
  </sheetViews>
  <sheetFormatPr baseColWidth="10" defaultRowHeight="15" x14ac:dyDescent="0.25"/>
  <cols>
    <col min="1" max="1" width="13.5703125" customWidth="1"/>
    <col min="2" max="2" width="56.28515625" customWidth="1"/>
    <col min="3" max="3" width="23.28515625" customWidth="1"/>
    <col min="4" max="4" width="28.85546875" customWidth="1"/>
  </cols>
  <sheetData>
    <row r="2" spans="1:3" x14ac:dyDescent="0.25">
      <c r="A2" s="31" t="s">
        <v>3</v>
      </c>
      <c r="B2" s="26" t="s">
        <v>32</v>
      </c>
      <c r="C2" s="27" t="s">
        <v>33</v>
      </c>
    </row>
    <row r="3" spans="1:3" x14ac:dyDescent="0.25">
      <c r="A3">
        <f>ROW()-ROW(Lino[[#Headers],[id]])</f>
        <v>1</v>
      </c>
      <c r="B3" s="24" t="str">
        <f>VLOOKUP(Lino[[#This Row],[id]],Resumen_de_información[],2,FALSE)</f>
        <v>¿cuál es el promedio de las hectáreas sembradas?</v>
      </c>
      <c r="C3" s="12">
        <f>AVERAGE(Granos[Lino Hectareas])</f>
        <v>227380.875</v>
      </c>
    </row>
    <row r="4" spans="1:3" x14ac:dyDescent="0.25">
      <c r="A4">
        <f>ROW()-ROW(Lino[[#Headers],[id]])</f>
        <v>2</v>
      </c>
      <c r="B4" s="24" t="str">
        <f>VLOOKUP(Lino[[#This Row],[id]],Resumen_de_información[],2,FALSE)</f>
        <v>¿cuál es el promedio de toneladas obtenidas ?</v>
      </c>
      <c r="C4" s="12">
        <f>AVERAGE(Granos[Lino Toneladas])</f>
        <v>181558.67499999999</v>
      </c>
    </row>
    <row r="5" spans="1:3" x14ac:dyDescent="0.25">
      <c r="A5">
        <f>ROW()-ROW(Lino[[#Headers],[id]])</f>
        <v>3</v>
      </c>
      <c r="B5" s="24" t="str">
        <f>VLOOKUP(Lino[[#This Row],[id]],Resumen_de_información[],2,FALSE)</f>
        <v>¿cuál es la máxima cantidad de hectáreas sembradas?</v>
      </c>
      <c r="C5" s="12">
        <f>MAX(Granos[Lino Hectareas])</f>
        <v>910000</v>
      </c>
    </row>
    <row r="6" spans="1:3" x14ac:dyDescent="0.25">
      <c r="A6">
        <f>ROW()-ROW(Lino[[#Headers],[id]])</f>
        <v>4</v>
      </c>
      <c r="B6" s="24" t="str">
        <f>VLOOKUP(Lino[[#This Row],[id]],Resumen_de_información[],2,FALSE)</f>
        <v>¿cuál es la cantidad mínima de hectáreas sembradas?</v>
      </c>
      <c r="C6" s="12">
        <f>MIN(Granos[Lino Hectareas])</f>
        <v>9000</v>
      </c>
    </row>
    <row r="7" spans="1:3" x14ac:dyDescent="0.25">
      <c r="A7">
        <f>ROW()-ROW(Lino[[#Headers],[id]])</f>
        <v>5</v>
      </c>
      <c r="B7" s="24" t="str">
        <f>VLOOKUP(Lino[[#This Row],[id]],Resumen_de_información[],2,FALSE)</f>
        <v>¿cuál es la cantidad máxima de toneladas obtenidas?</v>
      </c>
      <c r="C7" s="12">
        <f>MAX(Granos[Lino Toneladas])</f>
        <v>730000</v>
      </c>
    </row>
    <row r="8" spans="1:3" x14ac:dyDescent="0.25">
      <c r="A8">
        <f>ROW()-ROW(Lino[[#Headers],[id]])</f>
        <v>6</v>
      </c>
      <c r="B8" s="24" t="str">
        <f>VLOOKUP(Lino[[#This Row],[id]],Resumen_de_información[],2,FALSE)</f>
        <v>¿cuál es la cantidad mínima de toneladas obtenidas?</v>
      </c>
      <c r="C8" s="12">
        <f>MIN(Granos[Lino Toneladas])</f>
        <v>10000</v>
      </c>
    </row>
    <row r="9" spans="1:3" x14ac:dyDescent="0.25">
      <c r="A9">
        <f>ROW()-ROW(Lino[[#Headers],[id]])</f>
        <v>7</v>
      </c>
      <c r="B9" s="24" t="str">
        <f>VLOOKUP(Lino[[#This Row],[id]],Resumen_de_información[],2,FALSE)</f>
        <v>¿cuánto varían las cantidades máximas ?</v>
      </c>
      <c r="C9" s="25">
        <f>(C7-C5)/(C7+C5)</f>
        <v>-0.10975609756097561</v>
      </c>
    </row>
    <row r="10" spans="1:3" x14ac:dyDescent="0.25">
      <c r="A10">
        <f>ROW()-ROW(Lino[[#Headers],[id]])</f>
        <v>8</v>
      </c>
      <c r="B10" s="24" t="str">
        <f>VLOOKUP(Lino[[#This Row],[id]],Resumen_de_información[],2,FALSE)</f>
        <v>¿cuánto varían las cantidades mínimas?</v>
      </c>
      <c r="C10" s="25">
        <f>(C8-C6)/(C6+C8)</f>
        <v>5.2631578947368418E-2</v>
      </c>
    </row>
    <row r="11" spans="1:3" x14ac:dyDescent="0.25">
      <c r="A11">
        <f>ROW()-ROW(Lino[[#Headers],[id]])</f>
        <v>9</v>
      </c>
      <c r="B11" s="24" t="str">
        <f>VLOOKUP(Lino[[#This Row],[id]],Resumen_de_información[],2,FALSE)</f>
        <v>¿cuál es el rendimiento promedio de las toneladas sobre las hectáreas?</v>
      </c>
      <c r="C11" s="25">
        <f>(C4-C3)/(C3+C4)</f>
        <v>-0.11205127995078983</v>
      </c>
    </row>
    <row r="12" spans="1:3" x14ac:dyDescent="0.25">
      <c r="A12">
        <f>ROW()-ROW(Lino[[#Headers],[id]])</f>
        <v>10</v>
      </c>
      <c r="B12" s="24" t="str">
        <f>VLOOKUP(Lino[[#This Row],[id]],Resumen_de_información[],2,FALSE)</f>
        <v>¿cuál es el promedio entre los valores máximos y mínimos de las hectáreas?</v>
      </c>
      <c r="C12" s="25">
        <f>(C5-C6)/(C5+C6)</f>
        <v>0.98041349292709468</v>
      </c>
    </row>
    <row r="13" spans="1:3" x14ac:dyDescent="0.25">
      <c r="A13">
        <f>ROW()-ROW(Lino[[#Headers],[id]])</f>
        <v>11</v>
      </c>
      <c r="B13" s="24" t="str">
        <f>VLOOKUP(Lino[[#This Row],[id]],Resumen_de_información[],2,FALSE)</f>
        <v>¿cuál es el promedio entre los valores máximos y mínimos de las toneladas?</v>
      </c>
      <c r="C13" s="25">
        <f>(C7-C8)/(C7+C8)</f>
        <v>0.97297297297297303</v>
      </c>
    </row>
    <row r="14" spans="1:3" x14ac:dyDescent="0.25">
      <c r="A14">
        <f>ROW()-ROW(Lino[[#Headers],[id]])</f>
        <v>12</v>
      </c>
      <c r="B14" s="9" t="str">
        <f>VLOOKUP(Lino[[#This Row],[id]],Resumen_de_información[],2,FALSE)</f>
        <v>¿cuál es el promedio entre los promedios de los valores máximos y mínimos de las hectáreas y toneladas?</v>
      </c>
      <c r="C14" s="28">
        <f>(C13-C12)/(C12+C13)</f>
        <v>-3.8090362987609106E-3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workbookViewId="0">
      <selection activeCell="B7" sqref="B7"/>
    </sheetView>
  </sheetViews>
  <sheetFormatPr baseColWidth="10" defaultRowHeight="15" x14ac:dyDescent="0.25"/>
  <cols>
    <col min="1" max="1" width="5.85546875" customWidth="1"/>
    <col min="2" max="2" width="55.140625" customWidth="1"/>
    <col min="3" max="3" width="16.42578125" customWidth="1"/>
  </cols>
  <sheetData>
    <row r="2" spans="1:3" x14ac:dyDescent="0.25">
      <c r="A2" s="31" t="s">
        <v>3</v>
      </c>
      <c r="B2" s="26" t="s">
        <v>32</v>
      </c>
      <c r="C2" s="27" t="s">
        <v>33</v>
      </c>
    </row>
    <row r="3" spans="1:3" x14ac:dyDescent="0.25">
      <c r="A3">
        <f>+ROW()-ROW(Maiz[[#Headers],[id]])</f>
        <v>1</v>
      </c>
      <c r="B3" s="24" t="str">
        <f>VLOOKUP(Maiz[[#This Row],[id]],Resumen_de_información[],2,FALSE)</f>
        <v>¿cuál es el promedio de las hectáreas sembradas?</v>
      </c>
      <c r="C3" s="12">
        <f>AVERAGE(Granos[[Maiz Hectareas ]])</f>
        <v>4395474.75</v>
      </c>
    </row>
    <row r="4" spans="1:3" x14ac:dyDescent="0.25">
      <c r="A4">
        <f>+ROW()-ROW(Maiz[[#Headers],[id]])</f>
        <v>2</v>
      </c>
      <c r="B4" s="24" t="str">
        <f>VLOOKUP(Maiz[[#This Row],[id]],Resumen_de_información[],2,FALSE)</f>
        <v>¿cuál es el promedio de toneladas obtenidas ?</v>
      </c>
      <c r="C4" s="12">
        <f>AVERAGE(Granos[[Maiz Toneladas ]])</f>
        <v>20873871.425000001</v>
      </c>
    </row>
    <row r="5" spans="1:3" x14ac:dyDescent="0.25">
      <c r="A5">
        <f>+ROW()-ROW(Maiz[[#Headers],[id]])</f>
        <v>3</v>
      </c>
      <c r="B5" s="24" t="str">
        <f>VLOOKUP(Maiz[[#This Row],[id]],Resumen_de_información[],2,FALSE)</f>
        <v>¿cuál es la máxima cantidad de hectáreas sembradas?</v>
      </c>
      <c r="C5" s="12">
        <f>MAX(Granos[[Maiz Hectareas ]])</f>
        <v>9750000</v>
      </c>
    </row>
    <row r="6" spans="1:3" x14ac:dyDescent="0.25">
      <c r="A6">
        <f>+ROW()-ROW(Maiz[[#Headers],[id]])</f>
        <v>4</v>
      </c>
      <c r="B6" s="24" t="str">
        <f>VLOOKUP(Maiz[[#This Row],[id]],Resumen_de_información[],2,FALSE)</f>
        <v>¿cuál es la cantidad mínima de hectáreas sembradas?</v>
      </c>
      <c r="C6" s="12">
        <f>MIN(Granos[[Maiz Hectareas ]])</f>
        <v>2070000</v>
      </c>
    </row>
    <row r="7" spans="1:3" x14ac:dyDescent="0.25">
      <c r="A7">
        <f>+ROW()-ROW(Maiz[[#Headers],[id]])</f>
        <v>5</v>
      </c>
      <c r="B7" s="24" t="str">
        <f>VLOOKUP(Maiz[[#This Row],[id]],Resumen_de_información[],2,FALSE)</f>
        <v>¿cuál es la cantidad máxima de toneladas obtenidas?</v>
      </c>
      <c r="C7" s="12">
        <f>MAX(Granos[[Maiz Toneladas ]])</f>
        <v>60500000</v>
      </c>
    </row>
    <row r="8" spans="1:3" x14ac:dyDescent="0.25">
      <c r="A8">
        <f>+ROW()-ROW(Maiz[[#Headers],[id]])</f>
        <v>6</v>
      </c>
      <c r="B8" s="24" t="str">
        <f>VLOOKUP(Maiz[[#This Row],[id]],Resumen_de_información[],2,FALSE)</f>
        <v>¿cuál es la cantidad mínima de toneladas obtenidas?</v>
      </c>
      <c r="C8" s="12">
        <f>MIN(Granos[[Maiz Toneladas ]])</f>
        <v>4900000</v>
      </c>
    </row>
    <row r="9" spans="1:3" x14ac:dyDescent="0.25">
      <c r="A9">
        <f>+ROW()-ROW(Maiz[[#Headers],[id]])</f>
        <v>7</v>
      </c>
      <c r="B9" s="24" t="str">
        <f>VLOOKUP(Maiz[[#This Row],[id]],Resumen_de_información[],2,FALSE)</f>
        <v>¿cuánto varían las cantidades máximas ?</v>
      </c>
      <c r="C9" s="25">
        <f>(C7-C5)/(C7+C5)</f>
        <v>0.72241992882562278</v>
      </c>
    </row>
    <row r="10" spans="1:3" x14ac:dyDescent="0.25">
      <c r="A10">
        <f>+ROW()-ROW(Maiz[[#Headers],[id]])</f>
        <v>8</v>
      </c>
      <c r="B10" s="24" t="str">
        <f>VLOOKUP(Maiz[[#This Row],[id]],Resumen_de_información[],2,FALSE)</f>
        <v>¿cuánto varían las cantidades mínimas?</v>
      </c>
      <c r="C10" s="25">
        <f>(C8-C6)/(C6+C8)</f>
        <v>0.40602582496413198</v>
      </c>
    </row>
    <row r="11" spans="1:3" x14ac:dyDescent="0.25">
      <c r="A11">
        <f>+ROW()-ROW(Maiz[[#Headers],[id]])</f>
        <v>9</v>
      </c>
      <c r="B11" s="24" t="str">
        <f>VLOOKUP(Maiz[[#This Row],[id]],Resumen_de_información[],2,FALSE)</f>
        <v>¿cuál es el rendimiento promedio de las toneladas sobre las hectáreas?</v>
      </c>
      <c r="C11" s="25">
        <f>(C4-C3)/(C3+C4)</f>
        <v>0.6521101322084365</v>
      </c>
    </row>
    <row r="12" spans="1:3" x14ac:dyDescent="0.25">
      <c r="A12">
        <f>+ROW()-ROW(Maiz[[#Headers],[id]])</f>
        <v>10</v>
      </c>
      <c r="B12" s="24" t="str">
        <f>VLOOKUP(Maiz[[#This Row],[id]],Resumen_de_información[],2,FALSE)</f>
        <v>¿cuál es el promedio entre los valores máximos y mínimos de las hectáreas?</v>
      </c>
      <c r="C12" s="25">
        <f>(C5-C6)/(C5+C6)</f>
        <v>0.64974619289340096</v>
      </c>
    </row>
    <row r="13" spans="1:3" x14ac:dyDescent="0.25">
      <c r="A13">
        <f>+ROW()-ROW(Maiz[[#Headers],[id]])</f>
        <v>11</v>
      </c>
      <c r="B13" s="24" t="str">
        <f>VLOOKUP(Maiz[[#This Row],[id]],Resumen_de_información[],2,FALSE)</f>
        <v>¿cuál es el promedio entre los valores máximos y mínimos de las toneladas?</v>
      </c>
      <c r="C13" s="25">
        <f>(C7-C8)/(C7+C8)</f>
        <v>0.85015290519877673</v>
      </c>
    </row>
    <row r="14" spans="1:3" x14ac:dyDescent="0.25">
      <c r="A14">
        <f>+ROW()-ROW(Maiz[[#Headers],[id]])</f>
        <v>12</v>
      </c>
      <c r="B14" s="9" t="str">
        <f>VLOOKUP(Maiz[[#This Row],[id]],Resumen_de_información[],2,FALSE)</f>
        <v>¿cuál es el promedio entre los promedios de los valores máximos y mínimos de las hectáreas y toneladas?</v>
      </c>
      <c r="C14" s="28">
        <f>(C13-C12)/(C12+C13)</f>
        <v>0.13361346277245351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9" sqref="C9"/>
    </sheetView>
  </sheetViews>
  <sheetFormatPr baseColWidth="10" defaultRowHeight="15" x14ac:dyDescent="0.25"/>
  <cols>
    <col min="1" max="1" width="5.85546875" customWidth="1"/>
    <col min="2" max="2" width="56" style="22" customWidth="1"/>
    <col min="3" max="3" width="21.5703125" customWidth="1"/>
  </cols>
  <sheetData>
    <row r="1" spans="1:3" ht="14.25" customHeight="1" x14ac:dyDescent="0.25">
      <c r="B1" s="32"/>
      <c r="C1" s="19"/>
    </row>
    <row r="2" spans="1:3" x14ac:dyDescent="0.25">
      <c r="A2" s="31" t="s">
        <v>3</v>
      </c>
      <c r="B2" s="34" t="s">
        <v>32</v>
      </c>
      <c r="C2" s="27" t="s">
        <v>33</v>
      </c>
    </row>
    <row r="3" spans="1:3" x14ac:dyDescent="0.25">
      <c r="A3">
        <f>ROW()-ROW(Mani[[#Headers],[id]])</f>
        <v>1</v>
      </c>
      <c r="B3" s="35" t="str">
        <f>VLOOKUP(Mani[[#This Row],[id]],Resumen_de_información[],2,FALSE)</f>
        <v>¿cuál es el promedio de las hectáreas sembradas?</v>
      </c>
      <c r="C3" s="12">
        <f>AVERAGE(Granos[Mani Hectareas])</f>
        <v>252700.25</v>
      </c>
    </row>
    <row r="4" spans="1:3" x14ac:dyDescent="0.25">
      <c r="A4">
        <f>ROW()-ROW(Mani[[#Headers],[id]])</f>
        <v>2</v>
      </c>
      <c r="B4" s="35" t="str">
        <f>VLOOKUP(Mani[[#This Row],[id]],Resumen_de_información[],2,FALSE)</f>
        <v>¿cuál es el promedio de toneladas obtenidas ?</v>
      </c>
      <c r="C4" s="12">
        <f>AVERAGE(Granos[Mani Toneladas])</f>
        <v>537226.625</v>
      </c>
    </row>
    <row r="5" spans="1:3" x14ac:dyDescent="0.25">
      <c r="A5">
        <f>ROW()-ROW(Mani[[#Headers],[id]])</f>
        <v>3</v>
      </c>
      <c r="B5" s="35" t="str">
        <f>VLOOKUP(Mani[[#This Row],[id]],Resumen_de_información[],2,FALSE)</f>
        <v>¿cuál es la máxima cantidad de hectáreas sembradas?</v>
      </c>
      <c r="C5" s="12">
        <f>MAX(Granos[Mani Hectareas])</f>
        <v>452000</v>
      </c>
    </row>
    <row r="6" spans="1:3" x14ac:dyDescent="0.25">
      <c r="A6">
        <f>ROW()-ROW(Mani[[#Headers],[id]])</f>
        <v>4</v>
      </c>
      <c r="B6" s="35" t="str">
        <f>VLOOKUP(Mani[[#This Row],[id]],Resumen_de_información[],2,FALSE)</f>
        <v>¿cuál es la cantidad mínima de hectáreas sembradas?</v>
      </c>
      <c r="C6" s="12">
        <f>MIN(Granos[Mani Hectareas])</f>
        <v>110000</v>
      </c>
    </row>
    <row r="7" spans="1:3" x14ac:dyDescent="0.25">
      <c r="A7">
        <f>ROW()-ROW(Mani[[#Headers],[id]])</f>
        <v>5</v>
      </c>
      <c r="B7" s="35" t="str">
        <f>VLOOKUP(Mani[[#This Row],[id]],Resumen_de_información[],2,FALSE)</f>
        <v>¿cuál es la cantidad máxima de toneladas obtenidas?</v>
      </c>
      <c r="C7" s="12">
        <f>MAX(Granos[Mani Toneladas])</f>
        <v>1337000</v>
      </c>
    </row>
    <row r="8" spans="1:3" x14ac:dyDescent="0.25">
      <c r="A8">
        <f>ROW()-ROW(Mani[[#Headers],[id]])</f>
        <v>6</v>
      </c>
      <c r="B8" s="35" t="str">
        <f>VLOOKUP(Mani[[#This Row],[id]],Resumen_de_información[],2,FALSE)</f>
        <v>¿cuál es la cantidad mínima de toneladas obtenidas?</v>
      </c>
      <c r="C8" s="12">
        <f>MIN(Granos[Mani Toneladas])</f>
        <v>165000</v>
      </c>
    </row>
    <row r="9" spans="1:3" x14ac:dyDescent="0.25">
      <c r="A9">
        <f>ROW()-ROW(Mani[[#Headers],[id]])</f>
        <v>7</v>
      </c>
      <c r="B9" s="35" t="str">
        <f>VLOOKUP(Mani[[#This Row],[id]],Resumen_de_información[],2,FALSE)</f>
        <v>¿cuánto varían las cantidades máximas ?</v>
      </c>
      <c r="C9" s="25">
        <f>(C7-C5)/(C7+C5)</f>
        <v>0.49468977082168808</v>
      </c>
    </row>
    <row r="10" spans="1:3" x14ac:dyDescent="0.25">
      <c r="A10">
        <f>ROW()-ROW(Mani[[#Headers],[id]])</f>
        <v>8</v>
      </c>
      <c r="B10" s="35" t="str">
        <f>VLOOKUP(Mani[[#This Row],[id]],Resumen_de_información[],2,FALSE)</f>
        <v>¿cuánto varían las cantidades mínimas?</v>
      </c>
      <c r="C10" s="25">
        <f>(C8-C6)/(C6+C8)</f>
        <v>0.2</v>
      </c>
    </row>
    <row r="11" spans="1:3" ht="30" x14ac:dyDescent="0.25">
      <c r="A11">
        <f>ROW()-ROW(Mani[[#Headers],[id]])</f>
        <v>9</v>
      </c>
      <c r="B11" s="35" t="str">
        <f>VLOOKUP(Mani[[#This Row],[id]],Resumen_de_información[],2,FALSE)</f>
        <v>¿cuál es el rendimiento promedio de las toneladas sobre las hectáreas?</v>
      </c>
      <c r="C11" s="25">
        <f>(C4-C3)/(C3+C4)</f>
        <v>0.36019330903256075</v>
      </c>
    </row>
    <row r="12" spans="1:3" ht="30" x14ac:dyDescent="0.25">
      <c r="A12">
        <f>ROW()-ROW(Mani[[#Headers],[id]])</f>
        <v>10</v>
      </c>
      <c r="B12" s="35" t="str">
        <f>VLOOKUP(Mani[[#This Row],[id]],Resumen_de_información[],2,FALSE)</f>
        <v>¿cuál es el promedio entre los valores máximos y mínimos de las hectáreas?</v>
      </c>
      <c r="C12" s="25">
        <f>(C5-C6)/(C5+C6)</f>
        <v>0.60854092526690395</v>
      </c>
    </row>
    <row r="13" spans="1:3" ht="30" x14ac:dyDescent="0.25">
      <c r="A13">
        <f>ROW()-ROW(Mani[[#Headers],[id]])</f>
        <v>11</v>
      </c>
      <c r="B13" s="35" t="str">
        <f>VLOOKUP(Mani[[#This Row],[id]],Resumen_de_información[],2,FALSE)</f>
        <v>¿cuál es el promedio entre los valores máximos y mínimos de las toneladas?</v>
      </c>
      <c r="C13" s="25">
        <f>(C7-C8)/(C7+C8)</f>
        <v>0.78029294274300931</v>
      </c>
    </row>
    <row r="14" spans="1:3" ht="30" x14ac:dyDescent="0.25">
      <c r="A14">
        <f>ROW()-ROW(Mani[[#Headers],[id]])</f>
        <v>12</v>
      </c>
      <c r="B14" s="36" t="str">
        <f>VLOOKUP(Mani[[#This Row],[id]],Resumen_de_información[],2,FALSE)</f>
        <v>¿cuál es el promedio entre los promedios de los valores máximos y mínimos de las hectáreas y toneladas?</v>
      </c>
      <c r="C14" s="28">
        <f>(C13-C12)/(C12+C13)</f>
        <v>0.12366635162937964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workbookViewId="0">
      <selection activeCell="C3" sqref="C3"/>
    </sheetView>
  </sheetViews>
  <sheetFormatPr baseColWidth="10" defaultRowHeight="15" x14ac:dyDescent="0.25"/>
  <cols>
    <col min="1" max="1" width="7.7109375" customWidth="1"/>
    <col min="2" max="2" width="57" customWidth="1"/>
    <col min="3" max="3" width="25.5703125" customWidth="1"/>
  </cols>
  <sheetData>
    <row r="2" spans="1:3" x14ac:dyDescent="0.25">
      <c r="A2" s="31" t="s">
        <v>3</v>
      </c>
      <c r="B2" s="26" t="s">
        <v>32</v>
      </c>
      <c r="C2" s="27" t="s">
        <v>33</v>
      </c>
    </row>
    <row r="3" spans="1:3" x14ac:dyDescent="0.25">
      <c r="A3">
        <f>ROW()-ROW(Mijo[[#Headers],[id]])</f>
        <v>1</v>
      </c>
      <c r="B3" s="24" t="str">
        <f>VLOOKUP(Mijo[[#This Row],[id]],Resumen_de_información[],2,FALSE)</f>
        <v>¿cuál es el promedio de las hectáreas sembradas?</v>
      </c>
      <c r="C3" s="12">
        <f>AVERAGE(Granos[Mijo Hectareas])</f>
        <v>78226</v>
      </c>
    </row>
    <row r="4" spans="1:3" x14ac:dyDescent="0.25">
      <c r="A4">
        <f>ROW()-ROW(Mijo[[#Headers],[id]])</f>
        <v>2</v>
      </c>
      <c r="B4" s="24" t="str">
        <f>VLOOKUP(Mijo[[#This Row],[id]],Resumen_de_información[],2,FALSE)</f>
        <v>¿cuál es el promedio de toneladas obtenidas ?</v>
      </c>
      <c r="C4" s="12">
        <f>AVERAGE(Granos[Mijo Toneladas])</f>
        <v>47411.199999999997</v>
      </c>
    </row>
    <row r="5" spans="1:3" x14ac:dyDescent="0.25">
      <c r="A5">
        <f>ROW()-ROW(Mijo[[#Headers],[id]])</f>
        <v>3</v>
      </c>
      <c r="B5" s="24" t="str">
        <f>VLOOKUP(Mijo[[#This Row],[id]],Resumen_de_información[],2,FALSE)</f>
        <v>¿cuál es la máxima cantidad de hectáreas sembradas?</v>
      </c>
      <c r="C5" s="12">
        <f>MAX(Granos[Mijo Hectareas])</f>
        <v>236000</v>
      </c>
    </row>
    <row r="6" spans="1:3" x14ac:dyDescent="0.25">
      <c r="A6">
        <f>ROW()-ROW(Mijo[[#Headers],[id]])</f>
        <v>4</v>
      </c>
      <c r="B6" s="24" t="str">
        <f>VLOOKUP(Mijo[[#This Row],[id]],Resumen_de_información[],2,FALSE)</f>
        <v>¿cuál es la cantidad mínima de hectáreas sembradas?</v>
      </c>
      <c r="C6" s="12">
        <f>MIN(Granos[Mijo Hectareas])</f>
        <v>6380</v>
      </c>
    </row>
    <row r="7" spans="1:3" x14ac:dyDescent="0.25">
      <c r="A7">
        <f>ROW()-ROW(Mijo[[#Headers],[id]])</f>
        <v>5</v>
      </c>
      <c r="B7" s="24" t="str">
        <f>VLOOKUP(Mijo[[#This Row],[id]],Resumen_de_información[],2,FALSE)</f>
        <v>¿cuál es la cantidad máxima de toneladas obtenidas?</v>
      </c>
      <c r="C7" s="12">
        <f>MAX(Granos[Mijo Hectareas])</f>
        <v>236000</v>
      </c>
    </row>
    <row r="8" spans="1:3" x14ac:dyDescent="0.25">
      <c r="A8">
        <f>ROW()-ROW(Mijo[[#Headers],[id]])</f>
        <v>6</v>
      </c>
      <c r="B8" s="24" t="str">
        <f>VLOOKUP(Mijo[[#This Row],[id]],Resumen_de_información[],2,FALSE)</f>
        <v>¿cuál es la cantidad mínima de toneladas obtenidas?</v>
      </c>
      <c r="C8" s="12">
        <f>MIN(Granos[Mijo Toneladas])</f>
        <v>2250</v>
      </c>
    </row>
    <row r="9" spans="1:3" x14ac:dyDescent="0.25">
      <c r="A9">
        <f>ROW()-ROW(Mijo[[#Headers],[id]])</f>
        <v>7</v>
      </c>
      <c r="B9" s="24" t="str">
        <f>VLOOKUP(Mijo[[#This Row],[id]],Resumen_de_información[],2,FALSE)</f>
        <v>¿cuánto varían las cantidades máximas ?</v>
      </c>
      <c r="C9" s="25">
        <f>(C7-C5)/(C7+C5)</f>
        <v>0</v>
      </c>
    </row>
    <row r="10" spans="1:3" x14ac:dyDescent="0.25">
      <c r="A10">
        <f>ROW()-ROW(Mijo[[#Headers],[id]])</f>
        <v>8</v>
      </c>
      <c r="B10" s="24" t="str">
        <f>VLOOKUP(Mijo[[#This Row],[id]],Resumen_de_información[],2,FALSE)</f>
        <v>¿cuánto varían las cantidades mínimas?</v>
      </c>
      <c r="C10" s="25">
        <f>(C8-C6)/(C6+C8)</f>
        <v>-0.47856315179606024</v>
      </c>
    </row>
    <row r="11" spans="1:3" x14ac:dyDescent="0.25">
      <c r="A11">
        <f>ROW()-ROW(Mijo[[#Headers],[id]])</f>
        <v>9</v>
      </c>
      <c r="B11" s="24" t="str">
        <f>VLOOKUP(Mijo[[#This Row],[id]],Resumen_de_información[],2,FALSE)</f>
        <v>¿cuál es el rendimiento promedio de las toneladas sobre las hectáreas?</v>
      </c>
      <c r="C11" s="25">
        <f>(C4-C3)/(C3+C4)</f>
        <v>-0.24526812122524225</v>
      </c>
    </row>
    <row r="12" spans="1:3" x14ac:dyDescent="0.25">
      <c r="A12">
        <f>ROW()-ROW(Mijo[[#Headers],[id]])</f>
        <v>10</v>
      </c>
      <c r="B12" s="24" t="str">
        <f>VLOOKUP(Mijo[[#This Row],[id]],Resumen_de_información[],2,FALSE)</f>
        <v>¿cuál es el promedio entre los valores máximos y mínimos de las hectáreas?</v>
      </c>
      <c r="C12" s="25">
        <f>(C5-C6)/(C5+C6)</f>
        <v>0.94735539235910549</v>
      </c>
    </row>
    <row r="13" spans="1:3" x14ac:dyDescent="0.25">
      <c r="A13">
        <f>ROW()-ROW(Mijo[[#Headers],[id]])</f>
        <v>11</v>
      </c>
      <c r="B13" s="24" t="str">
        <f>VLOOKUP(Mijo[[#This Row],[id]],Resumen_de_información[],2,FALSE)</f>
        <v>¿cuál es el promedio entre los valores máximos y mínimos de las toneladas?</v>
      </c>
      <c r="C13" s="25">
        <f>(C7-C8)/(C7+C8)</f>
        <v>0.98111227701993708</v>
      </c>
    </row>
    <row r="14" spans="1:3" x14ac:dyDescent="0.25">
      <c r="A14">
        <f>ROW()-ROW(Mijo[[#Headers],[id]])</f>
        <v>12</v>
      </c>
      <c r="B14" s="9" t="str">
        <f>VLOOKUP(Mijo[[#This Row],[id]],Resumen_de_información[],2,FALSE)</f>
        <v>¿cuál es el promedio entre los promedios de los valores máximos y mínimos de las hectáreas y toneladas?</v>
      </c>
      <c r="C14" s="28">
        <f>(C13-C12)/(C12+C13)</f>
        <v>1.7504511585460573E-2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workbookViewId="0">
      <selection activeCell="C11" sqref="C11"/>
    </sheetView>
  </sheetViews>
  <sheetFormatPr baseColWidth="10" defaultRowHeight="15" x14ac:dyDescent="0.25"/>
  <cols>
    <col min="1" max="1" width="7.42578125" customWidth="1"/>
    <col min="2" max="2" width="55.42578125" style="22" customWidth="1"/>
    <col min="3" max="3" width="18.7109375" customWidth="1"/>
  </cols>
  <sheetData>
    <row r="2" spans="1:3" x14ac:dyDescent="0.25">
      <c r="A2" s="31" t="s">
        <v>3</v>
      </c>
      <c r="B2" s="34" t="s">
        <v>32</v>
      </c>
      <c r="C2" s="27" t="s">
        <v>33</v>
      </c>
    </row>
    <row r="3" spans="1:3" x14ac:dyDescent="0.25">
      <c r="A3">
        <f>ROW()-ROW(Soja[[#Headers],[id]])</f>
        <v>1</v>
      </c>
      <c r="B3" s="35" t="str">
        <f>VLOOKUP(Soja[[#This Row],[id]],Resumen_de_información[],2,FALSE)</f>
        <v>¿cuál es el promedio de las hectáreas sembradas?</v>
      </c>
      <c r="C3" s="12">
        <f>AVERAGE(Granos[Soja Hectareas])</f>
        <v>11203984.875</v>
      </c>
    </row>
    <row r="4" spans="1:3" x14ac:dyDescent="0.25">
      <c r="A4">
        <f>ROW()-ROW(Soja[[#Headers],[id]])</f>
        <v>2</v>
      </c>
      <c r="B4" s="35" t="str">
        <f>VLOOKUP(Soja[[#This Row],[id]],Resumen_de_información[],2,FALSE)</f>
        <v>¿cuál es el promedio de toneladas obtenidas ?</v>
      </c>
      <c r="C4" s="12">
        <f>AVERAGE(Granos[Soja Toneladas])</f>
        <v>28447634.050000001</v>
      </c>
    </row>
    <row r="5" spans="1:3" x14ac:dyDescent="0.25">
      <c r="A5">
        <f>ROW()-ROW(Soja[[#Headers],[id]])</f>
        <v>3</v>
      </c>
      <c r="B5" s="35" t="str">
        <f>VLOOKUP(Soja[[#This Row],[id]],Resumen_de_información[],2,FALSE)</f>
        <v>¿cuál es la máxima cantidad de hectáreas sembradas?</v>
      </c>
      <c r="C5" s="12">
        <f>MAX(Granos[Soja Hectareas])</f>
        <v>20479000</v>
      </c>
    </row>
    <row r="6" spans="1:3" x14ac:dyDescent="0.25">
      <c r="A6">
        <f>ROW()-ROW(Soja[[#Headers],[id]])</f>
        <v>4</v>
      </c>
      <c r="B6" s="35" t="str">
        <f>VLOOKUP(Soja[[#This Row],[id]],Resumen_de_información[],2,FALSE)</f>
        <v>¿cuál es la cantidad mínima de hectáreas sembradas?</v>
      </c>
      <c r="C6" s="12">
        <f>MIN(Granos[Soja Hectareas])</f>
        <v>2040000</v>
      </c>
    </row>
    <row r="7" spans="1:3" x14ac:dyDescent="0.25">
      <c r="A7">
        <f>ROW()-ROW(Soja[[#Headers],[id]])</f>
        <v>5</v>
      </c>
      <c r="B7" s="35" t="str">
        <f>VLOOKUP(Soja[[#This Row],[id]],Resumen_de_información[],2,FALSE)</f>
        <v>¿cuál es la cantidad máxima de toneladas obtenidas?</v>
      </c>
      <c r="C7" s="12">
        <f>MAX(Granos[Soja Toneladas])</f>
        <v>61400000</v>
      </c>
    </row>
    <row r="8" spans="1:3" x14ac:dyDescent="0.25">
      <c r="A8">
        <f>ROW()-ROW(Soja[[#Headers],[id]])</f>
        <v>6</v>
      </c>
      <c r="B8" s="35" t="str">
        <f>VLOOKUP(Soja[[#This Row],[id]],Resumen_de_información[],2,FALSE)</f>
        <v>¿cuál es la cantidad mínima de toneladas obtenidas?</v>
      </c>
      <c r="C8" s="12">
        <f>MIN(Granos[Soja Toneladas])</f>
        <v>4000000</v>
      </c>
    </row>
    <row r="9" spans="1:3" x14ac:dyDescent="0.25">
      <c r="A9">
        <f>ROW()-ROW(Soja[[#Headers],[id]])</f>
        <v>7</v>
      </c>
      <c r="B9" s="35" t="str">
        <f>VLOOKUP(Soja[[#This Row],[id]],Resumen_de_información[],2,FALSE)</f>
        <v>¿cuánto varían las cantidades máximas ?</v>
      </c>
      <c r="C9" s="25">
        <f>(C7-C5)/(C7+C5)</f>
        <v>0.49977405683997117</v>
      </c>
    </row>
    <row r="10" spans="1:3" x14ac:dyDescent="0.25">
      <c r="A10">
        <f>ROW()-ROW(Soja[[#Headers],[id]])</f>
        <v>8</v>
      </c>
      <c r="B10" s="35" t="str">
        <f>VLOOKUP(Soja[[#This Row],[id]],Resumen_de_información[],2,FALSE)</f>
        <v>¿cuánto varían las cantidades mínimas?</v>
      </c>
      <c r="C10" s="25">
        <f>(C8-C6)/(C6+C8)</f>
        <v>0.32450331125827814</v>
      </c>
    </row>
    <row r="11" spans="1:3" ht="30" x14ac:dyDescent="0.25">
      <c r="A11">
        <f>ROW()-ROW(Soja[[#Headers],[id]])</f>
        <v>9</v>
      </c>
      <c r="B11" s="35" t="str">
        <f>VLOOKUP(Soja[[#This Row],[id]],Resumen_de_información[],2,FALSE)</f>
        <v>¿cuál es el rendimiento promedio de las toneladas sobre las hectáreas?</v>
      </c>
      <c r="C11" s="25">
        <f>(C4-C3)/(C3+C4)</f>
        <v>0.43487881812886159</v>
      </c>
    </row>
    <row r="12" spans="1:3" ht="30" x14ac:dyDescent="0.25">
      <c r="A12">
        <f>ROW()-ROW(Soja[[#Headers],[id]])</f>
        <v>10</v>
      </c>
      <c r="B12" s="35" t="str">
        <f>VLOOKUP(Soja[[#This Row],[id]],Resumen_de_información[],2,FALSE)</f>
        <v>¿cuál es el promedio entre los valores máximos y mínimos de las hectáreas?</v>
      </c>
      <c r="C12" s="25">
        <f>(C5-C6)/(C5+C6)</f>
        <v>0.81881966339535506</v>
      </c>
    </row>
    <row r="13" spans="1:3" ht="30" x14ac:dyDescent="0.25">
      <c r="A13">
        <f>ROW()-ROW(Soja[[#Headers],[id]])</f>
        <v>11</v>
      </c>
      <c r="B13" s="35" t="str">
        <f>VLOOKUP(Soja[[#This Row],[id]],Resumen_de_información[],2,FALSE)</f>
        <v>¿cuál es el promedio entre los valores máximos y mínimos de las toneladas?</v>
      </c>
      <c r="C13" s="25">
        <f>(C7-C8)/(C7+C8)</f>
        <v>0.8776758409785933</v>
      </c>
    </row>
    <row r="14" spans="1:3" ht="30" x14ac:dyDescent="0.25">
      <c r="A14">
        <f>ROW()-ROW(Soja[[#Headers],[id]])</f>
        <v>12</v>
      </c>
      <c r="B14" s="36" t="str">
        <f>VLOOKUP(Soja[[#This Row],[id]],Resumen_de_información[],2,FALSE)</f>
        <v>¿cuál es el promedio entre los promedios de los valores máximos y mínimos de las hectáreas y toneladas?</v>
      </c>
      <c r="C14" s="28">
        <f>(C13-C12)/(C12+C13)</f>
        <v>3.4692799026872591E-2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workbookViewId="0">
      <selection activeCell="C8" sqref="C8"/>
    </sheetView>
  </sheetViews>
  <sheetFormatPr baseColWidth="10" defaultRowHeight="15" x14ac:dyDescent="0.25"/>
  <cols>
    <col min="1" max="1" width="6.28515625" customWidth="1"/>
    <col min="2" max="2" width="52.85546875" style="22" customWidth="1"/>
    <col min="3" max="3" width="25.42578125" customWidth="1"/>
  </cols>
  <sheetData>
    <row r="2" spans="1:3" x14ac:dyDescent="0.25">
      <c r="A2" s="31" t="s">
        <v>3</v>
      </c>
      <c r="B2" s="34" t="s">
        <v>32</v>
      </c>
      <c r="C2" s="27" t="s">
        <v>33</v>
      </c>
    </row>
    <row r="3" spans="1:3" x14ac:dyDescent="0.25">
      <c r="A3">
        <f>ROW()-ROW(Sorgogranifero[[#Headers],[id]])</f>
        <v>1</v>
      </c>
      <c r="B3" s="35" t="str">
        <f>VLOOKUP(Sorgogranifero[[#This Row],[id]],Resumen_de_información[],2,FALSE)</f>
        <v>¿cuál es el promedio de las hectáreas sembradas?</v>
      </c>
      <c r="C3" s="12">
        <f>AVERAGE(Granos[Sorgogranifero Hectareas])</f>
        <v>992230.875</v>
      </c>
    </row>
    <row r="4" spans="1:3" x14ac:dyDescent="0.25">
      <c r="A4">
        <f>ROW()-ROW(Sorgogranifero[[#Headers],[id]])</f>
        <v>2</v>
      </c>
      <c r="B4" s="35" t="str">
        <f>VLOOKUP(Sorgogranifero[[#This Row],[id]],Resumen_de_información[],2,FALSE)</f>
        <v>¿cuál es el promedio de toneladas obtenidas ?</v>
      </c>
      <c r="C4" s="12">
        <f>AVERAGE(Granos[sorgogranifero Toneladas])</f>
        <v>3232142</v>
      </c>
    </row>
    <row r="5" spans="1:3" x14ac:dyDescent="0.25">
      <c r="A5">
        <f>ROW()-ROW(Sorgogranifero[[#Headers],[id]])</f>
        <v>3</v>
      </c>
      <c r="B5" s="35" t="str">
        <f>VLOOKUP(Sorgogranifero[[#This Row],[id]],Resumen_de_información[],2,FALSE)</f>
        <v>¿cuál es la máxima cantidad de hectáreas sembradas?</v>
      </c>
      <c r="C5" s="12">
        <f>MAX(Granos[Sorgogranifero Hectareas])</f>
        <v>2712000</v>
      </c>
    </row>
    <row r="6" spans="1:3" x14ac:dyDescent="0.25">
      <c r="A6">
        <f>ROW()-ROW(Sorgogranifero[[#Headers],[id]])</f>
        <v>4</v>
      </c>
      <c r="B6" s="35" t="str">
        <f>VLOOKUP(Sorgogranifero[[#This Row],[id]],Resumen_de_información[],2,FALSE)</f>
        <v>¿cuál es la cantidad mínima de hectáreas sembradas?</v>
      </c>
      <c r="C6" s="12">
        <f>MIN(Granos[Sorgogranifero Hectareas])</f>
        <v>520000</v>
      </c>
    </row>
    <row r="7" spans="1:3" x14ac:dyDescent="0.25">
      <c r="A7">
        <f>ROW()-ROW(Sorgogranifero[[#Headers],[id]])</f>
        <v>5</v>
      </c>
      <c r="B7" s="35" t="str">
        <f>VLOOKUP(Sorgogranifero[[#This Row],[id]],Resumen_de_información[],2,FALSE)</f>
        <v>¿cuál es la cantidad máxima de toneladas obtenidas?</v>
      </c>
      <c r="C7" s="12">
        <f>MAX(Granos[sorgogranifero Toneladas])</f>
        <v>8100000</v>
      </c>
    </row>
    <row r="8" spans="1:3" x14ac:dyDescent="0.25">
      <c r="A8">
        <f>ROW()-ROW(Sorgogranifero[[#Headers],[id]])</f>
        <v>6</v>
      </c>
      <c r="B8" s="35" t="str">
        <f>VLOOKUP(Sorgogranifero[[#This Row],[id]],Resumen_de_información[],2,FALSE)</f>
        <v>¿cuál es la cantidad mínima de toneladas obtenidas?</v>
      </c>
      <c r="C8" s="12">
        <f>MIN(Granos[sorgogranifero Toneladas])</f>
        <v>1500000</v>
      </c>
    </row>
    <row r="9" spans="1:3" x14ac:dyDescent="0.25">
      <c r="A9">
        <f>ROW()-ROW(Sorgogranifero[[#Headers],[id]])</f>
        <v>7</v>
      </c>
      <c r="B9" s="35" t="str">
        <f>VLOOKUP(Sorgogranifero[[#This Row],[id]],Resumen_de_información[],2,FALSE)</f>
        <v>¿cuánto varían las cantidades máximas ?</v>
      </c>
      <c r="C9" s="25">
        <f>(C7-C5)/(C7+C5)</f>
        <v>0.4983351831298557</v>
      </c>
    </row>
    <row r="10" spans="1:3" x14ac:dyDescent="0.25">
      <c r="A10">
        <f>ROW()-ROW(Sorgogranifero[[#Headers],[id]])</f>
        <v>8</v>
      </c>
      <c r="B10" s="35" t="str">
        <f>VLOOKUP(Sorgogranifero[[#This Row],[id]],Resumen_de_información[],2,FALSE)</f>
        <v>¿cuánto varían las cantidades mínimas?</v>
      </c>
      <c r="C10" s="25">
        <f>(C8-C6)/(C6+C8)</f>
        <v>0.48514851485148514</v>
      </c>
    </row>
    <row r="11" spans="1:3" ht="30" x14ac:dyDescent="0.25">
      <c r="A11">
        <f>ROW()-ROW(Sorgogranifero[[#Headers],[id]])</f>
        <v>9</v>
      </c>
      <c r="B11" s="35" t="str">
        <f>VLOOKUP(Sorgogranifero[[#This Row],[id]],Resumen_de_información[],2,FALSE)</f>
        <v>¿cuál es el rendimiento promedio de las toneladas sobre las hectáreas?</v>
      </c>
      <c r="C11" s="25">
        <f>(C4-C3)/(C3+C4)</f>
        <v>0.53023518313354379</v>
      </c>
    </row>
    <row r="12" spans="1:3" ht="30" x14ac:dyDescent="0.25">
      <c r="A12">
        <f>ROW()-ROW(Sorgogranifero[[#Headers],[id]])</f>
        <v>10</v>
      </c>
      <c r="B12" s="35" t="str">
        <f>VLOOKUP(Sorgogranifero[[#This Row],[id]],Resumen_de_información[],2,FALSE)</f>
        <v>¿cuál es el promedio entre los valores máximos y mínimos de las hectáreas?</v>
      </c>
      <c r="C12" s="25">
        <f>(C5-C6)/(C5+C6)</f>
        <v>0.67821782178217827</v>
      </c>
    </row>
    <row r="13" spans="1:3" ht="30" x14ac:dyDescent="0.25">
      <c r="A13">
        <f>ROW()-ROW(Sorgogranifero[[#Headers],[id]])</f>
        <v>11</v>
      </c>
      <c r="B13" s="35" t="str">
        <f>VLOOKUP(Sorgogranifero[[#This Row],[id]],Resumen_de_información[],2,FALSE)</f>
        <v>¿cuál es el promedio entre los valores máximos y mínimos de las toneladas?</v>
      </c>
      <c r="C13" s="25">
        <f>(C7-C8)/(C7+C8)</f>
        <v>0.6875</v>
      </c>
    </row>
    <row r="14" spans="1:3" ht="30" x14ac:dyDescent="0.25">
      <c r="A14">
        <f>ROW()-ROW(Sorgogranifero[[#Headers],[id]])</f>
        <v>12</v>
      </c>
      <c r="B14" s="36" t="str">
        <f>VLOOKUP(Sorgogranifero[[#This Row],[id]],Resumen_de_información[],2,FALSE)</f>
        <v>¿cuál es el promedio entre los promedios de los valores máximos y mínimos de las hectáreas y toneladas?</v>
      </c>
      <c r="C14" s="28">
        <f>(C13-C12)/(C12+C13)</f>
        <v>6.7965564114181795E-3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workbookViewId="0">
      <selection activeCell="C6" sqref="C6"/>
    </sheetView>
  </sheetViews>
  <sheetFormatPr baseColWidth="10" defaultRowHeight="15" x14ac:dyDescent="0.25"/>
  <cols>
    <col min="1" max="1" width="6.85546875" customWidth="1"/>
    <col min="2" max="2" width="53.42578125" style="22" customWidth="1"/>
    <col min="3" max="3" width="22.85546875" customWidth="1"/>
  </cols>
  <sheetData>
    <row r="2" spans="1:3" x14ac:dyDescent="0.25">
      <c r="A2" s="31" t="s">
        <v>3</v>
      </c>
      <c r="B2" s="34" t="s">
        <v>32</v>
      </c>
      <c r="C2" s="27" t="s">
        <v>33</v>
      </c>
    </row>
    <row r="3" spans="1:3" x14ac:dyDescent="0.25">
      <c r="A3">
        <f>ROW()-ROW(Trigo[[#Headers],[id]])</f>
        <v>1</v>
      </c>
      <c r="B3" s="35" t="str">
        <f>VLOOKUP(Trigo[[#This Row],[id]],Resumen_de_información[],2,FALSE)</f>
        <v>¿cuál es el promedio de las hectáreas sembradas?</v>
      </c>
      <c r="C3" s="12">
        <f>AVERAGE(Granos[Trigo Hectareas])</f>
        <v>5600687.875</v>
      </c>
    </row>
    <row r="4" spans="1:3" x14ac:dyDescent="0.25">
      <c r="A4">
        <f>ROW()-ROW(Trigo[[#Headers],[id]])</f>
        <v>2</v>
      </c>
      <c r="B4" s="35" t="str">
        <f>VLOOKUP(Trigo[[#This Row],[id]],Resumen_de_información[],2,FALSE)</f>
        <v>¿cuál es el promedio de toneladas obtenidas ?</v>
      </c>
      <c r="C4" s="12">
        <f>AVERAGE(Granos[[Trigo Toneladas ]])</f>
        <v>3915320.7</v>
      </c>
    </row>
    <row r="5" spans="1:3" x14ac:dyDescent="0.25">
      <c r="A5">
        <f>ROW()-ROW(Trigo[[#Headers],[id]])</f>
        <v>3</v>
      </c>
      <c r="B5" s="35" t="str">
        <f>VLOOKUP(Trigo[[#This Row],[id]],Resumen_de_información[],2,FALSE)</f>
        <v>¿cuál es la máxima cantidad de hectáreas sembradas?</v>
      </c>
      <c r="C5" s="12">
        <f>MAX(Granos[Trigo Hectareas])</f>
        <v>7410000</v>
      </c>
    </row>
    <row r="6" spans="1:3" x14ac:dyDescent="0.25">
      <c r="A6">
        <f>ROW()-ROW(Trigo[[#Headers],[id]])</f>
        <v>4</v>
      </c>
      <c r="B6" s="35" t="str">
        <f>VLOOKUP(Trigo[[#This Row],[id]],Resumen_de_información[],2,FALSE)</f>
        <v>¿cuál es la cantidad mínima de hectáreas sembradas?</v>
      </c>
      <c r="C6" s="12">
        <f>MIN(Granos[Trigo Hectareas])</f>
        <v>3160000</v>
      </c>
    </row>
    <row r="7" spans="1:3" x14ac:dyDescent="0.25">
      <c r="A7">
        <f>ROW()-ROW(Trigo[[#Headers],[id]])</f>
        <v>5</v>
      </c>
      <c r="B7" s="35" t="str">
        <f>VLOOKUP(Trigo[[#This Row],[id]],Resumen_de_información[],2,FALSE)</f>
        <v>¿cuál es la cantidad máxima de toneladas obtenidas?</v>
      </c>
      <c r="C7" s="12">
        <f>MAX(Granos[[Trigo Toneladas ]])</f>
        <v>9884000</v>
      </c>
    </row>
    <row r="8" spans="1:3" x14ac:dyDescent="0.25">
      <c r="A8">
        <f>ROW()-ROW(Trigo[[#Headers],[id]])</f>
        <v>6</v>
      </c>
      <c r="B8" s="35" t="str">
        <f>VLOOKUP(Trigo[[#This Row],[id]],Resumen_de_información[],2,FALSE)</f>
        <v>¿cuál es la cantidad mínima de toneladas obtenidas?</v>
      </c>
      <c r="C8" s="12">
        <f>MIN(Granos[[Trigo Toneladas ]])</f>
        <v>1000000</v>
      </c>
    </row>
    <row r="9" spans="1:3" x14ac:dyDescent="0.25">
      <c r="A9">
        <f>ROW()-ROW(Trigo[[#Headers],[id]])</f>
        <v>7</v>
      </c>
      <c r="B9" s="35" t="str">
        <f>VLOOKUP(Trigo[[#This Row],[id]],Resumen_de_información[],2,FALSE)</f>
        <v>¿cuánto varían las cantidades máximas ?</v>
      </c>
      <c r="C9" s="25">
        <f>(C7-C5)/(C7+C5)</f>
        <v>0.14305539493465941</v>
      </c>
    </row>
    <row r="10" spans="1:3" x14ac:dyDescent="0.25">
      <c r="A10">
        <f>ROW()-ROW(Trigo[[#Headers],[id]])</f>
        <v>8</v>
      </c>
      <c r="B10" s="35" t="str">
        <f>VLOOKUP(Trigo[[#This Row],[id]],Resumen_de_información[],2,FALSE)</f>
        <v>¿cuánto varían las cantidades mínimas?</v>
      </c>
      <c r="C10" s="25">
        <f>(C8-C6)/(C6+C8)</f>
        <v>-0.51923076923076927</v>
      </c>
    </row>
    <row r="11" spans="1:3" ht="30" x14ac:dyDescent="0.25">
      <c r="A11">
        <f>ROW()-ROW(Trigo[[#Headers],[id]])</f>
        <v>9</v>
      </c>
      <c r="B11" s="35" t="str">
        <f>VLOOKUP(Trigo[[#This Row],[id]],Resumen_de_información[],2,FALSE)</f>
        <v>¿cuál es el rendimiento promedio de las toneladas sobre las hectáreas?</v>
      </c>
      <c r="C11" s="25">
        <f>(C4-C3)/(C3+C4)</f>
        <v>-0.17710862298166855</v>
      </c>
    </row>
    <row r="12" spans="1:3" ht="30" x14ac:dyDescent="0.25">
      <c r="A12">
        <f>ROW()-ROW(Trigo[[#Headers],[id]])</f>
        <v>10</v>
      </c>
      <c r="B12" s="35" t="str">
        <f>VLOOKUP(Trigo[[#This Row],[id]],Resumen_de_información[],2,FALSE)</f>
        <v>¿cuál es el promedio entre los valores máximos y mínimos de las hectáreas?</v>
      </c>
      <c r="C12" s="25">
        <f>(C5-C6)/(C5+C6)</f>
        <v>0.40208136234626302</v>
      </c>
    </row>
    <row r="13" spans="1:3" ht="30" x14ac:dyDescent="0.25">
      <c r="A13">
        <f>ROW()-ROW(Trigo[[#Headers],[id]])</f>
        <v>11</v>
      </c>
      <c r="B13" s="35" t="str">
        <f>VLOOKUP(Trigo[[#This Row],[id]],Resumen_de_información[],2,FALSE)</f>
        <v>¿cuál es el promedio entre los valores máximos y mínimos de las toneladas?</v>
      </c>
      <c r="C13" s="25">
        <f>(C7-C8)/(C7+C8)</f>
        <v>0.81624402793090778</v>
      </c>
    </row>
    <row r="14" spans="1:3" ht="30" x14ac:dyDescent="0.25">
      <c r="A14">
        <f>ROW()-ROW(Trigo[[#Headers],[id]])</f>
        <v>12</v>
      </c>
      <c r="B14" s="36" t="str">
        <f>VLOOKUP(Trigo[[#This Row],[id]],Resumen_de_información[],2,FALSE)</f>
        <v>¿cuál es el promedio entre los promedios de los valores máximos y mínimos de las hectáreas y toneladas?</v>
      </c>
      <c r="C14" s="28">
        <f>(C13-C12)/(C12+C13)</f>
        <v>0.33994421267903002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opLeftCell="C1" workbookViewId="0">
      <selection activeCell="K4" sqref="K4"/>
    </sheetView>
  </sheetViews>
  <sheetFormatPr baseColWidth="10" defaultRowHeight="15" x14ac:dyDescent="0.25"/>
  <cols>
    <col min="1" max="1" width="7.85546875" customWidth="1"/>
    <col min="2" max="2" width="27.5703125" style="22" customWidth="1"/>
    <col min="3" max="3" width="13.5703125" customWidth="1"/>
    <col min="4" max="4" width="10.140625" customWidth="1"/>
    <col min="5" max="5" width="11.28515625" customWidth="1"/>
    <col min="6" max="6" width="12.85546875" customWidth="1"/>
    <col min="7" max="7" width="11.42578125" style="22" customWidth="1"/>
    <col min="8" max="8" width="12.7109375" customWidth="1"/>
    <col min="9" max="9" width="11.42578125" customWidth="1"/>
    <col min="10" max="10" width="10" customWidth="1"/>
    <col min="11" max="11" width="12.140625" customWidth="1"/>
    <col min="12" max="12" width="11.42578125" customWidth="1"/>
    <col min="13" max="13" width="12.85546875" customWidth="1"/>
    <col min="14" max="14" width="15.140625" customWidth="1"/>
    <col min="15" max="15" width="17.140625" customWidth="1"/>
  </cols>
  <sheetData>
    <row r="1" spans="1:16" s="15" customFormat="1" ht="15.75" thickBot="1" x14ac:dyDescent="0.3">
      <c r="A1" s="48" t="s">
        <v>3</v>
      </c>
      <c r="B1" s="33" t="s">
        <v>46</v>
      </c>
      <c r="C1" s="49" t="s">
        <v>1</v>
      </c>
      <c r="D1" s="49" t="s">
        <v>34</v>
      </c>
      <c r="E1" s="49" t="s">
        <v>2</v>
      </c>
      <c r="F1" s="49" t="s">
        <v>35</v>
      </c>
      <c r="G1" s="49" t="s">
        <v>36</v>
      </c>
      <c r="H1" s="49" t="s">
        <v>37</v>
      </c>
      <c r="I1" s="49" t="s">
        <v>38</v>
      </c>
      <c r="J1" s="49" t="s">
        <v>39</v>
      </c>
      <c r="K1" s="49" t="s">
        <v>40</v>
      </c>
      <c r="L1" s="49" t="s">
        <v>41</v>
      </c>
      <c r="M1" s="49" t="s">
        <v>42</v>
      </c>
      <c r="N1" s="49" t="s">
        <v>43</v>
      </c>
      <c r="O1" s="50" t="s">
        <v>44</v>
      </c>
      <c r="P1" s="51" t="s">
        <v>45</v>
      </c>
    </row>
    <row r="2" spans="1:16" ht="30.75" thickBot="1" x14ac:dyDescent="0.3">
      <c r="A2" s="52">
        <f>ROW()-ROW(Resumen_de_información[[#Headers],[id]])</f>
        <v>1</v>
      </c>
      <c r="B2" s="29" t="s">
        <v>50</v>
      </c>
      <c r="C2" s="53">
        <f>IFERROR(VLOOKUP(Resumen_de_información[[#This Row],[id]],Alpiste[],3,TRUE),"--")</f>
        <v>28053.625</v>
      </c>
      <c r="D2" s="54">
        <f>IFERROR(VLOOKUP(Resumen_de_información[[#This Row],[id]],Arroz[],3,FALSE),"--")</f>
        <v>175773.95</v>
      </c>
      <c r="E2" s="54">
        <f>IFERROR(VLOOKUP(Resumen_de_información[[#This Row],[id]],Avena[],3,FALSE),"--")</f>
        <v>1545470.75</v>
      </c>
      <c r="F2" s="54">
        <f>IFERROR(VLOOKUP(Resumen_de_información[[#This Row],[id]],Cartamo[],3,FALSE),"--")</f>
        <v>37241.125</v>
      </c>
      <c r="G2" s="21">
        <f>IFERROR(VLOOKUP(Resumen_de_información[[#This Row],[id]],Cebada[],3,FALSE),"--")</f>
        <v>532510.875</v>
      </c>
      <c r="H2" s="54">
        <f>IFERROR(VLOOKUP(Resumen_de_información[[#This Row],[id]],Centeno[],3,FALSE),"--")</f>
        <v>477311.375</v>
      </c>
      <c r="I2" s="54">
        <f>IFERROR(VLOOKUP(Resumen_de_información[[#This Row],[id]],Girasol[],3,FALSE),"--")</f>
        <v>2240160.375</v>
      </c>
      <c r="J2" s="54">
        <f>IFERROR(VLOOKUP(Resumen_de_información[[#This Row],[id]],Lino[],3,FALSE),"--")</f>
        <v>227380.875</v>
      </c>
      <c r="K2" s="54">
        <f>IFERROR(VLOOKUP(Resumen_de_información[[#This Row],[id]],Maiz[],3,FALSE),"--")</f>
        <v>4395474.75</v>
      </c>
      <c r="L2" s="54">
        <f>IFERROR(VLOOKUP(Resumen_de_información[[#This Row],[id]],Mani[],3,FALSE),"--")</f>
        <v>252700.25</v>
      </c>
      <c r="M2" s="54">
        <f>IFERROR(VLOOKUP(Resumen_de_información[[#This Row],[id]],Mijo[],3,FALSE),"--")</f>
        <v>78226</v>
      </c>
      <c r="N2" s="54">
        <f>IFERROR(VLOOKUP(Resumen_de_información[[#This Row],[id]],Soja[],3,FALSE),"--")</f>
        <v>11203984.875</v>
      </c>
      <c r="O2" s="54">
        <f>IFERROR(VLOOKUP(Resumen_de_información[[#This Row],[id]],Sorgogranifero[],3,FALSE),"--")</f>
        <v>992230.875</v>
      </c>
      <c r="P2" s="55">
        <f>IFERROR(VLOOKUP(Resumen_de_información[id],Trigo[],3,FALSE),"--")</f>
        <v>5600687.875</v>
      </c>
    </row>
    <row r="3" spans="1:16" ht="30.75" thickBot="1" x14ac:dyDescent="0.3">
      <c r="A3" s="56">
        <f>ROW()-ROW(Resumen_de_información[[#Headers],[id]])</f>
        <v>2</v>
      </c>
      <c r="B3" s="29" t="s">
        <v>49</v>
      </c>
      <c r="C3" s="53">
        <f>IFERROR(VLOOKUP(Resumen_de_información[[#This Row],[id]],Alpiste[],3,TRUE),"--")</f>
        <v>30248.45</v>
      </c>
      <c r="D3" s="54">
        <f>IFERROR(VLOOKUP(Resumen_de_información[[#This Row],[id]],Arroz[],3,FALSE),"--")</f>
        <v>370035.17499999999</v>
      </c>
      <c r="E3" s="54">
        <f>IFERROR(VLOOKUP(Resumen_de_información[[#This Row],[id]],Avena[],3,FALSE),"--")</f>
        <v>495987.72499999998</v>
      </c>
      <c r="F3" s="54">
        <f>IFERROR(VLOOKUP(Resumen_de_información[[#This Row],[id]],Cartamo[],3,FALSE),"--")</f>
        <v>375.7</v>
      </c>
      <c r="G3" s="21">
        <f>IFERROR(VLOOKUP(Resumen_de_información[[#This Row],[id]],Cebada[],3,FALSE),"--")</f>
        <v>1532481.625</v>
      </c>
      <c r="H3" s="54">
        <f>IFERROR(VLOOKUP(Resumen_de_información[[#This Row],[id]],Centeno[],3,FALSE),"--")</f>
        <v>76339.875</v>
      </c>
      <c r="I3" s="54">
        <f>IFERROR(VLOOKUP(Resumen_de_información[[#This Row],[id]],Girasol[],3,FALSE),"--")</f>
        <v>3647452.875</v>
      </c>
      <c r="J3" s="54">
        <f>IFERROR(VLOOKUP(Resumen_de_información[[#This Row],[id]],Lino[],3,FALSE),"--")</f>
        <v>181558.67499999999</v>
      </c>
      <c r="K3" s="54">
        <f>IFERROR(VLOOKUP(Resumen_de_información[[#This Row],[id]],Maiz[],3,FALSE),"--")</f>
        <v>20873871.425000001</v>
      </c>
      <c r="L3" s="54">
        <f>IFERROR(VLOOKUP(Resumen_de_información[[#This Row],[id]],Mani[],3,FALSE),"--")</f>
        <v>537226.625</v>
      </c>
      <c r="M3" s="54">
        <f>IFERROR(VLOOKUP(Resumen_de_información[[#This Row],[id]],Mijo[],3,FALSE),"--")</f>
        <v>47411.199999999997</v>
      </c>
      <c r="N3" s="54">
        <f>IFERROR(VLOOKUP(Resumen_de_información[[#This Row],[id]],Soja[],3,FALSE),"--")</f>
        <v>28447634.050000001</v>
      </c>
      <c r="O3" s="54">
        <f>IFERROR(VLOOKUP(Resumen_de_información[[#This Row],[id]],Sorgogranifero[],3,FALSE),"--")</f>
        <v>3232142</v>
      </c>
      <c r="P3" s="55">
        <f>IFERROR(VLOOKUP(Resumen_de_información[id],Trigo[],3,FALSE),"--")</f>
        <v>3915320.7</v>
      </c>
    </row>
    <row r="4" spans="1:16" ht="30.75" thickBot="1" x14ac:dyDescent="0.3">
      <c r="A4" s="56">
        <f>ROW()-ROW(Resumen_de_información[[#Headers],[id]])</f>
        <v>3</v>
      </c>
      <c r="B4" s="29" t="s">
        <v>51</v>
      </c>
      <c r="C4" s="53">
        <f>IFERROR(VLOOKUP(Resumen_de_información[[#This Row],[id]],Alpiste[],3,TRUE),"--")</f>
        <v>60000</v>
      </c>
      <c r="D4" s="54">
        <f>IFERROR(VLOOKUP(Resumen_de_información[[#This Row],[id]],Arroz[],3,FALSE),"--")</f>
        <v>290850</v>
      </c>
      <c r="E4" s="54">
        <f>IFERROR(VLOOKUP(Resumen_de_información[[#This Row],[id]],Avena[],3,FALSE),"--")</f>
        <v>2180000</v>
      </c>
      <c r="F4" s="54">
        <f>IFERROR(VLOOKUP(Resumen_de_información[[#This Row],[id]],Cartamo[],3,FALSE),"--")</f>
        <v>171000</v>
      </c>
      <c r="G4" s="21">
        <f>IFERROR(VLOOKUP(Resumen_de_información[[#This Row],[id]],Cebada[],3,FALSE),"--")</f>
        <v>1876000</v>
      </c>
      <c r="H4" s="54">
        <f>IFERROR(VLOOKUP(Resumen_de_información[[#This Row],[id]],Centeno[],3,FALSE),"--")</f>
        <v>1483000</v>
      </c>
      <c r="I4" s="54">
        <f>IFERROR(VLOOKUP(Resumen_de_información[[#This Row],[id]],Girasol[],3,FALSE),"--")</f>
        <v>4243800</v>
      </c>
      <c r="J4" s="54">
        <f>IFERROR(VLOOKUP(Resumen_de_información[[#This Row],[id]],Lino[],3,FALSE),"--")</f>
        <v>910000</v>
      </c>
      <c r="K4" s="54">
        <f>IFERROR(VLOOKUP(Resumen_de_información[[#This Row],[id]],Maiz[],3,FALSE),"--")</f>
        <v>9750000</v>
      </c>
      <c r="L4" s="54">
        <f>IFERROR(VLOOKUP(Resumen_de_información[[#This Row],[id]],Mani[],3,FALSE),"--")</f>
        <v>452000</v>
      </c>
      <c r="M4" s="54">
        <f>IFERROR(VLOOKUP(Resumen_de_información[[#This Row],[id]],Mijo[],3,FALSE),"--")</f>
        <v>236000</v>
      </c>
      <c r="N4" s="54">
        <f>IFERROR(VLOOKUP(Resumen_de_información[[#This Row],[id]],Soja[],3,FALSE),"--")</f>
        <v>20479000</v>
      </c>
      <c r="O4" s="54">
        <f>IFERROR(VLOOKUP(Resumen_de_información[[#This Row],[id]],Sorgogranifero[],3,FALSE),"--")</f>
        <v>2712000</v>
      </c>
      <c r="P4" s="55">
        <f>IFERROR(VLOOKUP(Resumen_de_información[id],Trigo[],3,FALSE),"--")</f>
        <v>7410000</v>
      </c>
    </row>
    <row r="5" spans="1:16" ht="30.75" thickBot="1" x14ac:dyDescent="0.3">
      <c r="A5" s="56">
        <f>ROW()-ROW(Resumen_de_información[[#Headers],[id]])</f>
        <v>4</v>
      </c>
      <c r="B5" s="29" t="s">
        <v>58</v>
      </c>
      <c r="C5" s="53">
        <f>IFERROR(VLOOKUP(Resumen_de_información[[#This Row],[id]],Alpiste[],3,TRUE),"--")</f>
        <v>9000</v>
      </c>
      <c r="D5" s="54">
        <f>IFERROR(VLOOKUP(Resumen_de_información[[#This Row],[id]],Arroz[],3,FALSE),"--")</f>
        <v>91700</v>
      </c>
      <c r="E5" s="54">
        <f>IFERROR(VLOOKUP(Resumen_de_información[[#This Row],[id]],Avena[],3,FALSE),"--")</f>
        <v>917000</v>
      </c>
      <c r="F5" s="54">
        <f>IFERROR(VLOOKUP(Resumen_de_información[[#This Row],[id]],Cartamo[],3,FALSE),"--")</f>
        <v>650</v>
      </c>
      <c r="G5" s="21">
        <f>IFERROR(VLOOKUP(Resumen_de_información[[#This Row],[id]],Cebada[],3,FALSE),"--")</f>
        <v>59300</v>
      </c>
      <c r="H5" s="54">
        <f>IFERROR(VLOOKUP(Resumen_de_información[[#This Row],[id]],Centeno[],3,FALSE),"--")</f>
        <v>152000</v>
      </c>
      <c r="I5" s="54">
        <f>IFERROR(VLOOKUP(Resumen_de_información[[#This Row],[id]],Girasol[],3,FALSE),"--")</f>
        <v>1300000</v>
      </c>
      <c r="J5" s="54">
        <f>IFERROR(VLOOKUP(Resumen_de_información[[#This Row],[id]],Lino[],3,FALSE),"--")</f>
        <v>9000</v>
      </c>
      <c r="K5" s="54">
        <f>IFERROR(VLOOKUP(Resumen_de_información[[#This Row],[id]],Maiz[],3,FALSE),"--")</f>
        <v>2070000</v>
      </c>
      <c r="L5" s="54">
        <f>IFERROR(VLOOKUP(Resumen_de_información[[#This Row],[id]],Mani[],3,FALSE),"--")</f>
        <v>110000</v>
      </c>
      <c r="M5" s="54">
        <f>IFERROR(VLOOKUP(Resumen_de_información[[#This Row],[id]],Mijo[],3,FALSE),"--")</f>
        <v>6380</v>
      </c>
      <c r="N5" s="54">
        <f>IFERROR(VLOOKUP(Resumen_de_información[[#This Row],[id]],Soja[],3,FALSE),"--")</f>
        <v>2040000</v>
      </c>
      <c r="O5" s="54">
        <f>IFERROR(VLOOKUP(Resumen_de_información[[#This Row],[id]],Sorgogranifero[],3,FALSE),"--")</f>
        <v>520000</v>
      </c>
      <c r="P5" s="55">
        <f>IFERROR(VLOOKUP(Resumen_de_información[id],Trigo[],3,FALSE),"--")</f>
        <v>3160000</v>
      </c>
    </row>
    <row r="6" spans="1:16" ht="30.75" thickBot="1" x14ac:dyDescent="0.3">
      <c r="A6" s="56">
        <f>ROW()-ROW(Resumen_de_información[[#Headers],[id]])</f>
        <v>5</v>
      </c>
      <c r="B6" s="29" t="s">
        <v>52</v>
      </c>
      <c r="C6" s="53">
        <f>IFERROR(VLOOKUP(Resumen_de_información[[#This Row],[id]],Alpiste[],3,TRUE),"--")</f>
        <v>63000</v>
      </c>
      <c r="D6" s="54">
        <f>IFERROR(VLOOKUP(Resumen_de_información[[#This Row],[id]],Arroz[],3,FALSE),"--")</f>
        <v>986000</v>
      </c>
      <c r="E6" s="54">
        <f>IFERROR(VLOOKUP(Resumen_de_información[[#This Row],[id]],Avena[],3,FALSE),"--")</f>
        <v>785000</v>
      </c>
      <c r="F6" s="54">
        <f>IFERROR(VLOOKUP(Resumen_de_información[[#This Row],[id]],Cartamo[],3,FALSE),"--")</f>
        <v>955</v>
      </c>
      <c r="G6" s="21">
        <f>IFERROR(VLOOKUP(Resumen_de_información[[#This Row],[id]],Cebada[],3,FALSE),"--")</f>
        <v>5170000</v>
      </c>
      <c r="H6" s="54">
        <f>IFERROR(VLOOKUP(Resumen_de_información[[#This Row],[id]],Centeno[],3,FALSE),"--")</f>
        <v>221000</v>
      </c>
      <c r="I6" s="54">
        <f>IFERROR(VLOOKUP(Resumen_de_información[[#This Row],[id]],Girasol[],3,FALSE),"--")</f>
        <v>7125140</v>
      </c>
      <c r="J6" s="54">
        <f>IFERROR(VLOOKUP(Resumen_de_información[[#This Row],[id]],Lino[],3,FALSE),"--")</f>
        <v>730000</v>
      </c>
      <c r="K6" s="54">
        <f>IFERROR(VLOOKUP(Resumen_de_información[[#This Row],[id]],Maiz[],3,FALSE),"--")</f>
        <v>60500000</v>
      </c>
      <c r="L6" s="54">
        <f>IFERROR(VLOOKUP(Resumen_de_información[[#This Row],[id]],Mani[],3,FALSE),"--")</f>
        <v>1337000</v>
      </c>
      <c r="M6" s="54">
        <f>IFERROR(VLOOKUP(Resumen_de_información[[#This Row],[id]],Mijo[],3,FALSE),"--")</f>
        <v>236000</v>
      </c>
      <c r="N6" s="54">
        <f>IFERROR(VLOOKUP(Resumen_de_información[[#This Row],[id]],Soja[],3,FALSE),"--")</f>
        <v>61400000</v>
      </c>
      <c r="O6" s="54">
        <f>IFERROR(VLOOKUP(Resumen_de_información[[#This Row],[id]],Sorgogranifero[],3,FALSE),"--")</f>
        <v>8100000</v>
      </c>
      <c r="P6" s="55">
        <f>IFERROR(VLOOKUP(Resumen_de_información[id],Trigo[],3,FALSE),"--")</f>
        <v>9884000</v>
      </c>
    </row>
    <row r="7" spans="1:16" ht="30.75" thickBot="1" x14ac:dyDescent="0.3">
      <c r="A7" s="56">
        <f>ROW()-ROW(Resumen_de_información[[#Headers],[id]])</f>
        <v>6</v>
      </c>
      <c r="B7" s="29" t="s">
        <v>53</v>
      </c>
      <c r="C7" s="53">
        <f>IFERROR(VLOOKUP(Resumen_de_información[[#This Row],[id]],Alpiste[],3,TRUE),"--")</f>
        <v>9000</v>
      </c>
      <c r="D7" s="54">
        <f>IFERROR(VLOOKUP(Resumen_de_información[[#This Row],[id]],Arroz[],3,FALSE),"--")</f>
        <v>101113</v>
      </c>
      <c r="E7" s="54">
        <f>IFERROR(VLOOKUP(Resumen_de_información[[#This Row],[id]],Avena[],3,FALSE),"--")</f>
        <v>182000</v>
      </c>
      <c r="F7" s="54">
        <f>IFERROR(VLOOKUP(Resumen_de_información[[#This Row],[id]],Cartamo[],3,FALSE),"--")</f>
        <v>104</v>
      </c>
      <c r="G7" s="21">
        <f>IFERROR(VLOOKUP(Resumen_de_información[[#This Row],[id]],Cebada[],3,FALSE),"--")</f>
        <v>59300</v>
      </c>
      <c r="H7" s="54">
        <f>IFERROR(VLOOKUP(Resumen_de_información[[#This Row],[id]],Centeno[],3,FALSE),"--")</f>
        <v>17000</v>
      </c>
      <c r="I7" s="54">
        <f>IFERROR(VLOOKUP(Resumen_de_información[[#This Row],[id]],Girasol[],3,FALSE),"--")</f>
        <v>1980000</v>
      </c>
      <c r="J7" s="54">
        <f>IFERROR(VLOOKUP(Resumen_de_información[[#This Row],[id]],Lino[],3,FALSE),"--")</f>
        <v>10000</v>
      </c>
      <c r="K7" s="54">
        <f>IFERROR(VLOOKUP(Resumen_de_información[[#This Row],[id]],Maiz[],3,FALSE),"--")</f>
        <v>4900000</v>
      </c>
      <c r="L7" s="54">
        <f>IFERROR(VLOOKUP(Resumen_de_información[[#This Row],[id]],Mani[],3,FALSE),"--")</f>
        <v>165000</v>
      </c>
      <c r="M7" s="54">
        <f>IFERROR(VLOOKUP(Resumen_de_información[[#This Row],[id]],Mijo[],3,FALSE),"--")</f>
        <v>2250</v>
      </c>
      <c r="N7" s="54">
        <f>IFERROR(VLOOKUP(Resumen_de_información[[#This Row],[id]],Soja[],3,FALSE),"--")</f>
        <v>4000000</v>
      </c>
      <c r="O7" s="54">
        <f>IFERROR(VLOOKUP(Resumen_de_información[[#This Row],[id]],Sorgogranifero[],3,FALSE),"--")</f>
        <v>1500000</v>
      </c>
      <c r="P7" s="55">
        <f>IFERROR(VLOOKUP(Resumen_de_información[id],Trigo[],3,FALSE),"--")</f>
        <v>1000000</v>
      </c>
    </row>
    <row r="8" spans="1:16" ht="30.75" thickBot="1" x14ac:dyDescent="0.3">
      <c r="A8" s="56">
        <f>ROW()-ROW(Resumen_de_información[[#Headers],[id]])</f>
        <v>7</v>
      </c>
      <c r="B8" s="29" t="s">
        <v>59</v>
      </c>
      <c r="C8" s="66">
        <f>IFERROR(VLOOKUP(Resumen_de_información[[#This Row],[id]],Alpiste[],3,TRUE),"--")</f>
        <v>2.4390243902439025E-2</v>
      </c>
      <c r="D8" s="68">
        <f>IFERROR(VLOOKUP(Resumen_de_información[[#This Row],[id]],Arroz[],3,FALSE),"--")</f>
        <v>0.54442573520773774</v>
      </c>
      <c r="E8" s="68">
        <f>IFERROR(VLOOKUP(Resumen_de_información[[#This Row],[id]],Avena[],3,FALSE),"--")</f>
        <v>-0.47048903878583476</v>
      </c>
      <c r="F8" s="68">
        <f>IFERROR(VLOOKUP(Resumen_de_información[[#This Row],[id]],Cartamo[],3,FALSE),"--")</f>
        <v>-0.98889244279026489</v>
      </c>
      <c r="G8" s="64">
        <f>IFERROR(VLOOKUP(Resumen_de_información[[#This Row],[id]],Cebada[],3,FALSE),"--")</f>
        <v>0.46749929037751914</v>
      </c>
      <c r="H8" s="68">
        <f>IFERROR(VLOOKUP(Resumen_de_información[[#This Row],[id]],Centeno[],3,FALSE),"--")</f>
        <v>-0.74061032863849763</v>
      </c>
      <c r="I8" s="68">
        <f>IFERROR(VLOOKUP(Resumen_de_información[[#This Row],[id]],Girasol[],3,FALSE),"--")</f>
        <v>0.25343963465371444</v>
      </c>
      <c r="J8" s="68">
        <f>IFERROR(VLOOKUP(Resumen_de_información[[#This Row],[id]],Lino[],3,FALSE),"--")</f>
        <v>-0.10975609756097561</v>
      </c>
      <c r="K8" s="68">
        <f>IFERROR(VLOOKUP(Resumen_de_información[[#This Row],[id]],Maiz[],3,FALSE),"--")</f>
        <v>0.72241992882562278</v>
      </c>
      <c r="L8" s="68">
        <f>IFERROR(VLOOKUP(Resumen_de_información[[#This Row],[id]],Mani[],3,FALSE),"--")</f>
        <v>0.49468977082168808</v>
      </c>
      <c r="M8" s="68">
        <f>IFERROR(VLOOKUP(Resumen_de_información[[#This Row],[id]],Mijo[],3,FALSE),"--")</f>
        <v>0</v>
      </c>
      <c r="N8" s="68">
        <f>IFERROR(VLOOKUP(Resumen_de_información[[#This Row],[id]],Soja[],3,FALSE),"--")</f>
        <v>0.49977405683997117</v>
      </c>
      <c r="O8" s="68">
        <f>IFERROR(VLOOKUP(Resumen_de_información[[#This Row],[id]],Sorgogranifero[],3,FALSE),"--")</f>
        <v>0.4983351831298557</v>
      </c>
      <c r="P8" s="70">
        <f>IFERROR(VLOOKUP(Resumen_de_información[id],Trigo[],3,FALSE),"--")</f>
        <v>0.14305539493465941</v>
      </c>
    </row>
    <row r="9" spans="1:16" ht="30.75" thickBot="1" x14ac:dyDescent="0.3">
      <c r="A9" s="56">
        <f>ROW()-ROW(Resumen_de_información[[#Headers],[id]])</f>
        <v>8</v>
      </c>
      <c r="B9" s="29" t="s">
        <v>54</v>
      </c>
      <c r="C9" s="66">
        <f>IFERROR(VLOOKUP(Resumen_de_información[[#This Row],[id]],Alpiste[],3,TRUE),"--")</f>
        <v>0</v>
      </c>
      <c r="D9" s="68">
        <f>IFERROR(VLOOKUP(Resumen_de_información[[#This Row],[id]],Arroz[],3,FALSE),"--")</f>
        <v>4.881932234859683E-2</v>
      </c>
      <c r="E9" s="68">
        <f>IFERROR(VLOOKUP(Resumen_de_información[[#This Row],[id]],Avena[],3,FALSE),"--")</f>
        <v>-0.66878980891719741</v>
      </c>
      <c r="F9" s="68">
        <f>IFERROR(VLOOKUP(Resumen_de_información[[#This Row],[id]],Cartamo[],3,FALSE),"--")</f>
        <v>-0.72413793103448276</v>
      </c>
      <c r="G9" s="64">
        <f>IFERROR(VLOOKUP(Resumen_de_información[[#This Row],[id]],Cebada[],3,FALSE),"--")</f>
        <v>0</v>
      </c>
      <c r="H9" s="68">
        <f>IFERROR(VLOOKUP(Resumen_de_información[[#This Row],[id]],Centeno[],3,FALSE),"--")</f>
        <v>-0.79881656804733725</v>
      </c>
      <c r="I9" s="68">
        <f>IFERROR(VLOOKUP(Resumen_de_información[[#This Row],[id]],Girasol[],3,FALSE),"--")</f>
        <v>0.2073170731707317</v>
      </c>
      <c r="J9" s="68">
        <f>IFERROR(VLOOKUP(Resumen_de_información[[#This Row],[id]],Lino[],3,FALSE),"--")</f>
        <v>5.2631578947368418E-2</v>
      </c>
      <c r="K9" s="68">
        <f>IFERROR(VLOOKUP(Resumen_de_información[[#This Row],[id]],Maiz[],3,FALSE),"--")</f>
        <v>0.40602582496413198</v>
      </c>
      <c r="L9" s="68">
        <f>IFERROR(VLOOKUP(Resumen_de_información[[#This Row],[id]],Mani[],3,FALSE),"--")</f>
        <v>0.2</v>
      </c>
      <c r="M9" s="68">
        <f>IFERROR(VLOOKUP(Resumen_de_información[[#This Row],[id]],Mijo[],3,FALSE),"--")</f>
        <v>-0.47856315179606024</v>
      </c>
      <c r="N9" s="68">
        <f>IFERROR(VLOOKUP(Resumen_de_información[[#This Row],[id]],Soja[],3,FALSE),"--")</f>
        <v>0.32450331125827814</v>
      </c>
      <c r="O9" s="68">
        <f>IFERROR(VLOOKUP(Resumen_de_información[[#This Row],[id]],Sorgogranifero[],3,FALSE),"--")</f>
        <v>0.48514851485148514</v>
      </c>
      <c r="P9" s="70">
        <f>IFERROR(VLOOKUP(Resumen_de_información[id],Trigo[],3,FALSE),"--")</f>
        <v>-0.51923076923076927</v>
      </c>
    </row>
    <row r="10" spans="1:16" ht="45.75" thickBot="1" x14ac:dyDescent="0.3">
      <c r="A10" s="56">
        <f>ROW()-ROW(Resumen_de_información[[#Headers],[id]])</f>
        <v>9</v>
      </c>
      <c r="B10" s="29" t="s">
        <v>55</v>
      </c>
      <c r="C10" s="66">
        <f>IFERROR(VLOOKUP(Resumen_de_información[[#This Row],[id]],Alpiste[],3,TRUE),"--")</f>
        <v>3.7645744169482832E-2</v>
      </c>
      <c r="D10" s="68">
        <f>IFERROR(VLOOKUP(Resumen_de_información[[#This Row],[id]],Arroz[],3,FALSE),"--")</f>
        <v>0.35591421268378387</v>
      </c>
      <c r="E10" s="68">
        <f>IFERROR(VLOOKUP(Resumen_de_información[[#This Row],[id]],Avena[],3,FALSE),"--")</f>
        <v>-0.51408492401492512</v>
      </c>
      <c r="F10" s="68">
        <f>IFERROR(VLOOKUP(Resumen_de_información[[#This Row],[id]],Cartamo[],3,FALSE),"--")</f>
        <v>-0.98002489577469676</v>
      </c>
      <c r="G10" s="64">
        <f>IFERROR(VLOOKUP(Resumen_de_información[[#This Row],[id]],Cebada[],3,FALSE),"--")</f>
        <v>0.48424909533569732</v>
      </c>
      <c r="H10" s="68">
        <f>IFERROR(VLOOKUP(Resumen_de_información[[#This Row],[id]],Centeno[],3,FALSE),"--")</f>
        <v>-0.72423118343903314</v>
      </c>
      <c r="I10" s="68">
        <f>IFERROR(VLOOKUP(Resumen_de_información[[#This Row],[id]],Girasol[],3,FALSE),"--")</f>
        <v>0.23902597542391224</v>
      </c>
      <c r="J10" s="68">
        <f>IFERROR(VLOOKUP(Resumen_de_información[[#This Row],[id]],Lino[],3,FALSE),"--")</f>
        <v>-0.11205127995078983</v>
      </c>
      <c r="K10" s="68">
        <f>IFERROR(VLOOKUP(Resumen_de_información[[#This Row],[id]],Maiz[],3,FALSE),"--")</f>
        <v>0.6521101322084365</v>
      </c>
      <c r="L10" s="68">
        <f>IFERROR(VLOOKUP(Resumen_de_información[[#This Row],[id]],Mani[],3,FALSE),"--")</f>
        <v>0.36019330903256075</v>
      </c>
      <c r="M10" s="68">
        <f>IFERROR(VLOOKUP(Resumen_de_información[[#This Row],[id]],Mijo[],3,FALSE),"--")</f>
        <v>-0.24526812122524225</v>
      </c>
      <c r="N10" s="68">
        <f>IFERROR(VLOOKUP(Resumen_de_información[[#This Row],[id]],Soja[],3,FALSE),"--")</f>
        <v>0.43487881812886159</v>
      </c>
      <c r="O10" s="68">
        <f>IFERROR(VLOOKUP(Resumen_de_información[[#This Row],[id]],Sorgogranifero[],3,FALSE),"--")</f>
        <v>0.53023518313354379</v>
      </c>
      <c r="P10" s="70">
        <f>IFERROR(VLOOKUP(Resumen_de_información[id],Trigo[],3,FALSE),"--")</f>
        <v>-0.17710862298166855</v>
      </c>
    </row>
    <row r="11" spans="1:16" ht="45.75" thickBot="1" x14ac:dyDescent="0.3">
      <c r="A11" s="56">
        <f>ROW()-ROW(Resumen_de_información[[#Headers],[id]])</f>
        <v>10</v>
      </c>
      <c r="B11" s="29" t="s">
        <v>60</v>
      </c>
      <c r="C11" s="66">
        <f>IFERROR(VLOOKUP(Resumen_de_información[[#This Row],[id]],Alpiste[],3,TRUE),"--")</f>
        <v>0.73913043478260865</v>
      </c>
      <c r="D11" s="68">
        <f>IFERROR(VLOOKUP(Resumen_de_información[[#This Row],[id]],Arroz[],3,FALSE),"--")</f>
        <v>0.52058554437328453</v>
      </c>
      <c r="E11" s="68">
        <f>IFERROR(VLOOKUP(Resumen_de_información[[#This Row],[id]],Avena[],3,FALSE),"--")</f>
        <v>0.40781401356151115</v>
      </c>
      <c r="F11" s="68">
        <f>IFERROR(VLOOKUP(Resumen_de_información[[#This Row],[id]],Cartamo[],3,FALSE),"--")</f>
        <v>0.99242644916982237</v>
      </c>
      <c r="G11" s="64">
        <f>IFERROR(VLOOKUP(Resumen_de_información[[#This Row],[id]],Cebada[],3,FALSE),"--")</f>
        <v>0.93871751149692551</v>
      </c>
      <c r="H11" s="68">
        <f>IFERROR(VLOOKUP(Resumen_de_información[[#This Row],[id]],Centeno[],3,FALSE),"--")</f>
        <v>0.81406727828746173</v>
      </c>
      <c r="I11" s="68">
        <f>IFERROR(VLOOKUP(Resumen_de_información[[#This Row],[id]],Girasol[],3,FALSE),"--")</f>
        <v>0.53100761210721892</v>
      </c>
      <c r="J11" s="68">
        <f>IFERROR(VLOOKUP(Resumen_de_información[[#This Row],[id]],Lino[],3,FALSE),"--")</f>
        <v>0.98041349292709468</v>
      </c>
      <c r="K11" s="68">
        <f>IFERROR(VLOOKUP(Resumen_de_información[[#This Row],[id]],Maiz[],3,FALSE),"--")</f>
        <v>0.64974619289340096</v>
      </c>
      <c r="L11" s="68">
        <f>IFERROR(VLOOKUP(Resumen_de_información[[#This Row],[id]],Mani[],3,FALSE),"--")</f>
        <v>0.60854092526690395</v>
      </c>
      <c r="M11" s="68">
        <f>IFERROR(VLOOKUP(Resumen_de_información[[#This Row],[id]],Mijo[],3,FALSE),"--")</f>
        <v>0.94735539235910549</v>
      </c>
      <c r="N11" s="68">
        <f>IFERROR(VLOOKUP(Resumen_de_información[[#This Row],[id]],Soja[],3,FALSE),"--")</f>
        <v>0.81881966339535506</v>
      </c>
      <c r="O11" s="68">
        <f>IFERROR(VLOOKUP(Resumen_de_información[[#This Row],[id]],Sorgogranifero[],3,FALSE),"--")</f>
        <v>0.67821782178217827</v>
      </c>
      <c r="P11" s="70">
        <f>IFERROR(VLOOKUP(Resumen_de_información[id],Trigo[],3,FALSE),"--")</f>
        <v>0.40208136234626302</v>
      </c>
    </row>
    <row r="12" spans="1:16" ht="45.75" thickBot="1" x14ac:dyDescent="0.3">
      <c r="A12" s="57">
        <f>ROW()-ROW(Resumen_de_información[[#Headers],[id]])</f>
        <v>11</v>
      </c>
      <c r="B12" s="30" t="s">
        <v>56</v>
      </c>
      <c r="C12" s="67">
        <f>IFERROR(VLOOKUP(Resumen_de_información[[#This Row],[id]],Alpiste[],3,TRUE),"--")</f>
        <v>0.75</v>
      </c>
      <c r="D12" s="69">
        <f>IFERROR(VLOOKUP(Resumen_de_información[[#This Row],[id]],Arroz[],3,FALSE),"--")</f>
        <v>0.81397885960337146</v>
      </c>
      <c r="E12" s="69">
        <f>IFERROR(VLOOKUP(Resumen_de_información[[#This Row],[id]],Avena[],3,FALSE),"--")</f>
        <v>0.62357807652533614</v>
      </c>
      <c r="F12" s="69">
        <f>IFERROR(VLOOKUP(Resumen_de_información[[#This Row],[id]],Cartamo[],3,FALSE),"--")</f>
        <v>0.8035882908404155</v>
      </c>
      <c r="G12" s="65">
        <f>IFERROR(VLOOKUP(Resumen_de_información[[#This Row],[id]],Cebada[],3,FALSE),"--")</f>
        <v>0.97732010020461635</v>
      </c>
      <c r="H12" s="69">
        <f>IFERROR(VLOOKUP(Resumen_de_información[[#This Row],[id]],Centeno[],3,FALSE),"--")</f>
        <v>0.8571428571428571</v>
      </c>
      <c r="I12" s="69">
        <f>IFERROR(VLOOKUP(Resumen_de_información[[#This Row],[id]],Girasol[],3,FALSE),"--")</f>
        <v>0.56508082248048908</v>
      </c>
      <c r="J12" s="69">
        <f>IFERROR(VLOOKUP(Resumen_de_información[[#This Row],[id]],Lino[],3,FALSE),"--")</f>
        <v>0.97297297297297303</v>
      </c>
      <c r="K12" s="69">
        <f>IFERROR(VLOOKUP(Resumen_de_información[[#This Row],[id]],Maiz[],3,FALSE),"--")</f>
        <v>0.85015290519877673</v>
      </c>
      <c r="L12" s="69">
        <f>IFERROR(VLOOKUP(Resumen_de_información[[#This Row],[id]],Mani[],3,FALSE),"--")</f>
        <v>0.78029294274300931</v>
      </c>
      <c r="M12" s="69">
        <f>IFERROR(VLOOKUP(Resumen_de_información[[#This Row],[id]],Mijo[],3,FALSE),"--")</f>
        <v>0.98111227701993708</v>
      </c>
      <c r="N12" s="69">
        <f>IFERROR(VLOOKUP(Resumen_de_información[[#This Row],[id]],Soja[],3,FALSE),"--")</f>
        <v>0.8776758409785933</v>
      </c>
      <c r="O12" s="69">
        <f>IFERROR(VLOOKUP(Resumen_de_información[[#This Row],[id]],Sorgogranifero[],3,FALSE),"--")</f>
        <v>0.6875</v>
      </c>
      <c r="P12" s="71">
        <f>IFERROR(VLOOKUP(Resumen_de_información[id],Trigo[],3,FALSE),"--")</f>
        <v>0.81624402793090778</v>
      </c>
    </row>
    <row r="13" spans="1:16" ht="72.75" customHeight="1" x14ac:dyDescent="0.25">
      <c r="A13" s="58">
        <f>ROW()-ROW(Resumen_de_información[[#Headers],[id]])</f>
        <v>12</v>
      </c>
      <c r="B13" s="29" t="s">
        <v>57</v>
      </c>
      <c r="C13" s="66">
        <f>IFERROR(VLOOKUP(Resumen_de_información[[#This Row],[id]],Alpiste[],3,TRUE),"--")</f>
        <v>7.2992700729927334E-3</v>
      </c>
      <c r="D13" s="68">
        <f>IFERROR(VLOOKUP(Resumen_de_información[[#This Row],[id]],Arroz[],3,FALSE),"--")</f>
        <v>0.21984200564307793</v>
      </c>
      <c r="E13" s="68">
        <f>IFERROR(VLOOKUP(Resumen_de_información[[#This Row],[id]],Avena[],3,FALSE),"--")</f>
        <v>0.20919693396684555</v>
      </c>
      <c r="F13" s="68">
        <f>IFERROR(VLOOKUP(Resumen_de_información[[#This Row],[id]],Cartamo[],3,FALSE),"--")</f>
        <v>-0.10514287779638735</v>
      </c>
      <c r="G13" s="64">
        <f>IFERROR(VLOOKUP(Resumen_de_información[[#This Row],[id]],Cebada[],3,FALSE),"--")</f>
        <v>2.0147093393124847E-2</v>
      </c>
      <c r="H13" s="68">
        <f>IFERROR(VLOOKUP(Resumen_de_información[[#This Row],[id]],Centeno[],3,FALSE),"--")</f>
        <v>2.5775082344330007E-2</v>
      </c>
      <c r="I13" s="68">
        <f>IFERROR(VLOOKUP(Resumen_de_información[[#This Row],[id]],Girasol[],3,FALSE),"--")</f>
        <v>3.1086187298460771E-2</v>
      </c>
      <c r="J13" s="68">
        <f>IFERROR(VLOOKUP(Resumen_de_información[[#This Row],[id]],Lino[],3,FALSE),"--")</f>
        <v>-3.8090362987609106E-3</v>
      </c>
      <c r="K13" s="68">
        <f>IFERROR(VLOOKUP(Resumen_de_información[[#This Row],[id]],Maiz[],3,FALSE),"--")</f>
        <v>0.13361346277245351</v>
      </c>
      <c r="L13" s="68">
        <f>IFERROR(VLOOKUP(Resumen_de_información[[#This Row],[id]],Mani[],3,FALSE),"--")</f>
        <v>0.12366635162937964</v>
      </c>
      <c r="M13" s="68">
        <f>IFERROR(VLOOKUP(Resumen_de_información[[#This Row],[id]],Mijo[],3,FALSE),"--")</f>
        <v>1.7504511585460573E-2</v>
      </c>
      <c r="N13" s="68">
        <f>IFERROR(VLOOKUP(Resumen_de_información[[#This Row],[id]],Soja[],3,FALSE),"--")</f>
        <v>3.4692799026872591E-2</v>
      </c>
      <c r="O13" s="68">
        <f>IFERROR(VLOOKUP(Resumen_de_información[[#This Row],[id]],Sorgogranifero[],3,FALSE),"--")</f>
        <v>6.7965564114181795E-3</v>
      </c>
      <c r="P13" s="70">
        <f>IFERROR(VLOOKUP(Resumen_de_información[id],Trigo[],3,FALSE),"--")</f>
        <v>0.33994421267903002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D13" sqref="D13"/>
    </sheetView>
  </sheetViews>
  <sheetFormatPr baseColWidth="10" defaultRowHeight="15" x14ac:dyDescent="0.25"/>
  <cols>
    <col min="1" max="1" width="15.28515625" customWidth="1"/>
    <col min="2" max="2" width="67.5703125" bestFit="1" customWidth="1"/>
    <col min="3" max="3" width="14.5703125" customWidth="1"/>
    <col min="4" max="4" width="17" customWidth="1"/>
    <col min="5" max="5" width="16.140625" customWidth="1"/>
    <col min="6" max="6" width="17.140625" customWidth="1"/>
    <col min="7" max="7" width="15.7109375" customWidth="1"/>
    <col min="8" max="8" width="13.140625" customWidth="1"/>
    <col min="9" max="9" width="14.140625" customWidth="1"/>
    <col min="10" max="10" width="14" customWidth="1"/>
    <col min="11" max="11" width="13.5703125" customWidth="1"/>
    <col min="12" max="12" width="13.140625" customWidth="1"/>
    <col min="13" max="13" width="22.85546875" customWidth="1"/>
    <col min="14" max="15" width="13.85546875" customWidth="1"/>
    <col min="16" max="36" width="96.5703125" bestFit="1" customWidth="1"/>
    <col min="37" max="37" width="20.28515625" bestFit="1" customWidth="1"/>
    <col min="38" max="38" width="19.140625" bestFit="1" customWidth="1"/>
    <col min="39" max="39" width="19.5703125" bestFit="1" customWidth="1"/>
  </cols>
  <sheetData>
    <row r="1" spans="1:15" x14ac:dyDescent="0.25">
      <c r="A1" s="61" t="s">
        <v>46</v>
      </c>
      <c r="B1" t="s">
        <v>55</v>
      </c>
    </row>
    <row r="3" spans="1:15" x14ac:dyDescent="0.25">
      <c r="A3" t="s">
        <v>64</v>
      </c>
      <c r="B3" t="s">
        <v>63</v>
      </c>
      <c r="C3" t="s">
        <v>62</v>
      </c>
      <c r="D3" t="s">
        <v>65</v>
      </c>
      <c r="E3" t="s">
        <v>66</v>
      </c>
      <c r="F3" t="s">
        <v>67</v>
      </c>
      <c r="G3" t="s">
        <v>68</v>
      </c>
      <c r="H3" t="s">
        <v>69</v>
      </c>
      <c r="I3" t="s">
        <v>70</v>
      </c>
      <c r="J3" t="s">
        <v>71</v>
      </c>
      <c r="K3" t="s">
        <v>72</v>
      </c>
      <c r="L3" t="s">
        <v>73</v>
      </c>
      <c r="M3" t="s">
        <v>74</v>
      </c>
      <c r="N3" t="s">
        <v>75</v>
      </c>
    </row>
    <row r="4" spans="1:15" s="62" customFormat="1" x14ac:dyDescent="0.25">
      <c r="A4" s="10">
        <v>3.7645744169482832E-2</v>
      </c>
      <c r="B4" s="10">
        <v>0.35591421268378387</v>
      </c>
      <c r="C4" s="10">
        <v>-0.51408492401492512</v>
      </c>
      <c r="D4" s="10">
        <v>-0.98002489577469676</v>
      </c>
      <c r="E4" s="10">
        <v>0.48424909533569732</v>
      </c>
      <c r="F4" s="10">
        <v>-0.72423118343903314</v>
      </c>
      <c r="G4" s="10">
        <v>0.23902597542391224</v>
      </c>
      <c r="H4" s="10">
        <v>-0.11205127995078983</v>
      </c>
      <c r="I4" s="10">
        <v>0.6521101322084365</v>
      </c>
      <c r="J4" s="10">
        <v>0.36019330903256075</v>
      </c>
      <c r="K4" s="10">
        <v>-0.24526812122524225</v>
      </c>
      <c r="L4" s="10">
        <v>0.43487881812886159</v>
      </c>
      <c r="M4" s="10">
        <v>0.53023518313354379</v>
      </c>
      <c r="N4" s="10">
        <v>-0.17710862298166855</v>
      </c>
      <c r="O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E9" sqref="E9"/>
    </sheetView>
  </sheetViews>
  <sheetFormatPr baseColWidth="10" defaultRowHeight="15" x14ac:dyDescent="0.25"/>
  <cols>
    <col min="1" max="2" width="14.140625" bestFit="1" customWidth="1"/>
    <col min="3" max="3" width="23.140625" bestFit="1" customWidth="1"/>
    <col min="4" max="4" width="25.85546875" bestFit="1" customWidth="1"/>
    <col min="5" max="5" width="25" bestFit="1" customWidth="1"/>
    <col min="6" max="6" width="26" bestFit="1" customWidth="1"/>
    <col min="7" max="7" width="24.7109375" bestFit="1" customWidth="1"/>
    <col min="8" max="8" width="22.140625" bestFit="1" customWidth="1"/>
    <col min="9" max="9" width="22.7109375" bestFit="1" customWidth="1"/>
    <col min="10" max="10" width="23" bestFit="1" customWidth="1"/>
    <col min="11" max="11" width="22.5703125" bestFit="1" customWidth="1"/>
    <col min="12" max="12" width="22.140625" bestFit="1" customWidth="1"/>
    <col min="13" max="13" width="31.85546875" bestFit="1" customWidth="1"/>
    <col min="14" max="14" width="22.85546875" bestFit="1" customWidth="1"/>
  </cols>
  <sheetData>
    <row r="1" spans="1:2" x14ac:dyDescent="0.25">
      <c r="A1" s="61" t="s">
        <v>77</v>
      </c>
      <c r="B1" t="s" vm="1">
        <v>95</v>
      </c>
    </row>
    <row r="2" spans="1:2" x14ac:dyDescent="0.25">
      <c r="A2" t="s">
        <v>92</v>
      </c>
      <c r="B2" t="s">
        <v>94</v>
      </c>
    </row>
    <row r="3" spans="1:2" x14ac:dyDescent="0.25">
      <c r="A3" s="61" t="s">
        <v>76</v>
      </c>
    </row>
    <row r="4" spans="1:2" x14ac:dyDescent="0.25">
      <c r="A4" s="63" t="s">
        <v>78</v>
      </c>
      <c r="B4" s="10">
        <v>15000</v>
      </c>
    </row>
    <row r="5" spans="1:2" x14ac:dyDescent="0.25">
      <c r="A5" s="63" t="s">
        <v>79</v>
      </c>
      <c r="B5" s="10">
        <v>185000</v>
      </c>
    </row>
    <row r="6" spans="1:2" x14ac:dyDescent="0.25">
      <c r="A6" s="63" t="s">
        <v>2</v>
      </c>
      <c r="B6" s="10">
        <v>1485000</v>
      </c>
    </row>
    <row r="7" spans="1:2" x14ac:dyDescent="0.25">
      <c r="A7" s="63" t="s">
        <v>80</v>
      </c>
      <c r="B7" s="10">
        <v>27000</v>
      </c>
    </row>
    <row r="8" spans="1:2" x14ac:dyDescent="0.25">
      <c r="A8" s="63" t="s">
        <v>36</v>
      </c>
      <c r="B8" s="10">
        <v>1277000</v>
      </c>
    </row>
    <row r="9" spans="1:2" x14ac:dyDescent="0.25">
      <c r="A9" s="63" t="s">
        <v>81</v>
      </c>
      <c r="B9" s="10">
        <v>726000</v>
      </c>
    </row>
    <row r="10" spans="1:2" x14ac:dyDescent="0.25">
      <c r="A10" s="63" t="s">
        <v>82</v>
      </c>
      <c r="B10" s="10">
        <v>1400000</v>
      </c>
    </row>
    <row r="11" spans="1:2" x14ac:dyDescent="0.25">
      <c r="A11" s="63" t="s">
        <v>83</v>
      </c>
      <c r="B11" s="10">
        <v>9000</v>
      </c>
    </row>
    <row r="12" spans="1:2" x14ac:dyDescent="0.25">
      <c r="A12" s="63" t="s">
        <v>84</v>
      </c>
      <c r="B12" s="10">
        <v>9500000</v>
      </c>
    </row>
    <row r="13" spans="1:2" x14ac:dyDescent="0.25">
      <c r="A13" s="63" t="s">
        <v>85</v>
      </c>
      <c r="B13" s="10">
        <v>370000</v>
      </c>
    </row>
    <row r="14" spans="1:2" x14ac:dyDescent="0.25">
      <c r="A14" s="63" t="s">
        <v>86</v>
      </c>
      <c r="B14" s="10">
        <v>11000</v>
      </c>
    </row>
    <row r="15" spans="1:2" x14ac:dyDescent="0.25">
      <c r="A15" s="63" t="s">
        <v>87</v>
      </c>
      <c r="B15" s="10">
        <v>16900000</v>
      </c>
    </row>
    <row r="16" spans="1:2" x14ac:dyDescent="0.25">
      <c r="A16" s="63" t="s">
        <v>88</v>
      </c>
      <c r="B16" s="10">
        <v>520000</v>
      </c>
    </row>
    <row r="17" spans="1:2" x14ac:dyDescent="0.25">
      <c r="A17" s="63" t="s">
        <v>89</v>
      </c>
      <c r="B17" s="10">
        <v>6950000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4"/>
  <sheetViews>
    <sheetView workbookViewId="0">
      <pane ySplit="1" topLeftCell="A2" activePane="bottomLeft" state="frozen"/>
      <selection activeCell="D20" sqref="D20"/>
      <selection pane="bottomLeft" activeCell="B45" sqref="B45"/>
    </sheetView>
  </sheetViews>
  <sheetFormatPr baseColWidth="10" defaultRowHeight="15" x14ac:dyDescent="0.25"/>
  <cols>
    <col min="1" max="1" width="23.28515625" style="4" customWidth="1"/>
    <col min="2" max="2" width="13" style="16" customWidth="1"/>
    <col min="3" max="3" width="19.5703125" style="3" customWidth="1"/>
    <col min="4" max="4" width="20.7109375" style="3" customWidth="1"/>
    <col min="5" max="5" width="17.28515625" style="3" customWidth="1"/>
    <col min="6" max="6" width="20.7109375" style="3" customWidth="1"/>
    <col min="7" max="8" width="18" style="3" customWidth="1"/>
    <col min="9" max="9" width="19.85546875" style="3" customWidth="1"/>
    <col min="10" max="10" width="23.5703125" style="3" customWidth="1"/>
    <col min="11" max="12" width="28.5703125" style="3" customWidth="1"/>
    <col min="13" max="14" width="27.7109375" style="3" customWidth="1"/>
    <col min="15" max="16" width="20" style="3" customWidth="1"/>
    <col min="17" max="18" width="18.5703125" style="3" customWidth="1"/>
    <col min="19" max="20" width="19.5703125" style="5" customWidth="1"/>
    <col min="21" max="21" width="18.5703125" style="3" customWidth="1"/>
    <col min="22" max="22" width="22.5703125" style="3" customWidth="1"/>
    <col min="23" max="23" width="17" style="3" customWidth="1"/>
    <col min="24" max="24" width="23.85546875" style="3" customWidth="1"/>
    <col min="25" max="25" width="22.5703125" style="3" customWidth="1"/>
    <col min="26" max="26" width="18.7109375" style="3" customWidth="1"/>
    <col min="27" max="27" width="32" style="3" customWidth="1"/>
    <col min="28" max="28" width="29.42578125" style="3" customWidth="1"/>
    <col min="29" max="29" width="26.7109375" style="3" customWidth="1"/>
    <col min="30" max="30" width="17" style="3" customWidth="1"/>
    <col min="31" max="16384" width="11.42578125" style="2"/>
  </cols>
  <sheetData>
    <row r="1" spans="1:30" x14ac:dyDescent="0.25">
      <c r="A1" s="13" t="s">
        <v>0</v>
      </c>
      <c r="B1" s="10" t="s">
        <v>61</v>
      </c>
      <c r="C1" s="1" t="s">
        <v>4</v>
      </c>
      <c r="D1" s="1" t="s">
        <v>5</v>
      </c>
      <c r="E1" s="1" t="s">
        <v>7</v>
      </c>
      <c r="F1" s="1" t="s">
        <v>6</v>
      </c>
      <c r="G1" s="1" t="s">
        <v>9</v>
      </c>
      <c r="H1" s="1" t="s">
        <v>8</v>
      </c>
      <c r="I1" s="1" t="s">
        <v>11</v>
      </c>
      <c r="J1" s="1" t="s">
        <v>10</v>
      </c>
      <c r="K1" s="1" t="s">
        <v>12</v>
      </c>
      <c r="L1" s="1" t="s">
        <v>13</v>
      </c>
      <c r="M1" s="1" t="s">
        <v>15</v>
      </c>
      <c r="N1" s="1" t="s">
        <v>14</v>
      </c>
      <c r="O1" s="1" t="s">
        <v>17</v>
      </c>
      <c r="P1" s="1" t="s">
        <v>16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23</v>
      </c>
      <c r="V1" s="1" t="s">
        <v>22</v>
      </c>
      <c r="W1" s="1" t="s">
        <v>25</v>
      </c>
      <c r="X1" s="1" t="s">
        <v>24</v>
      </c>
      <c r="Y1" s="1" t="s">
        <v>26</v>
      </c>
      <c r="Z1" s="1" t="s">
        <v>27</v>
      </c>
      <c r="AA1" s="1" t="s">
        <v>31</v>
      </c>
      <c r="AB1" s="1" t="s">
        <v>30</v>
      </c>
      <c r="AC1" s="1" t="s">
        <v>29</v>
      </c>
      <c r="AD1" s="2" t="s">
        <v>28</v>
      </c>
    </row>
    <row r="2" spans="1:30" x14ac:dyDescent="0.25">
      <c r="A2" s="41">
        <v>29587</v>
      </c>
      <c r="B2" s="42">
        <f>YEAR(Granos[[#This Row],[Tiempo]])</f>
        <v>1981</v>
      </c>
      <c r="C2" s="20">
        <v>51100</v>
      </c>
      <c r="D2" s="20">
        <v>32300</v>
      </c>
      <c r="E2" s="20">
        <v>117300</v>
      </c>
      <c r="F2" s="20">
        <v>437200</v>
      </c>
      <c r="G2" s="20">
        <v>1615000</v>
      </c>
      <c r="H2" s="20">
        <v>339000</v>
      </c>
      <c r="I2" s="20">
        <v>650</v>
      </c>
      <c r="J2" s="20">
        <v>630</v>
      </c>
      <c r="K2" s="20">
        <v>140000</v>
      </c>
      <c r="L2" s="20">
        <v>115800</v>
      </c>
      <c r="M2" s="20">
        <v>1338400</v>
      </c>
      <c r="N2" s="20">
        <v>149000</v>
      </c>
      <c r="O2" s="20">
        <v>1733000</v>
      </c>
      <c r="P2" s="20">
        <v>1980000</v>
      </c>
      <c r="Q2" s="20">
        <v>851000</v>
      </c>
      <c r="R2" s="20">
        <v>600000</v>
      </c>
      <c r="S2" s="20">
        <v>3695000</v>
      </c>
      <c r="T2" s="20">
        <v>9600000</v>
      </c>
      <c r="U2" s="20">
        <v>180000</v>
      </c>
      <c r="V2" s="20">
        <v>205000</v>
      </c>
      <c r="W2" s="20">
        <v>236000</v>
      </c>
      <c r="X2" s="20">
        <v>154000</v>
      </c>
      <c r="Y2" s="20">
        <v>2040000</v>
      </c>
      <c r="Z2" s="20">
        <v>4150000</v>
      </c>
      <c r="AA2" s="20">
        <v>2712000</v>
      </c>
      <c r="AB2" s="20">
        <v>8000000</v>
      </c>
      <c r="AC2" s="20">
        <v>6566000</v>
      </c>
      <c r="AD2" s="20">
        <v>8300000</v>
      </c>
    </row>
    <row r="3" spans="1:30" x14ac:dyDescent="0.25">
      <c r="A3" s="41">
        <v>29952</v>
      </c>
      <c r="B3" s="42">
        <f>YEAR(Granos[[#This Row],[Tiempo]])</f>
        <v>1982</v>
      </c>
      <c r="C3" s="20">
        <v>57300</v>
      </c>
      <c r="D3" s="20">
        <v>63000</v>
      </c>
      <c r="E3" s="20">
        <v>108800</v>
      </c>
      <c r="F3" s="20">
        <v>337100</v>
      </c>
      <c r="G3" s="20">
        <v>1856000</v>
      </c>
      <c r="H3" s="20">
        <v>637000</v>
      </c>
      <c r="I3" s="20">
        <v>3720</v>
      </c>
      <c r="J3" s="20">
        <v>186</v>
      </c>
      <c r="K3" s="20">
        <v>103000</v>
      </c>
      <c r="L3" s="20">
        <v>180000</v>
      </c>
      <c r="M3" s="20">
        <v>1483000</v>
      </c>
      <c r="N3" s="20">
        <v>148000</v>
      </c>
      <c r="O3" s="20">
        <v>1930000</v>
      </c>
      <c r="P3" s="20">
        <v>2400000</v>
      </c>
      <c r="Q3" s="20">
        <v>910000</v>
      </c>
      <c r="R3" s="20">
        <v>730000</v>
      </c>
      <c r="S3" s="20">
        <v>3440000</v>
      </c>
      <c r="T3" s="20">
        <v>9000000</v>
      </c>
      <c r="U3" s="20">
        <v>125100</v>
      </c>
      <c r="V3" s="20">
        <v>165000</v>
      </c>
      <c r="W3" s="20">
        <v>224000</v>
      </c>
      <c r="X3" s="20">
        <v>178600</v>
      </c>
      <c r="Y3" s="20">
        <v>2362000</v>
      </c>
      <c r="Z3" s="20">
        <v>4000000</v>
      </c>
      <c r="AA3" s="20">
        <v>2657000</v>
      </c>
      <c r="AB3" s="20">
        <v>8100000</v>
      </c>
      <c r="AC3" s="20">
        <v>7410000</v>
      </c>
      <c r="AD3" s="20">
        <v>1500000</v>
      </c>
    </row>
    <row r="4" spans="1:30" x14ac:dyDescent="0.25">
      <c r="A4" s="41">
        <v>30317</v>
      </c>
      <c r="B4" s="42">
        <f>YEAR(Granos[[#This Row],[Tiempo]])</f>
        <v>1983</v>
      </c>
      <c r="C4" s="20">
        <v>60000</v>
      </c>
      <c r="D4" s="20">
        <v>50000</v>
      </c>
      <c r="E4" s="20">
        <v>130685</v>
      </c>
      <c r="F4" s="20">
        <v>480400</v>
      </c>
      <c r="G4" s="20">
        <v>1800000</v>
      </c>
      <c r="H4" s="20">
        <v>593000</v>
      </c>
      <c r="I4" s="20">
        <v>9400</v>
      </c>
      <c r="J4" s="20">
        <v>460</v>
      </c>
      <c r="K4" s="20">
        <v>790000</v>
      </c>
      <c r="L4" s="20">
        <v>140000</v>
      </c>
      <c r="M4" s="20">
        <v>1222500</v>
      </c>
      <c r="N4" s="20">
        <v>130000</v>
      </c>
      <c r="O4" s="20">
        <v>2131000</v>
      </c>
      <c r="P4" s="20">
        <v>2200000</v>
      </c>
      <c r="Q4" s="20">
        <v>810000</v>
      </c>
      <c r="R4" s="20">
        <v>660000</v>
      </c>
      <c r="S4" s="20">
        <v>3484000</v>
      </c>
      <c r="T4" s="20">
        <v>9500000</v>
      </c>
      <c r="U4" s="20">
        <v>145700</v>
      </c>
      <c r="V4" s="20">
        <v>235000</v>
      </c>
      <c r="W4" s="20">
        <v>207300</v>
      </c>
      <c r="X4" s="20">
        <v>136000</v>
      </c>
      <c r="Y4" s="20">
        <v>2920000</v>
      </c>
      <c r="Z4" s="20">
        <v>7000000</v>
      </c>
      <c r="AA4" s="20">
        <v>2550000</v>
      </c>
      <c r="AB4" s="20">
        <v>6900000</v>
      </c>
      <c r="AC4" s="20">
        <v>7200000</v>
      </c>
      <c r="AD4" s="20">
        <v>1300000</v>
      </c>
    </row>
    <row r="5" spans="1:30" x14ac:dyDescent="0.25">
      <c r="A5" s="41">
        <v>30682</v>
      </c>
      <c r="B5" s="42">
        <f>YEAR(Granos[[#This Row],[Tiempo]])</f>
        <v>1984</v>
      </c>
      <c r="C5" s="20">
        <v>56900</v>
      </c>
      <c r="D5" s="20">
        <v>53000</v>
      </c>
      <c r="E5" s="20">
        <v>110800</v>
      </c>
      <c r="F5" s="20">
        <v>400000</v>
      </c>
      <c r="G5" s="20">
        <v>1774000</v>
      </c>
      <c r="H5" s="20">
        <v>717000</v>
      </c>
      <c r="I5" s="20">
        <v>13125</v>
      </c>
      <c r="J5" s="20">
        <v>577</v>
      </c>
      <c r="K5" s="20">
        <v>89000</v>
      </c>
      <c r="L5" s="20">
        <v>200000</v>
      </c>
      <c r="M5" s="20">
        <v>1070300</v>
      </c>
      <c r="N5" s="20">
        <v>155800</v>
      </c>
      <c r="O5" s="20">
        <v>2380000</v>
      </c>
      <c r="P5" s="20">
        <v>3400000</v>
      </c>
      <c r="Q5" s="20">
        <v>620000</v>
      </c>
      <c r="R5" s="20">
        <v>500000</v>
      </c>
      <c r="S5" s="20">
        <v>3620000</v>
      </c>
      <c r="T5" s="20">
        <v>11900000</v>
      </c>
      <c r="U5" s="20">
        <v>146000</v>
      </c>
      <c r="V5" s="20">
        <v>240000</v>
      </c>
      <c r="W5" s="20">
        <v>228000</v>
      </c>
      <c r="X5" s="20">
        <v>158000</v>
      </c>
      <c r="Y5" s="20">
        <v>3300000</v>
      </c>
      <c r="Z5" s="20">
        <v>6500000</v>
      </c>
      <c r="AA5" s="20">
        <v>2040000</v>
      </c>
      <c r="AB5" s="20">
        <v>6200000</v>
      </c>
      <c r="AC5" s="20">
        <v>6000000</v>
      </c>
      <c r="AD5" s="20">
        <v>1360000</v>
      </c>
    </row>
    <row r="6" spans="1:30" x14ac:dyDescent="0.25">
      <c r="A6" s="41">
        <v>31048</v>
      </c>
      <c r="B6" s="42">
        <f>YEAR(Granos[[#This Row],[Tiempo]])</f>
        <v>1985</v>
      </c>
      <c r="C6" s="20">
        <v>25800</v>
      </c>
      <c r="D6" s="20">
        <v>23500</v>
      </c>
      <c r="E6" s="20">
        <v>117000</v>
      </c>
      <c r="F6" s="20">
        <v>438600</v>
      </c>
      <c r="G6" s="20">
        <v>1739000</v>
      </c>
      <c r="H6" s="20">
        <v>400000</v>
      </c>
      <c r="I6" s="20">
        <v>14000</v>
      </c>
      <c r="J6" s="20">
        <v>104</v>
      </c>
      <c r="K6" s="20">
        <v>60000</v>
      </c>
      <c r="L6" s="20">
        <v>100000</v>
      </c>
      <c r="M6" s="20">
        <v>830000</v>
      </c>
      <c r="N6" s="20">
        <v>94000</v>
      </c>
      <c r="O6" s="20">
        <v>3140000</v>
      </c>
      <c r="P6" s="20">
        <v>4100000</v>
      </c>
      <c r="Q6" s="20">
        <v>750000</v>
      </c>
      <c r="R6" s="20">
        <v>460000</v>
      </c>
      <c r="S6" s="20">
        <v>3820000</v>
      </c>
      <c r="T6" s="20">
        <v>12100000</v>
      </c>
      <c r="U6" s="20">
        <v>176000</v>
      </c>
      <c r="V6" s="20">
        <v>259000</v>
      </c>
      <c r="W6" s="20">
        <v>176000</v>
      </c>
      <c r="X6" s="20">
        <v>107000</v>
      </c>
      <c r="Y6" s="20">
        <v>3340000</v>
      </c>
      <c r="Z6" s="20">
        <v>7100000</v>
      </c>
      <c r="AA6" s="20">
        <v>1400000</v>
      </c>
      <c r="AB6" s="20">
        <v>4000000</v>
      </c>
      <c r="AC6" s="20">
        <v>5700000</v>
      </c>
      <c r="AD6" s="20">
        <v>8700000</v>
      </c>
    </row>
    <row r="7" spans="1:30" x14ac:dyDescent="0.25">
      <c r="A7" s="41">
        <v>31413</v>
      </c>
      <c r="B7" s="42">
        <f>YEAR(Granos[[#This Row],[Tiempo]])</f>
        <v>1986</v>
      </c>
      <c r="C7" s="20">
        <v>59000</v>
      </c>
      <c r="D7" s="20">
        <v>57500</v>
      </c>
      <c r="E7" s="20">
        <v>98700</v>
      </c>
      <c r="F7" s="20">
        <v>371000</v>
      </c>
      <c r="G7" s="20">
        <v>1530000</v>
      </c>
      <c r="H7" s="20">
        <v>495000</v>
      </c>
      <c r="I7" s="20">
        <v>7300</v>
      </c>
      <c r="J7" s="20">
        <v>315</v>
      </c>
      <c r="K7" s="20">
        <v>59300</v>
      </c>
      <c r="L7" s="20">
        <v>114900</v>
      </c>
      <c r="M7" s="20">
        <v>775500</v>
      </c>
      <c r="N7" s="20">
        <v>60000</v>
      </c>
      <c r="O7" s="20">
        <v>1890500</v>
      </c>
      <c r="P7" s="20">
        <v>2200000</v>
      </c>
      <c r="Q7" s="20">
        <v>758000</v>
      </c>
      <c r="R7" s="20">
        <v>622000</v>
      </c>
      <c r="S7" s="20">
        <v>3650000</v>
      </c>
      <c r="T7" s="20">
        <v>9250000</v>
      </c>
      <c r="U7" s="20">
        <v>240400</v>
      </c>
      <c r="V7" s="20">
        <v>350000</v>
      </c>
      <c r="W7" s="20">
        <v>136200</v>
      </c>
      <c r="X7" s="20">
        <v>76900</v>
      </c>
      <c r="Y7" s="20">
        <v>3700000</v>
      </c>
      <c r="Z7" s="20">
        <v>6700000</v>
      </c>
      <c r="AA7" s="20">
        <v>1127000</v>
      </c>
      <c r="AB7" s="20">
        <v>2996800</v>
      </c>
      <c r="AC7" s="20">
        <v>5000000</v>
      </c>
      <c r="AD7" s="20">
        <v>8700000</v>
      </c>
    </row>
    <row r="8" spans="1:30" x14ac:dyDescent="0.25">
      <c r="A8" s="41">
        <v>31778</v>
      </c>
      <c r="B8" s="42">
        <f>YEAR(Granos[[#This Row],[Tiempo]])</f>
        <v>1987</v>
      </c>
      <c r="C8" s="20">
        <v>46500</v>
      </c>
      <c r="D8" s="20">
        <v>48000</v>
      </c>
      <c r="E8" s="20">
        <v>91700</v>
      </c>
      <c r="F8" s="20">
        <v>383400</v>
      </c>
      <c r="G8" s="20">
        <v>1960000</v>
      </c>
      <c r="H8" s="20">
        <v>718000</v>
      </c>
      <c r="I8" s="20">
        <v>16400</v>
      </c>
      <c r="J8" s="20">
        <v>680</v>
      </c>
      <c r="K8" s="20">
        <v>123700</v>
      </c>
      <c r="L8" s="20">
        <v>262000</v>
      </c>
      <c r="M8" s="20">
        <v>581200</v>
      </c>
      <c r="N8" s="20">
        <v>88300</v>
      </c>
      <c r="O8" s="20">
        <v>2117000</v>
      </c>
      <c r="P8" s="20">
        <v>2915000</v>
      </c>
      <c r="Q8" s="20">
        <v>670700</v>
      </c>
      <c r="R8" s="20">
        <v>535000</v>
      </c>
      <c r="S8" s="20">
        <v>2825000</v>
      </c>
      <c r="T8" s="20">
        <v>9200000</v>
      </c>
      <c r="U8" s="20">
        <v>193400</v>
      </c>
      <c r="V8" s="20">
        <v>274100</v>
      </c>
      <c r="W8" s="20">
        <v>106300</v>
      </c>
      <c r="X8" s="20">
        <v>80000</v>
      </c>
      <c r="Y8" s="20">
        <v>4413000</v>
      </c>
      <c r="Z8" s="20">
        <v>9900000</v>
      </c>
      <c r="AA8" s="20">
        <v>1075000</v>
      </c>
      <c r="AB8" s="20">
        <v>3200000</v>
      </c>
      <c r="AC8" s="20">
        <v>4850000</v>
      </c>
      <c r="AD8" s="20">
        <v>9000000</v>
      </c>
    </row>
    <row r="9" spans="1:30" x14ac:dyDescent="0.25">
      <c r="A9" s="41">
        <v>32143</v>
      </c>
      <c r="B9" s="42">
        <f>YEAR(Granos[[#This Row],[Tiempo]])</f>
        <v>1988</v>
      </c>
      <c r="C9" s="20">
        <v>59100</v>
      </c>
      <c r="D9" s="20">
        <v>59500</v>
      </c>
      <c r="E9" s="20">
        <v>115500</v>
      </c>
      <c r="F9" s="20">
        <v>490000</v>
      </c>
      <c r="G9" s="20">
        <v>1830000</v>
      </c>
      <c r="H9" s="20">
        <v>450000</v>
      </c>
      <c r="I9" s="20">
        <v>22000</v>
      </c>
      <c r="J9" s="20">
        <v>179</v>
      </c>
      <c r="K9" s="20">
        <v>150000</v>
      </c>
      <c r="L9" s="20">
        <v>322500</v>
      </c>
      <c r="M9" s="20">
        <v>460000</v>
      </c>
      <c r="N9" s="20">
        <v>41200</v>
      </c>
      <c r="O9" s="20">
        <v>2313000</v>
      </c>
      <c r="P9" s="20">
        <v>3200000</v>
      </c>
      <c r="Q9" s="20">
        <v>574000</v>
      </c>
      <c r="R9" s="20">
        <v>416000</v>
      </c>
      <c r="S9" s="20">
        <v>2685000</v>
      </c>
      <c r="T9" s="20">
        <v>4900000</v>
      </c>
      <c r="U9" s="20">
        <v>153200</v>
      </c>
      <c r="V9" s="20">
        <v>190200</v>
      </c>
      <c r="W9" s="20">
        <v>87200</v>
      </c>
      <c r="X9" s="20">
        <v>30000</v>
      </c>
      <c r="Y9" s="20">
        <v>4670000</v>
      </c>
      <c r="Z9" s="20">
        <v>6500000</v>
      </c>
      <c r="AA9" s="20">
        <v>830000</v>
      </c>
      <c r="AB9" s="20">
        <v>1500000</v>
      </c>
      <c r="AC9" s="20">
        <v>4750000</v>
      </c>
      <c r="AD9" s="20">
        <v>8540000</v>
      </c>
    </row>
    <row r="10" spans="1:30" x14ac:dyDescent="0.25">
      <c r="A10" s="41">
        <v>32509</v>
      </c>
      <c r="B10" s="42">
        <f>YEAR(Granos[[#This Row],[Tiempo]])</f>
        <v>1989</v>
      </c>
      <c r="C10" s="20">
        <v>58200</v>
      </c>
      <c r="D10" s="20">
        <v>56900</v>
      </c>
      <c r="E10" s="20">
        <v>132180</v>
      </c>
      <c r="F10" s="20">
        <v>428100</v>
      </c>
      <c r="G10" s="20">
        <v>2100000</v>
      </c>
      <c r="H10" s="20">
        <v>667000</v>
      </c>
      <c r="I10" s="20">
        <v>26000</v>
      </c>
      <c r="J10" s="20">
        <v>158</v>
      </c>
      <c r="K10" s="20">
        <v>179400</v>
      </c>
      <c r="L10" s="20">
        <v>361100</v>
      </c>
      <c r="M10" s="20">
        <v>595000</v>
      </c>
      <c r="N10" s="20">
        <v>62500</v>
      </c>
      <c r="O10" s="20">
        <v>2800000</v>
      </c>
      <c r="P10" s="20">
        <v>3900000</v>
      </c>
      <c r="Q10" s="20">
        <v>595700</v>
      </c>
      <c r="R10" s="20">
        <v>486800</v>
      </c>
      <c r="S10" s="20">
        <v>2070000</v>
      </c>
      <c r="T10" s="20">
        <v>5400000</v>
      </c>
      <c r="U10" s="20">
        <v>170400</v>
      </c>
      <c r="V10" s="20">
        <v>234700</v>
      </c>
      <c r="W10" s="20">
        <v>105300</v>
      </c>
      <c r="X10" s="20">
        <v>65300</v>
      </c>
      <c r="Y10" s="20">
        <v>5100000</v>
      </c>
      <c r="Z10" s="20">
        <v>10700000</v>
      </c>
      <c r="AA10" s="20">
        <v>800000</v>
      </c>
      <c r="AB10" s="20">
        <v>2050000</v>
      </c>
      <c r="AC10" s="20">
        <v>5500000</v>
      </c>
      <c r="AD10" s="20">
        <v>1000000</v>
      </c>
    </row>
    <row r="11" spans="1:30" x14ac:dyDescent="0.25">
      <c r="A11" s="41">
        <v>32874</v>
      </c>
      <c r="B11" s="42">
        <f>YEAR(Granos[[#This Row],[Tiempo]])</f>
        <v>1990</v>
      </c>
      <c r="C11" s="20">
        <v>40200</v>
      </c>
      <c r="D11" s="20">
        <v>42200</v>
      </c>
      <c r="E11" s="20">
        <v>98000</v>
      </c>
      <c r="F11" s="20">
        <v>347600</v>
      </c>
      <c r="G11" s="20">
        <v>1815000</v>
      </c>
      <c r="H11" s="20">
        <v>695000</v>
      </c>
      <c r="I11" s="20">
        <v>22000</v>
      </c>
      <c r="J11" s="20">
        <v>165</v>
      </c>
      <c r="K11" s="20">
        <v>147300</v>
      </c>
      <c r="L11" s="20">
        <v>323400</v>
      </c>
      <c r="M11" s="20">
        <v>507000</v>
      </c>
      <c r="N11" s="20">
        <v>55100</v>
      </c>
      <c r="O11" s="20">
        <v>2372350</v>
      </c>
      <c r="P11" s="20">
        <v>4033400</v>
      </c>
      <c r="Q11" s="20">
        <v>589500</v>
      </c>
      <c r="R11" s="20">
        <v>456800</v>
      </c>
      <c r="S11" s="20">
        <v>2160100</v>
      </c>
      <c r="T11" s="20">
        <v>7684800</v>
      </c>
      <c r="U11" s="20">
        <v>198000</v>
      </c>
      <c r="V11" s="20">
        <v>310600</v>
      </c>
      <c r="W11" s="20">
        <v>148000</v>
      </c>
      <c r="X11" s="20">
        <v>136000</v>
      </c>
      <c r="Y11" s="20">
        <v>4966600</v>
      </c>
      <c r="Z11" s="20">
        <v>10862000</v>
      </c>
      <c r="AA11" s="20">
        <v>751900</v>
      </c>
      <c r="AB11" s="20">
        <v>2252400</v>
      </c>
      <c r="AC11" s="20">
        <v>6178400</v>
      </c>
      <c r="AD11" s="20">
        <v>1099240</v>
      </c>
    </row>
    <row r="12" spans="1:30" x14ac:dyDescent="0.25">
      <c r="A12" s="41">
        <v>33239</v>
      </c>
      <c r="B12" s="42">
        <f>YEAR(Granos[[#This Row],[Tiempo]])</f>
        <v>1991</v>
      </c>
      <c r="C12" s="20">
        <v>35100</v>
      </c>
      <c r="D12" s="20">
        <v>32120</v>
      </c>
      <c r="E12" s="20">
        <v>139150</v>
      </c>
      <c r="F12" s="20">
        <v>700700</v>
      </c>
      <c r="G12" s="20">
        <v>2180000</v>
      </c>
      <c r="H12" s="20">
        <v>610000</v>
      </c>
      <c r="I12" s="20">
        <v>21500</v>
      </c>
      <c r="J12" s="20">
        <v>175</v>
      </c>
      <c r="K12" s="20">
        <v>233400</v>
      </c>
      <c r="L12" s="20">
        <v>570100</v>
      </c>
      <c r="M12" s="20">
        <v>451800</v>
      </c>
      <c r="N12" s="20">
        <v>46000</v>
      </c>
      <c r="O12" s="20">
        <v>2724375</v>
      </c>
      <c r="P12" s="20">
        <v>3676900</v>
      </c>
      <c r="Q12" s="20">
        <v>431300</v>
      </c>
      <c r="R12" s="20">
        <v>342900</v>
      </c>
      <c r="S12" s="20">
        <v>2686000</v>
      </c>
      <c r="T12" s="20">
        <v>10700500</v>
      </c>
      <c r="U12" s="20">
        <v>153300</v>
      </c>
      <c r="V12" s="20">
        <v>221400</v>
      </c>
      <c r="W12" s="20">
        <v>122000</v>
      </c>
      <c r="X12" s="20">
        <v>117000</v>
      </c>
      <c r="Y12" s="20">
        <v>5004000</v>
      </c>
      <c r="Z12" s="20">
        <v>11310000</v>
      </c>
      <c r="AA12" s="20">
        <v>823200</v>
      </c>
      <c r="AB12" s="20">
        <v>2767000</v>
      </c>
      <c r="AC12" s="20">
        <v>4750850</v>
      </c>
      <c r="AD12" s="20">
        <v>9884000</v>
      </c>
    </row>
    <row r="13" spans="1:30" x14ac:dyDescent="0.25">
      <c r="A13" s="41">
        <v>33604</v>
      </c>
      <c r="B13" s="42">
        <f>YEAR(Granos[[#This Row],[Tiempo]])</f>
        <v>1992</v>
      </c>
      <c r="C13" s="20">
        <v>30235</v>
      </c>
      <c r="D13" s="20">
        <v>33242</v>
      </c>
      <c r="E13" s="20">
        <v>144100</v>
      </c>
      <c r="F13" s="20">
        <v>608300</v>
      </c>
      <c r="G13" s="20">
        <v>2006100</v>
      </c>
      <c r="H13" s="20">
        <v>600200</v>
      </c>
      <c r="I13" s="20">
        <v>24200</v>
      </c>
      <c r="J13" s="20">
        <v>156</v>
      </c>
      <c r="K13" s="20">
        <v>239300</v>
      </c>
      <c r="L13" s="20">
        <v>580100</v>
      </c>
      <c r="M13" s="20">
        <v>462900</v>
      </c>
      <c r="N13" s="20">
        <v>34000</v>
      </c>
      <c r="O13" s="20">
        <v>2187100</v>
      </c>
      <c r="P13" s="20">
        <v>2955900</v>
      </c>
      <c r="Q13" s="20">
        <v>215400</v>
      </c>
      <c r="R13" s="20">
        <v>176500</v>
      </c>
      <c r="S13" s="20">
        <v>2962820</v>
      </c>
      <c r="T13" s="20">
        <v>10901000</v>
      </c>
      <c r="U13" s="20">
        <v>110000</v>
      </c>
      <c r="V13" s="20">
        <v>233400</v>
      </c>
      <c r="W13" s="20">
        <v>57700</v>
      </c>
      <c r="X13" s="20">
        <v>59300</v>
      </c>
      <c r="Y13" s="20">
        <v>5319660</v>
      </c>
      <c r="Z13" s="20">
        <v>11045400</v>
      </c>
      <c r="AA13" s="20">
        <v>809900</v>
      </c>
      <c r="AB13" s="20">
        <v>2859700</v>
      </c>
      <c r="AC13" s="20">
        <v>4547700</v>
      </c>
      <c r="AD13" s="20">
        <v>9874400</v>
      </c>
    </row>
    <row r="14" spans="1:30" x14ac:dyDescent="0.25">
      <c r="A14" s="41">
        <v>33970</v>
      </c>
      <c r="B14" s="42">
        <f>YEAR(Granos[[#This Row],[Tiempo]])</f>
        <v>1993</v>
      </c>
      <c r="C14" s="20">
        <v>22380</v>
      </c>
      <c r="D14" s="20">
        <v>23059</v>
      </c>
      <c r="E14" s="20">
        <v>148200</v>
      </c>
      <c r="F14" s="20">
        <v>607600</v>
      </c>
      <c r="G14" s="20">
        <v>1971400</v>
      </c>
      <c r="H14" s="20">
        <v>436540</v>
      </c>
      <c r="I14" s="20">
        <v>19050</v>
      </c>
      <c r="J14" s="20">
        <v>670</v>
      </c>
      <c r="K14" s="20">
        <v>202050</v>
      </c>
      <c r="L14" s="20">
        <v>455602</v>
      </c>
      <c r="M14" s="20">
        <v>460400</v>
      </c>
      <c r="N14" s="20">
        <v>63700</v>
      </c>
      <c r="O14" s="20">
        <v>2205800</v>
      </c>
      <c r="P14" s="20">
        <v>4094900</v>
      </c>
      <c r="Q14" s="20">
        <v>148360</v>
      </c>
      <c r="R14" s="20">
        <v>112560</v>
      </c>
      <c r="S14" s="20">
        <v>2781380</v>
      </c>
      <c r="T14" s="20">
        <v>10360000</v>
      </c>
      <c r="U14" s="20">
        <v>133700</v>
      </c>
      <c r="V14" s="20">
        <v>208100</v>
      </c>
      <c r="W14" s="20">
        <v>69200</v>
      </c>
      <c r="X14" s="20">
        <v>52500</v>
      </c>
      <c r="Y14" s="20">
        <v>5817490</v>
      </c>
      <c r="Z14" s="20">
        <v>11719900</v>
      </c>
      <c r="AA14" s="20">
        <v>670380</v>
      </c>
      <c r="AB14" s="20">
        <v>2148000</v>
      </c>
      <c r="AC14" s="20">
        <v>4910000</v>
      </c>
      <c r="AD14" s="20">
        <v>9658500</v>
      </c>
    </row>
    <row r="15" spans="1:30" x14ac:dyDescent="0.25">
      <c r="A15" s="41">
        <v>34335</v>
      </c>
      <c r="B15" s="42">
        <f>YEAR(Granos[[#This Row],[Tiempo]])</f>
        <v>1994</v>
      </c>
      <c r="C15" s="20">
        <v>20975</v>
      </c>
      <c r="D15" s="20">
        <v>22717</v>
      </c>
      <c r="E15" s="20">
        <v>188520</v>
      </c>
      <c r="F15" s="20">
        <v>926200</v>
      </c>
      <c r="G15" s="20">
        <v>1971835</v>
      </c>
      <c r="H15" s="20">
        <v>357286</v>
      </c>
      <c r="I15" s="20">
        <v>21000</v>
      </c>
      <c r="J15" s="20">
        <v>725</v>
      </c>
      <c r="K15" s="20">
        <v>147450</v>
      </c>
      <c r="L15" s="20">
        <v>341340</v>
      </c>
      <c r="M15" s="20">
        <v>473000</v>
      </c>
      <c r="N15" s="20">
        <v>54030</v>
      </c>
      <c r="O15" s="20">
        <v>3010440</v>
      </c>
      <c r="P15" s="20">
        <v>5799540</v>
      </c>
      <c r="Q15" s="20">
        <v>156090</v>
      </c>
      <c r="R15" s="20">
        <v>152182</v>
      </c>
      <c r="S15" s="20">
        <v>2957700</v>
      </c>
      <c r="T15" s="20">
        <v>11404041</v>
      </c>
      <c r="U15" s="20">
        <v>155210</v>
      </c>
      <c r="V15" s="20">
        <v>237817</v>
      </c>
      <c r="W15" s="20">
        <v>86700</v>
      </c>
      <c r="X15" s="20">
        <v>65450</v>
      </c>
      <c r="Y15" s="20">
        <v>6011240</v>
      </c>
      <c r="Z15" s="20">
        <v>12133000</v>
      </c>
      <c r="AA15" s="20">
        <v>621860</v>
      </c>
      <c r="AB15" s="20">
        <v>1649482</v>
      </c>
      <c r="AC15" s="20">
        <v>5308000</v>
      </c>
      <c r="AD15" s="20">
        <v>1130634</v>
      </c>
    </row>
    <row r="16" spans="1:30" x14ac:dyDescent="0.25">
      <c r="A16" s="41">
        <v>34700</v>
      </c>
      <c r="B16" s="42">
        <f>YEAR(Granos[[#This Row],[Tiempo]])</f>
        <v>1995</v>
      </c>
      <c r="C16" s="20">
        <v>19900</v>
      </c>
      <c r="D16" s="20">
        <v>17697</v>
      </c>
      <c r="E16" s="20">
        <v>211400</v>
      </c>
      <c r="F16" s="20">
        <v>986000</v>
      </c>
      <c r="G16" s="20">
        <v>1847915</v>
      </c>
      <c r="H16" s="20">
        <v>260280</v>
      </c>
      <c r="I16" s="20">
        <v>13750</v>
      </c>
      <c r="J16" s="20">
        <v>632</v>
      </c>
      <c r="K16" s="20">
        <v>230750</v>
      </c>
      <c r="L16" s="20">
        <v>384705</v>
      </c>
      <c r="M16" s="20">
        <v>390305</v>
      </c>
      <c r="N16" s="20">
        <v>40200</v>
      </c>
      <c r="O16" s="20">
        <v>3410600</v>
      </c>
      <c r="P16" s="20">
        <v>5557800</v>
      </c>
      <c r="Q16" s="20">
        <v>195580</v>
      </c>
      <c r="R16" s="20">
        <v>152660</v>
      </c>
      <c r="S16" s="20">
        <v>3414550</v>
      </c>
      <c r="T16" s="20">
        <v>10518290</v>
      </c>
      <c r="U16" s="20">
        <v>238900</v>
      </c>
      <c r="V16" s="20">
        <v>462390</v>
      </c>
      <c r="W16" s="20">
        <v>89000</v>
      </c>
      <c r="X16" s="20">
        <v>46819</v>
      </c>
      <c r="Y16" s="20">
        <v>6002155</v>
      </c>
      <c r="Z16" s="20">
        <v>12448200</v>
      </c>
      <c r="AA16" s="20">
        <v>670680</v>
      </c>
      <c r="AB16" s="20">
        <v>2131720</v>
      </c>
      <c r="AC16" s="20">
        <v>5087800</v>
      </c>
      <c r="AD16" s="20">
        <v>9445015</v>
      </c>
    </row>
    <row r="17" spans="1:30" x14ac:dyDescent="0.25">
      <c r="A17" s="41">
        <v>35065</v>
      </c>
      <c r="B17" s="42">
        <f>YEAR(Granos[[#This Row],[Tiempo]])</f>
        <v>1996</v>
      </c>
      <c r="C17" s="20">
        <v>24645</v>
      </c>
      <c r="D17" s="20">
        <v>24976</v>
      </c>
      <c r="E17" s="20">
        <v>226573</v>
      </c>
      <c r="F17" s="20">
        <v>120514</v>
      </c>
      <c r="G17" s="20">
        <v>1870180</v>
      </c>
      <c r="H17" s="20">
        <v>309500</v>
      </c>
      <c r="I17" s="20">
        <v>21500</v>
      </c>
      <c r="J17" s="20">
        <v>133</v>
      </c>
      <c r="K17" s="20">
        <v>278100</v>
      </c>
      <c r="L17" s="20">
        <v>532700</v>
      </c>
      <c r="M17" s="20">
        <v>380200</v>
      </c>
      <c r="N17" s="20">
        <v>36340</v>
      </c>
      <c r="O17" s="20">
        <v>3119750</v>
      </c>
      <c r="P17" s="20">
        <v>5450000</v>
      </c>
      <c r="Q17" s="20">
        <v>93530</v>
      </c>
      <c r="R17" s="20">
        <v>71707</v>
      </c>
      <c r="S17" s="20">
        <v>4153400</v>
      </c>
      <c r="T17" s="20">
        <v>15536820</v>
      </c>
      <c r="U17" s="20">
        <v>328520</v>
      </c>
      <c r="V17" s="20">
        <v>280856</v>
      </c>
      <c r="W17" s="20">
        <v>121310</v>
      </c>
      <c r="X17" s="20">
        <v>44224</v>
      </c>
      <c r="Y17" s="20">
        <v>6669500</v>
      </c>
      <c r="Z17" s="20">
        <v>11004890</v>
      </c>
      <c r="AA17" s="20">
        <v>804450</v>
      </c>
      <c r="AB17" s="20">
        <v>2499000</v>
      </c>
      <c r="AC17" s="20">
        <v>7366850</v>
      </c>
      <c r="AD17" s="20">
        <v>1591360</v>
      </c>
    </row>
    <row r="18" spans="1:30" x14ac:dyDescent="0.25">
      <c r="A18" s="41">
        <v>35431</v>
      </c>
      <c r="B18" s="42">
        <f>YEAR(Granos[[#This Row],[Tiempo]])</f>
        <v>1997</v>
      </c>
      <c r="C18" s="20">
        <v>24930</v>
      </c>
      <c r="D18" s="20">
        <v>29493</v>
      </c>
      <c r="E18" s="20">
        <v>247500</v>
      </c>
      <c r="F18" s="20">
        <v>101113</v>
      </c>
      <c r="G18" s="20">
        <v>1789200</v>
      </c>
      <c r="H18" s="20">
        <v>512100</v>
      </c>
      <c r="I18" s="20">
        <v>27000</v>
      </c>
      <c r="J18" s="20">
        <v>246</v>
      </c>
      <c r="K18" s="20">
        <v>323930</v>
      </c>
      <c r="L18" s="20">
        <v>921200</v>
      </c>
      <c r="M18" s="20">
        <v>352900</v>
      </c>
      <c r="N18" s="20">
        <v>61740</v>
      </c>
      <c r="O18" s="20">
        <v>3511400</v>
      </c>
      <c r="P18" s="20">
        <v>5599880</v>
      </c>
      <c r="Q18" s="20">
        <v>115530</v>
      </c>
      <c r="R18" s="20">
        <v>75148</v>
      </c>
      <c r="S18" s="20">
        <v>3751630</v>
      </c>
      <c r="T18" s="20">
        <v>19360656</v>
      </c>
      <c r="U18" s="20">
        <v>406560</v>
      </c>
      <c r="V18" s="20">
        <v>627695</v>
      </c>
      <c r="W18" s="20">
        <v>106510</v>
      </c>
      <c r="X18" s="20">
        <v>46185</v>
      </c>
      <c r="Y18" s="20">
        <v>7176250</v>
      </c>
      <c r="Z18" s="20">
        <v>18732172</v>
      </c>
      <c r="AA18" s="20">
        <v>920060</v>
      </c>
      <c r="AB18" s="20">
        <v>3762335</v>
      </c>
      <c r="AC18" s="20">
        <v>5918665</v>
      </c>
      <c r="AD18" s="20">
        <v>1480023</v>
      </c>
    </row>
    <row r="19" spans="1:30" x14ac:dyDescent="0.25">
      <c r="A19" s="41">
        <v>35796</v>
      </c>
      <c r="B19" s="42">
        <f>YEAR(Granos[[#This Row],[Tiempo]])</f>
        <v>1998</v>
      </c>
      <c r="C19" s="20">
        <v>26725</v>
      </c>
      <c r="D19" s="20">
        <v>23917</v>
      </c>
      <c r="E19" s="20">
        <v>290850</v>
      </c>
      <c r="F19" s="20">
        <v>165820</v>
      </c>
      <c r="G19" s="20">
        <v>1822240</v>
      </c>
      <c r="H19" s="20">
        <v>383395</v>
      </c>
      <c r="I19" s="20">
        <v>15300</v>
      </c>
      <c r="J19" s="20">
        <v>955</v>
      </c>
      <c r="K19" s="20">
        <v>217165</v>
      </c>
      <c r="L19" s="20">
        <v>534758</v>
      </c>
      <c r="M19" s="20">
        <v>372300</v>
      </c>
      <c r="N19" s="20">
        <v>66240</v>
      </c>
      <c r="O19" s="20">
        <v>4243800</v>
      </c>
      <c r="P19" s="20">
        <v>7125140</v>
      </c>
      <c r="Q19" s="20">
        <v>102165</v>
      </c>
      <c r="R19" s="20">
        <v>85673</v>
      </c>
      <c r="S19" s="20">
        <v>3270250</v>
      </c>
      <c r="T19" s="20">
        <v>13504100</v>
      </c>
      <c r="U19" s="20">
        <v>336760</v>
      </c>
      <c r="V19" s="20">
        <v>340207</v>
      </c>
      <c r="W19" s="20">
        <v>88900</v>
      </c>
      <c r="X19" s="20">
        <v>45660</v>
      </c>
      <c r="Y19" s="20">
        <v>8400000</v>
      </c>
      <c r="Z19" s="20">
        <v>20000000</v>
      </c>
      <c r="AA19" s="20">
        <v>879800</v>
      </c>
      <c r="AB19" s="20">
        <v>3221750</v>
      </c>
      <c r="AC19" s="20">
        <v>5453250</v>
      </c>
      <c r="AD19" s="20">
        <v>1244300</v>
      </c>
    </row>
    <row r="20" spans="1:30" x14ac:dyDescent="0.25">
      <c r="A20" s="41">
        <v>36161</v>
      </c>
      <c r="B20" s="42">
        <f>YEAR(Granos[[#This Row],[Tiempo]])</f>
        <v>1999</v>
      </c>
      <c r="C20" s="20">
        <v>23885</v>
      </c>
      <c r="D20" s="20">
        <v>22217</v>
      </c>
      <c r="E20" s="20">
        <v>200700</v>
      </c>
      <c r="F20" s="20">
        <v>903410</v>
      </c>
      <c r="G20" s="20">
        <v>1711460</v>
      </c>
      <c r="H20" s="20">
        <v>554708</v>
      </c>
      <c r="I20" s="20">
        <v>39700</v>
      </c>
      <c r="J20" s="20">
        <v>308</v>
      </c>
      <c r="K20" s="20">
        <v>182490</v>
      </c>
      <c r="L20" s="20">
        <v>414160</v>
      </c>
      <c r="M20" s="20">
        <v>386750</v>
      </c>
      <c r="N20" s="20">
        <v>120345</v>
      </c>
      <c r="O20" s="20">
        <v>3587000</v>
      </c>
      <c r="P20" s="20">
        <v>6069655</v>
      </c>
      <c r="Q20" s="20">
        <v>68330</v>
      </c>
      <c r="R20" s="20">
        <v>46917</v>
      </c>
      <c r="S20" s="20">
        <v>3651900</v>
      </c>
      <c r="T20" s="20">
        <v>16780650</v>
      </c>
      <c r="U20" s="20">
        <v>219360</v>
      </c>
      <c r="V20" s="20">
        <v>419600</v>
      </c>
      <c r="W20" s="20">
        <v>91100</v>
      </c>
      <c r="X20" s="20">
        <v>47620</v>
      </c>
      <c r="Y20" s="20">
        <v>8790500</v>
      </c>
      <c r="Z20" s="20">
        <v>20135800</v>
      </c>
      <c r="AA20" s="20">
        <v>819005</v>
      </c>
      <c r="AB20" s="20">
        <v>3344493</v>
      </c>
      <c r="AC20" s="20">
        <v>6300000</v>
      </c>
      <c r="AD20" s="20">
        <v>1530256</v>
      </c>
    </row>
    <row r="21" spans="1:30" x14ac:dyDescent="0.25">
      <c r="A21" s="41">
        <v>36526</v>
      </c>
      <c r="B21" s="42">
        <f>YEAR(Granos[[#This Row],[Tiempo]])</f>
        <v>2000</v>
      </c>
      <c r="C21" s="20">
        <v>20000</v>
      </c>
      <c r="D21" s="20">
        <v>19000</v>
      </c>
      <c r="E21" s="20">
        <v>154000</v>
      </c>
      <c r="F21" s="20">
        <v>873000</v>
      </c>
      <c r="G21" s="20">
        <v>1664000</v>
      </c>
      <c r="H21" s="20">
        <v>642000</v>
      </c>
      <c r="I21" s="20">
        <v>58400</v>
      </c>
      <c r="J21" s="20">
        <v>473</v>
      </c>
      <c r="K21" s="20">
        <v>246000</v>
      </c>
      <c r="L21" s="20">
        <v>717000</v>
      </c>
      <c r="M21" s="20">
        <v>373000</v>
      </c>
      <c r="N21" s="20">
        <v>125000</v>
      </c>
      <c r="O21" s="20">
        <v>1891000</v>
      </c>
      <c r="P21" s="20">
        <v>3179000</v>
      </c>
      <c r="Q21" s="20">
        <v>28000</v>
      </c>
      <c r="R21" s="20">
        <v>22000</v>
      </c>
      <c r="S21" s="20">
        <v>3495000</v>
      </c>
      <c r="T21" s="20">
        <v>15360000</v>
      </c>
      <c r="U21" s="20">
        <v>252000</v>
      </c>
      <c r="V21" s="20">
        <v>394000</v>
      </c>
      <c r="W21" s="20">
        <v>79500</v>
      </c>
      <c r="X21" s="20">
        <v>31200</v>
      </c>
      <c r="Y21" s="20">
        <v>10665000</v>
      </c>
      <c r="Z21" s="20">
        <v>26864000</v>
      </c>
      <c r="AA21" s="20">
        <v>698000</v>
      </c>
      <c r="AB21" s="20">
        <v>2909000</v>
      </c>
      <c r="AC21" s="20">
        <v>6497000</v>
      </c>
      <c r="AD21" s="20">
        <v>1596000</v>
      </c>
    </row>
    <row r="22" spans="1:30" x14ac:dyDescent="0.25">
      <c r="A22" s="41">
        <v>36892</v>
      </c>
      <c r="B22" s="42">
        <f>YEAR(Granos[[#This Row],[Tiempo]])</f>
        <v>2001</v>
      </c>
      <c r="C22" s="20">
        <v>16000</v>
      </c>
      <c r="D22" s="20">
        <v>17000</v>
      </c>
      <c r="E22" s="20">
        <v>126000</v>
      </c>
      <c r="F22" s="20">
        <v>709000</v>
      </c>
      <c r="G22" s="20">
        <v>1516000</v>
      </c>
      <c r="H22" s="20">
        <v>645000</v>
      </c>
      <c r="I22" s="20">
        <v>33000</v>
      </c>
      <c r="J22" s="20">
        <v>235</v>
      </c>
      <c r="K22" s="20">
        <v>260000</v>
      </c>
      <c r="L22" s="20">
        <v>521000</v>
      </c>
      <c r="M22" s="20">
        <v>336000</v>
      </c>
      <c r="N22" s="20">
        <v>81000</v>
      </c>
      <c r="O22" s="20">
        <v>2050000</v>
      </c>
      <c r="P22" s="20">
        <v>3843000</v>
      </c>
      <c r="Q22" s="20">
        <v>20000</v>
      </c>
      <c r="R22" s="20">
        <v>16000</v>
      </c>
      <c r="S22" s="20">
        <v>3064000</v>
      </c>
      <c r="T22" s="20">
        <v>14710000</v>
      </c>
      <c r="U22" s="20">
        <v>222000</v>
      </c>
      <c r="V22" s="20">
        <v>362000</v>
      </c>
      <c r="W22" s="20">
        <v>55200</v>
      </c>
      <c r="X22" s="20">
        <v>28100</v>
      </c>
      <c r="Y22" s="20">
        <v>11639000</v>
      </c>
      <c r="Z22" s="20">
        <v>30000000</v>
      </c>
      <c r="AA22" s="20">
        <v>592000</v>
      </c>
      <c r="AB22" s="20">
        <v>2847000</v>
      </c>
      <c r="AC22" s="20">
        <v>7109000</v>
      </c>
      <c r="AD22" s="20">
        <v>1530000</v>
      </c>
    </row>
    <row r="23" spans="1:30" x14ac:dyDescent="0.25">
      <c r="A23" s="41">
        <v>37257</v>
      </c>
      <c r="B23" s="42">
        <f>YEAR(Granos[[#This Row],[Tiempo]])</f>
        <v>2002</v>
      </c>
      <c r="C23" s="20">
        <v>19000</v>
      </c>
      <c r="D23" s="20">
        <v>18000</v>
      </c>
      <c r="E23" s="20">
        <v>135000</v>
      </c>
      <c r="F23" s="20">
        <v>718000</v>
      </c>
      <c r="G23" s="20">
        <v>1368000</v>
      </c>
      <c r="H23" s="20">
        <v>487500</v>
      </c>
      <c r="I23" s="20">
        <v>23000</v>
      </c>
      <c r="J23" s="20">
        <v>133</v>
      </c>
      <c r="K23" s="20">
        <v>270000</v>
      </c>
      <c r="L23" s="20">
        <v>543000</v>
      </c>
      <c r="M23" s="20">
        <v>338000</v>
      </c>
      <c r="N23" s="20">
        <v>80000</v>
      </c>
      <c r="O23" s="20">
        <v>2378000</v>
      </c>
      <c r="P23" s="20">
        <v>3714000</v>
      </c>
      <c r="Q23" s="20">
        <v>14000</v>
      </c>
      <c r="R23" s="20">
        <v>11000</v>
      </c>
      <c r="S23" s="20">
        <v>3084000</v>
      </c>
      <c r="T23" s="20">
        <v>15040000</v>
      </c>
      <c r="U23" s="20">
        <v>157000</v>
      </c>
      <c r="V23" s="20">
        <v>221000</v>
      </c>
      <c r="W23" s="20">
        <v>50000</v>
      </c>
      <c r="X23" s="20">
        <v>22000</v>
      </c>
      <c r="Y23" s="20">
        <v>12607000</v>
      </c>
      <c r="Z23" s="20">
        <v>34800000</v>
      </c>
      <c r="AA23" s="20">
        <v>593000</v>
      </c>
      <c r="AB23" s="20">
        <v>2685000</v>
      </c>
      <c r="AC23" s="20">
        <v>6300000</v>
      </c>
      <c r="AD23" s="20">
        <v>1230100</v>
      </c>
    </row>
    <row r="24" spans="1:30" x14ac:dyDescent="0.25">
      <c r="A24" s="41">
        <v>37622</v>
      </c>
      <c r="B24" s="42">
        <f>YEAR(Granos[[#This Row],[Tiempo]])</f>
        <v>2003</v>
      </c>
      <c r="C24" s="20">
        <v>16000</v>
      </c>
      <c r="D24" s="20">
        <v>17000</v>
      </c>
      <c r="E24" s="20">
        <v>172000</v>
      </c>
      <c r="F24" s="20">
        <v>106000</v>
      </c>
      <c r="G24" s="20">
        <v>1344000</v>
      </c>
      <c r="H24" s="20">
        <v>332000</v>
      </c>
      <c r="I24" s="20">
        <v>30000</v>
      </c>
      <c r="J24" s="20">
        <v>180</v>
      </c>
      <c r="K24" s="20">
        <v>343000</v>
      </c>
      <c r="L24" s="20">
        <v>1000000</v>
      </c>
      <c r="M24" s="20">
        <v>340000</v>
      </c>
      <c r="N24" s="20">
        <v>37000</v>
      </c>
      <c r="O24" s="20">
        <v>1850000</v>
      </c>
      <c r="P24" s="20">
        <v>3160000</v>
      </c>
      <c r="Q24" s="20">
        <v>29000</v>
      </c>
      <c r="R24" s="20">
        <v>29000</v>
      </c>
      <c r="S24" s="20">
        <v>2988000</v>
      </c>
      <c r="T24" s="20">
        <v>15000000</v>
      </c>
      <c r="U24" s="20">
        <v>170000</v>
      </c>
      <c r="V24" s="20">
        <v>293000</v>
      </c>
      <c r="W24" s="20">
        <v>50000</v>
      </c>
      <c r="X24" s="20">
        <v>11000</v>
      </c>
      <c r="Y24" s="20">
        <v>14525000</v>
      </c>
      <c r="Z24" s="20">
        <v>31577000</v>
      </c>
      <c r="AA24" s="20">
        <v>545000</v>
      </c>
      <c r="AB24" s="20">
        <v>2160000</v>
      </c>
      <c r="AC24" s="20">
        <v>6040000</v>
      </c>
      <c r="AD24" s="20">
        <v>1456000</v>
      </c>
    </row>
    <row r="25" spans="1:30" x14ac:dyDescent="0.25">
      <c r="A25" s="41">
        <v>37987</v>
      </c>
      <c r="B25" s="42">
        <f>YEAR(Granos[[#This Row],[Tiempo]])</f>
        <v>2004</v>
      </c>
      <c r="C25" s="20">
        <v>16000</v>
      </c>
      <c r="D25" s="20">
        <v>17000</v>
      </c>
      <c r="E25" s="20">
        <v>165000</v>
      </c>
      <c r="F25" s="20">
        <v>956000</v>
      </c>
      <c r="G25" s="20">
        <v>1275000</v>
      </c>
      <c r="H25" s="20">
        <v>536000</v>
      </c>
      <c r="I25" s="20">
        <v>49000</v>
      </c>
      <c r="J25" s="20">
        <v>510</v>
      </c>
      <c r="K25" s="20">
        <v>272000</v>
      </c>
      <c r="L25" s="20">
        <v>886000</v>
      </c>
      <c r="M25" s="20">
        <v>294000</v>
      </c>
      <c r="N25" s="20">
        <v>92000</v>
      </c>
      <c r="O25" s="20">
        <v>1970000</v>
      </c>
      <c r="P25" s="20">
        <v>3700000</v>
      </c>
      <c r="Q25" s="20">
        <v>37000</v>
      </c>
      <c r="R25" s="20">
        <v>36000</v>
      </c>
      <c r="S25" s="20">
        <v>3400000</v>
      </c>
      <c r="T25" s="20">
        <v>20500000</v>
      </c>
      <c r="U25" s="20">
        <v>211000</v>
      </c>
      <c r="V25" s="20">
        <v>445000</v>
      </c>
      <c r="W25" s="20">
        <v>28000</v>
      </c>
      <c r="X25" s="20">
        <v>16000</v>
      </c>
      <c r="Y25" s="20">
        <v>14400000</v>
      </c>
      <c r="Z25" s="20">
        <v>38300000</v>
      </c>
      <c r="AA25" s="20">
        <v>617000</v>
      </c>
      <c r="AB25" s="20">
        <v>2900000</v>
      </c>
      <c r="AC25" s="20">
        <v>6260000</v>
      </c>
      <c r="AD25" s="20">
        <v>1600000</v>
      </c>
    </row>
    <row r="26" spans="1:30" x14ac:dyDescent="0.25">
      <c r="A26" s="41">
        <v>38353</v>
      </c>
      <c r="B26" s="42">
        <f>YEAR(Granos[[#This Row],[Tiempo]])</f>
        <v>2005</v>
      </c>
      <c r="C26" s="20">
        <v>13000</v>
      </c>
      <c r="D26" s="20">
        <v>15000</v>
      </c>
      <c r="E26" s="20">
        <v>171300</v>
      </c>
      <c r="F26" s="20">
        <v>119350</v>
      </c>
      <c r="G26" s="20">
        <v>1023000</v>
      </c>
      <c r="H26" s="20">
        <v>227000</v>
      </c>
      <c r="I26" s="20">
        <v>27000</v>
      </c>
      <c r="J26" s="20">
        <v>190</v>
      </c>
      <c r="K26" s="20">
        <v>273000</v>
      </c>
      <c r="L26" s="20">
        <v>796000</v>
      </c>
      <c r="M26" s="20">
        <v>207000</v>
      </c>
      <c r="N26" s="20">
        <v>33000</v>
      </c>
      <c r="O26" s="20">
        <v>2260000</v>
      </c>
      <c r="P26" s="20">
        <v>3800000</v>
      </c>
      <c r="Q26" s="20">
        <v>47000</v>
      </c>
      <c r="R26" s="20">
        <v>54000</v>
      </c>
      <c r="S26" s="20">
        <v>3190000</v>
      </c>
      <c r="T26" s="20">
        <v>14500000</v>
      </c>
      <c r="U26" s="20">
        <v>174000</v>
      </c>
      <c r="V26" s="20">
        <v>347000</v>
      </c>
      <c r="W26" s="20">
        <v>31000</v>
      </c>
      <c r="X26" s="20">
        <v>16000</v>
      </c>
      <c r="Y26" s="20">
        <v>15329000</v>
      </c>
      <c r="Z26" s="20">
        <v>40500000</v>
      </c>
      <c r="AA26" s="20">
        <v>577000</v>
      </c>
      <c r="AB26" s="20">
        <v>2328000</v>
      </c>
      <c r="AC26" s="20">
        <v>5222000</v>
      </c>
      <c r="AD26" s="20">
        <v>1260000</v>
      </c>
    </row>
    <row r="27" spans="1:30" x14ac:dyDescent="0.25">
      <c r="A27" s="41">
        <v>38718</v>
      </c>
      <c r="B27" s="42">
        <f>YEAR(Granos[[#This Row],[Tiempo]])</f>
        <v>2006</v>
      </c>
      <c r="C27" s="20">
        <v>9000</v>
      </c>
      <c r="D27" s="20">
        <v>9000</v>
      </c>
      <c r="E27" s="20">
        <v>168000</v>
      </c>
      <c r="F27" s="20">
        <v>107500</v>
      </c>
      <c r="G27" s="20">
        <v>1067000</v>
      </c>
      <c r="H27" s="20">
        <v>243000</v>
      </c>
      <c r="I27" s="20">
        <v>76000</v>
      </c>
      <c r="J27" s="20">
        <v>580</v>
      </c>
      <c r="K27" s="20">
        <v>339000</v>
      </c>
      <c r="L27" s="20">
        <v>1266000</v>
      </c>
      <c r="M27" s="20">
        <v>221000</v>
      </c>
      <c r="N27" s="20">
        <v>17000</v>
      </c>
      <c r="O27" s="20">
        <v>2381000</v>
      </c>
      <c r="P27" s="20">
        <v>3498000</v>
      </c>
      <c r="Q27" s="20">
        <v>29000</v>
      </c>
      <c r="R27" s="20">
        <v>34000</v>
      </c>
      <c r="S27" s="20">
        <v>3580000</v>
      </c>
      <c r="T27" s="20">
        <v>21800000</v>
      </c>
      <c r="U27" s="20">
        <v>216000</v>
      </c>
      <c r="V27" s="20">
        <v>600000</v>
      </c>
      <c r="W27" s="20">
        <v>38000</v>
      </c>
      <c r="X27" s="20">
        <v>15000</v>
      </c>
      <c r="Y27" s="20">
        <v>16141000</v>
      </c>
      <c r="Z27" s="20">
        <v>47483000</v>
      </c>
      <c r="AA27" s="20">
        <v>700000</v>
      </c>
      <c r="AB27" s="20">
        <v>2795000</v>
      </c>
      <c r="AC27" s="20">
        <v>5676000</v>
      </c>
      <c r="AD27" s="20">
        <v>1460000</v>
      </c>
    </row>
    <row r="28" spans="1:30" x14ac:dyDescent="0.25">
      <c r="A28" s="41">
        <v>39083</v>
      </c>
      <c r="B28" s="42">
        <f>YEAR(Granos[[#This Row],[Tiempo]])</f>
        <v>2007</v>
      </c>
      <c r="C28" s="20">
        <v>11000</v>
      </c>
      <c r="D28" s="20">
        <v>9000</v>
      </c>
      <c r="E28" s="20">
        <v>184000</v>
      </c>
      <c r="F28" s="20">
        <v>124600</v>
      </c>
      <c r="G28" s="20">
        <v>1113000</v>
      </c>
      <c r="H28" s="20">
        <v>470000</v>
      </c>
      <c r="I28" s="20">
        <v>44000</v>
      </c>
      <c r="J28" s="20">
        <v>330</v>
      </c>
      <c r="K28" s="20">
        <v>472000</v>
      </c>
      <c r="L28" s="20">
        <v>1480000</v>
      </c>
      <c r="M28" s="20">
        <v>227000</v>
      </c>
      <c r="N28" s="20">
        <v>77000</v>
      </c>
      <c r="O28" s="20">
        <v>2620000</v>
      </c>
      <c r="P28" s="20">
        <v>4650000</v>
      </c>
      <c r="Q28" s="20">
        <v>10000</v>
      </c>
      <c r="R28" s="20">
        <v>10000</v>
      </c>
      <c r="S28" s="20">
        <v>4240000</v>
      </c>
      <c r="T28" s="20">
        <v>22000000</v>
      </c>
      <c r="U28" s="20">
        <v>228000</v>
      </c>
      <c r="V28" s="20">
        <v>625000</v>
      </c>
      <c r="W28" s="20">
        <v>42000</v>
      </c>
      <c r="X28" s="20">
        <v>15000</v>
      </c>
      <c r="Y28" s="20">
        <v>16600000</v>
      </c>
      <c r="Z28" s="20">
        <v>46200000</v>
      </c>
      <c r="AA28" s="20">
        <v>807000</v>
      </c>
      <c r="AB28" s="20">
        <v>2937000</v>
      </c>
      <c r="AC28" s="20">
        <v>5948000</v>
      </c>
      <c r="AD28" s="20">
        <v>1635000</v>
      </c>
    </row>
    <row r="29" spans="1:30" x14ac:dyDescent="0.25">
      <c r="A29" s="41">
        <v>39448</v>
      </c>
      <c r="B29" s="42">
        <f>YEAR(Granos[[#This Row],[Tiempo]])</f>
        <v>2008</v>
      </c>
      <c r="C29" s="20">
        <v>11000</v>
      </c>
      <c r="D29" s="20">
        <v>10000</v>
      </c>
      <c r="E29" s="20">
        <v>205000</v>
      </c>
      <c r="F29" s="20">
        <v>133500</v>
      </c>
      <c r="G29" s="20">
        <v>1055000</v>
      </c>
      <c r="H29" s="20">
        <v>290000</v>
      </c>
      <c r="I29" s="20">
        <v>100000</v>
      </c>
      <c r="J29" s="20">
        <v>870</v>
      </c>
      <c r="K29" s="20">
        <v>627000</v>
      </c>
      <c r="L29" s="20">
        <v>1690000</v>
      </c>
      <c r="M29" s="20">
        <v>203000</v>
      </c>
      <c r="N29" s="20">
        <v>34000</v>
      </c>
      <c r="O29" s="20">
        <v>1967000</v>
      </c>
      <c r="P29" s="20">
        <v>2450000</v>
      </c>
      <c r="Q29" s="20">
        <v>17000</v>
      </c>
      <c r="R29" s="20">
        <v>19000</v>
      </c>
      <c r="S29" s="20">
        <v>3498000</v>
      </c>
      <c r="T29" s="20">
        <v>13121000</v>
      </c>
      <c r="U29" s="20">
        <v>264000</v>
      </c>
      <c r="V29" s="20">
        <v>605000</v>
      </c>
      <c r="W29" s="20">
        <v>26000</v>
      </c>
      <c r="X29" s="20">
        <v>9000</v>
      </c>
      <c r="Y29" s="20">
        <v>18000000</v>
      </c>
      <c r="Z29" s="20">
        <v>31000000</v>
      </c>
      <c r="AA29" s="20">
        <v>830000</v>
      </c>
      <c r="AB29" s="20">
        <v>1752000</v>
      </c>
      <c r="AC29" s="20">
        <v>4732000</v>
      </c>
      <c r="AD29" s="20">
        <v>8373000</v>
      </c>
    </row>
    <row r="30" spans="1:30" x14ac:dyDescent="0.25">
      <c r="A30" s="41">
        <v>39814</v>
      </c>
      <c r="B30" s="42">
        <f>YEAR(Granos[[#This Row],[Tiempo]])</f>
        <v>2009</v>
      </c>
      <c r="C30" s="20">
        <v>11000</v>
      </c>
      <c r="D30" s="20">
        <v>9800</v>
      </c>
      <c r="E30" s="20">
        <v>220000</v>
      </c>
      <c r="F30" s="20">
        <v>124000</v>
      </c>
      <c r="G30" s="20">
        <v>917000</v>
      </c>
      <c r="H30" s="20">
        <v>182000</v>
      </c>
      <c r="I30" s="20">
        <v>74000</v>
      </c>
      <c r="J30" s="20">
        <v>440</v>
      </c>
      <c r="K30" s="20">
        <v>588000</v>
      </c>
      <c r="L30" s="20">
        <v>1370000</v>
      </c>
      <c r="M30" s="20">
        <v>152000</v>
      </c>
      <c r="N30" s="20">
        <v>25100</v>
      </c>
      <c r="O30" s="20">
        <v>1545300</v>
      </c>
      <c r="P30" s="20">
        <v>2224000</v>
      </c>
      <c r="Q30" s="20">
        <v>38500</v>
      </c>
      <c r="R30" s="20">
        <v>52000</v>
      </c>
      <c r="S30" s="20">
        <v>3671260</v>
      </c>
      <c r="T30" s="20">
        <v>22663000</v>
      </c>
      <c r="U30" s="20">
        <v>222000</v>
      </c>
      <c r="V30" s="20">
        <v>611000</v>
      </c>
      <c r="W30" s="20">
        <v>33000</v>
      </c>
      <c r="X30" s="20">
        <v>9000</v>
      </c>
      <c r="Y30" s="20">
        <v>18860000</v>
      </c>
      <c r="Z30" s="20">
        <v>54250000</v>
      </c>
      <c r="AA30" s="20">
        <v>1033000</v>
      </c>
      <c r="AB30" s="20">
        <v>3640000</v>
      </c>
      <c r="AC30" s="20">
        <v>3556000</v>
      </c>
      <c r="AD30" s="20">
        <v>9000000</v>
      </c>
    </row>
    <row r="31" spans="1:30" x14ac:dyDescent="0.25">
      <c r="A31" s="41">
        <v>40179</v>
      </c>
      <c r="B31" s="42">
        <f>YEAR(Granos[[#This Row],[Tiempo]])</f>
        <v>2010</v>
      </c>
      <c r="C31" s="20">
        <v>17000</v>
      </c>
      <c r="D31" s="20">
        <v>27000</v>
      </c>
      <c r="E31" s="20">
        <v>258000</v>
      </c>
      <c r="F31" s="20">
        <v>174800</v>
      </c>
      <c r="G31" s="20">
        <v>1133000</v>
      </c>
      <c r="H31" s="20">
        <v>660000</v>
      </c>
      <c r="I31" s="20">
        <v>92000</v>
      </c>
      <c r="J31" s="20">
        <v>560</v>
      </c>
      <c r="K31" s="20">
        <v>804000</v>
      </c>
      <c r="L31" s="20">
        <v>2980000</v>
      </c>
      <c r="M31" s="20">
        <v>159000</v>
      </c>
      <c r="N31" s="20">
        <v>44000</v>
      </c>
      <c r="O31" s="20">
        <v>1758000</v>
      </c>
      <c r="P31" s="20">
        <v>3672000</v>
      </c>
      <c r="Q31" s="20">
        <v>25750</v>
      </c>
      <c r="R31" s="20">
        <v>32000</v>
      </c>
      <c r="S31" s="20">
        <v>4560000</v>
      </c>
      <c r="T31" s="20">
        <v>23800000</v>
      </c>
      <c r="U31" s="20">
        <v>264000</v>
      </c>
      <c r="V31" s="20">
        <v>701000</v>
      </c>
      <c r="W31" s="20">
        <v>37000</v>
      </c>
      <c r="X31" s="20">
        <v>8000</v>
      </c>
      <c r="Y31" s="20">
        <v>18885000</v>
      </c>
      <c r="Z31" s="20">
        <v>48900000</v>
      </c>
      <c r="AA31" s="20">
        <v>1233000</v>
      </c>
      <c r="AB31" s="20">
        <v>4460000</v>
      </c>
      <c r="AC31" s="20">
        <v>4580000</v>
      </c>
      <c r="AD31" s="20">
        <v>1590000</v>
      </c>
    </row>
    <row r="32" spans="1:30" x14ac:dyDescent="0.25">
      <c r="A32" s="41">
        <v>40544</v>
      </c>
      <c r="B32" s="42">
        <f>YEAR(Granos[[#This Row],[Tiempo]])</f>
        <v>2011</v>
      </c>
      <c r="C32" s="20">
        <v>14000</v>
      </c>
      <c r="D32" s="20">
        <v>23000</v>
      </c>
      <c r="E32" s="20">
        <v>237000</v>
      </c>
      <c r="F32" s="20">
        <v>156800</v>
      </c>
      <c r="G32" s="20">
        <v>1057000</v>
      </c>
      <c r="H32" s="20">
        <v>415000</v>
      </c>
      <c r="I32" s="20">
        <v>171000</v>
      </c>
      <c r="J32" s="20">
        <v>108</v>
      </c>
      <c r="K32" s="20">
        <v>1229000</v>
      </c>
      <c r="L32" s="20">
        <v>4100000</v>
      </c>
      <c r="M32" s="20">
        <v>156000</v>
      </c>
      <c r="N32" s="20">
        <v>43000</v>
      </c>
      <c r="O32" s="20">
        <v>1851000</v>
      </c>
      <c r="P32" s="20">
        <v>3340000</v>
      </c>
      <c r="Q32" s="20">
        <v>17000</v>
      </c>
      <c r="R32" s="20">
        <v>21000</v>
      </c>
      <c r="S32" s="20">
        <v>5000000</v>
      </c>
      <c r="T32" s="20">
        <v>21200000</v>
      </c>
      <c r="U32" s="20">
        <v>307000</v>
      </c>
      <c r="V32" s="20">
        <v>686000</v>
      </c>
      <c r="W32" s="20">
        <v>42000</v>
      </c>
      <c r="X32" s="20">
        <v>17400</v>
      </c>
      <c r="Y32" s="20">
        <v>18670000</v>
      </c>
      <c r="Z32" s="20">
        <v>40100000</v>
      </c>
      <c r="AA32" s="20">
        <v>1266000</v>
      </c>
      <c r="AB32" s="20">
        <v>4250000</v>
      </c>
      <c r="AC32" s="20">
        <v>4630000</v>
      </c>
      <c r="AD32" s="20">
        <v>1450000</v>
      </c>
    </row>
    <row r="33" spans="1:30" x14ac:dyDescent="0.25">
      <c r="A33" s="41">
        <v>40909</v>
      </c>
      <c r="B33" s="42">
        <f>YEAR(Granos[[#This Row],[Tiempo]])</f>
        <v>2012</v>
      </c>
      <c r="C33" s="20">
        <v>14000</v>
      </c>
      <c r="D33" s="20">
        <v>18000</v>
      </c>
      <c r="E33" s="20">
        <v>233000</v>
      </c>
      <c r="F33" s="20">
        <v>156000</v>
      </c>
      <c r="G33" s="20">
        <v>1224000</v>
      </c>
      <c r="H33" s="20">
        <v>496000</v>
      </c>
      <c r="I33" s="20">
        <v>119000</v>
      </c>
      <c r="J33" s="20">
        <v>500</v>
      </c>
      <c r="K33" s="20">
        <v>1876000</v>
      </c>
      <c r="L33" s="20">
        <v>5170000</v>
      </c>
      <c r="M33" s="20">
        <v>163000</v>
      </c>
      <c r="N33" s="20">
        <v>40000</v>
      </c>
      <c r="O33" s="20">
        <v>1660000</v>
      </c>
      <c r="P33" s="20">
        <v>3100000</v>
      </c>
      <c r="Q33" s="20">
        <v>15000</v>
      </c>
      <c r="R33" s="20">
        <v>17000</v>
      </c>
      <c r="S33" s="20">
        <v>6100000</v>
      </c>
      <c r="T33" s="20">
        <v>32100000</v>
      </c>
      <c r="U33" s="20">
        <v>418000</v>
      </c>
      <c r="V33" s="20">
        <v>1026000</v>
      </c>
      <c r="W33" s="20">
        <v>41300</v>
      </c>
      <c r="X33" s="20">
        <v>11200</v>
      </c>
      <c r="Y33" s="20">
        <v>20000000</v>
      </c>
      <c r="Z33" s="20">
        <v>49300000</v>
      </c>
      <c r="AA33" s="20">
        <v>1158000</v>
      </c>
      <c r="AB33" s="20">
        <v>3600000</v>
      </c>
      <c r="AC33" s="20">
        <v>3160000</v>
      </c>
      <c r="AD33" s="20">
        <v>8000000</v>
      </c>
    </row>
    <row r="34" spans="1:30" x14ac:dyDescent="0.25">
      <c r="A34" s="41">
        <v>41275</v>
      </c>
      <c r="B34" s="42">
        <f>YEAR(Granos[[#This Row],[Tiempo]])</f>
        <v>2013</v>
      </c>
      <c r="C34" s="20">
        <v>28000</v>
      </c>
      <c r="D34" s="20">
        <v>53000</v>
      </c>
      <c r="E34" s="20">
        <v>243000</v>
      </c>
      <c r="F34" s="20">
        <v>158000</v>
      </c>
      <c r="G34" s="20">
        <v>1460000</v>
      </c>
      <c r="H34" s="20">
        <v>445000</v>
      </c>
      <c r="I34" s="20">
        <v>9000</v>
      </c>
      <c r="J34" s="20">
        <v>300</v>
      </c>
      <c r="K34" s="20">
        <v>1342000</v>
      </c>
      <c r="L34" s="20">
        <v>4730000</v>
      </c>
      <c r="M34" s="20">
        <v>310000</v>
      </c>
      <c r="N34" s="20">
        <v>52000</v>
      </c>
      <c r="O34" s="20">
        <v>1300000</v>
      </c>
      <c r="P34" s="20">
        <v>2060000</v>
      </c>
      <c r="Q34" s="20">
        <v>18000</v>
      </c>
      <c r="R34" s="20">
        <v>20000</v>
      </c>
      <c r="S34" s="20">
        <v>6100000</v>
      </c>
      <c r="T34" s="20">
        <v>33000000</v>
      </c>
      <c r="U34" s="20">
        <v>412000</v>
      </c>
      <c r="V34" s="20">
        <v>1170000</v>
      </c>
      <c r="W34" s="20">
        <v>16000</v>
      </c>
      <c r="X34" s="20">
        <v>3000</v>
      </c>
      <c r="Y34" s="20">
        <v>19700000</v>
      </c>
      <c r="Z34" s="20">
        <v>53400000</v>
      </c>
      <c r="AA34" s="20">
        <v>997000</v>
      </c>
      <c r="AB34" s="20">
        <v>3470000</v>
      </c>
      <c r="AC34" s="20">
        <v>3650000</v>
      </c>
      <c r="AD34" s="20">
        <v>9200000</v>
      </c>
    </row>
    <row r="35" spans="1:30" x14ac:dyDescent="0.25">
      <c r="A35" s="41">
        <v>41640</v>
      </c>
      <c r="B35" s="42">
        <f>YEAR(Granos[[#This Row],[Tiempo]])</f>
        <v>2014</v>
      </c>
      <c r="C35" s="20">
        <v>26000</v>
      </c>
      <c r="D35" s="20">
        <v>32000</v>
      </c>
      <c r="E35" s="20">
        <v>239000</v>
      </c>
      <c r="F35" s="20">
        <v>156000</v>
      </c>
      <c r="G35" s="20">
        <v>1340000</v>
      </c>
      <c r="H35" s="20">
        <v>525000</v>
      </c>
      <c r="I35" s="20">
        <v>44000</v>
      </c>
      <c r="J35" s="20">
        <v>290</v>
      </c>
      <c r="K35" s="20">
        <v>1082000</v>
      </c>
      <c r="L35" s="20">
        <v>2920000</v>
      </c>
      <c r="M35" s="20">
        <v>319000</v>
      </c>
      <c r="N35" s="20">
        <v>97000</v>
      </c>
      <c r="O35" s="20">
        <v>1465000</v>
      </c>
      <c r="P35" s="20">
        <v>3160000</v>
      </c>
      <c r="Q35" s="20">
        <v>15000</v>
      </c>
      <c r="R35" s="20">
        <v>17000</v>
      </c>
      <c r="S35" s="20">
        <v>6000000</v>
      </c>
      <c r="T35" s="20">
        <v>33800000</v>
      </c>
      <c r="U35" s="20">
        <v>425500</v>
      </c>
      <c r="V35" s="20">
        <v>1000000</v>
      </c>
      <c r="W35" s="20">
        <v>11000</v>
      </c>
      <c r="X35" s="20">
        <v>4640</v>
      </c>
      <c r="Y35" s="20">
        <v>19790000</v>
      </c>
      <c r="Z35" s="20">
        <v>61400000</v>
      </c>
      <c r="AA35" s="20">
        <v>840000</v>
      </c>
      <c r="AB35" s="20">
        <v>3100000</v>
      </c>
      <c r="AC35" s="20">
        <v>5260000</v>
      </c>
      <c r="AD35" s="20">
        <v>1393000</v>
      </c>
    </row>
    <row r="36" spans="1:30" x14ac:dyDescent="0.25">
      <c r="A36" s="41">
        <v>42005</v>
      </c>
      <c r="B36" s="42">
        <f>YEAR(Granos[[#This Row],[Tiempo]])</f>
        <v>2015</v>
      </c>
      <c r="C36" s="20">
        <v>19000</v>
      </c>
      <c r="D36" s="20">
        <v>29000</v>
      </c>
      <c r="E36" s="20">
        <v>215000</v>
      </c>
      <c r="F36" s="20">
        <v>140000</v>
      </c>
      <c r="G36" s="20">
        <v>1329000</v>
      </c>
      <c r="H36" s="20">
        <v>553000</v>
      </c>
      <c r="I36" s="20">
        <v>80000</v>
      </c>
      <c r="J36" s="20">
        <v>520</v>
      </c>
      <c r="K36" s="20">
        <v>1514000</v>
      </c>
      <c r="L36" s="20">
        <v>4950000</v>
      </c>
      <c r="M36" s="20">
        <v>332000</v>
      </c>
      <c r="N36" s="20">
        <v>61000</v>
      </c>
      <c r="O36" s="20">
        <v>1435000</v>
      </c>
      <c r="P36" s="20">
        <v>3000000</v>
      </c>
      <c r="Q36" s="20">
        <v>17000</v>
      </c>
      <c r="R36" s="20">
        <v>20000</v>
      </c>
      <c r="S36" s="20">
        <v>6900000</v>
      </c>
      <c r="T36" s="20">
        <v>39800000</v>
      </c>
      <c r="U36" s="20">
        <v>370000</v>
      </c>
      <c r="V36" s="20">
        <v>1000000</v>
      </c>
      <c r="W36" s="20">
        <v>13000</v>
      </c>
      <c r="X36" s="20">
        <v>6870</v>
      </c>
      <c r="Y36" s="20">
        <v>20479000</v>
      </c>
      <c r="Z36" s="20">
        <v>58800000</v>
      </c>
      <c r="AA36" s="20">
        <v>843000</v>
      </c>
      <c r="AB36" s="20">
        <v>3030000</v>
      </c>
      <c r="AC36" s="20">
        <v>4380000</v>
      </c>
      <c r="AD36" s="20">
        <v>1130000</v>
      </c>
    </row>
    <row r="37" spans="1:30" x14ac:dyDescent="0.25">
      <c r="A37" s="41">
        <v>42370</v>
      </c>
      <c r="B37" s="42">
        <f>YEAR(Granos[[#This Row],[Tiempo]])</f>
        <v>2016</v>
      </c>
      <c r="C37" s="20">
        <v>32000</v>
      </c>
      <c r="D37" s="20">
        <v>44000</v>
      </c>
      <c r="E37" s="20">
        <v>206000</v>
      </c>
      <c r="F37" s="20">
        <v>133000</v>
      </c>
      <c r="G37" s="20">
        <v>1350000</v>
      </c>
      <c r="H37" s="20">
        <v>785000</v>
      </c>
      <c r="I37" s="20">
        <v>26000</v>
      </c>
      <c r="J37" s="20">
        <v>180</v>
      </c>
      <c r="K37" s="20">
        <v>980000</v>
      </c>
      <c r="L37" s="20">
        <v>3300000</v>
      </c>
      <c r="M37" s="20">
        <v>307000</v>
      </c>
      <c r="N37" s="20">
        <v>79000</v>
      </c>
      <c r="O37" s="20">
        <v>1860000</v>
      </c>
      <c r="P37" s="20">
        <v>3550000</v>
      </c>
      <c r="Q37" s="20">
        <v>13000</v>
      </c>
      <c r="R37" s="20">
        <v>17000</v>
      </c>
      <c r="S37" s="20">
        <v>8480000</v>
      </c>
      <c r="T37" s="20">
        <v>49500000</v>
      </c>
      <c r="U37" s="20">
        <v>364000</v>
      </c>
      <c r="V37" s="20">
        <v>1080000</v>
      </c>
      <c r="W37" s="20">
        <v>6940</v>
      </c>
      <c r="X37" s="20">
        <v>5330</v>
      </c>
      <c r="Y37" s="20">
        <v>18057000</v>
      </c>
      <c r="Z37" s="20">
        <v>55000000</v>
      </c>
      <c r="AA37" s="20">
        <v>728000</v>
      </c>
      <c r="AB37" s="20">
        <v>2530000</v>
      </c>
      <c r="AC37" s="20">
        <v>6360000</v>
      </c>
      <c r="AD37" s="20">
        <v>1839000</v>
      </c>
    </row>
    <row r="38" spans="1:30" x14ac:dyDescent="0.25">
      <c r="A38" s="41">
        <v>42736</v>
      </c>
      <c r="B38" s="42">
        <f>YEAR(Granos[[#This Row],[Tiempo]])</f>
        <v>2017</v>
      </c>
      <c r="C38" s="20">
        <v>15000</v>
      </c>
      <c r="D38" s="20">
        <v>22000</v>
      </c>
      <c r="E38" s="20">
        <v>202000</v>
      </c>
      <c r="F38" s="20">
        <v>136800</v>
      </c>
      <c r="G38" s="20">
        <v>1151000</v>
      </c>
      <c r="H38" s="20">
        <v>492000</v>
      </c>
      <c r="I38" s="20">
        <v>35000</v>
      </c>
      <c r="J38" s="20">
        <v>280</v>
      </c>
      <c r="K38" s="20">
        <v>1020000</v>
      </c>
      <c r="L38" s="20">
        <v>3740000</v>
      </c>
      <c r="M38" s="20">
        <v>323000</v>
      </c>
      <c r="N38" s="20">
        <v>86000</v>
      </c>
      <c r="O38" s="20">
        <v>1704000</v>
      </c>
      <c r="P38" s="20">
        <v>3540000</v>
      </c>
      <c r="Q38" s="20">
        <v>12400</v>
      </c>
      <c r="R38" s="20">
        <v>14000</v>
      </c>
      <c r="S38" s="20">
        <v>9140000</v>
      </c>
      <c r="T38" s="20">
        <v>43460000</v>
      </c>
      <c r="U38" s="20">
        <v>452000</v>
      </c>
      <c r="V38" s="20">
        <v>921000</v>
      </c>
      <c r="W38" s="20">
        <v>6380</v>
      </c>
      <c r="X38" s="20">
        <v>2250</v>
      </c>
      <c r="Y38" s="20">
        <v>17260000</v>
      </c>
      <c r="Z38" s="20">
        <v>37790000</v>
      </c>
      <c r="AA38" s="20">
        <v>640000</v>
      </c>
      <c r="AB38" s="20">
        <v>1560000</v>
      </c>
      <c r="AC38" s="20">
        <v>5930000</v>
      </c>
      <c r="AD38" s="20">
        <v>1850000</v>
      </c>
    </row>
    <row r="39" spans="1:30" x14ac:dyDescent="0.25">
      <c r="A39" s="41">
        <v>43101</v>
      </c>
      <c r="B39" s="42">
        <f>YEAR(Granos[[#This Row],[Tiempo]])</f>
        <v>2018</v>
      </c>
      <c r="C39" s="20">
        <v>27000</v>
      </c>
      <c r="D39" s="20">
        <v>41000</v>
      </c>
      <c r="E39" s="20">
        <v>195000</v>
      </c>
      <c r="F39" s="20">
        <v>119000</v>
      </c>
      <c r="G39" s="20">
        <v>1353000</v>
      </c>
      <c r="H39" s="20">
        <v>572000</v>
      </c>
      <c r="I39" s="20">
        <v>28650</v>
      </c>
      <c r="J39" s="20">
        <v>240</v>
      </c>
      <c r="K39" s="20">
        <v>1353100</v>
      </c>
      <c r="L39" s="20">
        <v>4637000</v>
      </c>
      <c r="M39" s="20">
        <v>345000</v>
      </c>
      <c r="N39" s="20">
        <v>87000</v>
      </c>
      <c r="O39" s="20">
        <v>1826000</v>
      </c>
      <c r="P39" s="20">
        <v>3500000</v>
      </c>
      <c r="Q39" s="20">
        <v>14200</v>
      </c>
      <c r="R39" s="20">
        <v>19500</v>
      </c>
      <c r="S39" s="20">
        <v>9000000</v>
      </c>
      <c r="T39" s="20">
        <v>57000000</v>
      </c>
      <c r="U39" s="20">
        <v>389000</v>
      </c>
      <c r="V39" s="20">
        <v>1337000</v>
      </c>
      <c r="W39" s="20">
        <v>8000</v>
      </c>
      <c r="X39" s="20">
        <v>4000</v>
      </c>
      <c r="Y39" s="20">
        <v>17000000</v>
      </c>
      <c r="Z39" s="20">
        <v>55300000</v>
      </c>
      <c r="AA39" s="20">
        <v>530000</v>
      </c>
      <c r="AB39" s="20">
        <v>1600000</v>
      </c>
      <c r="AC39" s="20">
        <v>6290000</v>
      </c>
      <c r="AD39" s="20">
        <v>1946000</v>
      </c>
    </row>
    <row r="40" spans="1:30" x14ac:dyDescent="0.25">
      <c r="A40" s="41">
        <v>43466</v>
      </c>
      <c r="B40" s="42">
        <f>YEAR(Granos[[#This Row],[Tiempo]])</f>
        <v>2019</v>
      </c>
      <c r="C40" s="20">
        <v>15000</v>
      </c>
      <c r="D40" s="20">
        <v>20500</v>
      </c>
      <c r="E40" s="20">
        <v>185000</v>
      </c>
      <c r="F40" s="20">
        <v>122000</v>
      </c>
      <c r="G40" s="20">
        <v>1485000</v>
      </c>
      <c r="H40" s="20">
        <v>600000</v>
      </c>
      <c r="I40" s="20">
        <v>27000</v>
      </c>
      <c r="J40" s="20">
        <v>225</v>
      </c>
      <c r="K40" s="20">
        <v>1277000</v>
      </c>
      <c r="L40" s="20">
        <v>3612800</v>
      </c>
      <c r="M40" s="20">
        <v>726000</v>
      </c>
      <c r="N40" s="20">
        <v>221000</v>
      </c>
      <c r="O40" s="20">
        <v>1400000</v>
      </c>
      <c r="P40" s="20">
        <v>2850000</v>
      </c>
      <c r="Q40" s="20">
        <v>9000</v>
      </c>
      <c r="R40" s="20">
        <v>99500</v>
      </c>
      <c r="S40" s="20">
        <v>9500000</v>
      </c>
      <c r="T40" s="20">
        <v>58500000</v>
      </c>
      <c r="U40" s="20">
        <v>370000</v>
      </c>
      <c r="V40" s="20">
        <v>1300000</v>
      </c>
      <c r="W40" s="20">
        <v>11000</v>
      </c>
      <c r="X40" s="20">
        <v>5400</v>
      </c>
      <c r="Y40" s="20">
        <v>16900000</v>
      </c>
      <c r="Z40" s="20">
        <v>49000000</v>
      </c>
      <c r="AA40" s="20">
        <v>520000</v>
      </c>
      <c r="AB40" s="20">
        <v>1850000</v>
      </c>
      <c r="AC40" s="20">
        <v>6950000</v>
      </c>
      <c r="AD40" s="20">
        <v>1977000</v>
      </c>
    </row>
    <row r="41" spans="1:30" x14ac:dyDescent="0.25">
      <c r="A41" s="41">
        <v>43831</v>
      </c>
      <c r="B41" s="42">
        <f>YEAR(Granos[[#This Row],[Tiempo]])</f>
        <v>2020</v>
      </c>
      <c r="C41" s="20">
        <v>30270</v>
      </c>
      <c r="D41" s="20">
        <v>44300</v>
      </c>
      <c r="E41" s="20">
        <v>200000</v>
      </c>
      <c r="F41" s="20">
        <v>145000</v>
      </c>
      <c r="G41" s="20">
        <v>1405500</v>
      </c>
      <c r="H41" s="20">
        <v>507000</v>
      </c>
      <c r="I41" s="20">
        <v>6000</v>
      </c>
      <c r="J41" s="20">
        <v>430</v>
      </c>
      <c r="K41" s="20">
        <v>1237000</v>
      </c>
      <c r="L41" s="20">
        <v>4036100</v>
      </c>
      <c r="M41" s="20">
        <v>668000</v>
      </c>
      <c r="N41" s="20">
        <v>136000</v>
      </c>
      <c r="O41" s="20">
        <v>1628000</v>
      </c>
      <c r="P41" s="20">
        <v>3250000</v>
      </c>
      <c r="Q41" s="20">
        <v>14200</v>
      </c>
      <c r="R41" s="20">
        <v>19500</v>
      </c>
      <c r="S41" s="20">
        <v>9750000</v>
      </c>
      <c r="T41" s="20">
        <v>60500000</v>
      </c>
      <c r="U41" s="20">
        <v>410000</v>
      </c>
      <c r="V41" s="20">
        <v>1270000</v>
      </c>
      <c r="W41" s="20">
        <v>17000</v>
      </c>
      <c r="X41" s="20">
        <v>9500</v>
      </c>
      <c r="Y41" s="20">
        <v>16650000</v>
      </c>
      <c r="Z41" s="20">
        <v>46000000</v>
      </c>
      <c r="AA41" s="20">
        <v>980000</v>
      </c>
      <c r="AB41" s="20">
        <v>3300000</v>
      </c>
      <c r="AC41" s="20">
        <v>6700000</v>
      </c>
      <c r="AD41" s="20">
        <v>1760000</v>
      </c>
    </row>
    <row r="42" spans="1:30" x14ac:dyDescent="0.25">
      <c r="A42" s="13" t="s">
        <v>48</v>
      </c>
      <c r="B42" s="10">
        <f>SUBTOTAL(103,Granos[[Años ]])</f>
        <v>40</v>
      </c>
      <c r="C42" s="59">
        <f>SUBTOTAL(101,Granos[Alpiste Hectareas])</f>
        <v>28053.625</v>
      </c>
      <c r="D42" s="59">
        <f>SUBTOTAL(101,Granos[Alpiste Toneladas])</f>
        <v>30248.45</v>
      </c>
      <c r="E42" s="59">
        <f>SUBTOTAL(101,Granos[Arroz Hectareas])</f>
        <v>175773.95</v>
      </c>
      <c r="F42" s="59">
        <f>SUBTOTAL(101,Granos[Arroz Toneladas])</f>
        <v>370035.17499999999</v>
      </c>
      <c r="G42" s="59">
        <f>SUBTOTAL(101,Granos[Avena Hetareas])</f>
        <v>1545470.75</v>
      </c>
      <c r="H42" s="59">
        <f>SUBTOTAL(101,Granos[Avena Toneladas])</f>
        <v>495987.72499999998</v>
      </c>
      <c r="I42" s="59">
        <f>SUBTOTAL(101,Granos[Cartamo Hectareas])</f>
        <v>37241.125</v>
      </c>
      <c r="J42" s="59">
        <f>SUBTOTAL(101,Granos[Cartamo Toneladas])</f>
        <v>375.7</v>
      </c>
      <c r="K42" s="59">
        <f>SUBTOTAL(101,Granos[Cebada Hectareas])</f>
        <v>532510.875</v>
      </c>
      <c r="L42" s="59">
        <f>SUBTOTAL(101,Granos[Cebada Toneladas])</f>
        <v>1532481.625</v>
      </c>
      <c r="M42" s="59">
        <f>SUBTOTAL(101,Granos[Centeno Hectareas])</f>
        <v>477311.375</v>
      </c>
      <c r="N42" s="59">
        <f>SUBTOTAL(101,Granos[Centeno Toneladas])</f>
        <v>76339.875</v>
      </c>
      <c r="O42" s="59">
        <f>SUBTOTAL(101,Granos[Girasol Hectareas])</f>
        <v>2240160.375</v>
      </c>
      <c r="P42" s="59">
        <f>SUBTOTAL(101,Granos[Girasol Toneladas])</f>
        <v>3647452.875</v>
      </c>
      <c r="Q42" s="59">
        <f>SUBTOTAL(101,Granos[Lino Hectareas])</f>
        <v>227380.875</v>
      </c>
      <c r="R42" s="59">
        <f>SUBTOTAL(101,Granos[Lino Toneladas])</f>
        <v>181558.67499999999</v>
      </c>
      <c r="S42" s="59">
        <f>SUBTOTAL(101,Granos[[Maiz Hectareas ]])</f>
        <v>4395474.75</v>
      </c>
      <c r="T42" s="59">
        <f>SUBTOTAL(101,Granos[[Maiz Toneladas ]])</f>
        <v>20873871.425000001</v>
      </c>
      <c r="U42" s="59">
        <f>SUBTOTAL(101,Granos[Mani Hectareas])</f>
        <v>252700.25</v>
      </c>
      <c r="V42" s="59">
        <f>SUBTOTAL(101,Granos[Mani Toneladas])</f>
        <v>537226.625</v>
      </c>
      <c r="W42" s="59">
        <f>SUBTOTAL(101,Granos[Mijo Hectareas])</f>
        <v>78226</v>
      </c>
      <c r="X42" s="59">
        <f>SUBTOTAL(101,Granos[Mijo Toneladas])</f>
        <v>47411.199999999997</v>
      </c>
      <c r="Y42" s="59">
        <f>SUBTOTAL(101,Granos[Soja Hectareas])</f>
        <v>11203984.875</v>
      </c>
      <c r="Z42" s="59">
        <f>SUBTOTAL(101,Granos[Soja Toneladas])</f>
        <v>28447634.050000001</v>
      </c>
      <c r="AA42" s="59">
        <f>SUBTOTAL(101,Granos[Sorgogranifero Hectareas])</f>
        <v>992230.875</v>
      </c>
      <c r="AB42" s="59">
        <f>SUBTOTAL(101,Granos[sorgogranifero Toneladas])</f>
        <v>3232142</v>
      </c>
      <c r="AC42" s="59">
        <f>SUBTOTAL(101,Granos[Trigo Hectareas])</f>
        <v>5600687.875</v>
      </c>
      <c r="AD42" s="59">
        <f>SUBTOTAL(101,Granos[[Trigo Toneladas ]])</f>
        <v>3915320.7</v>
      </c>
    </row>
    <row r="43" spans="1:30" x14ac:dyDescent="0.25"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</row>
    <row r="44" spans="1:30" x14ac:dyDescent="0.25"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</row>
  </sheetData>
  <dataValidations count="2">
    <dataValidation type="date" operator="greaterThanOrEqual" allowBlank="1" showInputMessage="1" showErrorMessage="1" error="introducir valores a partir de 1980" prompt="Fechas a partir de 1980" sqref="A2:A41">
      <formula1>1980</formula1>
    </dataValidation>
    <dataValidation type="whole" operator="greaterThanOrEqual" allowBlank="1" showInputMessage="1" showErrorMessage="1" error="solo numeros enteros y mayores a 0" prompt="Acepta solo valores enteros mayores a 0" sqref="B2:AD41">
      <formula1>0</formula1>
    </dataValidation>
  </dataValidations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8"/>
  <sheetViews>
    <sheetView workbookViewId="0">
      <selection activeCell="C10" sqref="C10"/>
    </sheetView>
  </sheetViews>
  <sheetFormatPr baseColWidth="10" defaultRowHeight="15" x14ac:dyDescent="0.25"/>
  <cols>
    <col min="1" max="2" width="14" bestFit="1" customWidth="1"/>
    <col min="3" max="3" width="24.28515625" bestFit="1" customWidth="1"/>
    <col min="4" max="4" width="26.140625" bestFit="1" customWidth="1"/>
    <col min="5" max="5" width="25.28515625" bestFit="1" customWidth="1"/>
    <col min="6" max="6" width="26.42578125" bestFit="1" customWidth="1"/>
    <col min="7" max="7" width="25" bestFit="1" customWidth="1"/>
    <col min="8" max="8" width="22.42578125" bestFit="1" customWidth="1"/>
    <col min="9" max="9" width="23" bestFit="1" customWidth="1"/>
    <col min="10" max="10" width="23.28515625" bestFit="1" customWidth="1"/>
    <col min="11" max="11" width="22.85546875" bestFit="1" customWidth="1"/>
    <col min="12" max="12" width="22.42578125" bestFit="1" customWidth="1"/>
    <col min="13" max="13" width="32" bestFit="1" customWidth="1"/>
    <col min="14" max="14" width="23.140625" bestFit="1" customWidth="1"/>
  </cols>
  <sheetData>
    <row r="2" spans="1:2" x14ac:dyDescent="0.25">
      <c r="A2" s="61" t="s">
        <v>77</v>
      </c>
      <c r="B2" t="s" vm="1">
        <v>95</v>
      </c>
    </row>
    <row r="3" spans="1:2" x14ac:dyDescent="0.25">
      <c r="A3" t="s">
        <v>92</v>
      </c>
      <c r="B3" t="s">
        <v>93</v>
      </c>
    </row>
    <row r="4" spans="1:2" x14ac:dyDescent="0.25">
      <c r="A4" s="61" t="s">
        <v>76</v>
      </c>
    </row>
    <row r="5" spans="1:2" x14ac:dyDescent="0.25">
      <c r="A5" s="63" t="s">
        <v>1</v>
      </c>
      <c r="B5" s="10">
        <v>20500</v>
      </c>
    </row>
    <row r="6" spans="1:2" x14ac:dyDescent="0.25">
      <c r="A6" s="63" t="s">
        <v>79</v>
      </c>
      <c r="B6" s="10">
        <v>122000</v>
      </c>
    </row>
    <row r="7" spans="1:2" x14ac:dyDescent="0.25">
      <c r="A7" s="63" t="s">
        <v>2</v>
      </c>
      <c r="B7" s="10">
        <v>600000</v>
      </c>
    </row>
    <row r="8" spans="1:2" x14ac:dyDescent="0.25">
      <c r="A8" s="63" t="s">
        <v>80</v>
      </c>
      <c r="B8" s="10">
        <v>225</v>
      </c>
    </row>
    <row r="9" spans="1:2" x14ac:dyDescent="0.25">
      <c r="A9" s="63" t="s">
        <v>90</v>
      </c>
      <c r="B9" s="10">
        <v>3612800</v>
      </c>
    </row>
    <row r="10" spans="1:2" x14ac:dyDescent="0.25">
      <c r="A10" s="63" t="s">
        <v>81</v>
      </c>
      <c r="B10" s="10">
        <v>221000</v>
      </c>
    </row>
    <row r="11" spans="1:2" x14ac:dyDescent="0.25">
      <c r="A11" s="63" t="s">
        <v>82</v>
      </c>
      <c r="B11" s="10">
        <v>2850000</v>
      </c>
    </row>
    <row r="12" spans="1:2" x14ac:dyDescent="0.25">
      <c r="A12" s="63" t="s">
        <v>83</v>
      </c>
      <c r="B12" s="10">
        <v>99500</v>
      </c>
    </row>
    <row r="13" spans="1:2" x14ac:dyDescent="0.25">
      <c r="A13" s="63" t="s">
        <v>84</v>
      </c>
      <c r="B13" s="10">
        <v>58500000</v>
      </c>
    </row>
    <row r="14" spans="1:2" x14ac:dyDescent="0.25">
      <c r="A14" s="63" t="s">
        <v>85</v>
      </c>
      <c r="B14" s="10">
        <v>1300000</v>
      </c>
    </row>
    <row r="15" spans="1:2" x14ac:dyDescent="0.25">
      <c r="A15" s="63" t="s">
        <v>86</v>
      </c>
      <c r="B15" s="10">
        <v>5400</v>
      </c>
    </row>
    <row r="16" spans="1:2" x14ac:dyDescent="0.25">
      <c r="A16" s="63" t="s">
        <v>87</v>
      </c>
      <c r="B16" s="10">
        <v>49000000</v>
      </c>
    </row>
    <row r="17" spans="1:2" x14ac:dyDescent="0.25">
      <c r="A17" s="63" t="s">
        <v>91</v>
      </c>
      <c r="B17" s="10">
        <v>1850000</v>
      </c>
    </row>
    <row r="18" spans="1:2" x14ac:dyDescent="0.25">
      <c r="A18" s="63" t="s">
        <v>89</v>
      </c>
      <c r="B18" s="10">
        <v>1977000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"/>
  <sheetViews>
    <sheetView showGridLines="0" showWhiteSpace="0" view="pageLayout" zoomScaleNormal="80" zoomScaleSheetLayoutView="40" workbookViewId="0">
      <selection activeCell="L10" sqref="L10"/>
    </sheetView>
  </sheetViews>
  <sheetFormatPr baseColWidth="10" defaultRowHeight="15" x14ac:dyDescent="0.25"/>
  <sheetData/>
  <pageMargins left="0.7" right="0.7" top="0.75" bottom="0.75" header="0.3" footer="0.3"/>
  <pageSetup paperSize="3" orientation="landscape" r:id="rId1"/>
  <headerFooter>
    <oddHeader>&amp;C&amp;A&amp;RUltima Actualizacion: &amp;D</oddHeader>
    <oddFooter>&amp;C&amp;F&amp;RPágina &amp;P</oddFooter>
  </headerFooter>
  <drawing r:id="rId2"/>
  <picture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workbookViewId="0">
      <selection activeCell="C10" sqref="C10"/>
    </sheetView>
  </sheetViews>
  <sheetFormatPr baseColWidth="10" defaultRowHeight="15" x14ac:dyDescent="0.25"/>
  <cols>
    <col min="1" max="1" width="15.28515625" style="6" customWidth="1"/>
    <col min="2" max="2" width="32.85546875" style="20" customWidth="1"/>
    <col min="3" max="3" width="25.42578125" style="17" customWidth="1"/>
    <col min="4" max="4" width="25.7109375" customWidth="1"/>
    <col min="5" max="5" width="37.5703125" customWidth="1"/>
    <col min="6" max="6" width="39.5703125" customWidth="1"/>
  </cols>
  <sheetData>
    <row r="2" spans="1:4" x14ac:dyDescent="0.25">
      <c r="A2" s="23" t="s">
        <v>3</v>
      </c>
      <c r="B2" s="34" t="s">
        <v>32</v>
      </c>
      <c r="C2" s="45" t="s">
        <v>33</v>
      </c>
    </row>
    <row r="3" spans="1:4" ht="30" x14ac:dyDescent="0.25">
      <c r="A3" s="18">
        <f>ROW()-ROW(Alpiste[[#Headers],[id]])</f>
        <v>1</v>
      </c>
      <c r="B3" s="35" t="str">
        <f>VLOOKUP(Alpiste[[#This Row],[id]],Resumen_de_información[],2,FALSE)</f>
        <v>¿cuál es el promedio de las hectáreas sembradas?</v>
      </c>
      <c r="C3" s="44">
        <f>AVERAGE(Granos[Alpiste Hectareas])</f>
        <v>28053.625</v>
      </c>
    </row>
    <row r="4" spans="1:4" ht="18.75" customHeight="1" x14ac:dyDescent="0.25">
      <c r="A4" s="18">
        <f>ROW()-ROW(Alpiste[[#Headers],[id]])</f>
        <v>2</v>
      </c>
      <c r="B4" s="35" t="str">
        <f>VLOOKUP(Alpiste[[#This Row],[id]],Resumen_de_información[],2,FALSE)</f>
        <v>¿cuál es el promedio de toneladas obtenidas ?</v>
      </c>
      <c r="C4" s="44">
        <f>AVERAGE(Granos[Alpiste Toneladas])</f>
        <v>30248.45</v>
      </c>
    </row>
    <row r="5" spans="1:4" ht="30" x14ac:dyDescent="0.25">
      <c r="A5" s="18">
        <f>ROW()-ROW(Alpiste[[#Headers],[id]])</f>
        <v>3</v>
      </c>
      <c r="B5" s="35" t="str">
        <f>VLOOKUP(Alpiste[[#This Row],[id]],Resumen_de_información[],2,FALSE)</f>
        <v>¿cuál es la máxima cantidad de hectáreas sembradas?</v>
      </c>
      <c r="C5" s="44">
        <f>MAX(Granos[Alpiste Hectareas])</f>
        <v>60000</v>
      </c>
    </row>
    <row r="6" spans="1:4" ht="30" x14ac:dyDescent="0.25">
      <c r="A6" s="18">
        <f>ROW()-ROW(Alpiste[[#Headers],[id]])</f>
        <v>4</v>
      </c>
      <c r="B6" s="35" t="str">
        <f>VLOOKUP(Alpiste[[#This Row],[id]],Resumen_de_información[],2,FALSE)</f>
        <v>¿cuál es la cantidad mínima de hectáreas sembradas?</v>
      </c>
      <c r="C6" s="44">
        <f>MIN(Granos[Alpiste Hectareas])</f>
        <v>9000</v>
      </c>
    </row>
    <row r="7" spans="1:4" ht="30" x14ac:dyDescent="0.25">
      <c r="A7" s="18">
        <f>ROW()-ROW(Alpiste[[#Headers],[id]])</f>
        <v>5</v>
      </c>
      <c r="B7" s="35" t="str">
        <f>VLOOKUP(Alpiste[[#This Row],[id]],Resumen_de_información[],2,FALSE)</f>
        <v>¿cuál es la cantidad máxima de toneladas obtenidas?</v>
      </c>
      <c r="C7" s="44">
        <f>MAX(Granos[Alpiste Toneladas])</f>
        <v>63000</v>
      </c>
    </row>
    <row r="8" spans="1:4" ht="30" x14ac:dyDescent="0.25">
      <c r="A8" s="18">
        <f>ROW()-ROW(Alpiste[[#Headers],[id]])</f>
        <v>6</v>
      </c>
      <c r="B8" s="35" t="str">
        <f>VLOOKUP(Alpiste[[#This Row],[id]],Resumen_de_información[],2,FALSE)</f>
        <v>¿cuál es la cantidad mínima de toneladas obtenidas?</v>
      </c>
      <c r="C8" s="44">
        <f>MIN(Granos[Alpiste Toneladas])</f>
        <v>9000</v>
      </c>
      <c r="D8" s="22"/>
    </row>
    <row r="9" spans="1:4" ht="30" x14ac:dyDescent="0.25">
      <c r="A9" s="18">
        <f>ROW()-ROW(Alpiste[[#Headers],[id]])</f>
        <v>7</v>
      </c>
      <c r="B9" s="35" t="str">
        <f>VLOOKUP(Alpiste[[#This Row],[id]],Resumen_de_información[],2,FALSE)</f>
        <v>¿cuánto varían las cantidades máximas ?</v>
      </c>
      <c r="C9" s="46">
        <f>(C7-C5)/(C7+C5)</f>
        <v>2.4390243902439025E-2</v>
      </c>
    </row>
    <row r="10" spans="1:4" ht="30" x14ac:dyDescent="0.25">
      <c r="A10" s="18">
        <f>ROW()-ROW(Alpiste[[#Headers],[id]])</f>
        <v>8</v>
      </c>
      <c r="B10" s="35" t="str">
        <f>VLOOKUP(Alpiste[[#This Row],[id]],Resumen_de_información[],2,FALSE)</f>
        <v>¿cuánto varían las cantidades mínimas?</v>
      </c>
      <c r="C10" s="46">
        <f>(C8-C6)/(C6+C8)</f>
        <v>0</v>
      </c>
    </row>
    <row r="11" spans="1:4" ht="45" x14ac:dyDescent="0.25">
      <c r="A11" s="18">
        <f>ROW()-ROW(Alpiste[[#Headers],[id]])</f>
        <v>9</v>
      </c>
      <c r="B11" s="35" t="str">
        <f>VLOOKUP(Alpiste[[#This Row],[id]],Resumen_de_información[],2,FALSE)</f>
        <v>¿cuál es el rendimiento promedio de las toneladas sobre las hectáreas?</v>
      </c>
      <c r="C11" s="46">
        <f>(C4-C3)/(C3+C4)</f>
        <v>3.7645744169482832E-2</v>
      </c>
    </row>
    <row r="12" spans="1:4" ht="45" x14ac:dyDescent="0.25">
      <c r="A12" s="18">
        <f>ROW()-ROW(Alpiste[[#Headers],[id]])</f>
        <v>10</v>
      </c>
      <c r="B12" s="35" t="str">
        <f>VLOOKUP(Alpiste[[#This Row],[id]],Resumen_de_información[],2,FALSE)</f>
        <v>¿cuál es el promedio entre los valores máximos y mínimos de las hectáreas?</v>
      </c>
      <c r="C12" s="46">
        <f>(C5-C6)/(C5+C6)</f>
        <v>0.73913043478260865</v>
      </c>
    </row>
    <row r="13" spans="1:4" ht="45" x14ac:dyDescent="0.25">
      <c r="A13" s="18">
        <f>ROW()-ROW(Alpiste[[#Headers],[id]])</f>
        <v>11</v>
      </c>
      <c r="B13" s="35" t="str">
        <f>VLOOKUP(Alpiste[[#This Row],[id]],Resumen_de_información[],2,FALSE)</f>
        <v>¿cuál es el promedio entre los valores máximos y mínimos de las toneladas?</v>
      </c>
      <c r="C13" s="46">
        <f>(C7-C8)/(C7+C8)</f>
        <v>0.75</v>
      </c>
    </row>
    <row r="14" spans="1:4" ht="60" x14ac:dyDescent="0.25">
      <c r="A14" s="18">
        <f>ROW()-ROW(Alpiste[[#Headers],[id]])</f>
        <v>12</v>
      </c>
      <c r="B14" s="36" t="str">
        <f>VLOOKUP(Alpiste[[#This Row],[id]],Resumen_de_información[],2,FALSE)</f>
        <v>¿cuál es el promedio entre los promedios de los valores máximos y mínimos de las hectáreas y toneladas?</v>
      </c>
      <c r="C14" s="47">
        <f>(C13-C12)/(C12+C13)</f>
        <v>7.2992700729927334E-3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workbookViewId="0">
      <selection activeCell="C20" sqref="C20"/>
    </sheetView>
  </sheetViews>
  <sheetFormatPr baseColWidth="10" defaultRowHeight="15" x14ac:dyDescent="0.25"/>
  <cols>
    <col min="1" max="1" width="8.7109375" style="6" customWidth="1"/>
    <col min="2" max="2" width="53.85546875" style="22" customWidth="1"/>
    <col min="3" max="3" width="20" customWidth="1"/>
  </cols>
  <sheetData>
    <row r="2" spans="1:3" x14ac:dyDescent="0.25">
      <c r="A2" s="23" t="s">
        <v>3</v>
      </c>
      <c r="B2" s="34" t="s">
        <v>32</v>
      </c>
      <c r="C2" s="45" t="s">
        <v>33</v>
      </c>
    </row>
    <row r="3" spans="1:3" x14ac:dyDescent="0.25">
      <c r="A3" s="18">
        <f>ROW()-ROW(Arroz[[#Headers],[id]])</f>
        <v>1</v>
      </c>
      <c r="B3" s="35" t="str">
        <f>VLOOKUP(Arroz[[#This Row],[id]],Resumen_de_información[],2,FALSE)</f>
        <v>¿cuál es el promedio de las hectáreas sembradas?</v>
      </c>
      <c r="C3" s="44">
        <f>AVERAGE(Granos[Arroz Hectareas])</f>
        <v>175773.95</v>
      </c>
    </row>
    <row r="4" spans="1:3" x14ac:dyDescent="0.25">
      <c r="A4" s="18">
        <f>ROW()-ROW(Arroz[[#Headers],[id]])</f>
        <v>2</v>
      </c>
      <c r="B4" s="35" t="str">
        <f>VLOOKUP(Arroz[[#This Row],[id]],Resumen_de_información[],2,FALSE)</f>
        <v>¿cuál es el promedio de toneladas obtenidas ?</v>
      </c>
      <c r="C4" s="44">
        <f>AVERAGE(Granos[Arroz Toneladas])</f>
        <v>370035.17499999999</v>
      </c>
    </row>
    <row r="5" spans="1:3" x14ac:dyDescent="0.25">
      <c r="A5" s="18">
        <f>ROW()-ROW(Arroz[[#Headers],[id]])</f>
        <v>3</v>
      </c>
      <c r="B5" s="35" t="str">
        <f>VLOOKUP(Arroz[[#This Row],[id]],Resumen_de_información[],2,FALSE)</f>
        <v>¿cuál es la máxima cantidad de hectáreas sembradas?</v>
      </c>
      <c r="C5" s="44">
        <f>MAX(Granos[Arroz Hectareas])</f>
        <v>290850</v>
      </c>
    </row>
    <row r="6" spans="1:3" x14ac:dyDescent="0.25">
      <c r="A6" s="18">
        <f>ROW()-ROW(Arroz[[#Headers],[id]])</f>
        <v>4</v>
      </c>
      <c r="B6" s="35" t="str">
        <f>VLOOKUP(Arroz[[#This Row],[id]],Resumen_de_información[],2,FALSE)</f>
        <v>¿cuál es la cantidad mínima de hectáreas sembradas?</v>
      </c>
      <c r="C6" s="44">
        <f>MIN(Granos[Arroz Hectareas])</f>
        <v>91700</v>
      </c>
    </row>
    <row r="7" spans="1:3" x14ac:dyDescent="0.25">
      <c r="A7" s="18">
        <f>ROW()-ROW(Arroz[[#Headers],[id]])</f>
        <v>5</v>
      </c>
      <c r="B7" s="35" t="str">
        <f>VLOOKUP(Arroz[[#This Row],[id]],Resumen_de_información[],2,FALSE)</f>
        <v>¿cuál es la cantidad máxima de toneladas obtenidas?</v>
      </c>
      <c r="C7" s="44">
        <f>MAX(Granos[Arroz Toneladas])</f>
        <v>986000</v>
      </c>
    </row>
    <row r="8" spans="1:3" x14ac:dyDescent="0.25">
      <c r="A8" s="18">
        <f>ROW()-ROW(Arroz[[#Headers],[id]])</f>
        <v>6</v>
      </c>
      <c r="B8" s="35" t="str">
        <f>VLOOKUP(Arroz[[#This Row],[id]],Resumen_de_información[],2,FALSE)</f>
        <v>¿cuál es la cantidad mínima de toneladas obtenidas?</v>
      </c>
      <c r="C8" s="44">
        <f>MIN(Granos[Arroz Toneladas])</f>
        <v>101113</v>
      </c>
    </row>
    <row r="9" spans="1:3" x14ac:dyDescent="0.25">
      <c r="A9" s="18">
        <f>ROW()-ROW(Arroz[[#Headers],[id]])</f>
        <v>7</v>
      </c>
      <c r="B9" s="35" t="str">
        <f>VLOOKUP(Arroz[[#This Row],[id]],Resumen_de_información[],2,FALSE)</f>
        <v>¿cuánto varían las cantidades máximas ?</v>
      </c>
      <c r="C9" s="46">
        <f>(C7-C5)/(C7+C5)</f>
        <v>0.54442573520773774</v>
      </c>
    </row>
    <row r="10" spans="1:3" x14ac:dyDescent="0.25">
      <c r="A10" s="18">
        <f>ROW()-ROW(Arroz[[#Headers],[id]])</f>
        <v>8</v>
      </c>
      <c r="B10" s="35" t="str">
        <f>VLOOKUP(Arroz[[#This Row],[id]],Resumen_de_información[],2,FALSE)</f>
        <v>¿cuánto varían las cantidades mínimas?</v>
      </c>
      <c r="C10" s="46">
        <f>(C8-C6)/(C6+C8)</f>
        <v>4.881932234859683E-2</v>
      </c>
    </row>
    <row r="11" spans="1:3" ht="30" x14ac:dyDescent="0.25">
      <c r="A11" s="18">
        <f>ROW()-ROW(Arroz[[#Headers],[id]])</f>
        <v>9</v>
      </c>
      <c r="B11" s="35" t="str">
        <f>VLOOKUP(Arroz[[#This Row],[id]],Resumen_de_información[],2,FALSE)</f>
        <v>¿cuál es el rendimiento promedio de las toneladas sobre las hectáreas?</v>
      </c>
      <c r="C11" s="46">
        <f>(C4-C3)/(C3+C4)</f>
        <v>0.35591421268378387</v>
      </c>
    </row>
    <row r="12" spans="1:3" ht="30" x14ac:dyDescent="0.25">
      <c r="A12" s="18">
        <f>ROW()-ROW(Arroz[[#Headers],[id]])</f>
        <v>10</v>
      </c>
      <c r="B12" s="35" t="str">
        <f>VLOOKUP(Arroz[[#This Row],[id]],Resumen_de_información[],2,FALSE)</f>
        <v>¿cuál es el promedio entre los valores máximos y mínimos de las hectáreas?</v>
      </c>
      <c r="C12" s="46">
        <f>(C5-C6)/(C5+C6)</f>
        <v>0.52058554437328453</v>
      </c>
    </row>
    <row r="13" spans="1:3" ht="30" x14ac:dyDescent="0.25">
      <c r="A13" s="18">
        <f>ROW()-ROW(Arroz[[#Headers],[id]])</f>
        <v>11</v>
      </c>
      <c r="B13" s="35" t="str">
        <f>VLOOKUP(Arroz[[#This Row],[id]],Resumen_de_información[],2,FALSE)</f>
        <v>¿cuál es el promedio entre los valores máximos y mínimos de las toneladas?</v>
      </c>
      <c r="C13" s="46">
        <f>(C7-C8)/(C7+C8)</f>
        <v>0.81397885960337146</v>
      </c>
    </row>
    <row r="14" spans="1:3" ht="30" x14ac:dyDescent="0.25">
      <c r="A14" s="18">
        <f>ROW()-ROW(Arroz[[#Headers],[id]])</f>
        <v>12</v>
      </c>
      <c r="B14" s="36" t="str">
        <f>VLOOKUP(Arroz[[#This Row],[id]],Resumen_de_información[],2,FALSE)</f>
        <v>¿cuál es el promedio entre los promedios de los valores máximos y mínimos de las hectáreas y toneladas?</v>
      </c>
      <c r="C14" s="47">
        <f>(C13-C12)/(C12+C13)</f>
        <v>0.21984200564307793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tabSelected="1" workbookViewId="0">
      <selection activeCell="B12" sqref="B12"/>
    </sheetView>
  </sheetViews>
  <sheetFormatPr baseColWidth="10" defaultRowHeight="15" x14ac:dyDescent="0.25"/>
  <cols>
    <col min="1" max="1" width="8.7109375" style="6" customWidth="1"/>
    <col min="2" max="2" width="54.85546875" style="22" customWidth="1"/>
    <col min="3" max="3" width="38.28515625" customWidth="1"/>
  </cols>
  <sheetData>
    <row r="2" spans="1:3" x14ac:dyDescent="0.25">
      <c r="A2" s="37" t="s">
        <v>3</v>
      </c>
      <c r="B2" s="34" t="s">
        <v>32</v>
      </c>
      <c r="C2" s="27" t="s">
        <v>33</v>
      </c>
    </row>
    <row r="3" spans="1:3" x14ac:dyDescent="0.25">
      <c r="A3" s="6">
        <f>ROW()-ROW(Avena[[#Headers],[id]])</f>
        <v>1</v>
      </c>
      <c r="B3" s="35" t="str">
        <f>VLOOKUP(Avena[[#This Row],[id]],Resumen_de_información[],2,FALSE)</f>
        <v>¿cuál es el promedio de las hectáreas sembradas?</v>
      </c>
      <c r="C3" s="12">
        <f>AVERAGE(Granos[Avena Hetareas])</f>
        <v>1545470.75</v>
      </c>
    </row>
    <row r="4" spans="1:3" x14ac:dyDescent="0.25">
      <c r="A4" s="6">
        <f>ROW()-ROW(Avena[[#Headers],[id]])</f>
        <v>2</v>
      </c>
      <c r="B4" s="35" t="str">
        <f>VLOOKUP(Avena[[#This Row],[id]],Resumen_de_información[],2,FALSE)</f>
        <v>¿cuál es el promedio de toneladas obtenidas ?</v>
      </c>
      <c r="C4" s="12">
        <f>AVERAGE(Granos[Avena Toneladas])</f>
        <v>495987.72499999998</v>
      </c>
    </row>
    <row r="5" spans="1:3" x14ac:dyDescent="0.25">
      <c r="A5" s="6">
        <f>ROW()-ROW(Avena[[#Headers],[id]])</f>
        <v>3</v>
      </c>
      <c r="B5" s="35" t="str">
        <f>VLOOKUP(Avena[[#This Row],[id]],Resumen_de_información[],2,FALSE)</f>
        <v>¿cuál es la máxima cantidad de hectáreas sembradas?</v>
      </c>
      <c r="C5" s="12">
        <f>MAX(Granos[Avena Hetareas])</f>
        <v>2180000</v>
      </c>
    </row>
    <row r="6" spans="1:3" x14ac:dyDescent="0.25">
      <c r="A6" s="6">
        <f>ROW()-ROW(Avena[[#Headers],[id]])</f>
        <v>4</v>
      </c>
      <c r="B6" s="35" t="str">
        <f>VLOOKUP(Avena[[#This Row],[id]],Resumen_de_información[],2,FALSE)</f>
        <v>¿cuál es la cantidad mínima de hectáreas sembradas?</v>
      </c>
      <c r="C6" s="12">
        <f>MIN(Granos[Avena Hetareas])</f>
        <v>917000</v>
      </c>
    </row>
    <row r="7" spans="1:3" x14ac:dyDescent="0.25">
      <c r="A7" s="6">
        <f>ROW()-ROW(Avena[[#Headers],[id]])</f>
        <v>5</v>
      </c>
      <c r="B7" s="35" t="str">
        <f>VLOOKUP(Avena[[#This Row],[id]],Resumen_de_información[],2,FALSE)</f>
        <v>¿cuál es la cantidad máxima de toneladas obtenidas?</v>
      </c>
      <c r="C7" s="12">
        <f>MAX(Granos[Avena Toneladas])</f>
        <v>785000</v>
      </c>
    </row>
    <row r="8" spans="1:3" x14ac:dyDescent="0.25">
      <c r="A8" s="6">
        <f>ROW()-ROW(Avena[[#Headers],[id]])</f>
        <v>6</v>
      </c>
      <c r="B8" s="35" t="str">
        <f>VLOOKUP(Avena[[#This Row],[id]],Resumen_de_información[],2,FALSE)</f>
        <v>¿cuál es la cantidad mínima de toneladas obtenidas?</v>
      </c>
      <c r="C8" s="12">
        <f>MIN(Granos[Avena Toneladas])</f>
        <v>182000</v>
      </c>
    </row>
    <row r="9" spans="1:3" x14ac:dyDescent="0.25">
      <c r="A9" s="6">
        <f>ROW()-ROW(Avena[[#Headers],[id]])</f>
        <v>7</v>
      </c>
      <c r="B9" s="35" t="str">
        <f>VLOOKUP(Avena[[#This Row],[id]],Resumen_de_información[],2,FALSE)</f>
        <v>¿cuánto varían las cantidades máximas ?</v>
      </c>
      <c r="C9" s="25">
        <f>(C7-C5)/(C7+C5)</f>
        <v>-0.47048903878583476</v>
      </c>
    </row>
    <row r="10" spans="1:3" x14ac:dyDescent="0.25">
      <c r="A10" s="6">
        <f>ROW()-ROW(Avena[[#Headers],[id]])</f>
        <v>8</v>
      </c>
      <c r="B10" s="35" t="str">
        <f>VLOOKUP(Avena[[#This Row],[id]],Resumen_de_información[],2,FALSE)</f>
        <v>¿cuánto varían las cantidades mínimas?</v>
      </c>
      <c r="C10" s="25">
        <f>(C8-C6)/(C6+C8)</f>
        <v>-0.66878980891719741</v>
      </c>
    </row>
    <row r="11" spans="1:3" ht="30" x14ac:dyDescent="0.25">
      <c r="A11" s="6">
        <f>ROW()-ROW(Avena[[#Headers],[id]])</f>
        <v>9</v>
      </c>
      <c r="B11" s="35" t="str">
        <f>VLOOKUP(Avena[[#This Row],[id]],Resumen_de_información[],2,FALSE)</f>
        <v>¿cuál es el rendimiento promedio de las toneladas sobre las hectáreas?</v>
      </c>
      <c r="C11" s="25">
        <f>(C4-C3)/(C3+C4)</f>
        <v>-0.51408492401492512</v>
      </c>
    </row>
    <row r="12" spans="1:3" ht="30" x14ac:dyDescent="0.25">
      <c r="A12" s="6">
        <f>ROW()-ROW(Avena[[#Headers],[id]])</f>
        <v>10</v>
      </c>
      <c r="B12" s="35" t="str">
        <f>VLOOKUP(Avena[[#This Row],[id]],Resumen_de_información[],2,FALSE)</f>
        <v>¿cuál es el promedio entre los valores máximos y mínimos de las hectáreas?</v>
      </c>
      <c r="C12" s="25">
        <f>(C5-C6)/(C5+C6)</f>
        <v>0.40781401356151115</v>
      </c>
    </row>
    <row r="13" spans="1:3" ht="30" x14ac:dyDescent="0.25">
      <c r="A13" s="6">
        <f>ROW()-ROW(Avena[[#Headers],[id]])</f>
        <v>11</v>
      </c>
      <c r="B13" s="35" t="str">
        <f>VLOOKUP(Avena[[#This Row],[id]],Resumen_de_información[],2,FALSE)</f>
        <v>¿cuál es el promedio entre los valores máximos y mínimos de las toneladas?</v>
      </c>
      <c r="C13" s="25">
        <f>(C7-C8)/(C7+C8)</f>
        <v>0.62357807652533614</v>
      </c>
    </row>
    <row r="14" spans="1:3" ht="30" x14ac:dyDescent="0.25">
      <c r="A14" s="6">
        <f>ROW()-ROW(Avena[[#Headers],[id]])</f>
        <v>12</v>
      </c>
      <c r="B14" s="36" t="str">
        <f>VLOOKUP(Avena[[#This Row],[id]],Resumen_de_información[],2,FALSE)</f>
        <v>¿cuál es el promedio entre los promedios de los valores máximos y mínimos de las hectáreas y toneladas?</v>
      </c>
      <c r="C14" s="28">
        <f>(C13-C12)/(C12+C13)</f>
        <v>0.20919693396684555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workbookViewId="0">
      <selection activeCell="B11" sqref="B11"/>
    </sheetView>
  </sheetViews>
  <sheetFormatPr baseColWidth="10" defaultRowHeight="15" x14ac:dyDescent="0.25"/>
  <cols>
    <col min="1" max="1" width="12.140625" customWidth="1"/>
    <col min="2" max="2" width="54" style="22" customWidth="1"/>
    <col min="3" max="3" width="17.140625" customWidth="1"/>
  </cols>
  <sheetData>
    <row r="2" spans="1:3" x14ac:dyDescent="0.25">
      <c r="A2" s="8" t="s">
        <v>3</v>
      </c>
      <c r="B2" s="43" t="s">
        <v>32</v>
      </c>
      <c r="C2" s="11" t="s">
        <v>33</v>
      </c>
    </row>
    <row r="3" spans="1:3" x14ac:dyDescent="0.25">
      <c r="A3">
        <f>ROW()-ROW(Cartamo[[#Headers],[id]])</f>
        <v>1</v>
      </c>
      <c r="B3" s="35" t="str">
        <f>VLOOKUP(Cartamo[[#This Row],[id]],Resumen_de_información[],2,FALSE)</f>
        <v>¿cuál es el promedio de las hectáreas sembradas?</v>
      </c>
      <c r="C3" s="12">
        <f>AVERAGE(Granos[Cartamo Hectareas])</f>
        <v>37241.125</v>
      </c>
    </row>
    <row r="4" spans="1:3" x14ac:dyDescent="0.25">
      <c r="A4">
        <f>ROW()-ROW(Cartamo[[#Headers],[id]])</f>
        <v>2</v>
      </c>
      <c r="B4" s="35" t="str">
        <f>VLOOKUP(Cartamo[[#This Row],[id]],Resumen_de_información[],2,FALSE)</f>
        <v>¿cuál es el promedio de toneladas obtenidas ?</v>
      </c>
      <c r="C4" s="12">
        <f>AVERAGE(Granos[Cartamo Toneladas])</f>
        <v>375.7</v>
      </c>
    </row>
    <row r="5" spans="1:3" x14ac:dyDescent="0.25">
      <c r="A5">
        <f>ROW()-ROW(Cartamo[[#Headers],[id]])</f>
        <v>3</v>
      </c>
      <c r="B5" s="35" t="str">
        <f>VLOOKUP(Cartamo[[#This Row],[id]],Resumen_de_información[],2,FALSE)</f>
        <v>¿cuál es la máxima cantidad de hectáreas sembradas?</v>
      </c>
      <c r="C5" s="12">
        <f>MAX(Granos[Cartamo Hectareas])</f>
        <v>171000</v>
      </c>
    </row>
    <row r="6" spans="1:3" x14ac:dyDescent="0.25">
      <c r="A6">
        <f>ROW()-ROW(Cartamo[[#Headers],[id]])</f>
        <v>4</v>
      </c>
      <c r="B6" s="35" t="str">
        <f>VLOOKUP(Cartamo[[#This Row],[id]],Resumen_de_información[],2,FALSE)</f>
        <v>¿cuál es la cantidad mínima de hectáreas sembradas?</v>
      </c>
      <c r="C6" s="12">
        <f>MIN(Granos[Cartamo Hectareas])</f>
        <v>650</v>
      </c>
    </row>
    <row r="7" spans="1:3" x14ac:dyDescent="0.25">
      <c r="A7">
        <f>ROW()-ROW(Cartamo[[#Headers],[id]])</f>
        <v>5</v>
      </c>
      <c r="B7" s="35" t="str">
        <f>VLOOKUP(Cartamo[[#This Row],[id]],Resumen_de_información[],2,FALSE)</f>
        <v>¿cuál es la cantidad máxima de toneladas obtenidas?</v>
      </c>
      <c r="C7" s="12">
        <f>MAX(Granos[Cartamo Toneladas])</f>
        <v>955</v>
      </c>
    </row>
    <row r="8" spans="1:3" x14ac:dyDescent="0.25">
      <c r="A8">
        <f>ROW()-ROW(Cartamo[[#Headers],[id]])</f>
        <v>6</v>
      </c>
      <c r="B8" s="35" t="str">
        <f>VLOOKUP(Cartamo[[#This Row],[id]],Resumen_de_información[],2,FALSE)</f>
        <v>¿cuál es la cantidad mínima de toneladas obtenidas?</v>
      </c>
      <c r="C8" s="12">
        <f>MIN(Granos[Cartamo Toneladas])</f>
        <v>104</v>
      </c>
    </row>
    <row r="9" spans="1:3" x14ac:dyDescent="0.25">
      <c r="A9">
        <f>ROW()-ROW(Cartamo[[#Headers],[id]])</f>
        <v>7</v>
      </c>
      <c r="B9" s="35" t="str">
        <f>VLOOKUP(Cartamo[[#This Row],[id]],Resumen_de_información[],2,FALSE)</f>
        <v>¿cuánto varían las cantidades máximas ?</v>
      </c>
      <c r="C9" s="25">
        <f>(C7-C5)/(C7+C5)</f>
        <v>-0.98889244279026489</v>
      </c>
    </row>
    <row r="10" spans="1:3" x14ac:dyDescent="0.25">
      <c r="A10">
        <f>ROW()-ROW(Cartamo[[#Headers],[id]])</f>
        <v>8</v>
      </c>
      <c r="B10" s="35" t="str">
        <f>VLOOKUP(Cartamo[[#This Row],[id]],Resumen_de_información[],2,FALSE)</f>
        <v>¿cuánto varían las cantidades mínimas?</v>
      </c>
      <c r="C10" s="25">
        <f>(C8-C6)/(C6+C8)</f>
        <v>-0.72413793103448276</v>
      </c>
    </row>
    <row r="11" spans="1:3" ht="30" x14ac:dyDescent="0.25">
      <c r="A11">
        <f>ROW()-ROW(Cartamo[[#Headers],[id]])</f>
        <v>9</v>
      </c>
      <c r="B11" s="35" t="str">
        <f>VLOOKUP(Cartamo[[#This Row],[id]],Resumen_de_información[],2,FALSE)</f>
        <v>¿cuál es el rendimiento promedio de las toneladas sobre las hectáreas?</v>
      </c>
      <c r="C11" s="25">
        <f>(C4-C3)/(C3+C4)</f>
        <v>-0.98002489577469676</v>
      </c>
    </row>
    <row r="12" spans="1:3" ht="30" x14ac:dyDescent="0.25">
      <c r="A12">
        <f>ROW()-ROW(Cartamo[[#Headers],[id]])</f>
        <v>10</v>
      </c>
      <c r="B12" s="35" t="str">
        <f>VLOOKUP(Cartamo[[#This Row],[id]],Resumen_de_información[],2,FALSE)</f>
        <v>¿cuál es el promedio entre los valores máximos y mínimos de las hectáreas?</v>
      </c>
      <c r="C12" s="25">
        <f>(C5-C6)/(C5+C6)</f>
        <v>0.99242644916982237</v>
      </c>
    </row>
    <row r="13" spans="1:3" ht="30" x14ac:dyDescent="0.25">
      <c r="A13">
        <f>ROW()-ROW(Cartamo[[#Headers],[id]])</f>
        <v>11</v>
      </c>
      <c r="B13" s="35" t="str">
        <f>VLOOKUP(Cartamo[[#This Row],[id]],Resumen_de_información[],2,FALSE)</f>
        <v>¿cuál es el promedio entre los valores máximos y mínimos de las toneladas?</v>
      </c>
      <c r="C13" s="25">
        <f>(C7-C8)/(C7+C8)</f>
        <v>0.8035882908404155</v>
      </c>
    </row>
    <row r="14" spans="1:3" ht="30" x14ac:dyDescent="0.25">
      <c r="A14">
        <f>ROW()-ROW(Cartamo[[#Headers],[id]])</f>
        <v>12</v>
      </c>
      <c r="B14" s="36" t="str">
        <f>VLOOKUP(Cartamo[[#This Row],[id]],Resumen_de_información[],2,FALSE)</f>
        <v>¿cuál es el promedio entre los promedios de los valores máximos y mínimos de las hectáreas y toneladas?</v>
      </c>
      <c r="C14" s="28">
        <f>(C13-C12)/(C12+C13)</f>
        <v>-0.10514287779638735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workbookViewId="0">
      <selection activeCell="B11" sqref="B11"/>
    </sheetView>
  </sheetViews>
  <sheetFormatPr baseColWidth="10" defaultRowHeight="15" x14ac:dyDescent="0.25"/>
  <cols>
    <col min="1" max="1" width="10.28515625" customWidth="1"/>
    <col min="2" max="2" width="54.140625" style="22" customWidth="1"/>
    <col min="3" max="3" width="24.28515625" customWidth="1"/>
  </cols>
  <sheetData>
    <row r="2" spans="1:3" x14ac:dyDescent="0.25">
      <c r="A2" s="31" t="s">
        <v>3</v>
      </c>
      <c r="B2" s="34" t="s">
        <v>32</v>
      </c>
      <c r="C2" s="27" t="s">
        <v>33</v>
      </c>
    </row>
    <row r="3" spans="1:3" x14ac:dyDescent="0.25">
      <c r="A3" s="14">
        <f>ROW()-ROW(Cebada[[#Headers],[id]])</f>
        <v>1</v>
      </c>
      <c r="B3" s="35" t="str">
        <f>VLOOKUP(Cebada[[#This Row],[id]],Resumen_de_información[],2,FALSE)</f>
        <v>¿cuál es el promedio de las hectáreas sembradas?</v>
      </c>
      <c r="C3" s="12">
        <f>AVERAGE(Granos[Cebada Hectareas])</f>
        <v>532510.875</v>
      </c>
    </row>
    <row r="4" spans="1:3" x14ac:dyDescent="0.25">
      <c r="A4" s="14">
        <f>ROW()-ROW(Cebada[[#Headers],[id]])</f>
        <v>2</v>
      </c>
      <c r="B4" s="35" t="str">
        <f>VLOOKUP(Cebada[[#This Row],[id]],Resumen_de_información[],2,FALSE)</f>
        <v>¿cuál es el promedio de toneladas obtenidas ?</v>
      </c>
      <c r="C4" s="12">
        <f>AVERAGE(Granos[Cebada Toneladas])</f>
        <v>1532481.625</v>
      </c>
    </row>
    <row r="5" spans="1:3" x14ac:dyDescent="0.25">
      <c r="A5" s="14">
        <f>ROW()-ROW(Cebada[[#Headers],[id]])</f>
        <v>3</v>
      </c>
      <c r="B5" s="35" t="str">
        <f>VLOOKUP(Cebada[[#This Row],[id]],Resumen_de_información[],2,FALSE)</f>
        <v>¿cuál es la máxima cantidad de hectáreas sembradas?</v>
      </c>
      <c r="C5" s="12">
        <f>MAX(Granos[Cebada Hectareas])</f>
        <v>1876000</v>
      </c>
    </row>
    <row r="6" spans="1:3" x14ac:dyDescent="0.25">
      <c r="A6" s="14">
        <f>ROW()-ROW(Cebada[[#Headers],[id]])</f>
        <v>4</v>
      </c>
      <c r="B6" s="35" t="str">
        <f>VLOOKUP(Cebada[[#This Row],[id]],Resumen_de_información[],2,FALSE)</f>
        <v>¿cuál es la cantidad mínima de hectáreas sembradas?</v>
      </c>
      <c r="C6" s="12">
        <f>MIN(Granos[Cebada Hectareas])</f>
        <v>59300</v>
      </c>
    </row>
    <row r="7" spans="1:3" x14ac:dyDescent="0.25">
      <c r="A7" s="14">
        <f>ROW()-ROW(Cebada[[#Headers],[id]])</f>
        <v>5</v>
      </c>
      <c r="B7" s="35" t="str">
        <f>VLOOKUP(Cebada[[#This Row],[id]],Resumen_de_información[],2,FALSE)</f>
        <v>¿cuál es la cantidad máxima de toneladas obtenidas?</v>
      </c>
      <c r="C7" s="12">
        <f>MAX(Granos[Cebada Toneladas])</f>
        <v>5170000</v>
      </c>
    </row>
    <row r="8" spans="1:3" x14ac:dyDescent="0.25">
      <c r="A8" s="14">
        <f>ROW()-ROW(Cebada[[#Headers],[id]])</f>
        <v>6</v>
      </c>
      <c r="B8" s="35" t="str">
        <f>VLOOKUP(Cebada[[#This Row],[id]],Resumen_de_información[],2,FALSE)</f>
        <v>¿cuál es la cantidad mínima de toneladas obtenidas?</v>
      </c>
      <c r="C8" s="12">
        <f>MIN(Granos[Cebada Hectareas])</f>
        <v>59300</v>
      </c>
    </row>
    <row r="9" spans="1:3" x14ac:dyDescent="0.25">
      <c r="A9" s="14">
        <f>ROW()-ROW(Cebada[[#Headers],[id]])</f>
        <v>7</v>
      </c>
      <c r="B9" s="35" t="str">
        <f>VLOOKUP(Cebada[[#This Row],[id]],Resumen_de_información[],2,FALSE)</f>
        <v>¿cuánto varían las cantidades máximas ?</v>
      </c>
      <c r="C9" s="25">
        <f>(C7-C5)/(C7+C5)</f>
        <v>0.46749929037751914</v>
      </c>
    </row>
    <row r="10" spans="1:3" x14ac:dyDescent="0.25">
      <c r="A10" s="14">
        <f>ROW()-ROW(Cebada[[#Headers],[id]])</f>
        <v>8</v>
      </c>
      <c r="B10" s="35" t="str">
        <f>VLOOKUP(Cebada[[#This Row],[id]],Resumen_de_información[],2,FALSE)</f>
        <v>¿cuánto varían las cantidades mínimas?</v>
      </c>
      <c r="C10" s="25">
        <f>(C8-C6)/(C6+C8)</f>
        <v>0</v>
      </c>
    </row>
    <row r="11" spans="1:3" ht="30" x14ac:dyDescent="0.25">
      <c r="A11" s="14">
        <f>ROW()-ROW(Cebada[[#Headers],[id]])</f>
        <v>9</v>
      </c>
      <c r="B11" s="35" t="str">
        <f>VLOOKUP(Cebada[[#This Row],[id]],Resumen_de_información[],2,FALSE)</f>
        <v>¿cuál es el rendimiento promedio de las toneladas sobre las hectáreas?</v>
      </c>
      <c r="C11" s="25">
        <f>(C4-C3)/(C3+C4)</f>
        <v>0.48424909533569732</v>
      </c>
    </row>
    <row r="12" spans="1:3" ht="30" x14ac:dyDescent="0.25">
      <c r="A12" s="14">
        <f>ROW()-ROW(Cebada[[#Headers],[id]])</f>
        <v>10</v>
      </c>
      <c r="B12" s="35" t="str">
        <f>VLOOKUP(Cebada[[#This Row],[id]],Resumen_de_información[],2,FALSE)</f>
        <v>¿cuál es el promedio entre los valores máximos y mínimos de las hectáreas?</v>
      </c>
      <c r="C12" s="25">
        <f>(C5-C6)/(C5+C6)</f>
        <v>0.93871751149692551</v>
      </c>
    </row>
    <row r="13" spans="1:3" ht="30" x14ac:dyDescent="0.25">
      <c r="A13" s="14">
        <f>ROW()-ROW(Cebada[[#Headers],[id]])</f>
        <v>11</v>
      </c>
      <c r="B13" s="35" t="str">
        <f>VLOOKUP(Cebada[[#This Row],[id]],Resumen_de_información[],2,FALSE)</f>
        <v>¿cuál es el promedio entre los valores máximos y mínimos de las toneladas?</v>
      </c>
      <c r="C13" s="25">
        <f>(C7-C8)/(C7+C8)</f>
        <v>0.97732010020461635</v>
      </c>
    </row>
    <row r="14" spans="1:3" ht="30" x14ac:dyDescent="0.25">
      <c r="A14" s="14">
        <f>ROW()-ROW(Cebada[[#Headers],[id]])</f>
        <v>12</v>
      </c>
      <c r="B14" s="36" t="str">
        <f>VLOOKUP(Cebada[[#This Row],[id]],Resumen_de_información[],2,FALSE)</f>
        <v>¿cuál es el promedio entre los promedios de los valores máximos y mínimos de las hectáreas y toneladas?</v>
      </c>
      <c r="C14" s="28">
        <f>(C13-C12)/(C12+C13)</f>
        <v>2.0147093393124847E-2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workbookViewId="0">
      <selection activeCell="B11" sqref="B11"/>
    </sheetView>
  </sheetViews>
  <sheetFormatPr baseColWidth="10" defaultRowHeight="15" x14ac:dyDescent="0.25"/>
  <cols>
    <col min="1" max="1" width="13.7109375" customWidth="1"/>
    <col min="2" max="2" width="61" style="22" customWidth="1"/>
    <col min="3" max="3" width="24.5703125" customWidth="1"/>
  </cols>
  <sheetData>
    <row r="2" spans="1:3" x14ac:dyDescent="0.25">
      <c r="A2" s="31" t="s">
        <v>3</v>
      </c>
      <c r="B2" s="34" t="s">
        <v>32</v>
      </c>
      <c r="C2" s="27" t="s">
        <v>33</v>
      </c>
    </row>
    <row r="3" spans="1:3" x14ac:dyDescent="0.25">
      <c r="A3">
        <f>ROW()-ROW(Centeno[[#Headers],[id]])</f>
        <v>1</v>
      </c>
      <c r="B3" s="35" t="str">
        <f>VLOOKUP(Centeno[[#This Row],[id]],Resumen_de_información[],2,FALSE)</f>
        <v>¿cuál es el promedio de las hectáreas sembradas?</v>
      </c>
      <c r="C3" s="44">
        <f>AVERAGE(Granos[Centeno Hectareas])</f>
        <v>477311.375</v>
      </c>
    </row>
    <row r="4" spans="1:3" x14ac:dyDescent="0.25">
      <c r="A4">
        <f>ROW()-ROW(Centeno[[#Headers],[id]])</f>
        <v>2</v>
      </c>
      <c r="B4" s="35" t="str">
        <f>VLOOKUP(Centeno[[#This Row],[id]],Resumen_de_información[],2,FALSE)</f>
        <v>¿cuál es el promedio de toneladas obtenidas ?</v>
      </c>
      <c r="C4" s="12">
        <f>AVERAGE(Granos[Centeno Toneladas])</f>
        <v>76339.875</v>
      </c>
    </row>
    <row r="5" spans="1:3" x14ac:dyDescent="0.25">
      <c r="A5">
        <f>ROW()-ROW(Centeno[[#Headers],[id]])</f>
        <v>3</v>
      </c>
      <c r="B5" s="35" t="str">
        <f>VLOOKUP(Centeno[[#This Row],[id]],Resumen_de_información[],2,FALSE)</f>
        <v>¿cuál es la máxima cantidad de hectáreas sembradas?</v>
      </c>
      <c r="C5" s="12">
        <f>MAX(Granos[Centeno Hectareas])</f>
        <v>1483000</v>
      </c>
    </row>
    <row r="6" spans="1:3" x14ac:dyDescent="0.25">
      <c r="A6">
        <f>ROW()-ROW(Centeno[[#Headers],[id]])</f>
        <v>4</v>
      </c>
      <c r="B6" s="35" t="str">
        <f>VLOOKUP(Centeno[[#This Row],[id]],Resumen_de_información[],2,FALSE)</f>
        <v>¿cuál es la cantidad mínima de hectáreas sembradas?</v>
      </c>
      <c r="C6" s="12">
        <f>MIN(Granos[Centeno Hectareas])</f>
        <v>152000</v>
      </c>
    </row>
    <row r="7" spans="1:3" x14ac:dyDescent="0.25">
      <c r="A7">
        <f>ROW()-ROW(Centeno[[#Headers],[id]])</f>
        <v>5</v>
      </c>
      <c r="B7" s="35" t="str">
        <f>VLOOKUP(Centeno[[#This Row],[id]],Resumen_de_información[],2,FALSE)</f>
        <v>¿cuál es la cantidad máxima de toneladas obtenidas?</v>
      </c>
      <c r="C7" s="12">
        <f>MAX(Granos[Centeno Toneladas])</f>
        <v>221000</v>
      </c>
    </row>
    <row r="8" spans="1:3" x14ac:dyDescent="0.25">
      <c r="A8">
        <f>ROW()-ROW(Centeno[[#Headers],[id]])</f>
        <v>6</v>
      </c>
      <c r="B8" s="35" t="str">
        <f>VLOOKUP(Centeno[[#This Row],[id]],Resumen_de_información[],2,FALSE)</f>
        <v>¿cuál es la cantidad mínima de toneladas obtenidas?</v>
      </c>
      <c r="C8" s="12">
        <f>MIN(Granos[Centeno Toneladas])</f>
        <v>17000</v>
      </c>
    </row>
    <row r="9" spans="1:3" x14ac:dyDescent="0.25">
      <c r="A9">
        <f>ROW()-ROW(Centeno[[#Headers],[id]])</f>
        <v>7</v>
      </c>
      <c r="B9" s="35" t="str">
        <f>VLOOKUP(Centeno[[#This Row],[id]],Resumen_de_información[],2,FALSE)</f>
        <v>¿cuánto varían las cantidades máximas ?</v>
      </c>
      <c r="C9" s="25">
        <f>(C7-C5)/(C7+C5)</f>
        <v>-0.74061032863849763</v>
      </c>
    </row>
    <row r="10" spans="1:3" x14ac:dyDescent="0.25">
      <c r="A10">
        <f>ROW()-ROW(Centeno[[#Headers],[id]])</f>
        <v>8</v>
      </c>
      <c r="B10" s="35" t="str">
        <f>VLOOKUP(Centeno[[#This Row],[id]],Resumen_de_información[],2,FALSE)</f>
        <v>¿cuánto varían las cantidades mínimas?</v>
      </c>
      <c r="C10" s="25">
        <f>(C8-C6)/(C6+C8)</f>
        <v>-0.79881656804733725</v>
      </c>
    </row>
    <row r="11" spans="1:3" ht="30" x14ac:dyDescent="0.25">
      <c r="A11">
        <f>ROW()-ROW(Centeno[[#Headers],[id]])</f>
        <v>9</v>
      </c>
      <c r="B11" s="35" t="str">
        <f>VLOOKUP(Centeno[[#This Row],[id]],Resumen_de_información[],2,FALSE)</f>
        <v>¿cuál es el rendimiento promedio de las toneladas sobre las hectáreas?</v>
      </c>
      <c r="C11" s="25">
        <f>(C4-C3)/(C3+C4)</f>
        <v>-0.72423118343903314</v>
      </c>
    </row>
    <row r="12" spans="1:3" ht="30" x14ac:dyDescent="0.25">
      <c r="A12">
        <f>ROW()-ROW(Centeno[[#Headers],[id]])</f>
        <v>10</v>
      </c>
      <c r="B12" s="35" t="str">
        <f>VLOOKUP(Centeno[[#This Row],[id]],Resumen_de_información[],2,FALSE)</f>
        <v>¿cuál es el promedio entre los valores máximos y mínimos de las hectáreas?</v>
      </c>
      <c r="C12" s="25">
        <f>(C5-C6)/(C5+C6)</f>
        <v>0.81406727828746173</v>
      </c>
    </row>
    <row r="13" spans="1:3" ht="30" x14ac:dyDescent="0.25">
      <c r="A13">
        <f>ROW()-ROW(Centeno[[#Headers],[id]])</f>
        <v>11</v>
      </c>
      <c r="B13" s="35" t="str">
        <f>VLOOKUP(Centeno[[#This Row],[id]],Resumen_de_información[],2,FALSE)</f>
        <v>¿cuál es el promedio entre los valores máximos y mínimos de las toneladas?</v>
      </c>
      <c r="C13" s="25">
        <f>(C7-C8)/(C7+C8)</f>
        <v>0.8571428571428571</v>
      </c>
    </row>
    <row r="14" spans="1:3" ht="30" x14ac:dyDescent="0.25">
      <c r="A14">
        <f>ROW()-ROW(Centeno[[#Headers],[id]])</f>
        <v>12</v>
      </c>
      <c r="B14" s="36" t="str">
        <f>VLOOKUP(Centeno[[#This Row],[id]],Resumen_de_información[],2,FALSE)</f>
        <v>¿cuál es el promedio entre los promedios de los valores máximos y mínimos de las hectáreas y toneladas?</v>
      </c>
      <c r="C14" s="28">
        <f>(C13-C12)/(C12+C13)</f>
        <v>2.5775082344330007E-2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workbookViewId="0">
      <selection activeCell="E12" sqref="E12"/>
    </sheetView>
  </sheetViews>
  <sheetFormatPr baseColWidth="10" defaultRowHeight="15" x14ac:dyDescent="0.25"/>
  <cols>
    <col min="1" max="1" width="8.7109375" customWidth="1"/>
    <col min="2" max="2" width="50.85546875" style="7" customWidth="1"/>
    <col min="3" max="3" width="25.85546875" customWidth="1"/>
  </cols>
  <sheetData>
    <row r="2" spans="1:3" x14ac:dyDescent="0.25">
      <c r="A2" s="31" t="s">
        <v>3</v>
      </c>
      <c r="B2" s="38" t="s">
        <v>47</v>
      </c>
      <c r="C2" s="27" t="s">
        <v>33</v>
      </c>
    </row>
    <row r="3" spans="1:3" x14ac:dyDescent="0.25">
      <c r="A3">
        <f>ROW()-ROW(Girasol[[#Headers],[id]])</f>
        <v>1</v>
      </c>
      <c r="B3" s="39" t="str">
        <f>VLOOKUP(Girasol[[#This Row],[id]],Resumen_de_información[],2,FALSE)</f>
        <v>¿cuál es el promedio de las hectáreas sembradas?</v>
      </c>
      <c r="C3" s="12">
        <f>AVERAGE(Granos[Girasol Hectareas])</f>
        <v>2240160.375</v>
      </c>
    </row>
    <row r="4" spans="1:3" x14ac:dyDescent="0.25">
      <c r="A4">
        <f>ROW()-ROW(Girasol[[#Headers],[id]])</f>
        <v>2</v>
      </c>
      <c r="B4" s="39" t="str">
        <f>VLOOKUP(Girasol[[#This Row],[id]],Resumen_de_información[],2,FALSE)</f>
        <v>¿cuál es el promedio de toneladas obtenidas ?</v>
      </c>
      <c r="C4" s="12">
        <f>AVERAGE(Granos[Girasol Toneladas])</f>
        <v>3647452.875</v>
      </c>
    </row>
    <row r="5" spans="1:3" x14ac:dyDescent="0.25">
      <c r="A5">
        <f>ROW()-ROW(Girasol[[#Headers],[id]])</f>
        <v>3</v>
      </c>
      <c r="B5" s="39" t="str">
        <f>VLOOKUP(Girasol[[#This Row],[id]],Resumen_de_información[],2,FALSE)</f>
        <v>¿cuál es la máxima cantidad de hectáreas sembradas?</v>
      </c>
      <c r="C5" s="12">
        <f>MAX(Granos[Girasol Hectareas])</f>
        <v>4243800</v>
      </c>
    </row>
    <row r="6" spans="1:3" x14ac:dyDescent="0.25">
      <c r="A6">
        <f>ROW()-ROW(Girasol[[#Headers],[id]])</f>
        <v>4</v>
      </c>
      <c r="B6" s="39" t="str">
        <f>VLOOKUP(Girasol[[#This Row],[id]],Resumen_de_información[],2,FALSE)</f>
        <v>¿cuál es la cantidad mínima de hectáreas sembradas?</v>
      </c>
      <c r="C6" s="12">
        <f>MIN(Granos[Girasol Hectareas])</f>
        <v>1300000</v>
      </c>
    </row>
    <row r="7" spans="1:3" x14ac:dyDescent="0.25">
      <c r="A7">
        <f>ROW()-ROW(Girasol[[#Headers],[id]])</f>
        <v>5</v>
      </c>
      <c r="B7" s="39" t="str">
        <f>VLOOKUP(Girasol[[#This Row],[id]],Resumen_de_información[],2,FALSE)</f>
        <v>¿cuál es la cantidad máxima de toneladas obtenidas?</v>
      </c>
      <c r="C7" s="12">
        <f>MAX(Granos[Girasol Toneladas])</f>
        <v>7125140</v>
      </c>
    </row>
    <row r="8" spans="1:3" x14ac:dyDescent="0.25">
      <c r="A8">
        <f>ROW()-ROW(Girasol[[#Headers],[id]])</f>
        <v>6</v>
      </c>
      <c r="B8" s="39" t="str">
        <f>VLOOKUP(Girasol[[#This Row],[id]],Resumen_de_información[],2,FALSE)</f>
        <v>¿cuál es la cantidad mínima de toneladas obtenidas?</v>
      </c>
      <c r="C8" s="12">
        <f>MIN(Granos[Girasol Toneladas])</f>
        <v>1980000</v>
      </c>
    </row>
    <row r="9" spans="1:3" x14ac:dyDescent="0.25">
      <c r="A9">
        <f>ROW()-ROW(Girasol[[#Headers],[id]])</f>
        <v>7</v>
      </c>
      <c r="B9" s="39" t="str">
        <f>VLOOKUP(Girasol[[#This Row],[id]],Resumen_de_información[],2,FALSE)</f>
        <v>¿cuánto varían las cantidades máximas ?</v>
      </c>
      <c r="C9" s="25">
        <f>(C7-C5)/(C7+C5)</f>
        <v>0.25343963465371444</v>
      </c>
    </row>
    <row r="10" spans="1:3" x14ac:dyDescent="0.25">
      <c r="A10">
        <f>ROW()-ROW(Girasol[[#Headers],[id]])</f>
        <v>8</v>
      </c>
      <c r="B10" s="39" t="str">
        <f>VLOOKUP(Girasol[[#This Row],[id]],Resumen_de_información[],2,FALSE)</f>
        <v>¿cuánto varían las cantidades mínimas?</v>
      </c>
      <c r="C10" s="25">
        <f>(C8-C6)/(C6+C8)</f>
        <v>0.2073170731707317</v>
      </c>
    </row>
    <row r="11" spans="1:3" ht="30" x14ac:dyDescent="0.25">
      <c r="A11">
        <f>ROW()-ROW(Girasol[[#Headers],[id]])</f>
        <v>9</v>
      </c>
      <c r="B11" s="39" t="str">
        <f>VLOOKUP(Girasol[[#This Row],[id]],Resumen_de_información[],2,FALSE)</f>
        <v>¿cuál es el rendimiento promedio de las toneladas sobre las hectáreas?</v>
      </c>
      <c r="C11" s="25">
        <f>(C4-C3)/(C3+C4)</f>
        <v>0.23902597542391224</v>
      </c>
    </row>
    <row r="12" spans="1:3" ht="30" x14ac:dyDescent="0.25">
      <c r="A12">
        <f>ROW()-ROW(Girasol[[#Headers],[id]])</f>
        <v>10</v>
      </c>
      <c r="B12" s="39" t="str">
        <f>VLOOKUP(Girasol[[#This Row],[id]],Resumen_de_información[],2,FALSE)</f>
        <v>¿cuál es el promedio entre los valores máximos y mínimos de las hectáreas?</v>
      </c>
      <c r="C12" s="25">
        <f>(C5-C6)/(C5+C6)</f>
        <v>0.53100761210721892</v>
      </c>
    </row>
    <row r="13" spans="1:3" ht="30" x14ac:dyDescent="0.25">
      <c r="A13">
        <f>ROW()-ROW(Girasol[[#Headers],[id]])</f>
        <v>11</v>
      </c>
      <c r="B13" s="39" t="str">
        <f>VLOOKUP(Girasol[[#This Row],[id]],Resumen_de_información[],2,FALSE)</f>
        <v>¿cuál es el promedio entre los valores máximos y mínimos de las toneladas?</v>
      </c>
      <c r="C13" s="25">
        <f>(C7-C8)/(C7+C8)</f>
        <v>0.56508082248048908</v>
      </c>
    </row>
    <row r="14" spans="1:3" ht="45" x14ac:dyDescent="0.25">
      <c r="A14">
        <f>ROW()-ROW(Girasol[[#Headers],[id]])</f>
        <v>12</v>
      </c>
      <c r="B14" s="40" t="str">
        <f>VLOOKUP(Girasol[[#This Row],[id]],Resumen_de_información[],2,FALSE)</f>
        <v>¿cuál es el promedio entre los promedios de los valores máximos y mínimos de las hectáreas y toneladas?</v>
      </c>
      <c r="C14" s="28">
        <f>(C13-C12)/(C12+C13)</f>
        <v>3.1086187298460771E-2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A r r o z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 4 8 < / i n t > < / v a l u e > < / i t e m > < i t e m > < k e y > < s t r i n g > P R E G U N T A S < / s t r i n g > < / k e y > < v a l u e > < i n t > 1 0 9 < / i n t > < / v a l u e > < / i t e m > < i t e m > < k e y > < s t r i n g > I N F O R M A C I O N < / s t r i n g > < / k e y > < v a l u e > < i n t > 1 2 8 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 P R E G U N T A S < / s t r i n g > < / k e y > < v a l u e > < i n t > 1 < / i n t > < / v a l u e > < / i t e m > < i t e m > < k e y > < s t r i n g > I N F O R M A C I O N 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A v e n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 4 8 < / i n t > < / v a l u e > < / i t e m > < i t e m > < k e y > < s t r i n g > P R E G U N T A S < / s t r i n g > < / k e y > < v a l u e > < i n t > 1 0 9 < / i n t > < / v a l u e > < / i t e m > < i t e m > < k e y > < s t r i n g > I N F O R M A C I O N < / s t r i n g > < / k e y > < v a l u e > < i n t > 1 2 8 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 P R E G U N T A S < / s t r i n g > < / k e y > < v a l u e > < i n t > 1 < / i n t > < / v a l u e > < / i t e m > < i t e m > < k e y > < s t r i n g > I N F O R M A C I O N 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A l p i s t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 i : t y p e = " S a n d b o x E d i t o r M e a s u r e G r i d K e y " & g t ; & l t ; T a b l e N a m e & g t ; A l p i s t e & l t ; / T a b l e N a m e & g t ; & l t ; / K e y & g t ; & l t ; M a i n t a i n e r 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 r e a d o n l y & l t ; / K e y & g t ; & l t ; / D i a g r a m O b j e c t K e y & g t ; & l t ; D i a g r a m O b j e c t K e y & g t ; & l t ; K e y & g t ; M e a s u r e s \ S u m a   d e   I N F O R M A C I O N & l t ; / K e y & g t ; & l t ; / D i a g r a m O b j e c t K e y & g t ; & l t ; D i a g r a m O b j e c t K e y & g t ; & l t ; K e y & g t ; M e a s u r e s \ S u m a   d e   I N F O R M A C I O N \ T a g I n f o \ F � r m u l a & l t ; / K e y & g t ; & l t ; / D i a g r a m O b j e c t K e y & g t ; & l t ; D i a g r a m O b j e c t K e y & g t ; & l t ; K e y & g t ; M e a s u r e s \ S u m a   d e   I N F O R M A C I O N \ T a g I n f o \ V a l o r & l t ; / K e y & g t ; & l t ; / D i a g r a m O b j e c t K e y & g t ; & l t ; D i a g r a m O b j e c t K e y & g t ; & l t ; K e y & g t ; C o l u m n s \ i d & l t ; / K e y & g t ; & l t ; / D i a g r a m O b j e c t K e y & g t ; & l t ; D i a g r a m O b j e c t K e y & g t ; & l t ; K e y & g t ; C o l u m n s \ P R E G U N T A S & l t ; / K e y & g t ; & l t ; / D i a g r a m O b j e c t K e y & g t ; & l t ; D i a g r a m O b j e c t K e y & g t ; & l t ; K e y & g t ; C o l u m n s \ I N F O R M A C I O N & l t ; / K e y & g t ; & l t ; / D i a g r a m O b j e c t K e y & g t ; & l t ; D i a g r a m O b j e c t K e y & g t ; & l t ; K e y & g t ; L i n k s \ & a m p ; l t ; C o l u m n s \ S u m a   d e   I N F O R M A C I O N & a m p ; g t ; - & a m p ; l t ; M e a s u r e s \ I N F O R M A C I O N & a m p ; g t ; & l t ; / K e y & g t ; & l t ; / D i a g r a m O b j e c t K e y & g t ; & l t ; D i a g r a m O b j e c t K e y & g t ; & l t ; K e y & g t ; L i n k s \ & a m p ; l t ; C o l u m n s \ S u m a   d e   I N F O R M A C I O N & a m p ; g t ; - & a m p ; l t ; M e a s u r e s \ I N F O R M A C I O N & a m p ; g t ; \ C O L U M N & l t ; / K e y & g t ; & l t ; / D i a g r a m O b j e c t K e y & g t ; & l t ; D i a g r a m O b j e c t K e y & g t ; & l t ; K e y & g t ; L i n k s \ & a m p ; l t ; C o l u m n s \ S u m a   d e   I N F O R M A C I O N & a m p ; g t ; - & a m p ; l t ; M e a s u r e s \ I N F O R M A C I O N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 I N F O R M A C I O N & l t ; / K e y & g t ; & l t ; / a : K e y & g t ; & l t ; a : V a l u e 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 I N F O R M A C I O N \ T a g I n f o \ F � r m u l a & l t ; / K e y & g t ; & l t ; / a : K e y & g t ; & l t ; a : V a l u e 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 I N F O R M A C I O N \ T a g I n f o \ V a l o r & l t ; / K e y & g t ; & l t ; / a : K e y & g t ; & l t ; a : V a l u e 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E G U N T A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F O R M A C I O N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 I N F O R M A C I O N & a m p ; g t ; - & a m p ; l t ; M e a s u r e s \ I N F O R M A C I O N & a m p ; g t ; & l t ; / K e y & g t ; & l t ; / a : K e y & g t ; & l t ; a : V a l u e 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 I N F O R M A C I O N & a m p ; g t ; - & a m p ; l t ; M e a s u r e s \ I N F O R M A C I O N & a m p ; g t ; \ C O L U M N & l t ; / K e y & g t ; & l t ; / a : K e y & g t ; & l t ; a : V a l u e 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 I N F O R M A C I O N & a m p ; g t ; - & a m p ; l t ; M e a s u r e s \ I N F O R M A C I O N & a m p ; g t ; \ M E A S U R E & l t ; / K e y & g t ; & l t ; / a : K e y & g t ; & l t ; a : V a l u e 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A r r o z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 i : t y p e = " S a n d b o x E d i t o r M e a s u r e G r i d K e y " & g t ; & l t ; T a b l e N a m e & g t ; A r r o z & l t ; / T a b l e N a m e & g t ; & l t ; / K e y & g t ; & l t ; M a i n t a i n e r 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& l t ; / K e y & g t ; & l t ; / D i a g r a m O b j e c t K e y & g t ; & l t ; D i a g r a m O b j e c t K e y & g t ; & l t ; K e y & g t ; C o l u m n s \ P R E G U N T A S & l t ; / K e y & g t ; & l t ; / D i a g r a m O b j e c t K e y & g t ; & l t ; D i a g r a m O b j e c t K e y & g t ; & l t ; K e y & g t ; C o l u m n s \ I N F O R M A C I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E G U N T A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F O R M A C I O N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R e s u m e n _ d e _ i n f o r m a c i � n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 i : t y p e = " S a n d b o x E d i t o r M e a s u r e G r i d K e y " & g t ; & l t ; T a b l e N a m e & g t ; R e s u m e n _ d e _ i n f o r m a c i � n & l t ; / T a b l e N a m e & g t ; & l t ; / K e y & g t ; & l t ; M a i n t a i n e r 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& l t ; / K e y & g t ; & l t ; / D i a g r a m O b j e c t K e y & g t ; & l t ; D i a g r a m O b j e c t K e y & g t ; & l t ; K e y & g t ; C o l u m n s \ P r e g u n t a s & l t ; / K e y & g t ; & l t ; / D i a g r a m O b j e c t K e y & g t ; & l t ; D i a g r a m O b j e c t K e y & g t ; & l t ; K e y & g t ; C o l u m n s \ A l p i s t e & l t ; / K e y & g t ; & l t ; / D i a g r a m O b j e c t K e y & g t ; & l t ; D i a g r a m O b j e c t K e y & g t ; & l t ; K e y & g t ; C o l u m n s \ A r r o z & l t ; / K e y & g t ; & l t ; / D i a g r a m O b j e c t K e y & g t ; & l t ; D i a g r a m O b j e c t K e y & g t ; & l t ; K e y & g t ; C o l u m n s \ A v e n a & l t ; / K e y & g t ; & l t ; / D i a g r a m O b j e c t K e y & g t ; & l t ; D i a g r a m O b j e c t K e y & g t ; & l t ; K e y & g t ; C o l u m n s \ C a r t a m o & l t ; / K e y & g t ; & l t ; / D i a g r a m O b j e c t K e y & g t ; & l t ; D i a g r a m O b j e c t K e y & g t ; & l t ; K e y & g t ; C o l u m n s \ C e b a d a & l t ; / K e y & g t ; & l t ; / D i a g r a m O b j e c t K e y & g t ; & l t ; D i a g r a m O b j e c t K e y & g t ; & l t ; K e y & g t ; C o l u m n s \ C e n t e n o & l t ; / K e y & g t ; & l t ; / D i a g r a m O b j e c t K e y & g t ; & l t ; D i a g r a m O b j e c t K e y & g t ; & l t ; K e y & g t ; C o l u m n s \ G i r a s o l & l t ; / K e y & g t ; & l t ; / D i a g r a m O b j e c t K e y & g t ; & l t ; D i a g r a m O b j e c t K e y & g t ; & l t ; K e y & g t ; C o l u m n s \ L i n o & l t ; / K e y & g t ; & l t ; / D i a g r a m O b j e c t K e y & g t ; & l t ; D i a g r a m O b j e c t K e y & g t ; & l t ; K e y & g t ; C o l u m n s \ M a i z & l t ; / K e y & g t ; & l t ; / D i a g r a m O b j e c t K e y & g t ; & l t ; D i a g r a m O b j e c t K e y & g t ; & l t ; K e y & g t ; C o l u m n s \ M a n i & l t ; / K e y & g t ; & l t ; / D i a g r a m O b j e c t K e y & g t ; & l t ; D i a g r a m O b j e c t K e y & g t ; & l t ; K e y & g t ; C o l u m n s \ M i j o & l t ; / K e y & g t ; & l t ; / D i a g r a m O b j e c t K e y & g t ; & l t ; D i a g r a m O b j e c t K e y & g t ; & l t ; K e y & g t ; C o l u m n s \ S o j a & l t ; / K e y & g t ; & l t ; / D i a g r a m O b j e c t K e y & g t ; & l t ; D i a g r a m O b j e c t K e y & g t ; & l t ; K e y & g t ; C o l u m n s \ S o r g o g r a n i f e r o & l t ; / K e y & g t ; & l t ; / D i a g r a m O b j e c t K e y & g t ; & l t ; D i a g r a m O b j e c t K e y & g t ; & l t ; K e y & g t ; C o l u m n s \ T r i g o & l t ; / K e y & g t ; & l t ; / D i a g r a m O b j e c t K e y & g t ; & l t ; D i a g r a m O b j e c t K e y & g t ; & l t ; K e y & g t ; M e a s u r e s \ S u m a   d e   A r r o z & l t ; / K e y & g t ; & l t ; / D i a g r a m O b j e c t K e y & g t ; & l t ; D i a g r a m O b j e c t K e y & g t ; & l t ; K e y & g t ; M e a s u r e s \ S u m a   d e   A r r o z \ T a g I n f o \ F � r m u l a & l t ; / K e y & g t ; & l t ; / D i a g r a m O b j e c t K e y & g t ; & l t ; D i a g r a m O b j e c t K e y & g t ; & l t ; K e y & g t ; M e a s u r e s \ S u m a   d e   A r r o z \ T a g I n f o \ V a l o r & l t ; / K e y & g t ; & l t ; / D i a g r a m O b j e c t K e y & g t ; & l t ; D i a g r a m O b j e c t K e y & g t ; & l t ; K e y & g t ; L i n k s \ & a m p ; l t ; C o l u m n s \ S u m a   d e   A r r o z & a m p ; g t ; - & a m p ; l t ; M e a s u r e s \ A r r o z & a m p ; g t ; & l t ; / K e y & g t ; & l t ; / D i a g r a m O b j e c t K e y & g t ; & l t ; D i a g r a m O b j e c t K e y & g t ; & l t ; K e y & g t ; L i n k s \ & a m p ; l t ; C o l u m n s \ S u m a   d e   A r r o z & a m p ; g t ; - & a m p ; l t ; M e a s u r e s \ A r r o z & a m p ; g t ; \ C O L U M N & l t ; / K e y & g t ; & l t ; / D i a g r a m O b j e c t K e y & g t ; & l t ; D i a g r a m O b j e c t K e y & g t ; & l t ; K e y & g t ; L i n k s \ & a m p ; l t ; C o l u m n s \ S u m a   d e   A r r o z & a m p ; g t ; - & a m p ; l t ; M e a s u r e s \ A r r o z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e g u n t a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l p i s t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r r o z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e n a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t a m o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e b a d a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e n t e n o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i r a s o l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n o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i z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i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j o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o j a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o r g o g r a n i f e r o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r i g o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 A r r o z & l t ; / K e y & g t ; & l t ; / a : K e y & g t ; & l t ; a : V a l u e 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 A r r o z \ T a g I n f o \ F � r m u l a & l t ; / K e y & g t ; & l t ; / a : K e y & g t ; & l t ; a : V a l u e 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 A r r o z \ T a g I n f o \ V a l o r & l t ; / K e y & g t ; & l t ; / a : K e y & g t ; & l t ; a : V a l u e 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 A r r o z & a m p ; g t ; - & a m p ; l t ; M e a s u r e s \ A r r o z & a m p ; g t ; & l t ; / K e y & g t ; & l t ; / a : K e y & g t ; & l t ; a : V a l u e 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 A r r o z & a m p ; g t ; - & a m p ; l t ; M e a s u r e s \ A r r o z & a m p ; g t ; \ C O L U M N & l t ; / K e y & g t ; & l t ; / a : K e y & g t ; & l t ; a : V a l u e 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 A r r o z & a m p ; g t ; - & a m p ; l t ; M e a s u r e s \ A r r o z & a m p ; g t ; \ M E A S U R E & l t ; / K e y & g t ; & l t ; / a : K e y & g t ; & l t ; a : V a l u e 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r i g o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 i : t y p e = " S a n d b o x E d i t o r M e a s u r e G r i d K e y " & g t ; & l t ; T a b l e N a m e & g t ; T r i g o & l t ; / T a b l e N a m e & g t ; & l t ; / K e y & g t ; & l t ; M a i n t a i n e r 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& l t ; / K e y & g t ; & l t ; / D i a g r a m O b j e c t K e y & g t ; & l t ; D i a g r a m O b j e c t K e y & g t ; & l t ; K e y & g t ; C o l u m n s \ P R E G U N T A S & l t ; / K e y & g t ; & l t ; / D i a g r a m O b j e c t K e y & g t ; & l t ; D i a g r a m O b j e c t K e y & g t ; & l t ; K e y & g t ; C o l u m n s \ I N F O R M A C I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E G U N T A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F O R M A C I O N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 T a g s \ T a b l e s \ & a m p ; l t ; T a b l e s \ A l p i s t e & a m p ; g t ; & l t ; / K e y & g t ; & l t ; / D i a g r a m O b j e c t K e y & g t ; & l t ; D i a g r a m O b j e c t K e y & g t ; & l t ; K e y & g t ; D y n a m i c   T a g s \ T a b l e s \ & a m p ; l t ; T a b l e s \ A v e n a & a m p ; g t ; & l t ; / K e y & g t ; & l t ; / D i a g r a m O b j e c t K e y & g t ; & l t ; D i a g r a m O b j e c t K e y & g t ; & l t ; K e y & g t ; D y n a m i c   T a g s \ T a b l e s \ & a m p ; l t ; T a b l e s \ A r r o z & a m p ; g t ; & l t ; / K e y & g t ; & l t ; / D i a g r a m O b j e c t K e y & g t ; & l t ; D i a g r a m O b j e c t K e y & g t ; & l t ; K e y & g t ; D y n a m i c   T a g s \ T a b l e s \ & a m p ; l t ; T a b l e s \ R e s u m e n _ d e _ i n f o r m a c i � n & a m p ; g t ; & l t ; / K e y & g t ; & l t ; / D i a g r a m O b j e c t K e y & g t ; & l t ; D i a g r a m O b j e c t K e y & g t ; & l t ; K e y & g t ; D y n a m i c   T a g s \ T a b l e s \ & a m p ; l t ; T a b l e s \ T r i g o & a m p ; g t ; & l t ; / K e y & g t ; & l t ; / D i a g r a m O b j e c t K e y & g t ; & l t ; D i a g r a m O b j e c t K e y & g t ; & l t ; K e y & g t ; T a b l e s \ A l p i s t e & l t ; / K e y & g t ; & l t ; / D i a g r a m O b j e c t K e y & g t ; & l t ; D i a g r a m O b j e c t K e y & g t ; & l t ; K e y & g t ; T a b l e s \ A l p i s t e \ C o l u m n s \ i d & l t ; / K e y & g t ; & l t ; / D i a g r a m O b j e c t K e y & g t ; & l t ; D i a g r a m O b j e c t K e y & g t ; & l t ; K e y & g t ; T a b l e s \ A l p i s t e \ C o l u m n s \ P R E G U N T A S & l t ; / K e y & g t ; & l t ; / D i a g r a m O b j e c t K e y & g t ; & l t ; D i a g r a m O b j e c t K e y & g t ; & l t ; K e y & g t ; T a b l e s \ A l p i s t e \ C o l u m n s \ I N F O R M A C I O N & l t ; / K e y & g t ; & l t ; / D i a g r a m O b j e c t K e y & g t ; & l t ; D i a g r a m O b j e c t K e y & g t ; & l t ; K e y & g t ; T a b l e s \ A l p i s t e \ M e a s u r e s \ S u m a   d e   I N F O R M A C I O N & l t ; / K e y & g t ; & l t ; / D i a g r a m O b j e c t K e y & g t ; & l t ; D i a g r a m O b j e c t K e y & g t ; & l t ; K e y & g t ; T a b l e s \ A l p i s t e \ S u m a   d e   I N F O R M A C I O N \ A d d i t i o n a l   I n f o \ M e d i d a   i m p l � c i t a & l t ; / K e y & g t ; & l t ; / D i a g r a m O b j e c t K e y & g t ; & l t ; D i a g r a m O b j e c t K e y & g t ; & l t ; K e y & g t ; T a b l e s \ A v e n a & l t ; / K e y & g t ; & l t ; / D i a g r a m O b j e c t K e y & g t ; & l t ; D i a g r a m O b j e c t K e y & g t ; & l t ; K e y & g t ; T a b l e s \ A v e n a \ C o l u m n s \ i d & l t ; / K e y & g t ; & l t ; / D i a g r a m O b j e c t K e y & g t ; & l t ; D i a g r a m O b j e c t K e y & g t ; & l t ; K e y & g t ; T a b l e s \ A v e n a \ C o l u m n s \ P R E G U N T A S & l t ; / K e y & g t ; & l t ; / D i a g r a m O b j e c t K e y & g t ; & l t ; D i a g r a m O b j e c t K e y & g t ; & l t ; K e y & g t ; T a b l e s \ A v e n a \ C o l u m n s \ I N F O R M A C I O N & l t ; / K e y & g t ; & l t ; / D i a g r a m O b j e c t K e y & g t ; & l t ; D i a g r a m O b j e c t K e y & g t ; & l t ; K e y & g t ; T a b l e s \ A r r o z & l t ; / K e y & g t ; & l t ; / D i a g r a m O b j e c t K e y & g t ; & l t ; D i a g r a m O b j e c t K e y & g t ; & l t ; K e y & g t ; T a b l e s \ A r r o z \ C o l u m n s \ i d & l t ; / K e y & g t ; & l t ; / D i a g r a m O b j e c t K e y & g t ; & l t ; D i a g r a m O b j e c t K e y & g t ; & l t ; K e y & g t ; T a b l e s \ A r r o z \ C o l u m n s \ P R E G U N T A S & l t ; / K e y & g t ; & l t ; / D i a g r a m O b j e c t K e y & g t ; & l t ; D i a g r a m O b j e c t K e y & g t ; & l t ; K e y & g t ; T a b l e s \ A r r o z \ C o l u m n s \ I N F O R M A C I O N & l t ; / K e y & g t ; & l t ; / D i a g r a m O b j e c t K e y & g t ; & l t ; D i a g r a m O b j e c t K e y & g t ; & l t ; K e y & g t ; T a b l e s \ R e s u m e n _ d e _ i n f o r m a c i � n & l t ; / K e y & g t ; & l t ; / D i a g r a m O b j e c t K e y & g t ; & l t ; D i a g r a m O b j e c t K e y & g t ; & l t ; K e y & g t ; T a b l e s \ R e s u m e n _ d e _ i n f o r m a c i � n \ C o l u m n s \ i d & l t ; / K e y & g t ; & l t ; / D i a g r a m O b j e c t K e y & g t ; & l t ; D i a g r a m O b j e c t K e y & g t ; & l t ; K e y & g t ; T a b l e s \ R e s u m e n _ d e _ i n f o r m a c i � n \ C o l u m n s \ P r e g u n t a s & l t ; / K e y & g t ; & l t ; / D i a g r a m O b j e c t K e y & g t ; & l t ; D i a g r a m O b j e c t K e y & g t ; & l t ; K e y & g t ; T a b l e s \ R e s u m e n _ d e _ i n f o r m a c i � n \ C o l u m n s \ A l p i s t e & l t ; / K e y & g t ; & l t ; / D i a g r a m O b j e c t K e y & g t ; & l t ; D i a g r a m O b j e c t K e y & g t ; & l t ; K e y & g t ; T a b l e s \ R e s u m e n _ d e _ i n f o r m a c i � n \ C o l u m n s \ A r r o z & l t ; / K e y & g t ; & l t ; / D i a g r a m O b j e c t K e y & g t ; & l t ; D i a g r a m O b j e c t K e y & g t ; & l t ; K e y & g t ; T a b l e s \ R e s u m e n _ d e _ i n f o r m a c i � n \ C o l u m n s \ A v e n a & l t ; / K e y & g t ; & l t ; / D i a g r a m O b j e c t K e y & g t ; & l t ; D i a g r a m O b j e c t K e y & g t ; & l t ; K e y & g t ; T a b l e s \ R e s u m e n _ d e _ i n f o r m a c i � n \ C o l u m n s \ C a r t a m o & l t ; / K e y & g t ; & l t ; / D i a g r a m O b j e c t K e y & g t ; & l t ; D i a g r a m O b j e c t K e y & g t ; & l t ; K e y & g t ; T a b l e s \ R e s u m e n _ d e _ i n f o r m a c i � n \ C o l u m n s \ C e b a d a & l t ; / K e y & g t ; & l t ; / D i a g r a m O b j e c t K e y & g t ; & l t ; D i a g r a m O b j e c t K e y & g t ; & l t ; K e y & g t ; T a b l e s \ R e s u m e n _ d e _ i n f o r m a c i � n \ C o l u m n s \ C e n t e n o & l t ; / K e y & g t ; & l t ; / D i a g r a m O b j e c t K e y & g t ; & l t ; D i a g r a m O b j e c t K e y & g t ; & l t ; K e y & g t ; T a b l e s \ R e s u m e n _ d e _ i n f o r m a c i � n \ C o l u m n s \ G i r a s o l & l t ; / K e y & g t ; & l t ; / D i a g r a m O b j e c t K e y & g t ; & l t ; D i a g r a m O b j e c t K e y & g t ; & l t ; K e y & g t ; T a b l e s \ R e s u m e n _ d e _ i n f o r m a c i � n \ C o l u m n s \ L i n o & l t ; / K e y & g t ; & l t ; / D i a g r a m O b j e c t K e y & g t ; & l t ; D i a g r a m O b j e c t K e y & g t ; & l t ; K e y & g t ; T a b l e s \ R e s u m e n _ d e _ i n f o r m a c i � n \ C o l u m n s \ M a i z & l t ; / K e y & g t ; & l t ; / D i a g r a m O b j e c t K e y & g t ; & l t ; D i a g r a m O b j e c t K e y & g t ; & l t ; K e y & g t ; T a b l e s \ R e s u m e n _ d e _ i n f o r m a c i � n \ C o l u m n s \ M a n i & l t ; / K e y & g t ; & l t ; / D i a g r a m O b j e c t K e y & g t ; & l t ; D i a g r a m O b j e c t K e y & g t ; & l t ; K e y & g t ; T a b l e s \ R e s u m e n _ d e _ i n f o r m a c i � n \ C o l u m n s \ M i j o & l t ; / K e y & g t ; & l t ; / D i a g r a m O b j e c t K e y & g t ; & l t ; D i a g r a m O b j e c t K e y & g t ; & l t ; K e y & g t ; T a b l e s \ R e s u m e n _ d e _ i n f o r m a c i � n \ C o l u m n s \ S o j a & l t ; / K e y & g t ; & l t ; / D i a g r a m O b j e c t K e y & g t ; & l t ; D i a g r a m O b j e c t K e y & g t ; & l t ; K e y & g t ; T a b l e s \ R e s u m e n _ d e _ i n f o r m a c i � n \ C o l u m n s \ S o r g o g r a n i f e r o & l t ; / K e y & g t ; & l t ; / D i a g r a m O b j e c t K e y & g t ; & l t ; D i a g r a m O b j e c t K e y & g t ; & l t ; K e y & g t ; T a b l e s \ R e s u m e n _ d e _ i n f o r m a c i � n \ C o l u m n s \ T r i g o & l t ; / K e y & g t ; & l t ; / D i a g r a m O b j e c t K e y & g t ; & l t ; D i a g r a m O b j e c t K e y & g t ; & l t ; K e y & g t ; T a b l e s \ R e s u m e n _ d e _ i n f o r m a c i � n \ M e a s u r e s \ S u m a   d e   A r r o z & l t ; / K e y & g t ; & l t ; / D i a g r a m O b j e c t K e y & g t ; & l t ; D i a g r a m O b j e c t K e y & g t ; & l t ; K e y & g t ; T a b l e s \ R e s u m e n _ d e _ i n f o r m a c i � n \ S u m a   d e   A r r o z \ A d d i t i o n a l   I n f o \ M e d i d a   i m p l � c i t a & l t ; / K e y & g t ; & l t ; / D i a g r a m O b j e c t K e y & g t ; & l t ; D i a g r a m O b j e c t K e y & g t ; & l t ; K e y & g t ; T a b l e s \ T r i g o & l t ; / K e y & g t ; & l t ; / D i a g r a m O b j e c t K e y & g t ; & l t ; D i a g r a m O b j e c t K e y & g t ; & l t ; K e y & g t ; T a b l e s \ T r i g o \ C o l u m n s \ i d & l t ; / K e y & g t ; & l t ; / D i a g r a m O b j e c t K e y & g t ; & l t ; D i a g r a m O b j e c t K e y & g t ; & l t ; K e y & g t ; T a b l e s \ T r i g o \ C o l u m n s \ P R E G U N T A S & l t ; / K e y & g t ; & l t ; / D i a g r a m O b j e c t K e y & g t ; & l t ; D i a g r a m O b j e c t K e y & g t ; & l t ; K e y & g t ; T a b l e s \ T r i g o \ C o l u m n s \ I N F O R M A C I O N & l t ; / K e y & g t ; & l t ; / D i a g r a m O b j e c t K e y & g t ; & l t ; D i a g r a m O b j e c t K e y & g t ; & l t ; K e y & g t ; R e l a t i o n s h i p s \ & a m p ; l t ; T a b l e s \ R e s u m e n _ d e _ i n f o r m a c i � n \ C o l u m n s \ A l p i s t e & a m p ; g t ; - & a m p ; l t ; T a b l e s \ A r r o z \ C o l u m n s \ i d & a m p ; g t ; & l t ; / K e y & g t ; & l t ; / D i a g r a m O b j e c t K e y & g t ; & l t ; D i a g r a m O b j e c t K e y & g t ; & l t ; K e y & g t ; R e l a t i o n s h i p s \ & a m p ; l t ; T a b l e s \ R e s u m e n _ d e _ i n f o r m a c i � n \ C o l u m n s \ A l p i s t e & a m p ; g t ; - & a m p ; l t ; T a b l e s \ A r r o z \ C o l u m n s \ i d & a m p ; g t ; \ F K & l t ; / K e y & g t ; & l t ; / D i a g r a m O b j e c t K e y & g t ; & l t ; D i a g r a m O b j e c t K e y & g t ; & l t ; K e y & g t ; R e l a t i o n s h i p s \ & a m p ; l t ; T a b l e s \ R e s u m e n _ d e _ i n f o r m a c i � n \ C o l u m n s \ A l p i s t e & a m p ; g t ; - & a m p ; l t ; T a b l e s \ A r r o z \ C o l u m n s \ i d & a m p ; g t ; \ P K & l t ; / K e y & g t ; & l t ; / D i a g r a m O b j e c t K e y & g t ; & l t ; D i a g r a m O b j e c t K e y & g t ; & l t ; K e y & g t ; R e l a t i o n s h i p s \ & a m p ; l t ; T a b l e s \ R e s u m e n _ d e _ i n f o r m a c i � n \ C o l u m n s \ A l p i s t e & a m p ; g t ; - & a m p ; l t ; T a b l e s \ A r r o z \ C o l u m n s \ i d & a m p ; g t ; \ C r o s s F i l t e r & l t ; / K e y & g t ; & l t ; / D i a g r a m O b j e c t K e y & g t ; & l t ; D i a g r a m O b j e c t K e y & g t ; & l t ; K e y & g t ; R e l a t i o n s h i p s \ & a m p ; l t ; T a b l e s \ R e s u m e n _ d e _ i n f o r m a c i � n \ C o l u m n s \ A l p i s t e & a m p ; g t ; - & a m p ; l t ; T a b l e s \ A v e n a \ C o l u m n s \ i d & a m p ; g t ; & l t ; / K e y & g t ; & l t ; / D i a g r a m O b j e c t K e y & g t ; & l t ; D i a g r a m O b j e c t K e y & g t ; & l t ; K e y & g t ; R e l a t i o n s h i p s \ & a m p ; l t ; T a b l e s \ R e s u m e n _ d e _ i n f o r m a c i � n \ C o l u m n s \ A l p i s t e & a m p ; g t ; - & a m p ; l t ; T a b l e s \ A v e n a \ C o l u m n s \ i d & a m p ; g t ; \ F K & l t ; / K e y & g t ; & l t ; / D i a g r a m O b j e c t K e y & g t ; & l t ; D i a g r a m O b j e c t K e y & g t ; & l t ; K e y & g t ; R e l a t i o n s h i p s \ & a m p ; l t ; T a b l e s \ R e s u m e n _ d e _ i n f o r m a c i � n \ C o l u m n s \ A l p i s t e & a m p ; g t ; - & a m p ; l t ; T a b l e s \ A v e n a \ C o l u m n s \ i d & a m p ; g t ; \ P K & l t ; / K e y & g t ; & l t ; / D i a g r a m O b j e c t K e y & g t ; & l t ; D i a g r a m O b j e c t K e y & g t ; & l t ; K e y & g t ; R e l a t i o n s h i p s \ & a m p ; l t ; T a b l e s \ R e s u m e n _ d e _ i n f o r m a c i � n \ C o l u m n s \ A l p i s t e & a m p ; g t ; - & a m p ; l t ; T a b l e s \ A v e n a \ C o l u m n s \ i d & a m p ; g t ; \ C r o s s F i l t e r & l t ; / K e y & g t ; & l t ; / D i a g r a m O b j e c t K e y & g t ; & l t ; D i a g r a m O b j e c t K e y & g t ; & l t ; K e y & g t ; R e l a t i o n s h i p s \ & a m p ; l t ; T a b l e s \ R e s u m e n _ d e _ i n f o r m a c i � n \ C o l u m n s \ A l p i s t e & a m p ; g t ; - & a m p ; l t ; T a b l e s \ A l p i s t e \ C o l u m n s \ i d & a m p ; g t ; & l t ; / K e y & g t ; & l t ; / D i a g r a m O b j e c t K e y & g t ; & l t ; D i a g r a m O b j e c t K e y & g t ; & l t ; K e y & g t ; R e l a t i o n s h i p s \ & a m p ; l t ; T a b l e s \ R e s u m e n _ d e _ i n f o r m a c i � n \ C o l u m n s \ A l p i s t e & a m p ; g t ; - & a m p ; l t ; T a b l e s \ A l p i s t e \ C o l u m n s \ i d & a m p ; g t ; \ F K & l t ; / K e y & g t ; & l t ; / D i a g r a m O b j e c t K e y & g t ; & l t ; D i a g r a m O b j e c t K e y & g t ; & l t ; K e y & g t ; R e l a t i o n s h i p s \ & a m p ; l t ; T a b l e s \ R e s u m e n _ d e _ i n f o r m a c i � n \ C o l u m n s \ A l p i s t e & a m p ; g t ; - & a m p ; l t ; T a b l e s \ A l p i s t e \ C o l u m n s \ i d & a m p ; g t ; \ P K & l t ; / K e y & g t ; & l t ; / D i a g r a m O b j e c t K e y & g t ; & l t ; D i a g r a m O b j e c t K e y & g t ; & l t ; K e y & g t ; R e l a t i o n s h i p s \ & a m p ; l t ; T a b l e s \ R e s u m e n _ d e _ i n f o r m a c i � n \ C o l u m n s \ A l p i s t e & a m p ; g t ; - & a m p ; l t ; T a b l e s \ A l p i s t e \ C o l u m n s \ i d & a m p ; g t ; \ C r o s s F i l t e r & l t ; / K e y & g t ; & l t ; / D i a g r a m O b j e c t K e y & g t ; & l t ; D i a g r a m O b j e c t K e y & g t ; & l t ; K e y & g t ; R e l a t i o n s h i p s \ & a m p ; l t ; T a b l e s \ R e s u m e n _ d e _ i n f o r m a c i � n \ C o l u m n s \ A l p i s t e & a m p ; g t ; - & a m p ; l t ; T a b l e s \ T r i g o \ C o l u m n s \ i d & a m p ; g t ; & l t ; / K e y & g t ; & l t ; / D i a g r a m O b j e c t K e y & g t ; & l t ; D i a g r a m O b j e c t K e y & g t ; & l t ; K e y & g t ; R e l a t i o n s h i p s \ & a m p ; l t ; T a b l e s \ R e s u m e n _ d e _ i n f o r m a c i � n \ C o l u m n s \ A l p i s t e & a m p ; g t ; - & a m p ; l t ; T a b l e s \ T r i g o \ C o l u m n s \ i d & a m p ; g t ; \ F K & l t ; / K e y & g t ; & l t ; / D i a g r a m O b j e c t K e y & g t ; & l t ; D i a g r a m O b j e c t K e y & g t ; & l t ; K e y & g t ; R e l a t i o n s h i p s \ & a m p ; l t ; T a b l e s \ R e s u m e n _ d e _ i n f o r m a c i � n \ C o l u m n s \ A l p i s t e & a m p ; g t ; - & a m p ; l t ; T a b l e s \ T r i g o \ C o l u m n s \ i d & a m p ; g t ; \ P K & l t ; / K e y & g t ; & l t ; / D i a g r a m O b j e c t K e y & g t ; & l t ; D i a g r a m O b j e c t K e y & g t ; & l t ; K e y & g t ; R e l a t i o n s h i p s \ & a m p ; l t ; T a b l e s \ R e s u m e n _ d e _ i n f o r m a c i � n \ C o l u m n s \ A l p i s t e & a m p ; g t ; - & a m p ; l t ; T a b l e s \ T r i g o \ C o l u m n s \ i d & a m p ; g t ; \ C r o s s F i l t e r & l t ; / K e y & g t ; & l t ; / D i a g r a m O b j e c t K e y & g t ; & l t ; / A l l K e y s & g t ; & l t ; S e l e c t e d K e y s & g t ; & l t ; D i a g r a m O b j e c t K e y & g t ; & l t ; K e y & g t ; T a b l e s \ R e s u m e n _ d e _ i n f o r m a c i � n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 T a g s \ T a b l e s \ & a m p ; l t ; T a b l e s \ A l p i s t e & a m p ; g t ; & l t ; / K e y & g t ; & l t ; / a : K e y & g t ; & l t ; a : V a l u e 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 T a g s \ T a b l e s \ & a m p ; l t ; T a b l e s \ A v e n a & a m p ; g t ; & l t ; / K e y & g t ; & l t ; / a : K e y & g t ; & l t ; a : V a l u e 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 T a g s \ T a b l e s \ & a m p ; l t ; T a b l e s \ A r r o z & a m p ; g t ; & l t ; / K e y & g t ; & l t ; / a : K e y & g t ; & l t ; a : V a l u e 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 T a g s \ T a b l e s \ & a m p ; l t ; T a b l e s \ R e s u m e n _ d e _ i n f o r m a c i � n & a m p ; g t ; & l t ; / K e y & g t ; & l t ; / a : K e y & g t ; & l t ; a : V a l u e 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 T a g s \ T a b l e s \ & a m p ; l t ; T a b l e s \ T r i g o & a m p ; g t ; & l t ; / K e y & g t ; & l t ; / a : K e y & g t ; & l t ; a : V a l u e 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l p i s t e & l t ; / K e y & g t ; & l t ; / a : K e y & g t ; & l t ; a : V a l u e   i : t y p e = " D i a g r a m D i s p l a y N o d e V i e w S t a t e " & g t ; & l t ; H e i g h t & g t ; 1 0 3 & l t ; / H e i g h t & g t ; & l t ; I s E x p a n d e d & g t ; t r u e & l t ; / I s E x p a n d e d & g t ; & l t ; L a y e d O u t & g t ; t r u e & l t ; / L a y e d O u t & g t ; & l t ; L e f t & g t ; 2 6 & l t ; / L e f t & g t ; & l t ; T a b I n d e x & g t ; 1 & l t ; / T a b I n d e x & g t ; & l t ; W i d t h & g t ; 1 6 5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l p i s t e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l p i s t e \ C o l u m n s \ P R E G U N T A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l p i s t e \ C o l u m n s \ I N F O R M A C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l p i s t e \ M e a s u r e s \ S u m a   d e   I N F O R M A C I O N & l t ; / K e y & g t ; & l t ; / a : K e y & g t ; & l t ; a : V a l u e 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l p i s t e \ S u m a   d e   I N F O R M A C I O N \ A d d i t i o n a l   I n f o \ M e d i d a   i m p l � c i t a & l t ; / K e y & g t ; & l t ; / a : K e y & g t ; & l t ; a : V a l u e 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A v e n a & l t ; / K e y & g t ; & l t ; / a : K e y & g t ; & l t ; a : V a l u e   i : t y p e = " D i a g r a m D i s p l a y N o d e V i e w S t a t e " & g t ; & l t ; H e i g h t & g t ; 1 2 2 & l t ; / H e i g h t & g t ; & l t ; I s E x p a n d e d & g t ; t r u e & l t ; / I s E x p a n d e d & g t ; & l t ; L a y e d O u t & g t ; t r u e & l t ; / L a y e d O u t & g t ; & l t ; T o p & g t ; 1 0 5 .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v e n a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v e n a \ C o l u m n s \ P R E G U N T A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v e n a \ C o l u m n s \ I N F O R M A C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r o z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4 & l t ; / L e f t & g t ; & l t ; T a b I n d e x & g t ; 4 & l t ; / T a b I n d e x & g t ; & l t ; T o p & g t ; 2 3 8 & l t ; / T o p & g t ; & l t ; W i d t h & g t ; 1 8 8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r o z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r o z \ C o l u m n s \ P R E G U N T A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A r r o z \ C o l u m n s \ I N F O R M A C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u m e n _ d e _ i n f o r m a c i � n & l t ; / K e y & g t ; & l t ; / a : K e y & g t ; & l t ; a : V a l u e   i : t y p e = " D i a g r a m D i s p l a y N o d e V i e w S t a t e " & g t ; & l t ; H e i g h t & g t ; 4 3 9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2 9 6 & l t ; / L e f t & g t ; & l t ; T a b I n d e x & g t ; 2 & l t ; / T a b I n d e x & g t ; & l t ; W i d t h & g t ; 2 8 1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u m e n _ d e _ i n f o r m a c i � n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u m e n _ d e _ i n f o r m a c i � n \ C o l u m n s \ P r e g u n t a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u m e n _ d e _ i n f o r m a c i � n \ C o l u m n s \ A l p i s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u m e n _ d e _ i n f o r m a c i � n \ C o l u m n s \ A r r o z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u m e n _ d e _ i n f o r m a c i � n \ C o l u m n s \ A v e n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u m e n _ d e _ i n f o r m a c i � n \ C o l u m n s \ C a r t a m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u m e n _ d e _ i n f o r m a c i � n \ C o l u m n s \ C e b a d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u m e n _ d e _ i n f o r m a c i � n \ C o l u m n s \ C e n t e n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u m e n _ d e _ i n f o r m a c i � n \ C o l u m n s \ G i r a s o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u m e n _ d e _ i n f o r m a c i � n \ C o l u m n s \ L i n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u m e n _ d e _ i n f o r m a c i � n \ C o l u m n s \ M a i z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u m e n _ d e _ i n f o r m a c i � n \ C o l u m n s \ M a n i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u m e n _ d e _ i n f o r m a c i � n \ C o l u m n s \ M i j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u m e n _ d e _ i n f o r m a c i � n \ C o l u m n s \ S o j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u m e n _ d e _ i n f o r m a c i � n \ C o l u m n s \ S o r g o g r a n i f e r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u m e n _ d e _ i n f o r m a c i � n \ C o l u m n s \ T r i g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u m e n _ d e _ i n f o r m a c i � n \ M e a s u r e s \ S u m a   d e   A r r o z & l t ; / K e y & g t ; & l t ; / a : K e y & g t ; & l t ; a : V a l u e 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u m e n _ d e _ i n f o r m a c i � n \ S u m a   d e   A r r o z \ A d d i t i o n a l   I n f o \ M e d i d a   i m p l � c i t a & l t ; / K e y & g t ; & l t ; / a : K e y & g t ; & l t ; a : V a l u e 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i g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2 2 & l t ; / L e f t & g t ; & l t ; T a b I n d e x & g t ; 3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i g o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i g o \ C o l u m n s \ P R E G U N T A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i g o \ C o l u m n s \ I N F O R M A C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R e s u m e n _ d e _ i n f o r m a c i � n \ C o l u m n s \ A l p i s t e & a m p ; g t ; - & a m p ; l t ; T a b l e s \ A r r o z \ C o l u m n s \ i d & a m p ; g t ; & l t ; / K e y & g t ; & l t ; / a : K e y & g t ; & l t ; a : V a l u e   i : t y p e = " D i a g r a m D i s p l a y L i n k V i e w S t a t e " & g t ; & l t ; A u t o m a t i o n P r o p e r t y H e l p e r T e x t & g t ; E x t r e m o   1 :   ( 2 8 0 , 2 3 9 , 5 ) .   E x t r e m o   2 :   ( 2 0 8 , 3 1 3 ) 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8 0 & l t ; / b : _ x & g t ; & l t ; b : _ y & g t ; 2 3 9 . 5 & l t ; / b : _ y & g t ; & l t ; / b : P o i n t & g t ; & l t ; b : P o i n t & g t ; & l t ; b : _ x & g t ; 2 4 6 & l t ; / b : _ x & g t ; & l t ; b : _ y & g t ; 2 3 9 . 5 & l t ; / b : _ y & g t ; & l t ; / b : P o i n t & g t ; & l t ; b : P o i n t & g t ; & l t ; b : _ x & g t ; 2 4 4 & l t ; / b : _ x & g t ; & l t ; b : _ y & g t ; 2 4 1 . 5 & l t ; / b : _ y & g t ; & l t ; / b : P o i n t & g t ; & l t ; b : P o i n t & g t ; & l t ; b : _ x & g t ; 2 4 4 & l t ; / b : _ x & g t ; & l t ; b : _ y & g t ; 3 1 1 & l t ; / b : _ y & g t ; & l t ; / b : P o i n t & g t ; & l t ; b : P o i n t & g t ; & l t ; b : _ x & g t ; 2 4 2 & l t ; / b : _ x & g t ; & l t ; b : _ y & g t ; 3 1 3 & l t ; / b : _ y & g t ; & l t ; / b : P o i n t & g t ; & l t ; b : P o i n t & g t ; & l t ; b : _ x & g t ; 2 0 8 & l t ; / b : _ x & g t ; & l t ; b : _ y & g t ; 3 1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R e s u m e n _ d e _ i n f o r m a c i � n \ C o l u m n s \ A l p i s t e & a m p ; g t ; - & a m p ; l t ; T a b l e s \ A r r o z \ C o l u m n s \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8 0 & l t ; / b : _ x & g t ; & l t ; b : _ y & g t ; 2 3 1 . 5 & l t ; / b : _ y & g t ; & l t ; / L a b e l L o c a t i o n & g t ; & l t ; L o c a t i o n   x m l n s : b = " h t t p : / / s c h e m a s . d a t a c o n t r a c t . o r g / 2 0 0 4 / 0 7 / S y s t e m . W i n d o w s " & g t ; & l t ; b : _ x & g t ; 2 9 6 & l t ; / b : _ x & g t ; & l t ; b : _ y & g t ; 2 3 9 .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R e s u m e n _ d e _ i n f o r m a c i � n \ C o l u m n s \ A l p i s t e & a m p ; g t ; - & a m p ; l t ; T a b l e s \ A r r o z \ C o l u m n s \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9 2 & l t ; / b : _ x & g t ; & l t ; b : _ y & g t ; 3 0 5 & l t ; / b : _ y & g t ; & l t ; / L a b e l L o c a t i o n & g t ; & l t ; L o c a t i o n   x m l n s : b = " h t t p : / / s c h e m a s . d a t a c o n t r a c t . o r g / 2 0 0 4 / 0 7 / S y s t e m . W i n d o w s " & g t ; & l t ; b : _ x & g t ; 1 9 2 & l t ; / b : _ x & g t ; & l t ; b : _ y & g t ; 3 1 3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R e s u m e n _ d e _ i n f o r m a c i � n \ C o l u m n s \ A l p i s t e & a m p ; g t ; - & a m p ; l t ; T a b l e s \ A r r o z \ C o l u m n s \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8 0 & l t ; / b : _ x & g t ; & l t ; b : _ y & g t ; 2 3 9 . 5 & l t ; / b : _ y & g t ; & l t ; / b : P o i n t & g t ; & l t ; b : P o i n t & g t ; & l t ; b : _ x & g t ; 2 4 6 & l t ; / b : _ x & g t ; & l t ; b : _ y & g t ; 2 3 9 . 5 & l t ; / b : _ y & g t ; & l t ; / b : P o i n t & g t ; & l t ; b : P o i n t & g t ; & l t ; b : _ x & g t ; 2 4 4 & l t ; / b : _ x & g t ; & l t ; b : _ y & g t ; 2 4 1 . 5 & l t ; / b : _ y & g t ; & l t ; / b : P o i n t & g t ; & l t ; b : P o i n t & g t ; & l t ; b : _ x & g t ; 2 4 4 & l t ; / b : _ x & g t ; & l t ; b : _ y & g t ; 3 1 1 & l t ; / b : _ y & g t ; & l t ; / b : P o i n t & g t ; & l t ; b : P o i n t & g t ; & l t ; b : _ x & g t ; 2 4 2 & l t ; / b : _ x & g t ; & l t ; b : _ y & g t ; 3 1 3 & l t ; / b : _ y & g t ; & l t ; / b : P o i n t & g t ; & l t ; b : P o i n t & g t ; & l t ; b : _ x & g t ; 2 0 8 & l t ; / b : _ x & g t ; & l t ; b : _ y & g t ; 3 1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R e s u m e n _ d e _ i n f o r m a c i � n \ C o l u m n s \ A l p i s t e & a m p ; g t ; - & a m p ; l t ; T a b l e s \ A v e n a \ C o l u m n s \ i d & a m p ; g t ; & l t ; / K e y & g t ; & l t ; / a : K e y & g t ; & l t ; a : V a l u e   i : t y p e = " D i a g r a m D i s p l a y L i n k V i e w S t a t e " & g t ; & l t ; A u t o m a t i o n P r o p e r t y H e l p e r T e x t & g t ; E x t r e m o   1 :   ( 2 8 0 , 2 1 9 , 5 ) .   E x t r e m o   2 :   ( 2 1 6 , 1 6 6 , 5 ) 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8 0 & l t ; / b : _ x & g t ; & l t ; b : _ y & g t ; 2 1 9 . 5 & l t ; / b : _ y & g t ; & l t ; / b : P o i n t & g t ; & l t ; b : P o i n t & g t ; & l t ; b : _ x & g t ; 2 4 5 . 2 5 & l t ; / b : _ x & g t ; & l t ; b : _ y & g t ; 2 1 9 . 5 & l t ; / b : _ y & g t ; & l t ; / b : P o i n t & g t ; & l t ; b : P o i n t & g t ; & l t ; b : _ x & g t ; 2 4 3 . 2 5 & l t ; / b : _ x & g t ; & l t ; b : _ y & g t ; 2 1 7 . 5 & l t ; / b : _ y & g t ; & l t ; / b : P o i n t & g t ; & l t ; b : P o i n t & g t ; & l t ; b : _ x & g t ; 2 4 3 . 2 5 & l t ; / b : _ x & g t ; & l t ; b : _ y & g t ; 1 6 8 . 5 & l t ; / b : _ y & g t ; & l t ; / b : P o i n t & g t ; & l t ; b : P o i n t & g t ; & l t ; b : _ x & g t ; 2 4 1 . 2 5 & l t ; / b : _ x & g t ; & l t ; b : _ y & g t ; 1 6 6 . 5 & l t ; / b : _ y & g t ; & l t ; / b : P o i n t & g t ; & l t ; b : P o i n t & g t ; & l t ; b : _ x & g t ; 2 1 6 & l t ; / b : _ x & g t ; & l t ; b : _ y & g t ; 1 6 6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R e s u m e n _ d e _ i n f o r m a c i � n \ C o l u m n s \ A l p i s t e & a m p ; g t ; - & a m p ; l t ; T a b l e s \ A v e n a \ C o l u m n s \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8 0 & l t ; / b : _ x & g t ; & l t ; b : _ y & g t ; 2 1 1 . 5 & l t ; / b : _ y & g t ; & l t ; / L a b e l L o c a t i o n & g t ; & l t ; L o c a t i o n   x m l n s : b = " h t t p : / / s c h e m a s . d a t a c o n t r a c t . o r g / 2 0 0 4 / 0 7 / S y s t e m . W i n d o w s " & g t ; & l t ; b : _ x & g t ; 2 9 6 & l t ; / b : _ x & g t ; & l t ; b : _ y & g t ; 2 1 9 .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R e s u m e n _ d e _ i n f o r m a c i � n \ C o l u m n s \ A l p i s t e & a m p ; g t ; - & a m p ; l t ; T a b l e s \ A v e n a \ C o l u m n s \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0 & l t ; / b : _ x & g t ; & l t ; b : _ y & g t ; 1 5 8 . 5 & l t ; / b : _ y & g t ; & l t ; / L a b e l L o c a t i o n & g t ; & l t ; L o c a t i o n   x m l n s : b = " h t t p : / / s c h e m a s . d a t a c o n t r a c t . o r g / 2 0 0 4 / 0 7 / S y s t e m . W i n d o w s " & g t ; & l t ; b : _ x & g t ; 2 0 0 & l t ; / b : _ x & g t ; & l t ; b : _ y & g t ; 1 6 6 .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R e s u m e n _ d e _ i n f o r m a c i � n \ C o l u m n s \ A l p i s t e & a m p ; g t ; - & a m p ; l t ; T a b l e s \ A v e n a \ C o l u m n s \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8 0 & l t ; / b : _ x & g t ; & l t ; b : _ y & g t ; 2 1 9 . 5 & l t ; / b : _ y & g t ; & l t ; / b : P o i n t & g t ; & l t ; b : P o i n t & g t ; & l t ; b : _ x & g t ; 2 4 5 . 2 5 & l t ; / b : _ x & g t ; & l t ; b : _ y & g t ; 2 1 9 . 5 & l t ; / b : _ y & g t ; & l t ; / b : P o i n t & g t ; & l t ; b : P o i n t & g t ; & l t ; b : _ x & g t ; 2 4 3 . 2 5 & l t ; / b : _ x & g t ; & l t ; b : _ y & g t ; 2 1 7 . 5 & l t ; / b : _ y & g t ; & l t ; / b : P o i n t & g t ; & l t ; b : P o i n t & g t ; & l t ; b : _ x & g t ; 2 4 3 . 2 5 & l t ; / b : _ x & g t ; & l t ; b : _ y & g t ; 1 6 8 . 5 & l t ; / b : _ y & g t ; & l t ; / b : P o i n t & g t ; & l t ; b : P o i n t & g t ; & l t ; b : _ x & g t ; 2 4 1 . 2 5 & l t ; / b : _ x & g t ; & l t ; b : _ y & g t ; 1 6 6 . 5 & l t ; / b : _ y & g t ; & l t ; / b : P o i n t & g t ; & l t ; b : P o i n t & g t ; & l t ; b : _ x & g t ; 2 1 6 & l t ; / b : _ x & g t ; & l t ; b : _ y & g t ; 1 6 6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R e s u m e n _ d e _ i n f o r m a c i � n \ C o l u m n s \ A l p i s t e & a m p ; g t ; - & a m p ; l t ; T a b l e s \ A l p i s t e \ C o l u m n s \ i d & a m p ; g t ; & l t ; / K e y & g t ; & l t ; / a : K e y & g t ; & l t ; a : V a l u e   i : t y p e = " D i a g r a m D i s p l a y L i n k V i e w S t a t e " & g t ; & l t ; A u t o m a t i o n P r o p e r t y H e l p e r T e x t & g t ; E x t r e m o   1 :   ( 2 8 0 , 1 9 9 , 5 ) .   E x t r e m o   2 :   ( 2 0 7 , 5 1 , 5 ) 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8 0 & l t ; / b : _ x & g t ; & l t ; b : _ y & g t ; 1 9 9 . 5 & l t ; / b : _ y & g t ; & l t ; / b : P o i n t & g t ; & l t ; b : P o i n t & g t ; & l t ; b : _ x & g t ; 2 5 0 . 2 5 & l t ; / b : _ x & g t ; & l t ; b : _ y & g t ; 1 9 9 . 5 & l t ; / b : _ y & g t ; & l t ; / b : P o i n t & g t ; & l t ; b : P o i n t & g t ; & l t ; b : _ x & g t ; 2 4 8 . 2 5 & l t ; / b : _ x & g t ; & l t ; b : _ y & g t ; 1 9 7 . 5 & l t ; / b : _ y & g t ; & l t ; / b : P o i n t & g t ; & l t ; b : P o i n t & g t ; & l t ; b : _ x & g t ; 2 4 8 . 2 5 & l t ; / b : _ x & g t ; & l t ; b : _ y & g t ; 5 3 . 5 & l t ; / b : _ y & g t ; & l t ; / b : P o i n t & g t ; & l t ; b : P o i n t & g t ; & l t ; b : _ x & g t ; 2 4 6 . 2 5 & l t ; / b : _ x & g t ; & l t ; b : _ y & g t ; 5 1 . 5 & l t ; / b : _ y & g t ; & l t ; / b : P o i n t & g t ; & l t ; b : P o i n t & g t ; & l t ; b : _ x & g t ; 2 0 7 & l t ; / b : _ x & g t ; & l t ; b : _ y & g t ; 5 1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R e s u m e n _ d e _ i n f o r m a c i � n \ C o l u m n s \ A l p i s t e & a m p ; g t ; - & a m p ; l t ; T a b l e s \ A l p i s t e \ C o l u m n s \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8 0 & l t ; / b : _ x & g t ; & l t ; b : _ y & g t ; 1 9 1 . 5 & l t ; / b : _ y & g t ; & l t ; / L a b e l L o c a t i o n & g t ; & l t ; L o c a t i o n   x m l n s : b = " h t t p : / / s c h e m a s . d a t a c o n t r a c t . o r g / 2 0 0 4 / 0 7 / S y s t e m . W i n d o w s " & g t ; & l t ; b : _ x & g t ; 2 9 6 & l t ; / b : _ x & g t ; & l t ; b : _ y & g t ; 1 9 9 .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R e s u m e n _ d e _ i n f o r m a c i � n \ C o l u m n s \ A l p i s t e & a m p ; g t ; - & a m p ; l t ; T a b l e s \ A l p i s t e \ C o l u m n s \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9 1 & l t ; / b : _ x & g t ; & l t ; b : _ y & g t ; 4 3 . 5 & l t ; / b : _ y & g t ; & l t ; / L a b e l L o c a t i o n & g t ; & l t ; L o c a t i o n   x m l n s : b = " h t t p : / / s c h e m a s . d a t a c o n t r a c t . o r g / 2 0 0 4 / 0 7 / S y s t e m . W i n d o w s " & g t ; & l t ; b : _ x & g t ; 1 9 1 & l t ; / b : _ x & g t ; & l t ; b : _ y & g t ; 5 1 .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R e s u m e n _ d e _ i n f o r m a c i � n \ C o l u m n s \ A l p i s t e & a m p ; g t ; - & a m p ; l t ; T a b l e s \ A l p i s t e \ C o l u m n s \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8 0 & l t ; / b : _ x & g t ; & l t ; b : _ y & g t ; 1 9 9 . 5 & l t ; / b : _ y & g t ; & l t ; / b : P o i n t & g t ; & l t ; b : P o i n t & g t ; & l t ; b : _ x & g t ; 2 5 0 . 2 5 & l t ; / b : _ x & g t ; & l t ; b : _ y & g t ; 1 9 9 . 5 & l t ; / b : _ y & g t ; & l t ; / b : P o i n t & g t ; & l t ; b : P o i n t & g t ; & l t ; b : _ x & g t ; 2 4 8 . 2 5 & l t ; / b : _ x & g t ; & l t ; b : _ y & g t ; 1 9 7 . 5 & l t ; / b : _ y & g t ; & l t ; / b : P o i n t & g t ; & l t ; b : P o i n t & g t ; & l t ; b : _ x & g t ; 2 4 8 . 2 5 & l t ; / b : _ x & g t ; & l t ; b : _ y & g t ; 5 3 . 5 & l t ; / b : _ y & g t ; & l t ; / b : P o i n t & g t ; & l t ; b : P o i n t & g t ; & l t ; b : _ x & g t ; 2 4 6 . 2 5 & l t ; / b : _ x & g t ; & l t ; b : _ y & g t ; 5 1 . 5 & l t ; / b : _ y & g t ; & l t ; / b : P o i n t & g t ; & l t ; b : P o i n t & g t ; & l t ; b : _ x & g t ; 2 0 7 & l t ; / b : _ x & g t ; & l t ; b : _ y & g t ; 5 1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R e s u m e n _ d e _ i n f o r m a c i � n \ C o l u m n s \ A l p i s t e & a m p ; g t ; - & a m p ; l t ; T a b l e s \ T r i g o \ C o l u m n s \ i d & a m p ; g t ; & l t ; / K e y & g t ; & l t ; / a : K e y & g t ; & l t ; a : V a l u e   i : t y p e = " D i a g r a m D i s p l a y L i n k V i e w S t a t e " & g t ; & l t ; A u t o m a t i o n P r o p e r t y H e l p e r T e x t & g t ; E x t r e m o   1 :   ( 5 9 3 , 2 1 9 , 5 ) .   E x t r e m o   2 :   ( 6 0 6 , 7 5 ) 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9 3 & l t ; / b : _ x & g t ; & l t ; b : _ y & g t ; 2 1 9 . 5 & l t ; / b : _ y & g t ; & l t ; / b : P o i n t & g t ; & l t ; b : P o i n t & g t ; & l t ; b : _ x & g t ; 5 9 7 . 5 & l t ; / b : _ x & g t ; & l t ; b : _ y & g t ; 2 1 9 . 5 & l t ; / b : _ y & g t ; & l t ; / b : P o i n t & g t ; & l t ; b : P o i n t & g t ; & l t ; b : _ x & g t ; 5 9 9 . 5 & l t ; / b : _ x & g t ; & l t ; b : _ y & g t ; 2 1 7 . 5 & l t ; / b : _ y & g t ; & l t ; / b : P o i n t & g t ; & l t ; b : P o i n t & g t ; & l t ; b : _ x & g t ; 5 9 9 . 5 & l t ; / b : _ x & g t ; & l t ; b : _ y & g t ; 7 7 & l t ; / b : _ y & g t ; & l t ; / b : P o i n t & g t ; & l t ; b : P o i n t & g t ; & l t ; b : _ x & g t ; 6 0 1 . 5 & l t ; / b : _ x & g t ; & l t ; b : _ y & g t ; 7 5 & l t ; / b : _ y & g t ; & l t ; / b : P o i n t & g t ; & l t ; b : P o i n t & g t ; & l t ; b : _ x & g t ; 6 0 6 . 0 0 0 0 0 0 0 0 0 0 0 0 1 1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R e s u m e n _ d e _ i n f o r m a c i � n \ C o l u m n s \ A l p i s t e & a m p ; g t ; - & a m p ; l t ; T a b l e s \ T r i g o \ C o l u m n s \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7 7 & l t ; / b : _ x & g t ; & l t ; b : _ y & g t ; 2 1 1 . 5 & l t ; / b : _ y & g t ; & l t ; / L a b e l L o c a t i o n & g t ; & l t ; L o c a t i o n   x m l n s : b = " h t t p : / / s c h e m a s . d a t a c o n t r a c t . o r g / 2 0 0 4 / 0 7 / S y s t e m . W i n d o w s " & g t ; & l t ; b : _ x & g t ; 5 7 7 & l t ; / b : _ x & g t ; & l t ; b : _ y & g t ; 2 1 9 .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R e s u m e n _ d e _ i n f o r m a c i � n \ C o l u m n s \ A l p i s t e & a m p ; g t ; - & a m p ; l t ; T a b l e s \ T r i g o \ C o l u m n s \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0 6 . 0 0 0 0 0 0 0 0 0 0 0 0 1 1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6 2 2 . 0 0 0 0 0 0 0 0 0 0 0 0 1 1 & l t ; / b : _ x & g t ; & l t ; b : _ y & g t ; 7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R e s u m e n _ d e _ i n f o r m a c i � n \ C o l u m n s \ A l p i s t e & a m p ; g t ; - & a m p ; l t ; T a b l e s \ T r i g o \ C o l u m n s \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9 3 & l t ; / b : _ x & g t ; & l t ; b : _ y & g t ; 2 1 9 . 5 & l t ; / b : _ y & g t ; & l t ; / b : P o i n t & g t ; & l t ; b : P o i n t & g t ; & l t ; b : _ x & g t ; 5 9 7 . 5 & l t ; / b : _ x & g t ; & l t ; b : _ y & g t ; 2 1 9 . 5 & l t ; / b : _ y & g t ; & l t ; / b : P o i n t & g t ; & l t ; b : P o i n t & g t ; & l t ; b : _ x & g t ; 5 9 9 . 5 & l t ; / b : _ x & g t ; & l t ; b : _ y & g t ; 2 1 7 . 5 & l t ; / b : _ y & g t ; & l t ; / b : P o i n t & g t ; & l t ; b : P o i n t & g t ; & l t ; b : _ x & g t ; 5 9 9 . 5 & l t ; / b : _ x & g t ; & l t ; b : _ y & g t ; 7 7 & l t ; / b : _ y & g t ; & l t ; / b : P o i n t & g t ; & l t ; b : P o i n t & g t ; & l t ; b : _ x & g t ; 6 0 1 . 5 & l t ; / b : _ x & g t ; & l t ; b : _ y & g t ; 7 5 & l t ; / b : _ y & g t ; & l t ; / b : P o i n t & g t ; & l t ; b : P o i n t & g t ; & l t ; b : _ x & g t ; 6 0 6 . 0 0 0 0 0 0 0 0 0 0 0 0 1 1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 2 0 2 3 - 0 6 - 2 9 T 1 3 : 3 9 : 2 3 . 2 8 3 8 3 3 8 - 0 3 : 0 0 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R e s u m e n _ d e _ i n f o r m a c i �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 4 8 < / i n t > < / v a l u e > < / i t e m > < i t e m > < k e y > < s t r i n g > P r e g u n t a s < / s t r i n g > < / k e y > < v a l u e > < i n t > 9 8 < / i n t > < / v a l u e > < / i t e m > < i t e m > < k e y > < s t r i n g > A l p i s t e < / s t r i n g > < / k e y > < v a l u e > < i n t > 8 0 < / i n t > < / v a l u e > < / i t e m > < i t e m > < k e y > < s t r i n g > A r r o z < / s t r i n g > < / k e y > < v a l u e > < i n t > 6 9 < / i n t > < / v a l u e > < / i t e m > < i t e m > < k e y > < s t r i n g > A v e n a < / s t r i n g > < / k e y > < v a l u e > < i n t > 7 5 < / i n t > < / v a l u e > < / i t e m > < i t e m > < k e y > < s t r i n g > C a r t a m o < / s t r i n g > < / k e y > < v a l u e > < i n t > 8 8 < / i n t > < / v a l u e > < / i t e m > < i t e m > < k e y > < s t r i n g > C e b a d a < / s t r i n g > < / k e y > < v a l u e > < i n t > 8 2 < / i n t > < / v a l u e > < / i t e m > < i t e m > < k e y > < s t r i n g > C e n t e n o < / s t r i n g > < / k e y > < v a l u e > < i n t > 8 9 < / i n t > < / v a l u e > < / i t e m > < i t e m > < k e y > < s t r i n g > G i r a s o l < / s t r i n g > < / k e y > < v a l u e > < i n t > 7 9 < / i n t > < / v a l u e > < / i t e m > < i t e m > < k e y > < s t r i n g > L i n o < / s t r i n g > < / k e y > < v a l u e > < i n t > 6 2 < / i n t > < / v a l u e > < / i t e m > < i t e m > < k e y > < s t r i n g > M a i z < / s t r i n g > < / k e y > < v a l u e > < i n t > 6 5 < / i n t > < / v a l u e > < / i t e m > < i t e m > < k e y > < s t r i n g > M a n i < / s t r i n g > < / k e y > < v a l u e > < i n t > 6 7 < / i n t > < / v a l u e > < / i t e m > < i t e m > < k e y > < s t r i n g > M i j o < / s t r i n g > < / k e y > < v a l u e > < i n t > 6 4 < / i n t > < / v a l u e > < / i t e m > < i t e m > < k e y > < s t r i n g > S o j a < / s t r i n g > < / k e y > < v a l u e > < i n t > 6 2 < / i n t > < / v a l u e > < / i t e m > < i t e m > < k e y > < s t r i n g > S o r g o g r a n i f e r o < / s t r i n g > < / k e y > < v a l u e > < i n t > 1 2 8 < / i n t > < / v a l u e > < / i t e m > < i t e m > < k e y > < s t r i n g > T r i g o < / s t r i n g > < / k e y > < v a l u e > < i n t > 6 6 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 P r e g u n t a s < / s t r i n g > < / k e y > < v a l u e > < i n t > 1 < / i n t > < / v a l u e > < / i t e m > < i t e m > < k e y > < s t r i n g > A l p i s t e < / s t r i n g > < / k e y > < v a l u e > < i n t > 2 < / i n t > < / v a l u e > < / i t e m > < i t e m > < k e y > < s t r i n g > A r r o z < / s t r i n g > < / k e y > < v a l u e > < i n t > 3 < / i n t > < / v a l u e > < / i t e m > < i t e m > < k e y > < s t r i n g > A v e n a < / s t r i n g > < / k e y > < v a l u e > < i n t > 4 < / i n t > < / v a l u e > < / i t e m > < i t e m > < k e y > < s t r i n g > C a r t a m o < / s t r i n g > < / k e y > < v a l u e > < i n t > 5 < / i n t > < / v a l u e > < / i t e m > < i t e m > < k e y > < s t r i n g > C e b a d a < / s t r i n g > < / k e y > < v a l u e > < i n t > 6 < / i n t > < / v a l u e > < / i t e m > < i t e m > < k e y > < s t r i n g > C e n t e n o < / s t r i n g > < / k e y > < v a l u e > < i n t > 7 < / i n t > < / v a l u e > < / i t e m > < i t e m > < k e y > < s t r i n g > G i r a s o l < / s t r i n g > < / k e y > < v a l u e > < i n t > 8 < / i n t > < / v a l u e > < / i t e m > < i t e m > < k e y > < s t r i n g > L i n o < / s t r i n g > < / k e y > < v a l u e > < i n t > 9 < / i n t > < / v a l u e > < / i t e m > < i t e m > < k e y > < s t r i n g > M a i z < / s t r i n g > < / k e y > < v a l u e > < i n t > 1 0 < / i n t > < / v a l u e > < / i t e m > < i t e m > < k e y > < s t r i n g > M a n i < / s t r i n g > < / k e y > < v a l u e > < i n t > 1 1 < / i n t > < / v a l u e > < / i t e m > < i t e m > < k e y > < s t r i n g > M i j o < / s t r i n g > < / k e y > < v a l u e > < i n t > 1 2 < / i n t > < / v a l u e > < / i t e m > < i t e m > < k e y > < s t r i n g > S o j a < / s t r i n g > < / k e y > < v a l u e > < i n t > 1 3 < / i n t > < / v a l u e > < / i t e m > < i t e m > < k e y > < s t r i n g > S o r g o g r a n i f e r o < / s t r i n g > < / k e y > < v a l u e > < i n t > 1 4 < / i n t > < / v a l u e > < / i t e m > < i t e m > < k e y > < s t r i n g > T r i g o 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C o u n t I n S a n d b o x " > < C u s t o m C o n t e n t > 5 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A l p i s t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 4 8 < / i n t > < / v a l u e > < / i t e m > < i t e m > < k e y > < s t r i n g > P R E G U N T A S < / s t r i n g > < / k e y > < v a l u e > < i n t > 1 0 9 < / i n t > < / v a l u e > < / i t e m > < i t e m > < k e y > < s t r i n g > I N F O R M A C I O N < / s t r i n g > < / k e y > < v a l u e > < i n t > 1 2 8 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 P R E G U N T A S < / s t r i n g > < / k e y > < v a l u e > < i n t > 1 < / i n t > < / v a l u e > < / i t e m > < i t e m > < k e y > < s t r i n g > I N F O R M A C I O N 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A v e n a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 i : t y p e = " S a n d b o x E d i t o r T a b l e W i d g e t V i e w M o d e l K e y " & g t ; & l t ; T a b l e N a m e & g t ; A v e n a & l t ; / T a b l e N a m e & g t ; & l t ; / K e y & g t ; & l t ; M a i n t a i n e r 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E G U N T A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F O R M A C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A l p i s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 i : t y p e = " S a n d b o x E d i t o r T a b l e W i d g e t V i e w M o d e l K e y " & g t ; & l t ; T a b l e N a m e & g t ; A l p i s t e & l t ; / T a b l e N a m e & g t ; & l t ; / K e y & g t ; & l t ; M a i n t a i n e r 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E G U N T A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F O R M A C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A r r o z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 i : t y p e = " S a n d b o x E d i t o r T a b l e W i d g e t V i e w M o d e l K e y " & g t ; & l t ; T a b l e N a m e & g t ; A r r o z & l t ; / T a b l e N a m e & g t ; & l t ; / K e y & g t ; & l t ; M a i n t a i n e r 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E G U N T A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F O R M A C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R e s u m e n _ d e _ i n f o r m a c i � n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 i : t y p e = " S a n d b o x E d i t o r T a b l e W i d g e t V i e w M o d e l K e y " & g t ; & l t ; T a b l e N a m e & g t ; R e s u m e n _ d e _ i n f o r m a c i � n & l t ; / T a b l e N a m e & g t ; & l t ; / K e y & g t ; & l t ; M a i n t a i n e r 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e g u n t a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l p i s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r r o z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e n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t a m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e b a d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e n t e n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i r a s o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n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i z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i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i j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o j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o r g o g r a n i f e r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r i g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r i g o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 i : t y p e = " S a n d b o x E d i t o r T a b l e W i d g e t V i e w M o d e l K e y " & g t ; & l t ; T a b l e N a m e & g t ; T r i g o & l t ; / T a b l e N a m e & g t ; & l t ; / K e y & g t ; & l t ; M a i n t a i n e r 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E G U N T A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F O R M A C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C l i e n t W i n d o w X M L " > < C u s t o m C o n t e n t > T r i g o 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r i g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 4 8 < / i n t > < / v a l u e > < / i t e m > < i t e m > < k e y > < s t r i n g > P R E G U N T A S < / s t r i n g > < / k e y > < v a l u e > < i n t > 1 0 9 < / i n t > < / v a l u e > < / i t e m > < i t e m > < k e y > < s t r i n g > I N F O R M A C I O N < / s t r i n g > < / k e y > < v a l u e > < i n t > 1 2 8 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 P R E G U N T A S < / s t r i n g > < / k e y > < v a l u e > < i n t > 1 < / i n t > < / v a l u e > < / i t e m > < i t e m > < k e y > < s t r i n g > I N F O R M A C I O N 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A l p i s t e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1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A v e n a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A r r o z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R e s u m e n _ d e _ i n f o r m a c i � n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r i g o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 A l p i s t e , A v e n a , A r r o z , R e s u m e n _ d e _ i n f o r m a c i � n , T r i g o < / C u s t o m C o n t e n t > < / G e m i n i > 
</file>

<file path=customXml/itemProps1.xml><?xml version="1.0" encoding="utf-8"?>
<ds:datastoreItem xmlns:ds="http://schemas.openxmlformats.org/officeDocument/2006/customXml" ds:itemID="{BF62F0BC-0C7E-43BD-9834-B902F043A7EB}">
  <ds:schemaRefs/>
</ds:datastoreItem>
</file>

<file path=customXml/itemProps10.xml><?xml version="1.0" encoding="utf-8"?>
<ds:datastoreItem xmlns:ds="http://schemas.openxmlformats.org/officeDocument/2006/customXml" ds:itemID="{507A0E84-2F68-496A-9FF7-B4751D3D84FE}">
  <ds:schemaRefs/>
</ds:datastoreItem>
</file>

<file path=customXml/itemProps11.xml><?xml version="1.0" encoding="utf-8"?>
<ds:datastoreItem xmlns:ds="http://schemas.openxmlformats.org/officeDocument/2006/customXml" ds:itemID="{4C62E1C5-E503-4248-B510-2AC3E758E132}">
  <ds:schemaRefs/>
</ds:datastoreItem>
</file>

<file path=customXml/itemProps12.xml><?xml version="1.0" encoding="utf-8"?>
<ds:datastoreItem xmlns:ds="http://schemas.openxmlformats.org/officeDocument/2006/customXml" ds:itemID="{7866139C-AC4B-4F2F-93AF-AC2EC0DB9997}">
  <ds:schemaRefs/>
</ds:datastoreItem>
</file>

<file path=customXml/itemProps13.xml><?xml version="1.0" encoding="utf-8"?>
<ds:datastoreItem xmlns:ds="http://schemas.openxmlformats.org/officeDocument/2006/customXml" ds:itemID="{5DCC57EA-28FB-4C3D-9D44-ED2002F194ED}">
  <ds:schemaRefs/>
</ds:datastoreItem>
</file>

<file path=customXml/itemProps14.xml><?xml version="1.0" encoding="utf-8"?>
<ds:datastoreItem xmlns:ds="http://schemas.openxmlformats.org/officeDocument/2006/customXml" ds:itemID="{BCCB8751-88E0-49C8-8DD6-970A556E8ED0}">
  <ds:schemaRefs/>
</ds:datastoreItem>
</file>

<file path=customXml/itemProps15.xml><?xml version="1.0" encoding="utf-8"?>
<ds:datastoreItem xmlns:ds="http://schemas.openxmlformats.org/officeDocument/2006/customXml" ds:itemID="{9C65F53C-6421-4ED6-8063-12F25FB9E1D5}">
  <ds:schemaRefs/>
</ds:datastoreItem>
</file>

<file path=customXml/itemProps16.xml><?xml version="1.0" encoding="utf-8"?>
<ds:datastoreItem xmlns:ds="http://schemas.openxmlformats.org/officeDocument/2006/customXml" ds:itemID="{6FBBFEB4-84B0-4F91-A56B-9552C93C1122}">
  <ds:schemaRefs/>
</ds:datastoreItem>
</file>

<file path=customXml/itemProps17.xml><?xml version="1.0" encoding="utf-8"?>
<ds:datastoreItem xmlns:ds="http://schemas.openxmlformats.org/officeDocument/2006/customXml" ds:itemID="{26EE8415-0C51-4DCB-8F64-8DA31FDED121}">
  <ds:schemaRefs/>
</ds:datastoreItem>
</file>

<file path=customXml/itemProps18.xml><?xml version="1.0" encoding="utf-8"?>
<ds:datastoreItem xmlns:ds="http://schemas.openxmlformats.org/officeDocument/2006/customXml" ds:itemID="{24DFF6B5-A725-480C-BAA7-B32BB06AD2C1}">
  <ds:schemaRefs/>
</ds:datastoreItem>
</file>

<file path=customXml/itemProps19.xml><?xml version="1.0" encoding="utf-8"?>
<ds:datastoreItem xmlns:ds="http://schemas.openxmlformats.org/officeDocument/2006/customXml" ds:itemID="{49AE8F4B-AFB3-4933-AE03-0F1E3C36E12E}">
  <ds:schemaRefs/>
</ds:datastoreItem>
</file>

<file path=customXml/itemProps2.xml><?xml version="1.0" encoding="utf-8"?>
<ds:datastoreItem xmlns:ds="http://schemas.openxmlformats.org/officeDocument/2006/customXml" ds:itemID="{1BE04686-88F8-41F5-AAC3-2B23F6C914E4}">
  <ds:schemaRefs/>
</ds:datastoreItem>
</file>

<file path=customXml/itemProps20.xml><?xml version="1.0" encoding="utf-8"?>
<ds:datastoreItem xmlns:ds="http://schemas.openxmlformats.org/officeDocument/2006/customXml" ds:itemID="{BB4D7DC3-75A5-4ADD-B734-EEE60CA526A0}">
  <ds:schemaRefs/>
</ds:datastoreItem>
</file>

<file path=customXml/itemProps21.xml><?xml version="1.0" encoding="utf-8"?>
<ds:datastoreItem xmlns:ds="http://schemas.openxmlformats.org/officeDocument/2006/customXml" ds:itemID="{B4224B3E-D3C9-4838-A9CA-14E86FBC7427}">
  <ds:schemaRefs/>
</ds:datastoreItem>
</file>

<file path=customXml/itemProps3.xml><?xml version="1.0" encoding="utf-8"?>
<ds:datastoreItem xmlns:ds="http://schemas.openxmlformats.org/officeDocument/2006/customXml" ds:itemID="{BB759EF7-A3B6-4435-9E55-762783C3FB3C}">
  <ds:schemaRefs/>
</ds:datastoreItem>
</file>

<file path=customXml/itemProps4.xml><?xml version="1.0" encoding="utf-8"?>
<ds:datastoreItem xmlns:ds="http://schemas.openxmlformats.org/officeDocument/2006/customXml" ds:itemID="{8652F916-B096-41C0-A971-601F85EB7A96}">
  <ds:schemaRefs/>
</ds:datastoreItem>
</file>

<file path=customXml/itemProps5.xml><?xml version="1.0" encoding="utf-8"?>
<ds:datastoreItem xmlns:ds="http://schemas.openxmlformats.org/officeDocument/2006/customXml" ds:itemID="{8F745148-A246-4B66-95CF-7EDB441A2EF0}">
  <ds:schemaRefs/>
</ds:datastoreItem>
</file>

<file path=customXml/itemProps6.xml><?xml version="1.0" encoding="utf-8"?>
<ds:datastoreItem xmlns:ds="http://schemas.openxmlformats.org/officeDocument/2006/customXml" ds:itemID="{C4EBD896-3A20-4452-AA1C-8F825E4A2271}">
  <ds:schemaRefs/>
</ds:datastoreItem>
</file>

<file path=customXml/itemProps7.xml><?xml version="1.0" encoding="utf-8"?>
<ds:datastoreItem xmlns:ds="http://schemas.openxmlformats.org/officeDocument/2006/customXml" ds:itemID="{B09905C5-94A9-4B2A-93AC-50B70129C9A1}">
  <ds:schemaRefs/>
</ds:datastoreItem>
</file>

<file path=customXml/itemProps8.xml><?xml version="1.0" encoding="utf-8"?>
<ds:datastoreItem xmlns:ds="http://schemas.openxmlformats.org/officeDocument/2006/customXml" ds:itemID="{C7CB186B-B7AD-40A5-A1D5-38FADCFB83B0}">
  <ds:schemaRefs/>
</ds:datastoreItem>
</file>

<file path=customXml/itemProps9.xml><?xml version="1.0" encoding="utf-8"?>
<ds:datastoreItem xmlns:ds="http://schemas.openxmlformats.org/officeDocument/2006/customXml" ds:itemID="{F0667F0F-9C08-49A1-B859-32A42F6898F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21</vt:i4>
      </vt:variant>
      <vt:variant>
        <vt:lpstr>Rangos con nombre</vt:lpstr>
      </vt:variant>
      <vt:variant>
        <vt:i4>2</vt:i4>
      </vt:variant>
    </vt:vector>
  </HeadingPairs>
  <TitlesOfParts>
    <vt:vector size="23" baseType="lpstr">
      <vt:lpstr>README</vt:lpstr>
      <vt:lpstr>Tabla Madre - Granos  </vt:lpstr>
      <vt:lpstr>1-Alpiste</vt:lpstr>
      <vt:lpstr>2-Arroz</vt:lpstr>
      <vt:lpstr>3-Avena </vt:lpstr>
      <vt:lpstr>4-Cartamo</vt:lpstr>
      <vt:lpstr>5-Cebada</vt:lpstr>
      <vt:lpstr>6-Centeno</vt:lpstr>
      <vt:lpstr>7-Girasol</vt:lpstr>
      <vt:lpstr>8-Lino</vt:lpstr>
      <vt:lpstr>9-Maiz</vt:lpstr>
      <vt:lpstr>10-Mani</vt:lpstr>
      <vt:lpstr>11-Mijo</vt:lpstr>
      <vt:lpstr>12-Soja</vt:lpstr>
      <vt:lpstr>13-Sorgogranifero</vt:lpstr>
      <vt:lpstr>14-Trigo</vt:lpstr>
      <vt:lpstr>Resumen de Informacion </vt:lpstr>
      <vt:lpstr>Preguntas y Respuestas - Aux. </vt:lpstr>
      <vt:lpstr>Hectareas - Aux.</vt:lpstr>
      <vt:lpstr>Toneladas- Aux.</vt:lpstr>
      <vt:lpstr>Tablero de control</vt:lpstr>
      <vt:lpstr>README!Área_de_impresión</vt:lpstr>
      <vt:lpstr>'Tablero de control'!Área_de_impresión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543704003126</dc:creator>
  <cp:lastModifiedBy>Lara Ledesma</cp:lastModifiedBy>
  <dcterms:created xsi:type="dcterms:W3CDTF">2023-06-06T19:59:35Z</dcterms:created>
  <dcterms:modified xsi:type="dcterms:W3CDTF">2024-09-28T23:48:36Z</dcterms:modified>
</cp:coreProperties>
</file>