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s\Desktop\"/>
    </mc:Choice>
  </mc:AlternateContent>
  <bookViews>
    <workbookView xWindow="0" yWindow="0" windowWidth="16440" windowHeight="8100" firstSheet="1" activeTab="6"/>
  </bookViews>
  <sheets>
    <sheet name="Custo_Planejado" sheetId="10" r:id="rId1"/>
    <sheet name="Chart3" sheetId="16" r:id="rId2"/>
    <sheet name="Custo_Atual" sheetId="8" r:id="rId3"/>
    <sheet name="Valor_Agregado" sheetId="11" r:id="rId4"/>
    <sheet name="Chart1" sheetId="14" r:id="rId5"/>
    <sheet name="Chart2" sheetId="15" r:id="rId6"/>
    <sheet name="Custo Sprint" sheetId="12" r:id="rId7"/>
    <sheet name="Outras Métricas" sheetId="13" r:id="rId8"/>
  </sheets>
  <calcPr calcId="152511"/>
</workbook>
</file>

<file path=xl/calcChain.xml><?xml version="1.0" encoding="utf-8"?>
<calcChain xmlns="http://schemas.openxmlformats.org/spreadsheetml/2006/main">
  <c r="C42" i="8" l="1"/>
  <c r="B42" i="8" l="1"/>
  <c r="G9" i="12" l="1"/>
  <c r="C19" i="13" l="1"/>
  <c r="D9" i="12" l="1"/>
  <c r="D8" i="12"/>
  <c r="F10" i="8" l="1"/>
  <c r="G5" i="10"/>
  <c r="E39" i="11" l="1"/>
  <c r="B52" i="8"/>
  <c r="B51" i="8"/>
  <c r="B50" i="8"/>
  <c r="B49" i="8"/>
  <c r="B44" i="8"/>
  <c r="B48" i="8" s="1"/>
  <c r="B52" i="10"/>
  <c r="B51" i="10"/>
  <c r="B50" i="10"/>
  <c r="B49" i="10"/>
  <c r="B44" i="10"/>
  <c r="B47" i="10" s="1"/>
  <c r="B48" i="10" l="1"/>
  <c r="B47" i="8"/>
  <c r="E11" i="8"/>
  <c r="E11" i="10"/>
  <c r="E8" i="11" l="1"/>
  <c r="E32" i="11"/>
  <c r="F32" i="11" s="1"/>
  <c r="E33" i="11"/>
  <c r="F33" i="11" s="1"/>
  <c r="E34" i="11"/>
  <c r="F34" i="11" s="1"/>
  <c r="E31" i="11"/>
  <c r="E4" i="11"/>
  <c r="E5" i="11"/>
  <c r="E6" i="11"/>
  <c r="E7" i="11"/>
  <c r="F31" i="11"/>
  <c r="E36" i="11"/>
  <c r="F36" i="11" s="1"/>
  <c r="E37" i="11"/>
  <c r="F37" i="11" s="1"/>
  <c r="E38" i="11"/>
  <c r="F38" i="11" s="1"/>
  <c r="F39" i="11"/>
  <c r="E35" i="11"/>
  <c r="F35" i="11" s="1"/>
  <c r="B37" i="11"/>
  <c r="C37" i="11" s="1"/>
  <c r="H37" i="11" s="1"/>
  <c r="B38" i="11"/>
  <c r="C38" i="11" s="1"/>
  <c r="B39" i="11"/>
  <c r="C39" i="11" s="1"/>
  <c r="B36" i="11"/>
  <c r="C36" i="11" s="1"/>
  <c r="H36" i="11" s="1"/>
  <c r="B35" i="11"/>
  <c r="C35" i="11" s="1"/>
  <c r="H35" i="11" s="1"/>
  <c r="B34" i="11"/>
  <c r="C34" i="11" s="1"/>
  <c r="H34" i="11" s="1"/>
  <c r="B33" i="11"/>
  <c r="C33" i="11" s="1"/>
  <c r="H33" i="11" s="1"/>
  <c r="B32" i="11"/>
  <c r="C32" i="11" s="1"/>
  <c r="B31" i="11"/>
  <c r="C31" i="11" s="1"/>
  <c r="H31" i="11" s="1"/>
  <c r="E36" i="8"/>
  <c r="E21" i="8"/>
  <c r="E21" i="10"/>
  <c r="E36" i="10"/>
  <c r="E38" i="10" s="1"/>
  <c r="E10" i="10"/>
  <c r="E13" i="10" s="1"/>
  <c r="E10" i="8"/>
  <c r="E13" i="8" s="1"/>
  <c r="E38" i="8" l="1"/>
  <c r="E40" i="11"/>
  <c r="H32" i="11"/>
  <c r="H39" i="11"/>
  <c r="H38" i="11"/>
  <c r="B40" i="11"/>
  <c r="C40" i="11"/>
  <c r="F40" i="11"/>
  <c r="E12" i="11"/>
  <c r="E11" i="11"/>
  <c r="E10" i="11"/>
  <c r="E9" i="11"/>
  <c r="B12" i="11"/>
  <c r="B11" i="11"/>
  <c r="B10" i="11"/>
  <c r="B9" i="11"/>
  <c r="B8" i="11"/>
  <c r="B5" i="11"/>
  <c r="B7" i="11"/>
  <c r="B6" i="11"/>
  <c r="B4" i="11"/>
  <c r="C4" i="11" s="1"/>
  <c r="H40" i="11" l="1"/>
  <c r="E13" i="11"/>
  <c r="B13" i="11"/>
  <c r="B19" i="10"/>
  <c r="I19" i="10" s="1"/>
  <c r="H21" i="10"/>
  <c r="G21" i="10"/>
  <c r="F21" i="10"/>
  <c r="I17" i="10"/>
  <c r="B16" i="10"/>
  <c r="I9" i="10"/>
  <c r="H5" i="10"/>
  <c r="H11" i="10" s="1"/>
  <c r="F5" i="10"/>
  <c r="D5" i="10"/>
  <c r="C5" i="10"/>
  <c r="C11" i="10" s="1"/>
  <c r="B5" i="10"/>
  <c r="D10" i="10" l="1"/>
  <c r="D11" i="10"/>
  <c r="B10" i="10"/>
  <c r="B11" i="10"/>
  <c r="B13" i="10" s="1"/>
  <c r="G10" i="10"/>
  <c r="G11" i="10"/>
  <c r="C10" i="10"/>
  <c r="F10" i="10"/>
  <c r="F11" i="10"/>
  <c r="H10" i="10"/>
  <c r="H13" i="10" s="1"/>
  <c r="C18" i="10"/>
  <c r="C11" i="11"/>
  <c r="H11" i="11" s="1"/>
  <c r="C7" i="11"/>
  <c r="H7" i="11" s="1"/>
  <c r="C10" i="11"/>
  <c r="H10" i="11" s="1"/>
  <c r="G36" i="10"/>
  <c r="I26" i="10"/>
  <c r="F4" i="11"/>
  <c r="F11" i="11"/>
  <c r="F5" i="11"/>
  <c r="B21" i="10"/>
  <c r="C12" i="11"/>
  <c r="H12" i="11" s="1"/>
  <c r="F7" i="11"/>
  <c r="C9" i="11"/>
  <c r="H9" i="11" s="1"/>
  <c r="H36" i="10"/>
  <c r="F12" i="11"/>
  <c r="C8" i="11"/>
  <c r="H8" i="11" s="1"/>
  <c r="F10" i="11"/>
  <c r="C6" i="11"/>
  <c r="H6" i="11" s="1"/>
  <c r="I34" i="10"/>
  <c r="D36" i="10"/>
  <c r="C5" i="11"/>
  <c r="F8" i="11"/>
  <c r="F6" i="11"/>
  <c r="F9" i="11"/>
  <c r="H4" i="11"/>
  <c r="C21" i="10"/>
  <c r="I16" i="10"/>
  <c r="I27" i="10"/>
  <c r="I32" i="10"/>
  <c r="C36" i="10"/>
  <c r="I28" i="10"/>
  <c r="I31" i="10"/>
  <c r="B36" i="10"/>
  <c r="I33" i="10"/>
  <c r="I25" i="10"/>
  <c r="I30" i="10"/>
  <c r="F36" i="10"/>
  <c r="H38" i="10" l="1"/>
  <c r="I10" i="10"/>
  <c r="I11" i="10"/>
  <c r="C13" i="10"/>
  <c r="C38" i="10" s="1"/>
  <c r="F13" i="10"/>
  <c r="F38" i="10" s="1"/>
  <c r="G13" i="10"/>
  <c r="G38" i="10" s="1"/>
  <c r="D13" i="10"/>
  <c r="D18" i="10"/>
  <c r="D21" i="10" s="1"/>
  <c r="I36" i="10"/>
  <c r="C13" i="11"/>
  <c r="H5" i="11"/>
  <c r="H13" i="11" s="1"/>
  <c r="F13" i="11"/>
  <c r="B38" i="10"/>
  <c r="D5" i="12" l="1"/>
  <c r="G5" i="12"/>
  <c r="B43" i="11"/>
  <c r="I13" i="10"/>
  <c r="I21" i="10"/>
  <c r="D38" i="10"/>
  <c r="B16" i="11" s="1"/>
  <c r="I18" i="10"/>
  <c r="H21" i="8"/>
  <c r="G21" i="8"/>
  <c r="I17" i="8"/>
  <c r="I9" i="8"/>
  <c r="H5" i="8"/>
  <c r="H11" i="8" s="1"/>
  <c r="H13" i="8" s="1"/>
  <c r="G5" i="8"/>
  <c r="G11" i="8" s="1"/>
  <c r="G13" i="8" s="1"/>
  <c r="D5" i="8"/>
  <c r="D11" i="8" s="1"/>
  <c r="G10" i="12" l="1"/>
  <c r="K19" i="12" s="1"/>
  <c r="G11" i="12"/>
  <c r="I38" i="10"/>
  <c r="B18" i="11"/>
  <c r="B19" i="11"/>
  <c r="B17" i="11"/>
  <c r="C5" i="8"/>
  <c r="C11" i="8" s="1"/>
  <c r="B19" i="8"/>
  <c r="I19" i="8" s="1"/>
  <c r="J19" i="12" l="1"/>
  <c r="G13" i="12"/>
  <c r="D11" i="12"/>
  <c r="J18" i="12" s="1"/>
  <c r="D10" i="12"/>
  <c r="K18" i="12" s="1"/>
  <c r="B44" i="11"/>
  <c r="B45" i="11"/>
  <c r="B46" i="11"/>
  <c r="C18" i="8"/>
  <c r="H36" i="8"/>
  <c r="H38" i="8" s="1"/>
  <c r="C36" i="8"/>
  <c r="G36" i="8"/>
  <c r="G38" i="8" s="1"/>
  <c r="D36" i="8"/>
  <c r="D16" i="11"/>
  <c r="D17" i="11"/>
  <c r="D18" i="8"/>
  <c r="D13" i="12" l="1"/>
  <c r="I18" i="8"/>
  <c r="D44" i="11"/>
  <c r="D43" i="11"/>
  <c r="F21" i="8"/>
  <c r="D21" i="8"/>
  <c r="C21" i="8"/>
  <c r="B16" i="8"/>
  <c r="I16" i="8" s="1"/>
  <c r="F5" i="8"/>
  <c r="D10" i="8"/>
  <c r="C10" i="8"/>
  <c r="B5" i="8"/>
  <c r="B11" i="8" s="1"/>
  <c r="F36" i="8" l="1"/>
  <c r="F11" i="8"/>
  <c r="F13" i="8" s="1"/>
  <c r="I33" i="8"/>
  <c r="I28" i="8"/>
  <c r="I26" i="8"/>
  <c r="I32" i="8"/>
  <c r="I27" i="8"/>
  <c r="I34" i="8"/>
  <c r="I30" i="8"/>
  <c r="I25" i="8"/>
  <c r="I31" i="8"/>
  <c r="B36" i="8"/>
  <c r="B21" i="8"/>
  <c r="I21" i="8" s="1"/>
  <c r="B10" i="8"/>
  <c r="I10" i="8" s="1"/>
  <c r="D13" i="8"/>
  <c r="C13" i="8"/>
  <c r="F38" i="8" l="1"/>
  <c r="I36" i="8"/>
  <c r="I11" i="8"/>
  <c r="B13" i="8"/>
  <c r="D38" i="8"/>
  <c r="C38" i="8"/>
  <c r="G6" i="12" l="1"/>
  <c r="G12" i="12" s="1"/>
  <c r="D6" i="12"/>
  <c r="D12" i="12" s="1"/>
  <c r="B38" i="8"/>
  <c r="I13" i="8"/>
  <c r="I38" i="8" s="1"/>
</calcChain>
</file>

<file path=xl/sharedStrings.xml><?xml version="1.0" encoding="utf-8"?>
<sst xmlns="http://schemas.openxmlformats.org/spreadsheetml/2006/main" count="213" uniqueCount="115">
  <si>
    <t>Duração (semanas)</t>
  </si>
  <si>
    <t>Início</t>
  </si>
  <si>
    <t>Fim</t>
  </si>
  <si>
    <t>Categorias de Custo</t>
  </si>
  <si>
    <t>Custeio</t>
  </si>
  <si>
    <t>Valor Total com Custeio</t>
  </si>
  <si>
    <t>Investimento</t>
  </si>
  <si>
    <t>Valor Total com Investimento</t>
  </si>
  <si>
    <t>Guilherme de Lima</t>
  </si>
  <si>
    <t xml:space="preserve">    Impressão</t>
  </si>
  <si>
    <t xml:space="preserve">    Internet</t>
  </si>
  <si>
    <t>Primeira Iteração</t>
  </si>
  <si>
    <t>Segunda Iteração</t>
  </si>
  <si>
    <t>Valor Total com Pessoal</t>
  </si>
  <si>
    <t>Valor Total</t>
  </si>
  <si>
    <t xml:space="preserve">    Aquisição de equipamento</t>
  </si>
  <si>
    <t xml:space="preserve">    Servidor</t>
  </si>
  <si>
    <t xml:space="preserve">    Material de Treinamento</t>
  </si>
  <si>
    <t>Pessoal (horas de trabalho semanais)</t>
  </si>
  <si>
    <t xml:space="preserve">    Ferramentas</t>
  </si>
  <si>
    <t>Marcos Ronaldo</t>
  </si>
  <si>
    <t>Carlos Felipe</t>
  </si>
  <si>
    <t>Pedro Potiguara</t>
  </si>
  <si>
    <t>Beatriz Rezener</t>
  </si>
  <si>
    <t>David Carlos</t>
  </si>
  <si>
    <t>Felipe César</t>
  </si>
  <si>
    <t>Larissa Rodrigues</t>
  </si>
  <si>
    <t>Mateus Furquim</t>
  </si>
  <si>
    <t>Iniciação</t>
  </si>
  <si>
    <t>Primeira  Iteração</t>
  </si>
  <si>
    <t>Custo Mensal de Internet Banda Larga</t>
  </si>
  <si>
    <t>Custo de Notebook LG</t>
  </si>
  <si>
    <t>Custo por hora de Aluno UnB</t>
  </si>
  <si>
    <t>Elaboração</t>
  </si>
  <si>
    <t>Primeira Sprint</t>
  </si>
  <si>
    <t>Segunda Sprint</t>
  </si>
  <si>
    <t>Média de horas Semanais</t>
  </si>
  <si>
    <t>Treinamento em UML (Custo por Hora)</t>
  </si>
  <si>
    <t>Treinamento em Repositório (Custo por Hora)</t>
  </si>
  <si>
    <t>Pacote Office 2010</t>
  </si>
  <si>
    <t>Custo de impressão por folha</t>
  </si>
  <si>
    <t>Realizado</t>
  </si>
  <si>
    <t>Horas Planejadas</t>
  </si>
  <si>
    <t>Custo Planejado</t>
  </si>
  <si>
    <t>Porcentagem Esperada</t>
  </si>
  <si>
    <t>Horas Trabalhadas</t>
  </si>
  <si>
    <t>Custo Efetivo</t>
  </si>
  <si>
    <t>Porcentagem das Atividades</t>
  </si>
  <si>
    <t>Custo Agregado</t>
  </si>
  <si>
    <t>CPI</t>
  </si>
  <si>
    <t>SPI</t>
  </si>
  <si>
    <t>Total</t>
  </si>
  <si>
    <t>-</t>
  </si>
  <si>
    <t>Valor Planejado (BCWS)</t>
  </si>
  <si>
    <t>Valor Agregado (BCWP)</t>
  </si>
  <si>
    <t>Custo Efetivo (ACWP)</t>
  </si>
  <si>
    <t>Marcos</t>
  </si>
  <si>
    <t>Carlos</t>
  </si>
  <si>
    <t>Guilherme</t>
  </si>
  <si>
    <t>Beatriz</t>
  </si>
  <si>
    <t>Mateus</t>
  </si>
  <si>
    <t>David</t>
  </si>
  <si>
    <t>Felipe</t>
  </si>
  <si>
    <t>Larissa</t>
  </si>
  <si>
    <t>Construção</t>
  </si>
  <si>
    <t>Elaboração - 7ª Semana (2ª Iteração)</t>
  </si>
  <si>
    <t>Valor Acumulado Até a 7ª Semana</t>
  </si>
  <si>
    <t>Observações</t>
  </si>
  <si>
    <t>CPI &lt; 1</t>
  </si>
  <si>
    <t>Custo do projeto esta maior que o previsto</t>
  </si>
  <si>
    <t>Elaboração - 8ª Semana (2ª Iteração)</t>
  </si>
  <si>
    <t>Valor Acumulado Até a 8ª Semana</t>
  </si>
  <si>
    <t xml:space="preserve">    Energia Elétrica</t>
  </si>
  <si>
    <t>Custo de Energia Elétrica (kWH)</t>
  </si>
  <si>
    <t>Custo Médio de kWH por computador</t>
  </si>
  <si>
    <t>Cronograma está atrasado</t>
  </si>
  <si>
    <t>SPI &lt; 1</t>
  </si>
  <si>
    <t>Terceira Sprint</t>
  </si>
  <si>
    <t>Actual Cost (AC)</t>
  </si>
  <si>
    <t>PRSP</t>
  </si>
  <si>
    <t>Expected Percent Complete (EPC)</t>
  </si>
  <si>
    <t>Actual Percent Complete (APC)</t>
  </si>
  <si>
    <t>Planned Value (PV)</t>
  </si>
  <si>
    <t>Earned Value (EV)</t>
  </si>
  <si>
    <t>Cost Performance Index (CPI)</t>
  </si>
  <si>
    <t>Item</t>
  </si>
  <si>
    <t>Valor</t>
  </si>
  <si>
    <t>Schedule Performance Index (SPI)</t>
  </si>
  <si>
    <t>Segunda  Sprint</t>
  </si>
  <si>
    <t>Budget At Complete (BAC) (Valor planejado)</t>
  </si>
  <si>
    <t>Primeira  Sprint</t>
  </si>
  <si>
    <t>Sprint de Teste</t>
  </si>
  <si>
    <t>Seegunda Sprint</t>
  </si>
  <si>
    <t>Percentual de retrabalho</t>
  </si>
  <si>
    <t>Horas Gastas em Retrabalho</t>
  </si>
  <si>
    <t>Eficacia de treinamento</t>
  </si>
  <si>
    <t xml:space="preserve">Beatriz </t>
  </si>
  <si>
    <t>Muito Bom</t>
  </si>
  <si>
    <t>Bom</t>
  </si>
  <si>
    <t>Regular</t>
  </si>
  <si>
    <t>Ruim</t>
  </si>
  <si>
    <t>Muito Ruim</t>
  </si>
  <si>
    <t>Média</t>
  </si>
  <si>
    <t>Legenda</t>
  </si>
  <si>
    <t>Regular- Bom</t>
  </si>
  <si>
    <t>Notas</t>
  </si>
  <si>
    <t>Data</t>
  </si>
  <si>
    <t>Agregado</t>
  </si>
  <si>
    <t>Planejado</t>
  </si>
  <si>
    <t>CPI Sprint1</t>
  </si>
  <si>
    <t>CPI Sprint2</t>
  </si>
  <si>
    <t>SPI Sprint 1</t>
  </si>
  <si>
    <t>SPI Sprint 2</t>
  </si>
  <si>
    <t>Até Sprint 1</t>
  </si>
  <si>
    <t>Até Sprint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</si>
</sst>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-[$R$-416]\ * #,##0.00_-;\-[$R$-416]\ * #,##0.00_-;_-[$R$-416]\ * &quot;-&quot;??_-;_-@_-"/>
    <numFmt numFmtId="166" formatCode="_(&quot;R$&quot;* #,##0.00_);_(&quot;R$&quot;* \(#,##0.00\);_(&quot;R$&quot;* \-??_);_(@_)"/>
    <numFmt numFmtId="167" formatCode="0.000"/>
    <numFmt numFmtId="168" formatCode="&quot;R$&quot;\ #,##0.00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2060"/>
      <name val="Calibri"/>
      <family val="2"/>
      <charset val="1"/>
    </font>
    <font>
      <sz val="8"/>
      <color rgb="FF000000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60"/>
        <bgColor indexed="25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55"/>
      </patternFill>
    </fill>
    <fill>
      <patternFill patternType="solid">
        <fgColor theme="2" tint="-0.249977111117893"/>
        <bgColor indexed="55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6" fillId="0" borderId="0"/>
    <xf numFmtId="9" fontId="5" fillId="0" borderId="0" applyFont="0" applyFill="0" applyBorder="0" applyAlignment="0" applyProtection="0"/>
  </cellStyleXfs>
  <cellXfs count="107">
    <xf numFmtId="0" fontId="0" fillId="0" borderId="0" xfId="0"/>
    <xf numFmtId="0" fontId="0" fillId="0" borderId="1" xfId="0" applyBorder="1"/>
    <xf numFmtId="0" fontId="2" fillId="0" borderId="0" xfId="0" applyFont="1"/>
    <xf numFmtId="0" fontId="1" fillId="3" borderId="0" xfId="0" applyFont="1" applyFill="1"/>
    <xf numFmtId="14" fontId="0" fillId="0" borderId="1" xfId="0" applyNumberFormat="1" applyBorder="1"/>
    <xf numFmtId="2" fontId="0" fillId="0" borderId="1" xfId="0" applyNumberFormat="1" applyBorder="1"/>
    <xf numFmtId="0" fontId="2" fillId="0" borderId="0" xfId="0" applyFont="1" applyBorder="1"/>
    <xf numFmtId="0" fontId="4" fillId="0" borderId="1" xfId="0" applyFont="1" applyFill="1" applyBorder="1"/>
    <xf numFmtId="0" fontId="1" fillId="4" borderId="0" xfId="0" applyFont="1" applyFill="1"/>
    <xf numFmtId="0" fontId="1" fillId="2" borderId="0" xfId="0" applyFont="1" applyFill="1"/>
    <xf numFmtId="0" fontId="1" fillId="5" borderId="0" xfId="0" applyFont="1" applyFill="1"/>
    <xf numFmtId="165" fontId="0" fillId="0" borderId="0" xfId="0" applyNumberFormat="1"/>
    <xf numFmtId="165" fontId="0" fillId="0" borderId="1" xfId="0" applyNumberFormat="1" applyBorder="1"/>
    <xf numFmtId="165" fontId="3" fillId="4" borderId="0" xfId="0" applyNumberFormat="1" applyFont="1" applyFill="1"/>
    <xf numFmtId="165" fontId="0" fillId="0" borderId="1" xfId="1" applyNumberFormat="1" applyFont="1" applyBorder="1"/>
    <xf numFmtId="165" fontId="3" fillId="5" borderId="0" xfId="0" applyNumberFormat="1" applyFont="1" applyFill="1"/>
    <xf numFmtId="165" fontId="3" fillId="2" borderId="0" xfId="0" applyNumberFormat="1" applyFont="1" applyFill="1"/>
    <xf numFmtId="165" fontId="3" fillId="3" borderId="0" xfId="0" applyNumberFormat="1" applyFont="1" applyFill="1"/>
    <xf numFmtId="165" fontId="0" fillId="0" borderId="0" xfId="1" applyNumberFormat="1" applyFont="1"/>
    <xf numFmtId="165" fontId="1" fillId="3" borderId="0" xfId="1" applyNumberFormat="1" applyFont="1" applyFill="1"/>
    <xf numFmtId="165" fontId="1" fillId="4" borderId="0" xfId="1" applyNumberFormat="1" applyFont="1" applyFill="1"/>
    <xf numFmtId="165" fontId="1" fillId="2" borderId="0" xfId="1" applyNumberFormat="1" applyFont="1" applyFill="1"/>
    <xf numFmtId="165" fontId="1" fillId="5" borderId="0" xfId="1" applyNumberFormat="1" applyFont="1" applyFill="1"/>
    <xf numFmtId="0" fontId="0" fillId="6" borderId="1" xfId="0" applyFill="1" applyBorder="1"/>
    <xf numFmtId="0" fontId="0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9" borderId="3" xfId="0" applyFill="1" applyBorder="1" applyAlignment="1">
      <alignment horizontal="center"/>
    </xf>
    <xf numFmtId="9" fontId="0" fillId="9" borderId="6" xfId="3" applyFont="1" applyFill="1" applyBorder="1" applyAlignment="1" applyProtection="1">
      <alignment horizontal="center"/>
    </xf>
    <xf numFmtId="9" fontId="8" fillId="9" borderId="3" xfId="3" applyFont="1" applyFill="1" applyBorder="1" applyAlignment="1" applyProtection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9" fontId="8" fillId="0" borderId="3" xfId="3" applyFont="1" applyBorder="1" applyAlignment="1" applyProtection="1">
      <alignment horizontal="center"/>
    </xf>
    <xf numFmtId="2" fontId="0" fillId="0" borderId="0" xfId="0" applyNumberFormat="1" applyFill="1"/>
    <xf numFmtId="0" fontId="0" fillId="10" borderId="1" xfId="0" applyFill="1" applyBorder="1"/>
    <xf numFmtId="0" fontId="0" fillId="11" borderId="1" xfId="0" applyFill="1" applyBorder="1"/>
    <xf numFmtId="165" fontId="0" fillId="0" borderId="3" xfId="0" applyNumberFormat="1" applyBorder="1" applyAlignment="1">
      <alignment horizontal="left"/>
    </xf>
    <xf numFmtId="165" fontId="0" fillId="9" borderId="3" xfId="1" applyNumberFormat="1" applyFont="1" applyFill="1" applyBorder="1" applyAlignment="1" applyProtection="1">
      <alignment horizontal="center"/>
    </xf>
    <xf numFmtId="0" fontId="0" fillId="12" borderId="3" xfId="0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165" fontId="8" fillId="9" borderId="4" xfId="1" applyNumberFormat="1" applyFont="1" applyFill="1" applyBorder="1" applyAlignment="1" applyProtection="1">
      <alignment horizontal="center"/>
    </xf>
    <xf numFmtId="165" fontId="10" fillId="0" borderId="3" xfId="1" applyNumberFormat="1" applyFont="1" applyBorder="1" applyAlignment="1" applyProtection="1">
      <alignment horizontal="center"/>
    </xf>
    <xf numFmtId="165" fontId="8" fillId="9" borderId="3" xfId="1" applyNumberFormat="1" applyFont="1" applyFill="1" applyBorder="1" applyAlignment="1" applyProtection="1">
      <alignment horizontal="center"/>
    </xf>
    <xf numFmtId="0" fontId="11" fillId="12" borderId="6" xfId="0" applyFont="1" applyFill="1" applyBorder="1" applyAlignment="1">
      <alignment horizontal="center"/>
    </xf>
    <xf numFmtId="167" fontId="12" fillId="12" borderId="3" xfId="0" applyNumberFormat="1" applyFont="1" applyFill="1" applyBorder="1" applyAlignment="1">
      <alignment horizontal="center"/>
    </xf>
    <xf numFmtId="166" fontId="12" fillId="12" borderId="3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0" fillId="7" borderId="1" xfId="0" applyFill="1" applyBorder="1"/>
    <xf numFmtId="0" fontId="8" fillId="12" borderId="3" xfId="0" applyFont="1" applyFill="1" applyBorder="1" applyAlignment="1">
      <alignment horizontal="center"/>
    </xf>
    <xf numFmtId="0" fontId="0" fillId="11" borderId="8" xfId="0" applyFill="1" applyBorder="1" applyAlignment="1"/>
    <xf numFmtId="0" fontId="0" fillId="11" borderId="9" xfId="0" applyFill="1" applyBorder="1" applyAlignment="1"/>
    <xf numFmtId="0" fontId="0" fillId="11" borderId="10" xfId="0" applyFill="1" applyBorder="1" applyAlignment="1"/>
    <xf numFmtId="0" fontId="13" fillId="0" borderId="0" xfId="0" applyFont="1"/>
    <xf numFmtId="0" fontId="0" fillId="15" borderId="11" xfId="0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14" fillId="14" borderId="11" xfId="0" applyFont="1" applyFill="1" applyBorder="1" applyAlignment="1">
      <alignment horizontal="left" vertical="center"/>
    </xf>
    <xf numFmtId="168" fontId="15" fillId="0" borderId="11" xfId="0" applyNumberFormat="1" applyFont="1" applyBorder="1" applyAlignment="1"/>
    <xf numFmtId="168" fontId="14" fillId="14" borderId="11" xfId="0" applyNumberFormat="1" applyFont="1" applyFill="1" applyBorder="1" applyAlignment="1">
      <alignment horizontal="right" vertical="center"/>
    </xf>
    <xf numFmtId="0" fontId="14" fillId="14" borderId="11" xfId="0" applyFont="1" applyFill="1" applyBorder="1" applyAlignment="1">
      <alignment horizontal="right" vertical="center"/>
    </xf>
    <xf numFmtId="10" fontId="14" fillId="14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0" fontId="0" fillId="0" borderId="1" xfId="3" applyNumberFormat="1" applyFont="1" applyBorder="1"/>
    <xf numFmtId="0" fontId="0" fillId="0" borderId="1" xfId="3" applyNumberFormat="1" applyFont="1" applyBorder="1"/>
    <xf numFmtId="0" fontId="0" fillId="0" borderId="8" xfId="0" applyBorder="1"/>
    <xf numFmtId="0" fontId="0" fillId="0" borderId="10" xfId="0" applyBorder="1"/>
    <xf numFmtId="0" fontId="0" fillId="17" borderId="1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0" borderId="18" xfId="0" applyFill="1" applyBorder="1"/>
    <xf numFmtId="0" fontId="0" fillId="10" borderId="19" xfId="0" applyFill="1" applyBorder="1"/>
    <xf numFmtId="168" fontId="0" fillId="0" borderId="0" xfId="0" applyNumberFormat="1"/>
    <xf numFmtId="16" fontId="0" fillId="0" borderId="0" xfId="0" applyNumberFormat="1"/>
    <xf numFmtId="0" fontId="0" fillId="0" borderId="0" xfId="0" applyNumberFormat="1"/>
    <xf numFmtId="16" fontId="0" fillId="0" borderId="1" xfId="0" applyNumberFormat="1" applyBorder="1"/>
    <xf numFmtId="168" fontId="0" fillId="0" borderId="1" xfId="0" applyNumberFormat="1" applyBorder="1"/>
    <xf numFmtId="0" fontId="0" fillId="16" borderId="1" xfId="0" applyFill="1" applyBorder="1" applyAlignment="1">
      <alignment horizontal="center"/>
    </xf>
    <xf numFmtId="0" fontId="0" fillId="16" borderId="1" xfId="0" applyFill="1" applyBorder="1" applyAlignment="1"/>
    <xf numFmtId="10" fontId="0" fillId="0" borderId="0" xfId="3" applyNumberFormat="1" applyFont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7" fillId="8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6" fillId="17" borderId="8" xfId="0" applyFont="1" applyFill="1" applyBorder="1" applyAlignment="1">
      <alignment horizontal="left"/>
    </xf>
    <xf numFmtId="0" fontId="16" fillId="17" borderId="10" xfId="0" applyFont="1" applyFill="1" applyBorder="1" applyAlignment="1">
      <alignment horizontal="left"/>
    </xf>
    <xf numFmtId="0" fontId="3" fillId="19" borderId="15" xfId="0" applyFont="1" applyFill="1" applyBorder="1" applyAlignment="1">
      <alignment horizontal="center"/>
    </xf>
    <xf numFmtId="0" fontId="3" fillId="19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4">
    <cellStyle name="Currency" xfId="1" builtinId="4"/>
    <cellStyle name="Normal" xfId="0" builtinId="0"/>
    <cellStyle name="Percent" xfId="3" builtinId="5"/>
    <cellStyle name="TableStyleLigh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</a:t>
            </a:r>
            <a:r>
              <a:rPr lang="pt-BR" baseline="0"/>
              <a:t> de retrabalho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Custo_Atual!$B$40</c:f>
              <c:strCache>
                <c:ptCount val="1"/>
                <c:pt idx="0">
                  <c:v>Até 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Custo_Atual!$B$42</c:f>
              <c:numCache>
                <c:formatCode>0.00%</c:formatCode>
                <c:ptCount val="1"/>
                <c:pt idx="0">
                  <c:v>9.8510882016036652E-2</c:v>
                </c:pt>
              </c:numCache>
            </c:numRef>
          </c:val>
        </c:ser>
        <c:ser>
          <c:idx val="1"/>
          <c:order val="1"/>
          <c:tx>
            <c:strRef>
              <c:f>Custo_Atual!$C$40</c:f>
              <c:strCache>
                <c:ptCount val="1"/>
                <c:pt idx="0">
                  <c:v>Até 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Custo_Atual!$C$42</c:f>
              <c:numCache>
                <c:formatCode>0.00%</c:formatCode>
                <c:ptCount val="1"/>
                <c:pt idx="0">
                  <c:v>8.5635359116022103E-2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98610776"/>
        <c:axId val="398612344"/>
        <c:axId val="0"/>
      </c:bar3DChart>
      <c:catAx>
        <c:axId val="3986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612344"/>
        <c:crosses val="autoZero"/>
        <c:auto val="1"/>
        <c:lblAlgn val="ctr"/>
        <c:lblOffset val="100"/>
        <c:noMultiLvlLbl val="0"/>
      </c:catAx>
      <c:valAx>
        <c:axId val="39861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6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de Custo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 Sprint'!$J$9</c:f>
              <c:strCache>
                <c:ptCount val="1"/>
                <c:pt idx="0">
                  <c:v>CPI Sprint1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'Custo Sprint'!$J$10</c:f>
              <c:numCache>
                <c:formatCode>General</c:formatCode>
                <c:ptCount val="1"/>
                <c:pt idx="0">
                  <c:v>0.84176158800000001</c:v>
                </c:pt>
              </c:numCache>
            </c:numRef>
          </c:val>
        </c:ser>
        <c:ser>
          <c:idx val="1"/>
          <c:order val="1"/>
          <c:tx>
            <c:strRef>
              <c:f>'Custo Sprint'!$K$9</c:f>
              <c:strCache>
                <c:ptCount val="1"/>
                <c:pt idx="0">
                  <c:v>CPI Sprint2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'Custo Sprint'!$K$10</c:f>
              <c:numCache>
                <c:formatCode>General</c:formatCode>
                <c:ptCount val="1"/>
                <c:pt idx="0">
                  <c:v>0.85413941000000004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398612736"/>
        <c:axId val="398613128"/>
        <c:axId val="0"/>
      </c:bar3DChart>
      <c:catAx>
        <c:axId val="3986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613128"/>
        <c:crosses val="autoZero"/>
        <c:auto val="1"/>
        <c:lblAlgn val="ctr"/>
        <c:lblOffset val="100"/>
        <c:noMultiLvlLbl val="0"/>
      </c:catAx>
      <c:valAx>
        <c:axId val="39861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6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SPI sprint 1 vs 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'Custo Sprint'!$J$6</c:f>
              <c:strCache>
                <c:ptCount val="1"/>
                <c:pt idx="0">
                  <c:v>SPI 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'Custo Sprint'!$J$7</c:f>
              <c:numCache>
                <c:formatCode>General</c:formatCode>
                <c:ptCount val="1"/>
                <c:pt idx="0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'Custo Sprint'!$K$6</c:f>
              <c:strCache>
                <c:ptCount val="1"/>
                <c:pt idx="0">
                  <c:v>SPI 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'Custo Sprint'!$K$7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479745832"/>
        <c:axId val="479747008"/>
        <c:axId val="0"/>
      </c:bar3DChart>
      <c:catAx>
        <c:axId val="47974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747008"/>
        <c:crosses val="autoZero"/>
        <c:auto val="1"/>
        <c:lblAlgn val="ctr"/>
        <c:lblOffset val="100"/>
        <c:noMultiLvlLbl val="0"/>
      </c:catAx>
      <c:valAx>
        <c:axId val="4797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7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'Custo Sprint'!$J$16</c:f>
              <c:strCache>
                <c:ptCount val="1"/>
                <c:pt idx="0">
                  <c:v>Agregado</c:v>
                </c:pt>
              </c:strCache>
            </c:strRef>
          </c:tx>
          <c:marker>
            <c:symbol val="none"/>
          </c:marker>
          <c:cat>
            <c:numRef>
              <c:f>'Custo Sprint'!$I$17:$I$19</c:f>
              <c:numCache>
                <c:formatCode>d\-mmm</c:formatCode>
                <c:ptCount val="3"/>
                <c:pt idx="0">
                  <c:v>41303</c:v>
                </c:pt>
                <c:pt idx="1">
                  <c:v>41319</c:v>
                </c:pt>
                <c:pt idx="2">
                  <c:v>41332</c:v>
                </c:pt>
              </c:numCache>
            </c:numRef>
          </c:cat>
          <c:val>
            <c:numRef>
              <c:f>'Custo Sprint'!$J$17:$J$19</c:f>
              <c:numCache>
                <c:formatCode>"R$"\ #,##0.00</c:formatCode>
                <c:ptCount val="3"/>
                <c:pt idx="0" formatCode="General">
                  <c:v>0</c:v>
                </c:pt>
                <c:pt idx="1">
                  <c:v>906.01865156250005</c:v>
                </c:pt>
                <c:pt idx="2">
                  <c:v>1907.4076875000003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'Custo Sprint'!$K$16</c:f>
              <c:strCache>
                <c:ptCount val="1"/>
                <c:pt idx="0">
                  <c:v>Planejado</c:v>
                </c:pt>
              </c:strCache>
            </c:strRef>
          </c:tx>
          <c:marker>
            <c:symbol val="none"/>
          </c:marker>
          <c:cat>
            <c:numRef>
              <c:f>'Custo Sprint'!$I$17:$I$19</c:f>
              <c:numCache>
                <c:formatCode>d\-mmm</c:formatCode>
                <c:ptCount val="3"/>
                <c:pt idx="0">
                  <c:v>41303</c:v>
                </c:pt>
                <c:pt idx="1">
                  <c:v>41319</c:v>
                </c:pt>
                <c:pt idx="2">
                  <c:v>41332</c:v>
                </c:pt>
              </c:numCache>
            </c:numRef>
          </c:cat>
          <c:val>
            <c:numRef>
              <c:f>'Custo Sprint'!$K$17:$K$19</c:f>
              <c:numCache>
                <c:formatCode>"R$"\ #,##0.00</c:formatCode>
                <c:ptCount val="3"/>
                <c:pt idx="0" formatCode="General">
                  <c:v>0</c:v>
                </c:pt>
                <c:pt idx="1">
                  <c:v>953.70384375000015</c:v>
                </c:pt>
                <c:pt idx="2">
                  <c:v>1907.4076875000003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39952"/>
        <c:axId val="477858904"/>
      </c:lineChart>
      <c:dateAx>
        <c:axId val="479739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77858904"/>
        <c:crosses val="autoZero"/>
        <c:auto val="1"/>
        <c:lblOffset val="100"/>
        <c:baseTimeUnit val="days"/>
      </c:dateAx>
      <c:valAx>
        <c:axId val="47785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73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14</xdr:row>
      <xdr:rowOff>128587</xdr:rowOff>
    </xdr:from>
    <xdr:to>
      <xdr:col>7</xdr:col>
      <xdr:colOff>314325</xdr:colOff>
      <xdr:row>29</xdr:row>
      <xdr:rowOff>14287</xdr:rowOff>
    </xdr:to>
    <xdr:graphicFrame macro="">
      <xdr:nvGraphicFramePr>
        <xdr:cNvPr id="17" name="Grá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60" zoomScaleNormal="60" workbookViewId="0">
      <selection activeCell="F10" sqref="F10"/>
    </sheetView>
  </sheetViews>
  <sheetFormatPr defaultRowHeight="15" x14ac:dyDescent="0.25"/>
  <cols>
    <col min="1" max="1" width="47.5703125" customWidth="1"/>
    <col min="2" max="2" width="32.140625" customWidth="1"/>
    <col min="3" max="3" width="38.28515625" customWidth="1"/>
    <col min="4" max="5" width="25.85546875" customWidth="1"/>
    <col min="6" max="6" width="28.85546875" customWidth="1"/>
    <col min="7" max="7" width="29.42578125" customWidth="1"/>
    <col min="8" max="8" width="27.42578125" customWidth="1"/>
    <col min="9" max="9" width="25.42578125" customWidth="1"/>
    <col min="10" max="10" width="24.85546875" customWidth="1"/>
    <col min="11" max="11" width="22.7109375" customWidth="1"/>
    <col min="12" max="12" width="28.28515625" customWidth="1"/>
    <col min="13" max="13" width="39.28515625" customWidth="1"/>
  </cols>
  <sheetData>
    <row r="1" spans="1:9" x14ac:dyDescent="0.25">
      <c r="B1" s="24" t="s">
        <v>28</v>
      </c>
      <c r="C1" s="87" t="s">
        <v>33</v>
      </c>
      <c r="D1" s="87"/>
      <c r="E1" s="54"/>
      <c r="F1" s="88" t="s">
        <v>64</v>
      </c>
      <c r="G1" s="88"/>
      <c r="H1" s="88"/>
    </row>
    <row r="2" spans="1:9" x14ac:dyDescent="0.25">
      <c r="B2" s="37" t="s">
        <v>11</v>
      </c>
      <c r="C2" s="37" t="s">
        <v>29</v>
      </c>
      <c r="D2" s="89" t="s">
        <v>12</v>
      </c>
      <c r="E2" s="90"/>
      <c r="F2" s="56" t="s">
        <v>91</v>
      </c>
      <c r="G2" s="57" t="s">
        <v>34</v>
      </c>
      <c r="H2" s="58" t="s">
        <v>92</v>
      </c>
    </row>
    <row r="3" spans="1:9" x14ac:dyDescent="0.25">
      <c r="A3" s="1" t="s">
        <v>1</v>
      </c>
      <c r="B3" s="4">
        <v>41214</v>
      </c>
      <c r="C3" s="4">
        <v>41249</v>
      </c>
      <c r="D3" s="4">
        <v>41256</v>
      </c>
      <c r="E3" s="4">
        <v>41278</v>
      </c>
      <c r="F3" s="4">
        <v>41291</v>
      </c>
      <c r="G3" s="4">
        <v>41305</v>
      </c>
      <c r="H3" s="4">
        <v>41319</v>
      </c>
    </row>
    <row r="4" spans="1:9" x14ac:dyDescent="0.25">
      <c r="A4" s="1" t="s">
        <v>2</v>
      </c>
      <c r="B4" s="4">
        <v>41249</v>
      </c>
      <c r="C4" s="4">
        <v>41256</v>
      </c>
      <c r="D4" s="4">
        <v>41263</v>
      </c>
      <c r="E4" s="4">
        <v>41284</v>
      </c>
      <c r="F4" s="4">
        <v>41298</v>
      </c>
      <c r="G4" s="4">
        <v>41319</v>
      </c>
      <c r="H4" s="4">
        <v>41333</v>
      </c>
    </row>
    <row r="5" spans="1:9" x14ac:dyDescent="0.25">
      <c r="A5" s="1" t="s">
        <v>0</v>
      </c>
      <c r="B5" s="5">
        <f t="shared" ref="B5:H5" si="0">(B4-B3)/7</f>
        <v>5</v>
      </c>
      <c r="C5" s="5">
        <f t="shared" si="0"/>
        <v>1</v>
      </c>
      <c r="D5" s="5">
        <f t="shared" si="0"/>
        <v>1</v>
      </c>
      <c r="E5" s="5">
        <v>1</v>
      </c>
      <c r="F5" s="5">
        <f t="shared" si="0"/>
        <v>1</v>
      </c>
      <c r="G5" s="5">
        <f>(G4-G3)/7</f>
        <v>2</v>
      </c>
      <c r="H5" s="5">
        <f t="shared" si="0"/>
        <v>2</v>
      </c>
      <c r="I5" s="7" t="s">
        <v>14</v>
      </c>
    </row>
    <row r="7" spans="1:9" x14ac:dyDescent="0.25">
      <c r="A7" s="6" t="s">
        <v>3</v>
      </c>
    </row>
    <row r="8" spans="1:9" x14ac:dyDescent="0.25">
      <c r="A8" s="2" t="s">
        <v>4</v>
      </c>
    </row>
    <row r="9" spans="1:9" x14ac:dyDescent="0.25">
      <c r="A9" t="s">
        <v>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8">
        <f>SUM(B9:H9)</f>
        <v>0</v>
      </c>
    </row>
    <row r="10" spans="1:9" x14ac:dyDescent="0.25">
      <c r="A10" t="s">
        <v>10</v>
      </c>
      <c r="B10" s="11">
        <f>(((B45)/4)*B5)*9</f>
        <v>335.25</v>
      </c>
      <c r="C10" s="11">
        <f>(((B45)/4)*C5)*9</f>
        <v>67.05</v>
      </c>
      <c r="D10" s="11">
        <f>(((B45)/4)*D5)*9</f>
        <v>67.05</v>
      </c>
      <c r="E10" s="11">
        <f>(B45)*(E5/4) * 9</f>
        <v>67.05</v>
      </c>
      <c r="F10" s="11">
        <f>(((B45)/4)*F5)*9</f>
        <v>67.05</v>
      </c>
      <c r="G10" s="11">
        <f>(((B45)/4)*G5)*9</f>
        <v>134.1</v>
      </c>
      <c r="H10" s="11">
        <f>(((B45)/4)*H5)*9</f>
        <v>134.1</v>
      </c>
      <c r="I10" s="18">
        <f>SUM(B10:H10)</f>
        <v>871.65</v>
      </c>
    </row>
    <row r="11" spans="1:9" x14ac:dyDescent="0.25">
      <c r="A11" t="s">
        <v>72</v>
      </c>
      <c r="B11" s="11">
        <f>SUM(B25:B34)*B51*B52*B5</f>
        <v>7.9379999999999988</v>
      </c>
      <c r="C11" s="11">
        <f>SUM(C25:C34)*B51*B52*C5</f>
        <v>1.5875999999999997</v>
      </c>
      <c r="D11" s="11">
        <f>SUM(D25:D34)*B51*B52*D5</f>
        <v>1.5875999999999997</v>
      </c>
      <c r="E11" s="11">
        <f>SUM(E25:E34)*B51*B52*E5</f>
        <v>1.5875999999999997</v>
      </c>
      <c r="F11" s="11">
        <f>SUM(F25:F34)*B51*B52*F5</f>
        <v>1.0206</v>
      </c>
      <c r="G11" s="11">
        <f>SUM(G25:G34)*B51*B52*G5</f>
        <v>2.0411999999999999</v>
      </c>
      <c r="H11" s="11">
        <f>SUM(H25:H34)*B51*B52*H5</f>
        <v>2.0411999999999999</v>
      </c>
      <c r="I11" s="18">
        <f>SUM(B11:H11)</f>
        <v>17.803799999999999</v>
      </c>
    </row>
    <row r="13" spans="1:9" x14ac:dyDescent="0.25">
      <c r="A13" s="10" t="s">
        <v>5</v>
      </c>
      <c r="B13" s="15">
        <f t="shared" ref="B13:H13" si="1">SUM(B9:B11)</f>
        <v>343.18799999999999</v>
      </c>
      <c r="C13" s="15">
        <f t="shared" si="1"/>
        <v>68.637599999999992</v>
      </c>
      <c r="D13" s="15">
        <f t="shared" si="1"/>
        <v>68.637599999999992</v>
      </c>
      <c r="E13" s="15">
        <f t="shared" si="1"/>
        <v>68.637599999999992</v>
      </c>
      <c r="F13" s="15">
        <f t="shared" si="1"/>
        <v>68.070599999999999</v>
      </c>
      <c r="G13" s="15">
        <f t="shared" si="1"/>
        <v>136.1412</v>
      </c>
      <c r="H13" s="15">
        <f t="shared" si="1"/>
        <v>136.1412</v>
      </c>
      <c r="I13" s="22">
        <f>SUM(B13:H13)</f>
        <v>889.45380000000011</v>
      </c>
    </row>
    <row r="15" spans="1:9" x14ac:dyDescent="0.25">
      <c r="A15" s="2" t="s">
        <v>6</v>
      </c>
    </row>
    <row r="16" spans="1:9" x14ac:dyDescent="0.25">
      <c r="A16" t="s">
        <v>15</v>
      </c>
      <c r="B16" s="11">
        <f>(1885.47)*(9)</f>
        <v>16969.23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8">
        <f>SUM(B16:H16)</f>
        <v>16969.23</v>
      </c>
    </row>
    <row r="17" spans="1:9" x14ac:dyDescent="0.25">
      <c r="A17" t="s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8">
        <f>SUM(B17:H17)</f>
        <v>0</v>
      </c>
    </row>
    <row r="18" spans="1:9" x14ac:dyDescent="0.25">
      <c r="A18" t="s">
        <v>17</v>
      </c>
      <c r="B18" s="11">
        <v>0</v>
      </c>
      <c r="C18" s="11">
        <f>(B47*3)</f>
        <v>69.646875000000009</v>
      </c>
      <c r="D18" s="11">
        <f>(B48*1)</f>
        <v>15.477083333333335</v>
      </c>
      <c r="E18" s="11">
        <v>0</v>
      </c>
      <c r="F18" s="11">
        <v>0</v>
      </c>
      <c r="G18" s="11">
        <v>0</v>
      </c>
      <c r="H18" s="11">
        <v>0</v>
      </c>
      <c r="I18" s="18">
        <f>SUM(B18:H18)</f>
        <v>85.123958333333348</v>
      </c>
    </row>
    <row r="19" spans="1:9" x14ac:dyDescent="0.25">
      <c r="A19" t="s">
        <v>19</v>
      </c>
      <c r="B19" s="11">
        <f>(B49*9)</f>
        <v>4491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8">
        <f>SUM(B19:H19)</f>
        <v>4491</v>
      </c>
    </row>
    <row r="21" spans="1:9" x14ac:dyDescent="0.25">
      <c r="A21" s="9" t="s">
        <v>7</v>
      </c>
      <c r="B21" s="16">
        <f t="shared" ref="B21:H21" si="2">SUM(B16:B19)</f>
        <v>21460.23</v>
      </c>
      <c r="C21" s="16">
        <f t="shared" si="2"/>
        <v>69.646875000000009</v>
      </c>
      <c r="D21" s="16">
        <f t="shared" si="2"/>
        <v>15.477083333333335</v>
      </c>
      <c r="E21" s="16">
        <f t="shared" si="2"/>
        <v>0</v>
      </c>
      <c r="F21" s="16">
        <f t="shared" si="2"/>
        <v>0</v>
      </c>
      <c r="G21" s="16">
        <f t="shared" si="2"/>
        <v>0</v>
      </c>
      <c r="H21" s="16">
        <f t="shared" si="2"/>
        <v>0</v>
      </c>
      <c r="I21" s="21">
        <f>SUM(B21:H21)</f>
        <v>21545.353958333333</v>
      </c>
    </row>
    <row r="23" spans="1:9" x14ac:dyDescent="0.25">
      <c r="A23" s="2" t="s">
        <v>18</v>
      </c>
      <c r="I23" s="26" t="s">
        <v>36</v>
      </c>
    </row>
    <row r="24" spans="1:9" x14ac:dyDescent="0.25">
      <c r="I24" s="25"/>
    </row>
    <row r="25" spans="1:9" x14ac:dyDescent="0.25">
      <c r="A25" t="s">
        <v>8</v>
      </c>
      <c r="B25">
        <v>7</v>
      </c>
      <c r="C25">
        <v>7</v>
      </c>
      <c r="D25">
        <v>7</v>
      </c>
      <c r="E25">
        <v>7</v>
      </c>
      <c r="F25">
        <v>4.5</v>
      </c>
      <c r="G25">
        <v>4.5</v>
      </c>
      <c r="H25">
        <v>4.5</v>
      </c>
      <c r="I25" s="35">
        <f>SUM((B25*B5),SUM(C25:H25))/SUM(B5:H5)</f>
        <v>5.3461538461538458</v>
      </c>
    </row>
    <row r="26" spans="1:9" x14ac:dyDescent="0.25">
      <c r="A26" t="s">
        <v>20</v>
      </c>
      <c r="B26">
        <v>7</v>
      </c>
      <c r="C26">
        <v>7</v>
      </c>
      <c r="D26">
        <v>7</v>
      </c>
      <c r="E26">
        <v>7</v>
      </c>
      <c r="F26">
        <v>4.5</v>
      </c>
      <c r="G26">
        <v>4.5</v>
      </c>
      <c r="H26">
        <v>4.5</v>
      </c>
      <c r="I26" s="35">
        <f>SUM((B26*B5),SUM(C26:H26))/SUM(B5:H5)</f>
        <v>5.3461538461538458</v>
      </c>
    </row>
    <row r="27" spans="1:9" x14ac:dyDescent="0.25">
      <c r="A27" t="s">
        <v>21</v>
      </c>
      <c r="B27">
        <v>7</v>
      </c>
      <c r="C27">
        <v>7</v>
      </c>
      <c r="D27">
        <v>7</v>
      </c>
      <c r="E27">
        <v>7</v>
      </c>
      <c r="F27">
        <v>4.5</v>
      </c>
      <c r="G27">
        <v>4.5</v>
      </c>
      <c r="H27">
        <v>4.5</v>
      </c>
      <c r="I27" s="35">
        <f>SUM((B27*B5),SUM(C27:H27))/SUM(B5:H5)</f>
        <v>5.3461538461538458</v>
      </c>
    </row>
    <row r="28" spans="1:9" x14ac:dyDescent="0.25">
      <c r="A28" t="s">
        <v>22</v>
      </c>
      <c r="B28">
        <v>7</v>
      </c>
      <c r="C28">
        <v>7</v>
      </c>
      <c r="D28">
        <v>7</v>
      </c>
      <c r="E28">
        <v>7</v>
      </c>
      <c r="F28">
        <v>4.5</v>
      </c>
      <c r="G28">
        <v>4.5</v>
      </c>
      <c r="H28">
        <v>4.5</v>
      </c>
      <c r="I28" s="35">
        <f>SUM((B28*B5),SUM(C28:H28))/SUM(B5:H5)</f>
        <v>5.3461538461538458</v>
      </c>
    </row>
    <row r="29" spans="1:9" x14ac:dyDescent="0.25">
      <c r="I29" s="25"/>
    </row>
    <row r="30" spans="1:9" x14ac:dyDescent="0.25">
      <c r="A30" t="s">
        <v>23</v>
      </c>
      <c r="B30">
        <v>7</v>
      </c>
      <c r="C30">
        <v>7</v>
      </c>
      <c r="D30">
        <v>7</v>
      </c>
      <c r="E30">
        <v>7</v>
      </c>
      <c r="F30">
        <v>4.5</v>
      </c>
      <c r="G30">
        <v>4.5</v>
      </c>
      <c r="H30">
        <v>4.5</v>
      </c>
      <c r="I30" s="35">
        <f>SUM((B30*B5),SUM(C30:H30))/SUM(B5:H5)</f>
        <v>5.3461538461538458</v>
      </c>
    </row>
    <row r="31" spans="1:9" x14ac:dyDescent="0.25">
      <c r="A31" t="s">
        <v>24</v>
      </c>
      <c r="B31">
        <v>7</v>
      </c>
      <c r="C31">
        <v>7</v>
      </c>
      <c r="D31">
        <v>7</v>
      </c>
      <c r="E31">
        <v>7</v>
      </c>
      <c r="F31">
        <v>4.5</v>
      </c>
      <c r="G31">
        <v>4.5</v>
      </c>
      <c r="H31">
        <v>4.5</v>
      </c>
      <c r="I31" s="35">
        <f>SUM((B31*B5),SUM(C31:H31))/SUM(B5:H5)</f>
        <v>5.3461538461538458</v>
      </c>
    </row>
    <row r="32" spans="1:9" x14ac:dyDescent="0.25">
      <c r="A32" t="s">
        <v>25</v>
      </c>
      <c r="B32">
        <v>7</v>
      </c>
      <c r="C32">
        <v>7</v>
      </c>
      <c r="D32">
        <v>7</v>
      </c>
      <c r="E32">
        <v>7</v>
      </c>
      <c r="F32">
        <v>4.5</v>
      </c>
      <c r="G32">
        <v>4.5</v>
      </c>
      <c r="H32">
        <v>4.5</v>
      </c>
      <c r="I32" s="35">
        <f>SUM((B32*B5),SUM(C32:H32))/SUM(B5:H5)</f>
        <v>5.3461538461538458</v>
      </c>
    </row>
    <row r="33" spans="1:9" x14ac:dyDescent="0.25">
      <c r="A33" t="s">
        <v>26</v>
      </c>
      <c r="B33">
        <v>7</v>
      </c>
      <c r="C33">
        <v>7</v>
      </c>
      <c r="D33">
        <v>7</v>
      </c>
      <c r="E33">
        <v>7</v>
      </c>
      <c r="F33">
        <v>4.5</v>
      </c>
      <c r="G33">
        <v>4.5</v>
      </c>
      <c r="H33">
        <v>4.5</v>
      </c>
      <c r="I33" s="35">
        <f>SUM((B33*B5),SUM(C33:H33))/SUM(B5:H5)</f>
        <v>5.3461538461538458</v>
      </c>
    </row>
    <row r="34" spans="1:9" x14ac:dyDescent="0.25">
      <c r="A34" t="s">
        <v>27</v>
      </c>
      <c r="B34">
        <v>7</v>
      </c>
      <c r="C34">
        <v>7</v>
      </c>
      <c r="D34">
        <v>7</v>
      </c>
      <c r="E34">
        <v>7</v>
      </c>
      <c r="F34">
        <v>4.5</v>
      </c>
      <c r="G34">
        <v>4.5</v>
      </c>
      <c r="H34">
        <v>4.5</v>
      </c>
      <c r="I34" s="35">
        <f>SUM((B34*B5),SUM(C34:H34))/SUM(B5:H5)</f>
        <v>5.3461538461538458</v>
      </c>
    </row>
    <row r="36" spans="1:9" x14ac:dyDescent="0.25">
      <c r="A36" s="8" t="s">
        <v>13</v>
      </c>
      <c r="B36" s="13">
        <f>(B44)*(SUM(B25:B28,B30:B34))*(B5)</f>
        <v>2437.640625</v>
      </c>
      <c r="C36" s="13">
        <f>(B44)*(SUM(C25:C28,C30:C34))*(C5)</f>
        <v>487.52812500000005</v>
      </c>
      <c r="D36" s="13">
        <f>(B44)*(SUM(D25:D28,D30:D34))*(D5)</f>
        <v>487.52812500000005</v>
      </c>
      <c r="E36" s="13">
        <f>(B44)*(SUM(E25:E28,E30:E34))*(E5)</f>
        <v>487.52812500000005</v>
      </c>
      <c r="F36" s="13">
        <f>(B44)*(SUM(F25:F28,F30:F34))*(F5)</f>
        <v>313.41093750000005</v>
      </c>
      <c r="G36" s="13">
        <f>(B44)*(SUM(G25:G28,G30:G34))*(G5)</f>
        <v>626.82187500000009</v>
      </c>
      <c r="H36" s="13">
        <f>(B44)*(SUM(H25:H28,H30:H34))*(H5)</f>
        <v>626.82187500000009</v>
      </c>
      <c r="I36" s="20">
        <f>SUM(B36:H36)</f>
        <v>5467.2796874999985</v>
      </c>
    </row>
    <row r="38" spans="1:9" x14ac:dyDescent="0.25">
      <c r="A38" s="3" t="s">
        <v>14</v>
      </c>
      <c r="B38" s="17">
        <f t="shared" ref="B38:H38" si="3">SUM(B13,B21,B36)</f>
        <v>24241.058624999998</v>
      </c>
      <c r="C38" s="17">
        <f t="shared" si="3"/>
        <v>625.81259999999997</v>
      </c>
      <c r="D38" s="17">
        <f t="shared" si="3"/>
        <v>571.64280833333339</v>
      </c>
      <c r="E38" s="17">
        <f t="shared" si="3"/>
        <v>556.16572500000007</v>
      </c>
      <c r="F38" s="17">
        <f t="shared" si="3"/>
        <v>381.48153750000006</v>
      </c>
      <c r="G38" s="17">
        <f t="shared" si="3"/>
        <v>762.96307500000012</v>
      </c>
      <c r="H38" s="17">
        <f t="shared" si="3"/>
        <v>762.96307500000012</v>
      </c>
      <c r="I38" s="19">
        <f>SUM(I13,I21,I36)</f>
        <v>27902.087445833331</v>
      </c>
    </row>
    <row r="44" spans="1:9" x14ac:dyDescent="0.25">
      <c r="A44" s="23" t="s">
        <v>32</v>
      </c>
      <c r="B44" s="12">
        <f>( (14858)/12 ) / 160</f>
        <v>7.7385416666666673</v>
      </c>
    </row>
    <row r="45" spans="1:9" x14ac:dyDescent="0.25">
      <c r="A45" s="23" t="s">
        <v>30</v>
      </c>
      <c r="B45" s="14">
        <v>29.8</v>
      </c>
    </row>
    <row r="46" spans="1:9" x14ac:dyDescent="0.25">
      <c r="A46" s="23" t="s">
        <v>31</v>
      </c>
      <c r="B46" s="12">
        <v>1885.47</v>
      </c>
    </row>
    <row r="47" spans="1:9" x14ac:dyDescent="0.25">
      <c r="A47" s="23" t="s">
        <v>37</v>
      </c>
      <c r="B47" s="12">
        <f>(B44)*3</f>
        <v>23.215625000000003</v>
      </c>
    </row>
    <row r="48" spans="1:9" x14ac:dyDescent="0.25">
      <c r="A48" s="23" t="s">
        <v>38</v>
      </c>
      <c r="B48" s="12">
        <f>B44*2</f>
        <v>15.477083333333335</v>
      </c>
    </row>
    <row r="49" spans="1:2" x14ac:dyDescent="0.25">
      <c r="A49" s="23" t="s">
        <v>39</v>
      </c>
      <c r="B49" s="12">
        <f>499</f>
        <v>499</v>
      </c>
    </row>
    <row r="50" spans="1:2" x14ac:dyDescent="0.25">
      <c r="A50" s="23" t="s">
        <v>40</v>
      </c>
      <c r="B50" s="12">
        <f>0.2</f>
        <v>0.2</v>
      </c>
    </row>
    <row r="51" spans="1:2" x14ac:dyDescent="0.25">
      <c r="A51" s="23" t="s">
        <v>73</v>
      </c>
      <c r="B51" s="12">
        <f>0.21</f>
        <v>0.21</v>
      </c>
    </row>
    <row r="52" spans="1:2" x14ac:dyDescent="0.25">
      <c r="A52" s="23" t="s">
        <v>74</v>
      </c>
      <c r="B52" s="12">
        <f>0.12</f>
        <v>0.12</v>
      </c>
    </row>
  </sheetData>
  <mergeCells count="3">
    <mergeCell ref="C1:D1"/>
    <mergeCell ref="F1:H1"/>
    <mergeCell ref="D2:E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10" zoomScale="60" zoomScaleNormal="60" workbookViewId="0">
      <selection activeCell="B42" activeCellId="1" sqref="B40:C40 B42:C42"/>
    </sheetView>
  </sheetViews>
  <sheetFormatPr defaultRowHeight="15" x14ac:dyDescent="0.25"/>
  <cols>
    <col min="1" max="1" width="45.28515625" customWidth="1"/>
    <col min="2" max="2" width="24.5703125" customWidth="1"/>
    <col min="3" max="3" width="24.42578125" customWidth="1"/>
    <col min="4" max="5" width="25.5703125" customWidth="1"/>
    <col min="6" max="8" width="25.28515625" customWidth="1"/>
    <col min="9" max="12" width="36.28515625" customWidth="1"/>
    <col min="13" max="13" width="36.5703125" customWidth="1"/>
  </cols>
  <sheetData>
    <row r="1" spans="1:9" x14ac:dyDescent="0.25">
      <c r="B1" s="24" t="s">
        <v>28</v>
      </c>
      <c r="C1" s="91" t="s">
        <v>33</v>
      </c>
      <c r="D1" s="92"/>
      <c r="E1" s="93"/>
      <c r="F1" s="88" t="s">
        <v>64</v>
      </c>
      <c r="G1" s="88"/>
      <c r="H1" s="88"/>
    </row>
    <row r="2" spans="1:9" x14ac:dyDescent="0.25">
      <c r="B2" s="37" t="s">
        <v>11</v>
      </c>
      <c r="C2" s="37" t="s">
        <v>29</v>
      </c>
      <c r="D2" s="89" t="s">
        <v>12</v>
      </c>
      <c r="E2" s="90"/>
      <c r="F2" s="56" t="s">
        <v>34</v>
      </c>
      <c r="G2" s="57" t="s">
        <v>35</v>
      </c>
      <c r="H2" s="58" t="s">
        <v>77</v>
      </c>
    </row>
    <row r="3" spans="1:9" x14ac:dyDescent="0.25">
      <c r="A3" s="1" t="s">
        <v>1</v>
      </c>
      <c r="B3" s="4">
        <v>41214</v>
      </c>
      <c r="C3" s="4">
        <v>41249</v>
      </c>
      <c r="D3" s="4">
        <v>41256</v>
      </c>
      <c r="E3" s="4">
        <v>41278</v>
      </c>
      <c r="F3" s="4">
        <v>41291</v>
      </c>
      <c r="G3" s="4">
        <v>41305</v>
      </c>
      <c r="H3" s="4">
        <v>41319</v>
      </c>
    </row>
    <row r="4" spans="1:9" x14ac:dyDescent="0.25">
      <c r="A4" s="1" t="s">
        <v>2</v>
      </c>
      <c r="B4" s="4">
        <v>41249</v>
      </c>
      <c r="C4" s="4">
        <v>41256</v>
      </c>
      <c r="D4" s="4">
        <v>41263</v>
      </c>
      <c r="E4" s="4">
        <v>41284</v>
      </c>
      <c r="F4" s="4">
        <v>41298</v>
      </c>
      <c r="G4" s="4">
        <v>41319</v>
      </c>
      <c r="H4" s="4">
        <v>41333</v>
      </c>
    </row>
    <row r="5" spans="1:9" x14ac:dyDescent="0.25">
      <c r="A5" s="1" t="s">
        <v>0</v>
      </c>
      <c r="B5" s="5">
        <f t="shared" ref="B5:H5" si="0">(B4-B3)/7</f>
        <v>5</v>
      </c>
      <c r="C5" s="5">
        <f t="shared" si="0"/>
        <v>1</v>
      </c>
      <c r="D5" s="5">
        <f t="shared" si="0"/>
        <v>1</v>
      </c>
      <c r="E5" s="5">
        <v>1</v>
      </c>
      <c r="F5" s="5">
        <f t="shared" si="0"/>
        <v>1</v>
      </c>
      <c r="G5" s="5">
        <f t="shared" si="0"/>
        <v>2</v>
      </c>
      <c r="H5" s="5">
        <f t="shared" si="0"/>
        <v>2</v>
      </c>
      <c r="I5" s="7" t="s">
        <v>14</v>
      </c>
    </row>
    <row r="7" spans="1:9" x14ac:dyDescent="0.25">
      <c r="A7" s="6" t="s">
        <v>3</v>
      </c>
    </row>
    <row r="8" spans="1:9" x14ac:dyDescent="0.25">
      <c r="A8" s="2" t="s">
        <v>4</v>
      </c>
    </row>
    <row r="9" spans="1:9" x14ac:dyDescent="0.25">
      <c r="A9" t="s">
        <v>9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8">
        <f>SUM(B9:H9)</f>
        <v>0</v>
      </c>
    </row>
    <row r="10" spans="1:9" x14ac:dyDescent="0.25">
      <c r="A10" t="s">
        <v>10</v>
      </c>
      <c r="B10" s="11">
        <f>(B45)*(B5/4) * 9</f>
        <v>335.25</v>
      </c>
      <c r="C10" s="11">
        <f>(B45)*(C5/4) * 9</f>
        <v>67.05</v>
      </c>
      <c r="D10" s="11">
        <f>(B45)*(D5/4) * 9</f>
        <v>67.05</v>
      </c>
      <c r="E10" s="11">
        <f>(B45)*(E5/4) * 9</f>
        <v>67.05</v>
      </c>
      <c r="F10" s="11">
        <f>(B45)*(E5/4) * 9</f>
        <v>67.05</v>
      </c>
      <c r="G10" s="11">
        <v>0</v>
      </c>
      <c r="H10" s="11">
        <v>0</v>
      </c>
      <c r="I10" s="18">
        <f>SUM(B10:H10)</f>
        <v>603.44999999999993</v>
      </c>
    </row>
    <row r="11" spans="1:9" x14ac:dyDescent="0.25">
      <c r="A11" t="s">
        <v>72</v>
      </c>
      <c r="B11" s="11">
        <f>SUM(B25:B34)*B51*B52*B5</f>
        <v>4.4099999999999993</v>
      </c>
      <c r="C11" s="11">
        <f>SUM(C25:C34)*B51*B52*C5</f>
        <v>1.6379999999999999</v>
      </c>
      <c r="D11" s="11">
        <f>SUM(D25:D34)*B51*B52*D5</f>
        <v>1.9655999999999998</v>
      </c>
      <c r="E11" s="11">
        <f>SUM(E25:E34)*B51*B52*E5</f>
        <v>2.2805999999999997</v>
      </c>
      <c r="F11" s="11">
        <f>SUM(F25:F34)*B51*B52*F5</f>
        <v>1.4363999999999999</v>
      </c>
      <c r="G11" s="11">
        <f>SUM(G25:G34)*B51*B52*G5</f>
        <v>1.8395999999999999</v>
      </c>
      <c r="H11" s="11">
        <f>SUM(H25:H34)*B51*B52*H5</f>
        <v>3.7547999999999999</v>
      </c>
      <c r="I11" s="18">
        <f>SUM(B11:H11)</f>
        <v>17.324999999999999</v>
      </c>
    </row>
    <row r="13" spans="1:9" x14ac:dyDescent="0.25">
      <c r="A13" s="10" t="s">
        <v>5</v>
      </c>
      <c r="B13" s="15">
        <f t="shared" ref="B13:H13" si="1">SUM(B9:B11)</f>
        <v>339.66</v>
      </c>
      <c r="C13" s="15">
        <f t="shared" si="1"/>
        <v>68.688000000000002</v>
      </c>
      <c r="D13" s="15">
        <f t="shared" si="1"/>
        <v>69.015599999999992</v>
      </c>
      <c r="E13" s="15">
        <f t="shared" si="1"/>
        <v>69.330600000000004</v>
      </c>
      <c r="F13" s="15">
        <f t="shared" si="1"/>
        <v>68.486400000000003</v>
      </c>
      <c r="G13" s="15">
        <f t="shared" si="1"/>
        <v>1.8395999999999999</v>
      </c>
      <c r="H13" s="15">
        <f t="shared" si="1"/>
        <v>3.7547999999999999</v>
      </c>
      <c r="I13" s="22">
        <f>SUM(B13:H13)</f>
        <v>620.77500000000009</v>
      </c>
    </row>
    <row r="15" spans="1:9" x14ac:dyDescent="0.25">
      <c r="A15" s="2" t="s">
        <v>6</v>
      </c>
    </row>
    <row r="16" spans="1:9" x14ac:dyDescent="0.25">
      <c r="A16" t="s">
        <v>15</v>
      </c>
      <c r="B16" s="11">
        <f>(1885.47)*(9)</f>
        <v>16969.23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8">
        <f>SUM(B16:H16)</f>
        <v>16969.23</v>
      </c>
    </row>
    <row r="17" spans="1:9" x14ac:dyDescent="0.25">
      <c r="A17" t="s">
        <v>16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8">
        <f>SUM(B17:H17)</f>
        <v>0</v>
      </c>
    </row>
    <row r="18" spans="1:9" x14ac:dyDescent="0.25">
      <c r="A18" t="s">
        <v>17</v>
      </c>
      <c r="B18" s="11">
        <v>0</v>
      </c>
      <c r="C18" s="11">
        <f>(B47*4)</f>
        <v>92.862500000000011</v>
      </c>
      <c r="D18" s="11">
        <f>(B48*2)</f>
        <v>30.954166666666669</v>
      </c>
      <c r="E18" s="11">
        <v>0</v>
      </c>
      <c r="F18" s="11">
        <v>0</v>
      </c>
      <c r="G18" s="11">
        <v>0</v>
      </c>
      <c r="H18" s="11">
        <v>0</v>
      </c>
      <c r="I18" s="18">
        <f>SUM(B18:H18)</f>
        <v>123.81666666666668</v>
      </c>
    </row>
    <row r="19" spans="1:9" x14ac:dyDescent="0.25">
      <c r="A19" t="s">
        <v>19</v>
      </c>
      <c r="B19" s="11">
        <f>(B49*9)</f>
        <v>4491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8">
        <f>SUM(B19:H19)</f>
        <v>4491</v>
      </c>
    </row>
    <row r="21" spans="1:9" x14ac:dyDescent="0.25">
      <c r="A21" s="9" t="s">
        <v>7</v>
      </c>
      <c r="B21" s="16">
        <f t="shared" ref="B21:H21" si="2">SUM(B16:B19)</f>
        <v>21460.23</v>
      </c>
      <c r="C21" s="16">
        <f t="shared" si="2"/>
        <v>92.862500000000011</v>
      </c>
      <c r="D21" s="16">
        <f t="shared" si="2"/>
        <v>30.954166666666669</v>
      </c>
      <c r="E21" s="16">
        <f t="shared" si="2"/>
        <v>0</v>
      </c>
      <c r="F21" s="16">
        <f t="shared" si="2"/>
        <v>0</v>
      </c>
      <c r="G21" s="16">
        <f t="shared" si="2"/>
        <v>0</v>
      </c>
      <c r="H21" s="16">
        <f t="shared" si="2"/>
        <v>0</v>
      </c>
      <c r="I21" s="21">
        <f>SUM(B21:H21)</f>
        <v>21584.046666666665</v>
      </c>
    </row>
    <row r="23" spans="1:9" x14ac:dyDescent="0.25">
      <c r="A23" s="2" t="s">
        <v>18</v>
      </c>
      <c r="I23" s="26" t="s">
        <v>36</v>
      </c>
    </row>
    <row r="24" spans="1:9" x14ac:dyDescent="0.25">
      <c r="I24" s="25"/>
    </row>
    <row r="25" spans="1:9" x14ac:dyDescent="0.25">
      <c r="A25" t="s">
        <v>8</v>
      </c>
      <c r="B25">
        <v>4</v>
      </c>
      <c r="C25">
        <v>8</v>
      </c>
      <c r="D25">
        <v>9</v>
      </c>
      <c r="E25">
        <v>12</v>
      </c>
      <c r="F25">
        <v>8</v>
      </c>
      <c r="G25">
        <v>5</v>
      </c>
      <c r="H25">
        <v>6</v>
      </c>
      <c r="I25" s="35">
        <f>SUM((B25*B5),SUM(C25:H25))/SUM(B5:H5)</f>
        <v>5.2307692307692308</v>
      </c>
    </row>
    <row r="26" spans="1:9" x14ac:dyDescent="0.25">
      <c r="A26" t="s">
        <v>20</v>
      </c>
      <c r="B26">
        <v>4</v>
      </c>
      <c r="C26">
        <v>9</v>
      </c>
      <c r="D26">
        <v>10</v>
      </c>
      <c r="E26">
        <v>11</v>
      </c>
      <c r="F26">
        <v>9</v>
      </c>
      <c r="G26">
        <v>5</v>
      </c>
      <c r="H26">
        <v>7</v>
      </c>
      <c r="I26" s="35">
        <f>SUM((B26*B5),SUM(C26:H26))/SUM(B5:H5)</f>
        <v>5.4615384615384617</v>
      </c>
    </row>
    <row r="27" spans="1:9" x14ac:dyDescent="0.25">
      <c r="A27" t="s">
        <v>21</v>
      </c>
      <c r="B27">
        <v>3</v>
      </c>
      <c r="C27">
        <v>8</v>
      </c>
      <c r="D27">
        <v>11</v>
      </c>
      <c r="E27">
        <v>11</v>
      </c>
      <c r="F27">
        <v>9</v>
      </c>
      <c r="G27">
        <v>5</v>
      </c>
      <c r="H27">
        <v>7</v>
      </c>
      <c r="I27" s="35">
        <f>SUM((B27*B5),SUM(C27:H27))/SUM(B5:H5)</f>
        <v>5.0769230769230766</v>
      </c>
    </row>
    <row r="28" spans="1:9" x14ac:dyDescent="0.25">
      <c r="A28" t="s">
        <v>22</v>
      </c>
      <c r="B28">
        <v>3</v>
      </c>
      <c r="C28">
        <v>9</v>
      </c>
      <c r="D28">
        <v>10</v>
      </c>
      <c r="E28">
        <v>11.5</v>
      </c>
      <c r="F28">
        <v>8</v>
      </c>
      <c r="G28">
        <v>5</v>
      </c>
      <c r="H28">
        <v>6.5</v>
      </c>
      <c r="I28" s="35">
        <f>SUM((B28*B5),SUM(C28:H28))/SUM(B5:H5)</f>
        <v>5</v>
      </c>
    </row>
    <row r="29" spans="1:9" x14ac:dyDescent="0.25">
      <c r="I29" s="25"/>
    </row>
    <row r="30" spans="1:9" x14ac:dyDescent="0.25">
      <c r="A30" t="s">
        <v>23</v>
      </c>
      <c r="B30">
        <v>6</v>
      </c>
      <c r="C30">
        <v>6</v>
      </c>
      <c r="D30">
        <v>7</v>
      </c>
      <c r="E30">
        <v>9</v>
      </c>
      <c r="F30">
        <v>4</v>
      </c>
      <c r="G30">
        <v>4</v>
      </c>
      <c r="H30">
        <v>11</v>
      </c>
      <c r="I30" s="35">
        <f>SUM((B30*B5),SUM(C30:H30))/SUM(B5:H5)</f>
        <v>5.4615384615384617</v>
      </c>
    </row>
    <row r="31" spans="1:9" x14ac:dyDescent="0.25">
      <c r="A31" t="s">
        <v>24</v>
      </c>
      <c r="B31">
        <v>6</v>
      </c>
      <c r="C31">
        <v>7</v>
      </c>
      <c r="D31">
        <v>9</v>
      </c>
      <c r="E31">
        <v>8</v>
      </c>
      <c r="F31">
        <v>3</v>
      </c>
      <c r="G31">
        <v>3.5</v>
      </c>
      <c r="H31">
        <v>9</v>
      </c>
      <c r="I31" s="35">
        <f>SUM((B31*B5),SUM(C31:H31))/SUM(B5:H5)</f>
        <v>5.3461538461538458</v>
      </c>
    </row>
    <row r="32" spans="1:9" x14ac:dyDescent="0.25">
      <c r="A32" t="s">
        <v>25</v>
      </c>
      <c r="B32">
        <v>0</v>
      </c>
      <c r="C32">
        <v>7</v>
      </c>
      <c r="D32">
        <v>7</v>
      </c>
      <c r="E32">
        <v>9</v>
      </c>
      <c r="F32">
        <v>3</v>
      </c>
      <c r="G32">
        <v>3.5</v>
      </c>
      <c r="H32">
        <v>9</v>
      </c>
      <c r="I32" s="35">
        <f>SUM((B32*B5),SUM(C32:H32))/SUM(B5:H5)</f>
        <v>2.9615384615384617</v>
      </c>
    </row>
    <row r="33" spans="1:9" x14ac:dyDescent="0.25">
      <c r="A33" t="s">
        <v>26</v>
      </c>
      <c r="B33">
        <v>2</v>
      </c>
      <c r="C33">
        <v>4</v>
      </c>
      <c r="D33">
        <v>7</v>
      </c>
      <c r="E33">
        <v>8</v>
      </c>
      <c r="F33">
        <v>7</v>
      </c>
      <c r="G33">
        <v>3.5</v>
      </c>
      <c r="H33">
        <v>10</v>
      </c>
      <c r="I33" s="35">
        <f>SUM((B33*B5),SUM(C33:H33))/SUM(B5:H5)</f>
        <v>3.8076923076923075</v>
      </c>
    </row>
    <row r="34" spans="1:9" x14ac:dyDescent="0.25">
      <c r="A34" t="s">
        <v>27</v>
      </c>
      <c r="B34">
        <v>7</v>
      </c>
      <c r="C34">
        <v>7</v>
      </c>
      <c r="D34">
        <v>8</v>
      </c>
      <c r="E34">
        <v>11</v>
      </c>
      <c r="F34">
        <v>6</v>
      </c>
      <c r="G34">
        <v>2</v>
      </c>
      <c r="H34">
        <v>9</v>
      </c>
      <c r="I34" s="35">
        <f>SUM((B34*B5),SUM(C34:H34))/SUM(B5:H5)</f>
        <v>6</v>
      </c>
    </row>
    <row r="36" spans="1:9" x14ac:dyDescent="0.25">
      <c r="A36" s="8" t="s">
        <v>13</v>
      </c>
      <c r="B36" s="13">
        <f>(B44)*(SUM(B25:B28,B30:B34))*(B5)</f>
        <v>1354.244791666667</v>
      </c>
      <c r="C36" s="13">
        <f>(B44)*(SUM(C25:C28,C30:C34))*(C5)</f>
        <v>503.00520833333337</v>
      </c>
      <c r="D36" s="13">
        <f>(B44)*(SUM(D25:D28,D30:D34))*(D5)</f>
        <v>603.60625000000005</v>
      </c>
      <c r="E36" s="13">
        <f>(B44)*(SUM(E25:E28,E30:E34))*(E5)</f>
        <v>700.33802083333342</v>
      </c>
      <c r="F36" s="13">
        <f>(B44)*(SUM(F25:F28,F30:F34))*(F5)</f>
        <v>441.09687500000001</v>
      </c>
      <c r="G36" s="13">
        <f>(B44)*(SUM(G25:G28,G30:G34))*(G5)</f>
        <v>564.91354166666667</v>
      </c>
      <c r="H36" s="13">
        <f>(B44)*(SUM(H25:H28,H30:H34))*(H5)</f>
        <v>1153.0427083333334</v>
      </c>
      <c r="I36" s="20">
        <f>SUM(B36:H36)</f>
        <v>5320.2473958333339</v>
      </c>
    </row>
    <row r="38" spans="1:9" x14ac:dyDescent="0.25">
      <c r="A38" s="3" t="s">
        <v>14</v>
      </c>
      <c r="B38" s="17">
        <f t="shared" ref="B38:H38" si="3">SUM(B13,B21,B36)</f>
        <v>23154.134791666667</v>
      </c>
      <c r="C38" s="17">
        <f t="shared" si="3"/>
        <v>664.55570833333331</v>
      </c>
      <c r="D38" s="17">
        <f t="shared" si="3"/>
        <v>703.57601666666665</v>
      </c>
      <c r="E38" s="17">
        <f t="shared" si="3"/>
        <v>769.66862083333342</v>
      </c>
      <c r="F38" s="17">
        <f t="shared" si="3"/>
        <v>509.58327500000001</v>
      </c>
      <c r="G38" s="17">
        <f t="shared" si="3"/>
        <v>566.75314166666669</v>
      </c>
      <c r="H38" s="17">
        <f t="shared" si="3"/>
        <v>1156.7975083333333</v>
      </c>
      <c r="I38" s="19">
        <f>SUM(I13,I21,I36)</f>
        <v>27525.069062499999</v>
      </c>
    </row>
    <row r="40" spans="1:9" x14ac:dyDescent="0.25">
      <c r="B40" t="s">
        <v>113</v>
      </c>
      <c r="C40" t="s">
        <v>114</v>
      </c>
    </row>
    <row r="41" spans="1:9" x14ac:dyDescent="0.25">
      <c r="A41" s="23" t="s">
        <v>94</v>
      </c>
      <c r="B41" s="69">
        <v>43</v>
      </c>
      <c r="C41">
        <v>31</v>
      </c>
    </row>
    <row r="42" spans="1:9" x14ac:dyDescent="0.25">
      <c r="A42" s="23" t="s">
        <v>93</v>
      </c>
      <c r="B42" s="68">
        <f>B41/SUM(B25:H34)</f>
        <v>9.8510882016036652E-2</v>
      </c>
      <c r="C42" s="86">
        <f>31/SUM(B25:G34)</f>
        <v>8.5635359116022103E-2</v>
      </c>
    </row>
    <row r="43" spans="1:9" x14ac:dyDescent="0.25">
      <c r="D43" s="11"/>
      <c r="E43" s="11"/>
    </row>
    <row r="44" spans="1:9" x14ac:dyDescent="0.25">
      <c r="A44" s="23" t="s">
        <v>32</v>
      </c>
      <c r="B44" s="12">
        <f>( (14858)/12 ) / 160</f>
        <v>7.7385416666666673</v>
      </c>
    </row>
    <row r="45" spans="1:9" x14ac:dyDescent="0.25">
      <c r="A45" s="23" t="s">
        <v>30</v>
      </c>
      <c r="B45" s="14">
        <v>29.8</v>
      </c>
    </row>
    <row r="46" spans="1:9" x14ac:dyDescent="0.25">
      <c r="A46" s="23" t="s">
        <v>31</v>
      </c>
      <c r="B46" s="12">
        <v>1885.47</v>
      </c>
    </row>
    <row r="47" spans="1:9" x14ac:dyDescent="0.25">
      <c r="A47" s="23" t="s">
        <v>37</v>
      </c>
      <c r="B47" s="12">
        <f>(B44)*3</f>
        <v>23.215625000000003</v>
      </c>
    </row>
    <row r="48" spans="1:9" x14ac:dyDescent="0.25">
      <c r="A48" s="23" t="s">
        <v>38</v>
      </c>
      <c r="B48" s="12">
        <f>B44*2</f>
        <v>15.477083333333335</v>
      </c>
    </row>
    <row r="49" spans="1:2" x14ac:dyDescent="0.25">
      <c r="A49" s="23" t="s">
        <v>39</v>
      </c>
      <c r="B49" s="12">
        <f>499</f>
        <v>499</v>
      </c>
    </row>
    <row r="50" spans="1:2" x14ac:dyDescent="0.25">
      <c r="A50" s="23" t="s">
        <v>40</v>
      </c>
      <c r="B50" s="12">
        <f>0.2</f>
        <v>0.2</v>
      </c>
    </row>
    <row r="51" spans="1:2" x14ac:dyDescent="0.25">
      <c r="A51" s="23" t="s">
        <v>73</v>
      </c>
      <c r="B51" s="12">
        <f>0.21</f>
        <v>0.21</v>
      </c>
    </row>
    <row r="52" spans="1:2" x14ac:dyDescent="0.25">
      <c r="A52" s="23" t="s">
        <v>74</v>
      </c>
      <c r="B52" s="12">
        <f>0.12</f>
        <v>0.12</v>
      </c>
    </row>
  </sheetData>
  <mergeCells count="3">
    <mergeCell ref="F1:H1"/>
    <mergeCell ref="C1:E1"/>
    <mergeCell ref="D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zoomScale="70" zoomScaleNormal="70" workbookViewId="0">
      <selection activeCell="B46" sqref="B46"/>
    </sheetView>
  </sheetViews>
  <sheetFormatPr defaultRowHeight="15" x14ac:dyDescent="0.25"/>
  <cols>
    <col min="1" max="1" width="41.5703125" customWidth="1"/>
    <col min="2" max="2" width="28" customWidth="1"/>
    <col min="3" max="3" width="23.5703125" customWidth="1"/>
    <col min="4" max="4" width="27.28515625" customWidth="1"/>
    <col min="5" max="5" width="25.7109375" customWidth="1"/>
    <col min="6" max="6" width="24.28515625" customWidth="1"/>
    <col min="7" max="7" width="35" customWidth="1"/>
    <col min="8" max="8" width="23.85546875" customWidth="1"/>
    <col min="9" max="9" width="32.42578125" customWidth="1"/>
  </cols>
  <sheetData>
    <row r="1" spans="1:18" x14ac:dyDescent="0.25">
      <c r="A1" s="94" t="s">
        <v>41</v>
      </c>
      <c r="B1" s="94"/>
      <c r="C1" s="94"/>
      <c r="D1" s="94"/>
      <c r="E1" s="94"/>
      <c r="F1" s="94"/>
      <c r="G1" s="94"/>
      <c r="H1" s="94"/>
      <c r="I1" s="27"/>
      <c r="J1" s="27"/>
      <c r="K1" s="27"/>
      <c r="L1" s="27"/>
      <c r="M1" s="27"/>
    </row>
    <row r="2" spans="1:18" x14ac:dyDescent="0.25">
      <c r="A2" s="95" t="s">
        <v>65</v>
      </c>
      <c r="B2" s="95"/>
      <c r="C2" s="95"/>
      <c r="D2" s="95"/>
      <c r="E2" s="95"/>
      <c r="F2" s="95"/>
      <c r="G2" s="95"/>
      <c r="H2" s="95"/>
      <c r="I2" s="27"/>
      <c r="J2" s="27"/>
      <c r="K2" s="27"/>
      <c r="L2" s="27"/>
      <c r="M2" s="27"/>
    </row>
    <row r="3" spans="1:18" x14ac:dyDescent="0.25">
      <c r="A3" s="40"/>
      <c r="B3" s="41" t="s">
        <v>42</v>
      </c>
      <c r="C3" s="42" t="s">
        <v>43</v>
      </c>
      <c r="D3" s="42" t="s">
        <v>44</v>
      </c>
      <c r="E3" s="43" t="s">
        <v>45</v>
      </c>
      <c r="F3" s="42" t="s">
        <v>46</v>
      </c>
      <c r="G3" s="41" t="s">
        <v>47</v>
      </c>
      <c r="H3" s="41" t="s">
        <v>48</v>
      </c>
      <c r="I3" s="28"/>
      <c r="J3" s="27"/>
      <c r="K3" s="27"/>
      <c r="L3" s="27"/>
      <c r="M3" s="27"/>
    </row>
    <row r="4" spans="1:18" x14ac:dyDescent="0.25">
      <c r="A4" s="45" t="s">
        <v>58</v>
      </c>
      <c r="B4" s="29">
        <f>Custo_Planejado!D25</f>
        <v>7</v>
      </c>
      <c r="C4" s="39">
        <f>(Custo_Planejado!B44)*B4</f>
        <v>54.169791666666669</v>
      </c>
      <c r="D4" s="30">
        <v>1</v>
      </c>
      <c r="E4" s="29">
        <f>Custo_Atual!D25</f>
        <v>9</v>
      </c>
      <c r="F4" s="47">
        <f>(Custo_Planejado!B44)*E4</f>
        <v>69.646875000000009</v>
      </c>
      <c r="G4" s="31">
        <v>0.8</v>
      </c>
      <c r="H4" s="49">
        <f t="shared" ref="H4:H12" si="0">C4*G4</f>
        <v>43.335833333333341</v>
      </c>
      <c r="I4" s="28"/>
      <c r="J4" s="27"/>
      <c r="K4" s="27"/>
      <c r="L4" s="27"/>
      <c r="M4" s="27"/>
    </row>
    <row r="5" spans="1:18" x14ac:dyDescent="0.25">
      <c r="A5" s="45" t="s">
        <v>56</v>
      </c>
      <c r="B5" s="29">
        <f>Custo_Planejado!D26</f>
        <v>7</v>
      </c>
      <c r="C5" s="39">
        <f>(Custo_Planejado!B44)*B5</f>
        <v>54.169791666666669</v>
      </c>
      <c r="D5" s="30">
        <v>1</v>
      </c>
      <c r="E5" s="29">
        <f>Custo_Atual!D26</f>
        <v>10</v>
      </c>
      <c r="F5" s="47">
        <f>(Custo_Planejado!B44)*E5</f>
        <v>77.385416666666671</v>
      </c>
      <c r="G5" s="31">
        <v>0.8</v>
      </c>
      <c r="H5" s="49">
        <f t="shared" si="0"/>
        <v>43.335833333333341</v>
      </c>
      <c r="I5" s="28"/>
      <c r="J5" s="27"/>
      <c r="K5" s="27"/>
      <c r="L5" s="27"/>
      <c r="M5" s="27"/>
    </row>
    <row r="6" spans="1:18" x14ac:dyDescent="0.25">
      <c r="A6" s="45" t="s">
        <v>57</v>
      </c>
      <c r="B6" s="29">
        <f>Custo_Planejado!D27</f>
        <v>7</v>
      </c>
      <c r="C6" s="39">
        <f>(Custo_Planejado!B44)*B6</f>
        <v>54.169791666666669</v>
      </c>
      <c r="D6" s="30">
        <v>1</v>
      </c>
      <c r="E6" s="29">
        <f>Custo_Atual!D27</f>
        <v>11</v>
      </c>
      <c r="F6" s="47">
        <f>(Custo_Planejado!B44)*E6</f>
        <v>85.123958333333334</v>
      </c>
      <c r="G6" s="31">
        <v>0.8</v>
      </c>
      <c r="H6" s="49">
        <f t="shared" si="0"/>
        <v>43.335833333333341</v>
      </c>
      <c r="I6" s="28"/>
      <c r="K6" s="27"/>
      <c r="L6" s="27"/>
      <c r="M6" s="27"/>
    </row>
    <row r="7" spans="1:18" x14ac:dyDescent="0.25">
      <c r="A7" s="45" t="s">
        <v>22</v>
      </c>
      <c r="B7" s="29">
        <f>Custo_Planejado!D28</f>
        <v>7</v>
      </c>
      <c r="C7" s="39">
        <f>(Custo_Planejado!B44)*B7</f>
        <v>54.169791666666669</v>
      </c>
      <c r="D7" s="30">
        <v>1</v>
      </c>
      <c r="E7" s="29">
        <f>Custo_Atual!D28</f>
        <v>10</v>
      </c>
      <c r="F7" s="47">
        <f>(Custo_Planejado!B44)*E7</f>
        <v>77.385416666666671</v>
      </c>
      <c r="G7" s="31">
        <v>0.8</v>
      </c>
      <c r="H7" s="49">
        <f t="shared" si="0"/>
        <v>43.335833333333341</v>
      </c>
      <c r="I7" s="28"/>
      <c r="J7" s="27"/>
      <c r="K7" s="27"/>
      <c r="L7" s="27"/>
      <c r="M7" s="27"/>
    </row>
    <row r="8" spans="1:18" x14ac:dyDescent="0.25">
      <c r="A8" s="45" t="s">
        <v>59</v>
      </c>
      <c r="B8" s="29">
        <f>Custo_Planejado!D30</f>
        <v>7</v>
      </c>
      <c r="C8" s="39">
        <f>(Custo_Planejado!B44)*B8</f>
        <v>54.169791666666669</v>
      </c>
      <c r="D8" s="30">
        <v>1</v>
      </c>
      <c r="E8" s="29">
        <f>Custo_Atual!D30</f>
        <v>7</v>
      </c>
      <c r="F8" s="47">
        <f>(Custo_Planejado!B44)*E8</f>
        <v>54.169791666666669</v>
      </c>
      <c r="G8" s="31">
        <v>0.9</v>
      </c>
      <c r="H8" s="49">
        <f t="shared" si="0"/>
        <v>48.752812500000005</v>
      </c>
      <c r="I8" s="27"/>
      <c r="J8" s="27"/>
      <c r="K8" s="27"/>
      <c r="L8" s="27"/>
      <c r="M8" s="27"/>
    </row>
    <row r="9" spans="1:18" x14ac:dyDescent="0.25">
      <c r="A9" s="45" t="s">
        <v>61</v>
      </c>
      <c r="B9" s="29">
        <f>Custo_Planejado!D31</f>
        <v>7</v>
      </c>
      <c r="C9" s="39">
        <f>(Custo_Planejado!B44)*B9</f>
        <v>54.169791666666669</v>
      </c>
      <c r="D9" s="30">
        <v>1</v>
      </c>
      <c r="E9" s="29">
        <f>Custo_Atual!D31</f>
        <v>9</v>
      </c>
      <c r="F9" s="47">
        <f>(Custo_Planejado!B44)*E9</f>
        <v>69.646875000000009</v>
      </c>
      <c r="G9" s="31">
        <v>0.9</v>
      </c>
      <c r="H9" s="49">
        <f t="shared" si="0"/>
        <v>48.752812500000005</v>
      </c>
      <c r="K9" s="27"/>
      <c r="L9" s="27"/>
      <c r="M9" s="27"/>
      <c r="N9" s="27"/>
      <c r="O9" s="27"/>
      <c r="P9" s="27"/>
      <c r="Q9" s="27"/>
      <c r="R9" s="27"/>
    </row>
    <row r="10" spans="1:18" x14ac:dyDescent="0.25">
      <c r="A10" s="45" t="s">
        <v>62</v>
      </c>
      <c r="B10" s="29">
        <f>Custo_Planejado!D32</f>
        <v>7</v>
      </c>
      <c r="C10" s="39">
        <f>(Custo_Planejado!B44)*B10</f>
        <v>54.169791666666669</v>
      </c>
      <c r="D10" s="30">
        <v>1</v>
      </c>
      <c r="E10" s="29">
        <f>Custo_Atual!D32</f>
        <v>7</v>
      </c>
      <c r="F10" s="47">
        <f>(Custo_Planejado!B44)*E10</f>
        <v>54.169791666666669</v>
      </c>
      <c r="G10" s="31">
        <v>0.9</v>
      </c>
      <c r="H10" s="49">
        <f t="shared" si="0"/>
        <v>48.752812500000005</v>
      </c>
      <c r="K10" s="27"/>
      <c r="L10" s="27"/>
      <c r="M10" s="27"/>
      <c r="N10" s="27"/>
      <c r="Q10" s="27"/>
      <c r="R10" s="27"/>
    </row>
    <row r="11" spans="1:18" x14ac:dyDescent="0.25">
      <c r="A11" s="45" t="s">
        <v>63</v>
      </c>
      <c r="B11" s="29">
        <f>Custo_Planejado!D33</f>
        <v>7</v>
      </c>
      <c r="C11" s="39">
        <f>(Custo_Planejado!B44)*B11</f>
        <v>54.169791666666669</v>
      </c>
      <c r="D11" s="30">
        <v>1</v>
      </c>
      <c r="E11" s="29">
        <f>Custo_Atual!D33</f>
        <v>7</v>
      </c>
      <c r="F11" s="47">
        <f>(Custo_Planejado!B44)*E11</f>
        <v>54.169791666666669</v>
      </c>
      <c r="G11" s="31">
        <v>0.9</v>
      </c>
      <c r="H11" s="49">
        <f t="shared" si="0"/>
        <v>48.752812500000005</v>
      </c>
      <c r="K11" s="27"/>
      <c r="L11" s="27"/>
      <c r="Q11" s="27"/>
      <c r="R11" s="27"/>
    </row>
    <row r="12" spans="1:18" x14ac:dyDescent="0.25">
      <c r="A12" s="45" t="s">
        <v>60</v>
      </c>
      <c r="B12" s="29">
        <f>Custo_Planejado!D34</f>
        <v>7</v>
      </c>
      <c r="C12" s="39">
        <f>(Custo_Planejado!B44)*B12</f>
        <v>54.169791666666669</v>
      </c>
      <c r="D12" s="30">
        <v>1</v>
      </c>
      <c r="E12" s="29">
        <f>Custo_Atual!D34</f>
        <v>8</v>
      </c>
      <c r="F12" s="47">
        <f>(Custo_Planejado!B44)*E12</f>
        <v>61.908333333333339</v>
      </c>
      <c r="G12" s="31">
        <v>0.9</v>
      </c>
      <c r="H12" s="49">
        <f t="shared" si="0"/>
        <v>48.752812500000005</v>
      </c>
      <c r="Q12" s="27"/>
      <c r="R12" s="27"/>
    </row>
    <row r="13" spans="1:18" ht="15.75" x14ac:dyDescent="0.25">
      <c r="A13" s="44" t="s">
        <v>51</v>
      </c>
      <c r="B13" s="32">
        <f>SUM(B4:B12)</f>
        <v>63</v>
      </c>
      <c r="C13" s="38">
        <f>SUM(C4:C12)</f>
        <v>487.52812500000016</v>
      </c>
      <c r="D13" s="32" t="s">
        <v>52</v>
      </c>
      <c r="E13" s="33">
        <f>SUM(E4:E12)</f>
        <v>78</v>
      </c>
      <c r="F13" s="48">
        <f>SUM(F4:F12)</f>
        <v>603.60625000000005</v>
      </c>
      <c r="G13" s="34" t="s">
        <v>52</v>
      </c>
      <c r="H13" s="48">
        <f>SUM(H3:H12)</f>
        <v>417.10739583333338</v>
      </c>
      <c r="Q13" s="27"/>
      <c r="R13" s="27"/>
    </row>
    <row r="14" spans="1:18" x14ac:dyDescent="0.25">
      <c r="A14" s="27"/>
      <c r="B14" s="27"/>
      <c r="C14" s="27"/>
      <c r="D14" s="27"/>
      <c r="E14" s="27"/>
      <c r="F14" s="27"/>
      <c r="G14" s="27"/>
      <c r="H14" s="27"/>
      <c r="Q14" s="27"/>
      <c r="R14" s="27"/>
    </row>
    <row r="15" spans="1:18" x14ac:dyDescent="0.25">
      <c r="A15" s="27"/>
      <c r="B15" s="27"/>
      <c r="C15" s="27"/>
      <c r="D15" s="27"/>
      <c r="E15" s="27"/>
      <c r="F15" s="27"/>
      <c r="G15" s="27"/>
      <c r="Q15" s="27"/>
      <c r="R15" s="27"/>
    </row>
    <row r="16" spans="1:18" x14ac:dyDescent="0.25">
      <c r="A16" s="50" t="s">
        <v>66</v>
      </c>
      <c r="B16" s="52">
        <f>SUM(Custo_Planejado!B38:'Custo_Planejado'!D38)</f>
        <v>25438.514033333333</v>
      </c>
      <c r="C16" s="46" t="s">
        <v>49</v>
      </c>
      <c r="D16" s="51">
        <f>B18/B19</f>
        <v>0.99283856874411158</v>
      </c>
      <c r="E16" s="27"/>
      <c r="F16" s="27"/>
      <c r="G16" s="27"/>
      <c r="Q16" s="27"/>
      <c r="R16" s="27"/>
    </row>
    <row r="17" spans="1:18" x14ac:dyDescent="0.25">
      <c r="A17" s="50" t="s">
        <v>53</v>
      </c>
      <c r="B17" s="52">
        <f>SUM(B16,C13)</f>
        <v>25926.042158333334</v>
      </c>
      <c r="C17" s="46" t="s">
        <v>50</v>
      </c>
      <c r="D17" s="51">
        <f>B18/B17</f>
        <v>0.99728378405247509</v>
      </c>
      <c r="E17" s="27"/>
      <c r="F17" s="27"/>
      <c r="G17" s="27"/>
      <c r="Q17" s="27"/>
      <c r="R17" s="27"/>
    </row>
    <row r="18" spans="1:18" x14ac:dyDescent="0.25">
      <c r="A18" s="50" t="s">
        <v>54</v>
      </c>
      <c r="B18" s="52">
        <f>B16+H13</f>
        <v>25855.621429166666</v>
      </c>
      <c r="C18" s="27"/>
      <c r="D18" s="27"/>
      <c r="M18" s="27"/>
      <c r="Q18" s="27"/>
      <c r="R18" s="27"/>
    </row>
    <row r="19" spans="1:18" x14ac:dyDescent="0.25">
      <c r="A19" s="50" t="s">
        <v>55</v>
      </c>
      <c r="B19" s="52">
        <f>B16+F13</f>
        <v>26042.120283333334</v>
      </c>
      <c r="C19" s="27"/>
      <c r="D19" s="27"/>
      <c r="J19" s="27"/>
      <c r="K19" s="27"/>
      <c r="L19" s="27"/>
      <c r="M19" s="27"/>
      <c r="Q19" s="27"/>
      <c r="R19" s="27"/>
    </row>
    <row r="20" spans="1:18" x14ac:dyDescent="0.25">
      <c r="J20" s="27"/>
      <c r="K20" s="27"/>
      <c r="L20" s="27"/>
      <c r="M20" s="27"/>
      <c r="N20" s="27"/>
      <c r="Q20" s="27"/>
      <c r="R20" s="27"/>
    </row>
    <row r="21" spans="1:18" x14ac:dyDescent="0.25">
      <c r="J21" s="27"/>
      <c r="K21" s="27"/>
      <c r="L21" s="27"/>
      <c r="M21" s="27"/>
      <c r="N21" s="27"/>
      <c r="O21" s="27"/>
      <c r="P21" s="27"/>
      <c r="Q21" s="27"/>
      <c r="R21" s="27"/>
    </row>
    <row r="22" spans="1:18" x14ac:dyDescent="0.25">
      <c r="A22" s="53" t="s">
        <v>67</v>
      </c>
      <c r="J22" s="27"/>
      <c r="K22" s="27"/>
      <c r="L22" s="27"/>
      <c r="M22" s="27"/>
      <c r="N22" s="27"/>
      <c r="O22" s="27"/>
      <c r="P22" s="27"/>
      <c r="Q22" s="27"/>
      <c r="R22" s="27"/>
    </row>
    <row r="23" spans="1:18" x14ac:dyDescent="0.25">
      <c r="A23" s="53" t="s">
        <v>69</v>
      </c>
      <c r="B23" s="36" t="s">
        <v>68</v>
      </c>
      <c r="J23" s="27"/>
      <c r="K23" s="27"/>
      <c r="L23" s="27"/>
      <c r="M23" s="27"/>
      <c r="N23" s="27"/>
      <c r="O23" s="27"/>
      <c r="P23" s="27"/>
      <c r="Q23" s="27"/>
      <c r="R23" s="27"/>
    </row>
    <row r="24" spans="1:18" x14ac:dyDescent="0.25">
      <c r="A24" s="53" t="s">
        <v>75</v>
      </c>
      <c r="B24" s="36" t="s">
        <v>76</v>
      </c>
      <c r="J24" s="27"/>
      <c r="K24" s="27"/>
      <c r="L24" s="27"/>
      <c r="M24" s="27"/>
      <c r="N24" s="27"/>
      <c r="O24" s="27"/>
      <c r="P24" s="27"/>
      <c r="Q24" s="27"/>
      <c r="R24" s="27"/>
    </row>
    <row r="28" spans="1:18" x14ac:dyDescent="0.25">
      <c r="A28" s="94" t="s">
        <v>41</v>
      </c>
      <c r="B28" s="94"/>
      <c r="C28" s="94"/>
      <c r="D28" s="94"/>
      <c r="E28" s="94"/>
      <c r="F28" s="94"/>
      <c r="G28" s="94"/>
      <c r="H28" s="94"/>
    </row>
    <row r="29" spans="1:18" x14ac:dyDescent="0.25">
      <c r="A29" s="95" t="s">
        <v>70</v>
      </c>
      <c r="B29" s="95"/>
      <c r="C29" s="95"/>
      <c r="D29" s="95"/>
      <c r="E29" s="95"/>
      <c r="F29" s="95"/>
      <c r="G29" s="95"/>
      <c r="H29" s="95"/>
    </row>
    <row r="30" spans="1:18" x14ac:dyDescent="0.25">
      <c r="A30" s="40"/>
      <c r="B30" s="55" t="s">
        <v>42</v>
      </c>
      <c r="C30" s="42" t="s">
        <v>43</v>
      </c>
      <c r="D30" s="42" t="s">
        <v>44</v>
      </c>
      <c r="E30" s="43" t="s">
        <v>45</v>
      </c>
      <c r="F30" s="42" t="s">
        <v>46</v>
      </c>
      <c r="G30" s="55" t="s">
        <v>47</v>
      </c>
      <c r="H30" s="55" t="s">
        <v>48</v>
      </c>
    </row>
    <row r="31" spans="1:18" x14ac:dyDescent="0.25">
      <c r="A31" s="45" t="s">
        <v>58</v>
      </c>
      <c r="B31" s="29">
        <f>Custo_Planejado!E25</f>
        <v>7</v>
      </c>
      <c r="C31" s="39">
        <f>(Custo_Planejado!B44)*B31</f>
        <v>54.169791666666669</v>
      </c>
      <c r="D31" s="30">
        <v>1</v>
      </c>
      <c r="E31" s="29">
        <f>Custo_Atual!E25</f>
        <v>12</v>
      </c>
      <c r="F31" s="47">
        <f>(Custo_Planejado!B44)*E31</f>
        <v>92.862500000000011</v>
      </c>
      <c r="G31" s="31">
        <v>0.45</v>
      </c>
      <c r="H31" s="49">
        <f t="shared" ref="H31:H39" si="1">C31*G31</f>
        <v>24.376406250000002</v>
      </c>
    </row>
    <row r="32" spans="1:18" x14ac:dyDescent="0.25">
      <c r="A32" s="45" t="s">
        <v>56</v>
      </c>
      <c r="B32" s="29">
        <f>Custo_Planejado!E26</f>
        <v>7</v>
      </c>
      <c r="C32" s="39">
        <f>(Custo_Planejado!B44)*B32</f>
        <v>54.169791666666669</v>
      </c>
      <c r="D32" s="30">
        <v>1</v>
      </c>
      <c r="E32" s="29">
        <f>Custo_Atual!E26</f>
        <v>11</v>
      </c>
      <c r="F32" s="47">
        <f>(Custo_Planejado!B44)*E32</f>
        <v>85.123958333333334</v>
      </c>
      <c r="G32" s="31">
        <v>0.45</v>
      </c>
      <c r="H32" s="49">
        <f t="shared" si="1"/>
        <v>24.376406250000002</v>
      </c>
    </row>
    <row r="33" spans="1:8" x14ac:dyDescent="0.25">
      <c r="A33" s="45" t="s">
        <v>57</v>
      </c>
      <c r="B33" s="29">
        <f>Custo_Planejado!E27</f>
        <v>7</v>
      </c>
      <c r="C33" s="39">
        <f>(Custo_Planejado!B44)*B33</f>
        <v>54.169791666666669</v>
      </c>
      <c r="D33" s="30">
        <v>1</v>
      </c>
      <c r="E33" s="29">
        <f>Custo_Atual!E27</f>
        <v>11</v>
      </c>
      <c r="F33" s="47">
        <f>(Custo_Planejado!B44)*E33</f>
        <v>85.123958333333334</v>
      </c>
      <c r="G33" s="31">
        <v>0.45</v>
      </c>
      <c r="H33" s="49">
        <f t="shared" si="1"/>
        <v>24.376406250000002</v>
      </c>
    </row>
    <row r="34" spans="1:8" x14ac:dyDescent="0.25">
      <c r="A34" s="45" t="s">
        <v>22</v>
      </c>
      <c r="B34" s="29">
        <f>Custo_Planejado!E28</f>
        <v>7</v>
      </c>
      <c r="C34" s="39">
        <f>(Custo_Planejado!B44)*B34</f>
        <v>54.169791666666669</v>
      </c>
      <c r="D34" s="30">
        <v>1</v>
      </c>
      <c r="E34" s="29">
        <f>Custo_Atual!E28</f>
        <v>11.5</v>
      </c>
      <c r="F34" s="47">
        <f>(Custo_Planejado!B44)*E34</f>
        <v>88.99322916666668</v>
      </c>
      <c r="G34" s="31">
        <v>0.45</v>
      </c>
      <c r="H34" s="49">
        <f t="shared" si="1"/>
        <v>24.376406250000002</v>
      </c>
    </row>
    <row r="35" spans="1:8" x14ac:dyDescent="0.25">
      <c r="A35" s="45" t="s">
        <v>59</v>
      </c>
      <c r="B35" s="29">
        <f>Custo_Planejado!E30</f>
        <v>7</v>
      </c>
      <c r="C35" s="39">
        <f>(Custo_Planejado!B44)*B35</f>
        <v>54.169791666666669</v>
      </c>
      <c r="D35" s="30">
        <v>1</v>
      </c>
      <c r="E35" s="29">
        <f>Custo_Atual!E30</f>
        <v>9</v>
      </c>
      <c r="F35" s="47">
        <f>(Custo_Planejado!B44)*E35</f>
        <v>69.646875000000009</v>
      </c>
      <c r="G35" s="31">
        <v>0.45</v>
      </c>
      <c r="H35" s="49">
        <f t="shared" si="1"/>
        <v>24.376406250000002</v>
      </c>
    </row>
    <row r="36" spans="1:8" x14ac:dyDescent="0.25">
      <c r="A36" s="45" t="s">
        <v>61</v>
      </c>
      <c r="B36" s="29">
        <f>Custo_Planejado!E31</f>
        <v>7</v>
      </c>
      <c r="C36" s="39">
        <f>(Custo_Planejado!B44)*B36</f>
        <v>54.169791666666669</v>
      </c>
      <c r="D36" s="30">
        <v>1</v>
      </c>
      <c r="E36" s="29">
        <f>Custo_Atual!E31</f>
        <v>8</v>
      </c>
      <c r="F36" s="47">
        <f>(Custo_Planejado!B44)*E36</f>
        <v>61.908333333333339</v>
      </c>
      <c r="G36" s="31">
        <v>1</v>
      </c>
      <c r="H36" s="49">
        <f t="shared" si="1"/>
        <v>54.169791666666669</v>
      </c>
    </row>
    <row r="37" spans="1:8" x14ac:dyDescent="0.25">
      <c r="A37" s="45" t="s">
        <v>62</v>
      </c>
      <c r="B37" s="29">
        <f>Custo_Planejado!E32</f>
        <v>7</v>
      </c>
      <c r="C37" s="39">
        <f>(Custo_Planejado!B44)*B37</f>
        <v>54.169791666666669</v>
      </c>
      <c r="D37" s="30">
        <v>1</v>
      </c>
      <c r="E37" s="29">
        <f>Custo_Atual!E32</f>
        <v>9</v>
      </c>
      <c r="F37" s="47">
        <f>(Custo_Planejado!B44)*E37</f>
        <v>69.646875000000009</v>
      </c>
      <c r="G37" s="31">
        <v>1</v>
      </c>
      <c r="H37" s="49">
        <f t="shared" si="1"/>
        <v>54.169791666666669</v>
      </c>
    </row>
    <row r="38" spans="1:8" x14ac:dyDescent="0.25">
      <c r="A38" s="45" t="s">
        <v>63</v>
      </c>
      <c r="B38" s="29">
        <f>Custo_Planejado!E33</f>
        <v>7</v>
      </c>
      <c r="C38" s="39">
        <f>(Custo_Planejado!B44)*B38</f>
        <v>54.169791666666669</v>
      </c>
      <c r="D38" s="30">
        <v>1</v>
      </c>
      <c r="E38" s="29">
        <f>Custo_Atual!E33</f>
        <v>8</v>
      </c>
      <c r="F38" s="47">
        <f>(Custo_Planejado!B44)*E38</f>
        <v>61.908333333333339</v>
      </c>
      <c r="G38" s="31">
        <v>1</v>
      </c>
      <c r="H38" s="49">
        <f t="shared" si="1"/>
        <v>54.169791666666669</v>
      </c>
    </row>
    <row r="39" spans="1:8" x14ac:dyDescent="0.25">
      <c r="A39" s="45" t="s">
        <v>60</v>
      </c>
      <c r="B39" s="29">
        <f>Custo_Planejado!E34</f>
        <v>7</v>
      </c>
      <c r="C39" s="39">
        <f>(Custo_Planejado!B44)*B39</f>
        <v>54.169791666666669</v>
      </c>
      <c r="D39" s="30">
        <v>1</v>
      </c>
      <c r="E39" s="29">
        <f>Custo_Atual!E34</f>
        <v>11</v>
      </c>
      <c r="F39" s="47">
        <f>(Custo_Planejado!B44)*E39</f>
        <v>85.123958333333334</v>
      </c>
      <c r="G39" s="31">
        <v>1</v>
      </c>
      <c r="H39" s="49">
        <f t="shared" si="1"/>
        <v>54.169791666666669</v>
      </c>
    </row>
    <row r="40" spans="1:8" ht="15.75" x14ac:dyDescent="0.25">
      <c r="A40" s="44" t="s">
        <v>51</v>
      </c>
      <c r="B40" s="32">
        <f>SUM(B31:B39)</f>
        <v>63</v>
      </c>
      <c r="C40" s="38">
        <f>SUM(C31:C39)</f>
        <v>487.52812500000016</v>
      </c>
      <c r="D40" s="32" t="s">
        <v>52</v>
      </c>
      <c r="E40" s="33">
        <f>SUM(E31:E39)</f>
        <v>90.5</v>
      </c>
      <c r="F40" s="48">
        <f>SUM(F31:F39)</f>
        <v>700.33802083333342</v>
      </c>
      <c r="G40" s="34" t="s">
        <v>52</v>
      </c>
      <c r="H40" s="48">
        <f>SUM(H30:H39)</f>
        <v>338.56119791666674</v>
      </c>
    </row>
    <row r="41" spans="1:8" x14ac:dyDescent="0.25">
      <c r="A41" s="27"/>
      <c r="B41" s="27"/>
      <c r="C41" s="27"/>
      <c r="D41" s="27"/>
      <c r="E41" s="27"/>
      <c r="F41" s="27"/>
      <c r="G41" s="27"/>
      <c r="H41" s="27"/>
    </row>
    <row r="42" spans="1:8" x14ac:dyDescent="0.25">
      <c r="A42" s="27"/>
      <c r="B42" s="27"/>
      <c r="C42" s="27"/>
      <c r="D42" s="27"/>
      <c r="E42" s="27"/>
      <c r="F42" s="27"/>
      <c r="G42" s="27"/>
    </row>
    <row r="43" spans="1:8" x14ac:dyDescent="0.25">
      <c r="A43" s="50" t="s">
        <v>71</v>
      </c>
      <c r="B43" s="52">
        <f>SUM(Custo_Planejado!B38:'Custo_Planejado'!E38)</f>
        <v>25994.679758333332</v>
      </c>
      <c r="C43" s="46" t="s">
        <v>49</v>
      </c>
      <c r="D43" s="51">
        <f>B45/B46</f>
        <v>0.986447777412645</v>
      </c>
      <c r="E43" s="27"/>
      <c r="F43" s="27"/>
      <c r="G43" s="27"/>
    </row>
    <row r="44" spans="1:8" x14ac:dyDescent="0.25">
      <c r="A44" s="50" t="s">
        <v>53</v>
      </c>
      <c r="B44" s="52">
        <f>SUM(B43,C40)</f>
        <v>26482.207883333333</v>
      </c>
      <c r="C44" s="46" t="s">
        <v>50</v>
      </c>
      <c r="D44" s="51">
        <f>B45/B44</f>
        <v>0.99437482978233527</v>
      </c>
      <c r="E44" s="27"/>
      <c r="F44" s="27"/>
      <c r="G44" s="27"/>
    </row>
    <row r="45" spans="1:8" x14ac:dyDescent="0.25">
      <c r="A45" s="50" t="s">
        <v>54</v>
      </c>
      <c r="B45" s="52">
        <f>B43+H40</f>
        <v>26333.24095625</v>
      </c>
      <c r="C45" s="27"/>
      <c r="D45" s="27"/>
    </row>
    <row r="46" spans="1:8" x14ac:dyDescent="0.25">
      <c r="A46" s="50" t="s">
        <v>55</v>
      </c>
      <c r="B46" s="52">
        <f>B43+F40</f>
        <v>26695.017779166665</v>
      </c>
      <c r="C46" s="27"/>
      <c r="D46" s="27"/>
    </row>
    <row r="49" spans="1:2" x14ac:dyDescent="0.25">
      <c r="A49" s="53" t="s">
        <v>67</v>
      </c>
    </row>
    <row r="50" spans="1:2" x14ac:dyDescent="0.25">
      <c r="A50" s="53" t="s">
        <v>69</v>
      </c>
      <c r="B50" s="36" t="s">
        <v>68</v>
      </c>
    </row>
    <row r="51" spans="1:2" x14ac:dyDescent="0.25">
      <c r="A51" s="53" t="s">
        <v>75</v>
      </c>
      <c r="B51" s="36" t="s">
        <v>76</v>
      </c>
    </row>
  </sheetData>
  <mergeCells count="4">
    <mergeCell ref="A1:H1"/>
    <mergeCell ref="A2:H2"/>
    <mergeCell ref="A28:H28"/>
    <mergeCell ref="A29:H2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1"/>
  <sheetViews>
    <sheetView tabSelected="1" workbookViewId="0">
      <selection activeCell="D34" sqref="D34"/>
    </sheetView>
  </sheetViews>
  <sheetFormatPr defaultRowHeight="15" x14ac:dyDescent="0.25"/>
  <cols>
    <col min="1" max="1" width="2.85546875" customWidth="1"/>
    <col min="2" max="2" width="22.5703125" customWidth="1"/>
    <col min="3" max="3" width="38.7109375" bestFit="1" customWidth="1"/>
    <col min="4" max="4" width="12" bestFit="1" customWidth="1"/>
    <col min="5" max="5" width="2.5703125" customWidth="1"/>
    <col min="6" max="6" width="38.7109375" bestFit="1" customWidth="1"/>
    <col min="7" max="7" width="11" bestFit="1" customWidth="1"/>
    <col min="8" max="8" width="10" customWidth="1"/>
    <col min="9" max="9" width="6.7109375" bestFit="1" customWidth="1"/>
    <col min="10" max="11" width="10.7109375" bestFit="1" customWidth="1"/>
  </cols>
  <sheetData>
    <row r="3" spans="2:11" x14ac:dyDescent="0.25">
      <c r="C3" s="96" t="s">
        <v>90</v>
      </c>
      <c r="D3" s="97"/>
      <c r="E3" s="67"/>
      <c r="F3" s="96" t="s">
        <v>88</v>
      </c>
      <c r="G3" s="97"/>
      <c r="H3" s="67"/>
    </row>
    <row r="4" spans="2:11" x14ac:dyDescent="0.25">
      <c r="B4" s="59"/>
      <c r="C4" s="60" t="s">
        <v>85</v>
      </c>
      <c r="D4" s="60" t="s">
        <v>86</v>
      </c>
      <c r="E4" s="67"/>
      <c r="F4" s="60" t="s">
        <v>85</v>
      </c>
      <c r="G4" s="60" t="s">
        <v>86</v>
      </c>
      <c r="H4" s="67"/>
    </row>
    <row r="5" spans="2:11" x14ac:dyDescent="0.25">
      <c r="C5" s="62" t="s">
        <v>89</v>
      </c>
      <c r="D5" s="63">
        <f>SUM(Custo_Planejado!F38,Custo_Planejado!H38,Custo_Planejado!G38)</f>
        <v>1907.4076875000003</v>
      </c>
      <c r="E5" s="67"/>
      <c r="F5" s="62" t="s">
        <v>89</v>
      </c>
      <c r="G5" s="63">
        <f>SUM(Custo_Planejado!F38,Custo_Planejado!G38,Custo_Planejado!H38)</f>
        <v>1907.4076875000003</v>
      </c>
      <c r="H5" s="67"/>
    </row>
    <row r="6" spans="2:11" x14ac:dyDescent="0.25">
      <c r="C6" s="62" t="s">
        <v>78</v>
      </c>
      <c r="D6" s="64">
        <f>SUM(Custo_Atual!F38:'Custo_Atual'!G38)</f>
        <v>1076.3364166666668</v>
      </c>
      <c r="E6" s="67"/>
      <c r="F6" s="62" t="s">
        <v>78</v>
      </c>
      <c r="G6" s="64">
        <f>SUM(Custo_Atual!F38:'Custo_Atual'!H38)</f>
        <v>2233.1339250000001</v>
      </c>
      <c r="H6" s="67"/>
      <c r="J6" t="s">
        <v>111</v>
      </c>
      <c r="K6" t="s">
        <v>112</v>
      </c>
    </row>
    <row r="7" spans="2:11" x14ac:dyDescent="0.25">
      <c r="C7" s="62" t="s">
        <v>79</v>
      </c>
      <c r="D7" s="65">
        <v>40</v>
      </c>
      <c r="E7" s="67"/>
      <c r="F7" s="62" t="s">
        <v>79</v>
      </c>
      <c r="G7" s="65">
        <v>40</v>
      </c>
      <c r="H7" s="67"/>
      <c r="J7">
        <v>0.95</v>
      </c>
      <c r="K7">
        <v>1</v>
      </c>
    </row>
    <row r="8" spans="2:11" x14ac:dyDescent="0.25">
      <c r="C8" s="62" t="s">
        <v>80</v>
      </c>
      <c r="D8" s="66">
        <f xml:space="preserve"> 1/2</f>
        <v>0.5</v>
      </c>
      <c r="E8" s="67"/>
      <c r="F8" s="62" t="s">
        <v>80</v>
      </c>
      <c r="G8" s="66">
        <v>1</v>
      </c>
      <c r="H8" s="67"/>
    </row>
    <row r="9" spans="2:11" x14ac:dyDescent="0.25">
      <c r="C9" s="62" t="s">
        <v>81</v>
      </c>
      <c r="D9" s="66">
        <f>19/D7</f>
        <v>0.47499999999999998</v>
      </c>
      <c r="E9" s="67"/>
      <c r="F9" s="62" t="s">
        <v>81</v>
      </c>
      <c r="G9" s="66">
        <f>40/G7</f>
        <v>1</v>
      </c>
      <c r="H9" s="67"/>
      <c r="J9" t="s">
        <v>109</v>
      </c>
      <c r="K9" t="s">
        <v>110</v>
      </c>
    </row>
    <row r="10" spans="2:11" x14ac:dyDescent="0.25">
      <c r="C10" s="62" t="s">
        <v>82</v>
      </c>
      <c r="D10" s="64">
        <f>D8* D5</f>
        <v>953.70384375000015</v>
      </c>
      <c r="E10" s="67"/>
      <c r="F10" s="62" t="s">
        <v>82</v>
      </c>
      <c r="G10" s="64">
        <f>G8*G5</f>
        <v>1907.4076875000003</v>
      </c>
      <c r="H10" s="67"/>
      <c r="J10">
        <v>0.84176158800000001</v>
      </c>
      <c r="K10">
        <v>0.85413941000000004</v>
      </c>
    </row>
    <row r="11" spans="2:11" x14ac:dyDescent="0.25">
      <c r="C11" s="62" t="s">
        <v>83</v>
      </c>
      <c r="D11" s="64">
        <f xml:space="preserve"> D5 * D9</f>
        <v>906.01865156250005</v>
      </c>
      <c r="E11" s="67"/>
      <c r="F11" s="62" t="s">
        <v>83</v>
      </c>
      <c r="G11" s="64">
        <f>G5/G9</f>
        <v>1907.4076875000003</v>
      </c>
      <c r="H11" s="67"/>
    </row>
    <row r="12" spans="2:11" x14ac:dyDescent="0.25">
      <c r="C12" s="62" t="s">
        <v>84</v>
      </c>
      <c r="D12" s="65">
        <f xml:space="preserve"> D11 / D6</f>
        <v>0.8417615882294236</v>
      </c>
      <c r="E12" s="67"/>
      <c r="F12" s="62" t="s">
        <v>84</v>
      </c>
      <c r="G12" s="65">
        <f>G11/G6</f>
        <v>0.85413940746970662</v>
      </c>
      <c r="H12" s="67"/>
    </row>
    <row r="13" spans="2:11" x14ac:dyDescent="0.25">
      <c r="C13" s="62" t="s">
        <v>87</v>
      </c>
      <c r="D13" s="65">
        <f xml:space="preserve"> D11/D10</f>
        <v>0.95</v>
      </c>
      <c r="E13" s="67"/>
      <c r="F13" s="62" t="s">
        <v>87</v>
      </c>
      <c r="G13" s="65">
        <f>G11/G10</f>
        <v>1</v>
      </c>
      <c r="H13" s="67"/>
    </row>
    <row r="16" spans="2:11" x14ac:dyDescent="0.25">
      <c r="I16" s="85" t="s">
        <v>106</v>
      </c>
      <c r="J16" s="85" t="s">
        <v>107</v>
      </c>
      <c r="K16" s="84" t="s">
        <v>108</v>
      </c>
    </row>
    <row r="17" spans="2:11" x14ac:dyDescent="0.25">
      <c r="B17" s="53" t="s">
        <v>67</v>
      </c>
      <c r="I17" s="82">
        <v>41303</v>
      </c>
      <c r="J17" s="1">
        <v>0</v>
      </c>
      <c r="K17" s="1">
        <v>0</v>
      </c>
    </row>
    <row r="18" spans="2:11" x14ac:dyDescent="0.25">
      <c r="B18" s="61" t="s">
        <v>69</v>
      </c>
      <c r="C18" s="36" t="s">
        <v>68</v>
      </c>
      <c r="I18" s="82">
        <v>41319</v>
      </c>
      <c r="J18" s="83">
        <f>D11</f>
        <v>906.01865156250005</v>
      </c>
      <c r="K18" s="83">
        <f>D10</f>
        <v>953.70384375000015</v>
      </c>
    </row>
    <row r="19" spans="2:11" x14ac:dyDescent="0.25">
      <c r="B19" s="61" t="s">
        <v>75</v>
      </c>
      <c r="C19" s="36" t="s">
        <v>76</v>
      </c>
      <c r="I19" s="82">
        <v>41332</v>
      </c>
      <c r="J19" s="83">
        <f>G11</f>
        <v>1907.4076875000003</v>
      </c>
      <c r="K19" s="83">
        <f>G10</f>
        <v>1907.4076875000003</v>
      </c>
    </row>
    <row r="21" spans="2:11" x14ac:dyDescent="0.25">
      <c r="C21" s="80"/>
      <c r="D21" s="81"/>
    </row>
    <row r="22" spans="2:11" x14ac:dyDescent="0.25">
      <c r="C22" s="80"/>
      <c r="D22" s="79"/>
      <c r="E22" s="79"/>
    </row>
    <row r="23" spans="2:11" x14ac:dyDescent="0.25">
      <c r="C23" s="79"/>
      <c r="D23" s="79"/>
    </row>
    <row r="31" spans="2:11" x14ac:dyDescent="0.25">
      <c r="D31" s="79"/>
      <c r="E31" s="79"/>
    </row>
  </sheetData>
  <mergeCells count="2">
    <mergeCell ref="C3:D3"/>
    <mergeCell ref="F3:G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9"/>
  <sheetViews>
    <sheetView workbookViewId="0">
      <selection activeCell="F18" sqref="F18"/>
    </sheetView>
  </sheetViews>
  <sheetFormatPr defaultRowHeight="15" x14ac:dyDescent="0.25"/>
  <cols>
    <col min="2" max="2" width="22.28515625" bestFit="1" customWidth="1"/>
    <col min="3" max="3" width="16.140625" customWidth="1"/>
    <col min="4" max="4" width="12.85546875" bestFit="1" customWidth="1"/>
  </cols>
  <sheetData>
    <row r="3" spans="2:3" x14ac:dyDescent="0.25">
      <c r="B3" s="98" t="s">
        <v>95</v>
      </c>
      <c r="C3" s="98"/>
    </row>
    <row r="4" spans="2:3" x14ac:dyDescent="0.25">
      <c r="B4" s="99" t="s">
        <v>103</v>
      </c>
      <c r="C4" s="100"/>
    </row>
    <row r="5" spans="2:3" x14ac:dyDescent="0.25">
      <c r="B5" s="72" t="s">
        <v>97</v>
      </c>
      <c r="C5" s="72">
        <v>5</v>
      </c>
    </row>
    <row r="6" spans="2:3" x14ac:dyDescent="0.25">
      <c r="B6" s="72" t="s">
        <v>98</v>
      </c>
      <c r="C6" s="72">
        <v>4</v>
      </c>
    </row>
    <row r="7" spans="2:3" x14ac:dyDescent="0.25">
      <c r="B7" s="72" t="s">
        <v>99</v>
      </c>
      <c r="C7" s="72">
        <v>3</v>
      </c>
    </row>
    <row r="8" spans="2:3" x14ac:dyDescent="0.25">
      <c r="B8" s="72" t="s">
        <v>100</v>
      </c>
      <c r="C8" s="72">
        <v>2</v>
      </c>
    </row>
    <row r="9" spans="2:3" x14ac:dyDescent="0.25">
      <c r="B9" s="72" t="s">
        <v>101</v>
      </c>
      <c r="C9" s="72">
        <v>1</v>
      </c>
    </row>
    <row r="10" spans="2:3" x14ac:dyDescent="0.25">
      <c r="B10" s="70"/>
      <c r="C10" s="71"/>
    </row>
    <row r="11" spans="2:3" x14ac:dyDescent="0.25">
      <c r="B11" s="101" t="s">
        <v>105</v>
      </c>
      <c r="C11" s="102"/>
    </row>
    <row r="12" spans="2:3" x14ac:dyDescent="0.25">
      <c r="B12" s="73" t="s">
        <v>96</v>
      </c>
      <c r="C12" s="74">
        <v>4</v>
      </c>
    </row>
    <row r="13" spans="2:3" x14ac:dyDescent="0.25">
      <c r="B13" s="75" t="s">
        <v>60</v>
      </c>
      <c r="C13" s="76">
        <v>4</v>
      </c>
    </row>
    <row r="14" spans="2:3" x14ac:dyDescent="0.25">
      <c r="B14" s="73" t="s">
        <v>61</v>
      </c>
      <c r="C14" s="74">
        <v>3</v>
      </c>
    </row>
    <row r="15" spans="2:3" x14ac:dyDescent="0.25">
      <c r="B15" s="75" t="s">
        <v>63</v>
      </c>
      <c r="C15" s="76">
        <v>4</v>
      </c>
    </row>
    <row r="16" spans="2:3" x14ac:dyDescent="0.25">
      <c r="B16" s="77" t="s">
        <v>62</v>
      </c>
      <c r="C16" s="78">
        <v>4</v>
      </c>
    </row>
    <row r="17" spans="2:4" x14ac:dyDescent="0.25">
      <c r="B17" s="103"/>
      <c r="C17" s="104"/>
    </row>
    <row r="18" spans="2:4" x14ac:dyDescent="0.25">
      <c r="B18" s="105"/>
      <c r="C18" s="106"/>
    </row>
    <row r="19" spans="2:4" x14ac:dyDescent="0.25">
      <c r="B19" s="1" t="s">
        <v>102</v>
      </c>
      <c r="C19" s="1">
        <f>SUM(C12:C16)/5</f>
        <v>3.8</v>
      </c>
      <c r="D19" s="23" t="s">
        <v>104</v>
      </c>
    </row>
  </sheetData>
  <mergeCells count="4">
    <mergeCell ref="B3:C3"/>
    <mergeCell ref="B4:C4"/>
    <mergeCell ref="B11:C11"/>
    <mergeCell ref="B17:C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3</vt:i4>
      </vt:variant>
    </vt:vector>
  </HeadingPairs>
  <TitlesOfParts>
    <vt:vector size="8" baseType="lpstr">
      <vt:lpstr>Custo_Planejado</vt:lpstr>
      <vt:lpstr>Custo_Atual</vt:lpstr>
      <vt:lpstr>Valor_Agregado</vt:lpstr>
      <vt:lpstr>Custo Sprint</vt:lpstr>
      <vt:lpstr>Outras Métricas</vt:lpstr>
      <vt:lpstr>Chart3</vt:lpstr>
      <vt:lpstr>Chart1</vt:lpstr>
      <vt:lpstr>Chart2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Tiago(temporaria)</dc:creator>
  <cp:lastModifiedBy>Marcos R. Pereira Jr.</cp:lastModifiedBy>
  <dcterms:created xsi:type="dcterms:W3CDTF">2012-04-20T11:51:25Z</dcterms:created>
  <dcterms:modified xsi:type="dcterms:W3CDTF">2013-02-28T02:47:03Z</dcterms:modified>
</cp:coreProperties>
</file>