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<sst xmlns="http://schemas.openxmlformats.org/spreadsheetml/2006/main" count="63" uniqueCount="54">
  <si>
    <t xml:space="preserve">a)</t>
  </si>
  <si>
    <t xml:space="preserve">b)</t>
  </si>
  <si>
    <t xml:space="preserve">Time </t>
  </si>
  <si>
    <t xml:space="preserve">stock price and strike price</t>
  </si>
  <si>
    <t xml:space="preserve">Conclusion: It is hard to find precise discount-factor and risk-free rate, So we chose two adjacent discount factors and calculated their mean values as the discount factors we used. This may have had some impact on our final results. Other than that, we are confident of the accuracy of all other parameters. The reason why we calculated the mean values is that the T3 as defined previously is at the middle of the two dates given discount factors by the Bloomberg terminal, and we selected “linear piecewise” simulation.</t>
  </si>
  <si>
    <t xml:space="preserve">T0</t>
  </si>
  <si>
    <t xml:space="preserve">T2-T0</t>
  </si>
  <si>
    <t xml:space="preserve">S0</t>
  </si>
  <si>
    <t xml:space="preserve">T1</t>
  </si>
  <si>
    <t xml:space="preserve">T3-T1</t>
  </si>
  <si>
    <t xml:space="preserve">K1</t>
  </si>
  <si>
    <t xml:space="preserve">T2</t>
  </si>
  <si>
    <t xml:space="preserve">K2</t>
  </si>
  <si>
    <t xml:space="preserve">T3</t>
  </si>
  <si>
    <t xml:space="preserve">K3</t>
  </si>
  <si>
    <t xml:space="preserve">c)</t>
  </si>
  <si>
    <t xml:space="preserve">The Buffered PLUS Contracts  is equivalent to a portfolio of:</t>
  </si>
  <si>
    <t xml:space="preserve">4008.543/3817.66=1.05</t>
  </si>
  <si>
    <t xml:space="preserve">1.A zero-coupon bond with a face value of $1000 maturing on 21 Dec 2024.</t>
  </si>
  <si>
    <t xml:space="preserve">1000*1.1-1001.891=98.109</t>
  </si>
  <si>
    <t xml:space="preserve">2. 0.32743 written SPX puts expiring on 19 Dec 2024 with strike price of 3054.128</t>
  </si>
  <si>
    <t xml:space="preserve">98.109/1001.891=0.097924</t>
  </si>
  <si>
    <t xml:space="preserve">3. 0.52388 purchased SPX calls expiring on 19 Dec 2024 with strike price of 3817.66.</t>
  </si>
  <si>
    <t xml:space="preserve">0.097924/1.6684932=0.05869</t>
  </si>
  <si>
    <t xml:space="preserve">4. 0.52388 written SPX calls expiring on 19 Dec 2024 with strike price of 4302.503</t>
  </si>
  <si>
    <t xml:space="preserve">0.05/1.6684932=0.029967</t>
  </si>
  <si>
    <t xml:space="preserve">0.05869&gt;0.029967</t>
  </si>
  <si>
    <t xml:space="preserve">Input parameter</t>
  </si>
  <si>
    <t xml:space="preserve">Valuation</t>
  </si>
  <si>
    <t xml:space="preserve">Conclusion:It is a good investment</t>
  </si>
  <si>
    <t xml:space="preserve">DF(T0,T2)</t>
  </si>
  <si>
    <t xml:space="preserve">1.Bond</t>
  </si>
  <si>
    <t xml:space="preserve">DF(T1,T3)</t>
  </si>
  <si>
    <t xml:space="preserve">valuation</t>
  </si>
  <si>
    <t xml:space="preserve">R(T0,T2)</t>
  </si>
  <si>
    <t xml:space="preserve">2.short_put</t>
  </si>
  <si>
    <t xml:space="preserve">R(T1,T3)</t>
  </si>
  <si>
    <t xml:space="preserve">d1</t>
  </si>
  <si>
    <t xml:space="preserve">N(-d1)</t>
  </si>
  <si>
    <t xml:space="preserve">Dividend yield</t>
  </si>
  <si>
    <t xml:space="preserve">d2</t>
  </si>
  <si>
    <t xml:space="preserve">N(-d2)</t>
  </si>
  <si>
    <t xml:space="preserve">sigma_short_put </t>
  </si>
  <si>
    <t xml:space="preserve">3.long_call</t>
  </si>
  <si>
    <t xml:space="preserve">sigma_long_call </t>
  </si>
  <si>
    <t xml:space="preserve">N(d1)</t>
  </si>
  <si>
    <t xml:space="preserve">sigma_short_call </t>
  </si>
  <si>
    <t xml:space="preserve">N(d2)</t>
  </si>
  <si>
    <t xml:space="preserve">N_short_put </t>
  </si>
  <si>
    <t xml:space="preserve">4.short_call</t>
  </si>
  <si>
    <t xml:space="preserve">N_long_call </t>
  </si>
  <si>
    <t xml:space="preserve">N_short_call </t>
  </si>
  <si>
    <t xml:space="preserve">sum </t>
  </si>
  <si>
    <t xml:space="preserve">Conclusion: the value of the Buffered PLUS on their date of issuance is 1001.891</t>
  </si>
</sst>
</file>

<file path=xl/styles.xml><?xml version="1.0" encoding="utf-8"?>
<styleSheet xmlns="http://schemas.openxmlformats.org/spreadsheetml/2006/main">
  <numFmts count="2">
    <numFmt numFmtId="164" formatCode="General"/>
    <numFmt numFmtId="165" formatCode="m/d/yyyy"/>
  </numFmts>
  <fonts count="6">
    <font>
      <sz val="11"/>
      <color rgb="FF000000"/>
      <name val="等线"/>
      <family val="2"/>
      <charset val="134"/>
    </font>
    <font>
      <sz val="10"/>
      <name val="Arial"/>
      <family val="0"/>
    </font>
    <font>
      <sz val="10"/>
      <name val="Arial"/>
      <family val="0"/>
    </font>
    <font>
      <sz val="10"/>
      <name val="Arial"/>
      <family val="0"/>
    </font>
    <font>
      <b val="true"/>
      <sz val="11"/>
      <color rgb="FF000000"/>
      <name val="等线"/>
      <family val="3"/>
      <charset val="134"/>
    </font>
    <font>
      <sz val="12"/>
      <color rgb="FF000000"/>
      <name val="Garamond"/>
      <family val="1"/>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449640</xdr:colOff>
      <xdr:row>10</xdr:row>
      <xdr:rowOff>8280</xdr:rowOff>
    </xdr:from>
    <xdr:to>
      <xdr:col>42</xdr:col>
      <xdr:colOff>486720</xdr:colOff>
      <xdr:row>26</xdr:row>
      <xdr:rowOff>50760</xdr:rowOff>
    </xdr:to>
    <xdr:pic>
      <xdr:nvPicPr>
        <xdr:cNvPr id="0" name="图片 1" descr=""/>
        <xdr:cNvPicPr/>
      </xdr:nvPicPr>
      <xdr:blipFill>
        <a:blip r:embed="rId1"/>
        <a:stretch/>
      </xdr:blipFill>
      <xdr:spPr>
        <a:xfrm>
          <a:off x="14967720" y="1741680"/>
          <a:ext cx="19007640" cy="2785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N2" activeCellId="0" sqref="N2"/>
    </sheetView>
  </sheetViews>
  <sheetFormatPr defaultColWidth="8.5390625" defaultRowHeight="13.5" zeroHeight="false" outlineLevelRow="0" outlineLevelCol="0"/>
  <cols>
    <col collapsed="false" customWidth="true" hidden="false" outlineLevel="0" max="1" min="1" style="1" width="15.22"/>
    <col collapsed="false" customWidth="true" hidden="false" outlineLevel="0" max="2" min="2" style="1" width="11.22"/>
    <col collapsed="false" customWidth="true" hidden="false" outlineLevel="0" max="5" min="5" style="1" width="10"/>
    <col collapsed="false" customWidth="true" hidden="false" outlineLevel="0" max="7" min="7" style="1" width="11.66"/>
    <col collapsed="false" customWidth="true" hidden="false" outlineLevel="0" max="8" min="8" style="1" width="12.78"/>
  </cols>
  <sheetData>
    <row r="1" customFormat="false" ht="13.5" hidden="false" customHeight="false" outlineLevel="0" collapsed="false">
      <c r="A1" s="1" t="s">
        <v>0</v>
      </c>
      <c r="N1" s="1" t="s">
        <v>1</v>
      </c>
    </row>
    <row r="2" customFormat="false" ht="13.5" hidden="false" customHeight="true" outlineLevel="0" collapsed="false">
      <c r="A2" s="2" t="s">
        <v>2</v>
      </c>
      <c r="B2" s="2"/>
      <c r="C2" s="2"/>
      <c r="D2" s="2"/>
      <c r="E2" s="2"/>
      <c r="G2" s="2" t="s">
        <v>3</v>
      </c>
      <c r="H2" s="2"/>
      <c r="N2" s="3" t="s">
        <v>4</v>
      </c>
      <c r="O2" s="3"/>
      <c r="P2" s="3"/>
      <c r="Q2" s="3"/>
      <c r="R2" s="3"/>
      <c r="S2" s="3"/>
      <c r="T2" s="3"/>
      <c r="U2" s="3"/>
    </row>
    <row r="3" customFormat="false" ht="13.5" hidden="false" customHeight="false" outlineLevel="0" collapsed="false">
      <c r="A3" s="4" t="s">
        <v>5</v>
      </c>
      <c r="B3" s="5" t="n">
        <v>44914</v>
      </c>
      <c r="C3" s="4"/>
      <c r="D3" s="4" t="s">
        <v>6</v>
      </c>
      <c r="E3" s="4" t="n">
        <f aca="false">(B5-B3)/365</f>
        <v>1.66849315068493</v>
      </c>
      <c r="G3" s="4" t="s">
        <v>7</v>
      </c>
      <c r="H3" s="4" t="n">
        <v>3817.66</v>
      </c>
      <c r="N3" s="3"/>
      <c r="O3" s="3"/>
      <c r="P3" s="3"/>
    </row>
    <row r="4" customFormat="false" ht="13.5" hidden="false" customHeight="false" outlineLevel="0" collapsed="false">
      <c r="A4" s="4" t="s">
        <v>8</v>
      </c>
      <c r="B4" s="5" t="n">
        <v>44922</v>
      </c>
      <c r="C4" s="4"/>
      <c r="D4" s="4" t="s">
        <v>9</v>
      </c>
      <c r="E4" s="4" t="n">
        <f aca="false">(B6-B4)/365</f>
        <v>1.65205479452055</v>
      </c>
      <c r="G4" s="4" t="s">
        <v>10</v>
      </c>
      <c r="H4" s="4" t="n">
        <f aca="false">0.8*H3</f>
        <v>3054.128</v>
      </c>
      <c r="N4" s="3"/>
      <c r="O4" s="3"/>
      <c r="P4" s="3"/>
    </row>
    <row r="5" customFormat="false" ht="13.5" hidden="false" customHeight="false" outlineLevel="0" collapsed="false">
      <c r="A5" s="4" t="s">
        <v>11</v>
      </c>
      <c r="B5" s="5" t="n">
        <v>45523</v>
      </c>
      <c r="C5" s="4"/>
      <c r="D5" s="4"/>
      <c r="E5" s="4"/>
      <c r="G5" s="4" t="s">
        <v>12</v>
      </c>
      <c r="H5" s="4" t="n">
        <f aca="false">H3</f>
        <v>3817.66</v>
      </c>
      <c r="N5" s="3"/>
      <c r="O5" s="3"/>
      <c r="P5" s="3"/>
    </row>
    <row r="6" customFormat="false" ht="13.5" hidden="false" customHeight="false" outlineLevel="0" collapsed="false">
      <c r="A6" s="4" t="s">
        <v>13</v>
      </c>
      <c r="B6" s="5" t="n">
        <v>45525</v>
      </c>
      <c r="C6" s="4"/>
      <c r="D6" s="4"/>
      <c r="E6" s="4"/>
      <c r="G6" s="4" t="s">
        <v>14</v>
      </c>
      <c r="H6" s="4" t="n">
        <f aca="false">1.127*H3</f>
        <v>4302.50282</v>
      </c>
    </row>
    <row r="7" customFormat="false" ht="13.5" hidden="false" customHeight="false" outlineLevel="0" collapsed="false">
      <c r="N7" s="1" t="s">
        <v>15</v>
      </c>
    </row>
    <row r="8" customFormat="false" ht="15" hidden="false" customHeight="true" outlineLevel="0" collapsed="false">
      <c r="A8" s="6" t="s">
        <v>16</v>
      </c>
      <c r="B8" s="6"/>
      <c r="C8" s="6"/>
      <c r="D8" s="6"/>
      <c r="E8" s="6"/>
      <c r="F8" s="6"/>
      <c r="G8" s="6"/>
      <c r="H8" s="4"/>
      <c r="N8" s="7" t="s">
        <v>17</v>
      </c>
      <c r="O8" s="8"/>
      <c r="P8" s="8"/>
      <c r="Q8" s="8"/>
      <c r="R8" s="8"/>
      <c r="S8" s="8"/>
      <c r="T8" s="8"/>
      <c r="U8" s="8"/>
    </row>
    <row r="9" customFormat="false" ht="13.5" hidden="false" customHeight="true" outlineLevel="0" collapsed="false">
      <c r="A9" s="6" t="s">
        <v>18</v>
      </c>
      <c r="B9" s="6"/>
      <c r="C9" s="6"/>
      <c r="D9" s="6"/>
      <c r="E9" s="6"/>
      <c r="F9" s="6"/>
      <c r="G9" s="6"/>
      <c r="H9" s="6"/>
      <c r="I9" s="9"/>
      <c r="J9" s="9"/>
      <c r="N9" s="8" t="s">
        <v>19</v>
      </c>
      <c r="O9" s="8"/>
      <c r="P9" s="8"/>
      <c r="Q9" s="8"/>
      <c r="R9" s="8"/>
      <c r="S9" s="8"/>
      <c r="T9" s="8"/>
      <c r="U9" s="8"/>
    </row>
    <row r="10" customFormat="false" ht="13.5" hidden="false" customHeight="false" outlineLevel="0" collapsed="false">
      <c r="A10" s="10" t="s">
        <v>20</v>
      </c>
      <c r="B10" s="10"/>
      <c r="C10" s="10"/>
      <c r="D10" s="10"/>
      <c r="E10" s="10"/>
      <c r="F10" s="10"/>
      <c r="G10" s="10"/>
      <c r="H10" s="10"/>
      <c r="I10" s="1"/>
      <c r="J10" s="1"/>
      <c r="N10" s="8" t="s">
        <v>21</v>
      </c>
      <c r="O10" s="8"/>
      <c r="P10" s="8"/>
      <c r="Q10" s="8"/>
      <c r="R10" s="8"/>
      <c r="S10" s="8"/>
      <c r="T10" s="8"/>
      <c r="U10" s="8"/>
    </row>
    <row r="11" customFormat="false" ht="13.5" hidden="false" customHeight="false" outlineLevel="0" collapsed="false">
      <c r="A11" s="10" t="s">
        <v>22</v>
      </c>
      <c r="B11" s="10"/>
      <c r="C11" s="10"/>
      <c r="D11" s="10"/>
      <c r="E11" s="10"/>
      <c r="F11" s="10"/>
      <c r="G11" s="10"/>
      <c r="H11" s="10"/>
      <c r="N11" s="8" t="s">
        <v>23</v>
      </c>
    </row>
    <row r="12" customFormat="false" ht="13.5" hidden="false" customHeight="false" outlineLevel="0" collapsed="false">
      <c r="A12" s="10" t="s">
        <v>24</v>
      </c>
      <c r="B12" s="10"/>
      <c r="C12" s="10"/>
      <c r="D12" s="10"/>
      <c r="E12" s="10"/>
      <c r="F12" s="10"/>
      <c r="G12" s="10"/>
      <c r="H12" s="10"/>
      <c r="N12" s="8" t="s">
        <v>25</v>
      </c>
    </row>
    <row r="13" customFormat="false" ht="13.5" hidden="false" customHeight="false" outlineLevel="0" collapsed="false">
      <c r="N13" s="1" t="s">
        <v>26</v>
      </c>
    </row>
    <row r="14" customFormat="false" ht="13.5" hidden="false" customHeight="false" outlineLevel="0" collapsed="false">
      <c r="A14" s="2" t="s">
        <v>27</v>
      </c>
      <c r="B14" s="2"/>
      <c r="E14" s="11" t="s">
        <v>28</v>
      </c>
      <c r="F14" s="11"/>
      <c r="G14" s="11"/>
      <c r="H14" s="11"/>
      <c r="I14" s="11"/>
      <c r="J14" s="11"/>
      <c r="K14" s="11"/>
      <c r="N14" s="12" t="s">
        <v>29</v>
      </c>
      <c r="O14" s="12"/>
      <c r="P14" s="12"/>
      <c r="Q14" s="12"/>
    </row>
    <row r="15" customFormat="false" ht="13.5" hidden="false" customHeight="false" outlineLevel="0" collapsed="false">
      <c r="A15" s="4" t="s">
        <v>30</v>
      </c>
      <c r="B15" s="4" t="n">
        <v>0.927082</v>
      </c>
      <c r="E15" s="13" t="s">
        <v>31</v>
      </c>
      <c r="F15" s="13"/>
      <c r="G15" s="13"/>
      <c r="H15" s="13"/>
      <c r="I15" s="13"/>
      <c r="J15" s="13"/>
      <c r="K15" s="13"/>
      <c r="N15" s="12"/>
      <c r="O15" s="12"/>
    </row>
    <row r="16" customFormat="false" ht="13.5" hidden="false" customHeight="false" outlineLevel="0" collapsed="false">
      <c r="A16" s="4" t="s">
        <v>32</v>
      </c>
      <c r="B16" s="4" t="n">
        <v>0.925283</v>
      </c>
      <c r="E16" s="13" t="s">
        <v>33</v>
      </c>
      <c r="F16" s="13" t="n">
        <f aca="false">1000*B16</f>
        <v>925.283</v>
      </c>
      <c r="G16" s="13" t="n">
        <f aca="false">F16*-1</f>
        <v>-925.283</v>
      </c>
      <c r="H16" s="13"/>
      <c r="I16" s="13"/>
      <c r="J16" s="13"/>
      <c r="K16" s="13"/>
    </row>
    <row r="17" customFormat="false" ht="13.5" hidden="false" customHeight="false" outlineLevel="0" collapsed="false">
      <c r="A17" s="4" t="s">
        <v>34</v>
      </c>
      <c r="B17" s="4" t="n">
        <f aca="false">LN(B15)/-E3</f>
        <v>0.0453782264002084</v>
      </c>
      <c r="E17" s="13" t="s">
        <v>35</v>
      </c>
      <c r="F17" s="13"/>
      <c r="G17" s="13"/>
      <c r="H17" s="13"/>
      <c r="I17" s="13"/>
      <c r="J17" s="13"/>
      <c r="K17" s="13"/>
    </row>
    <row r="18" customFormat="false" ht="13.5" hidden="false" customHeight="false" outlineLevel="0" collapsed="false">
      <c r="A18" s="4" t="s">
        <v>36</v>
      </c>
      <c r="B18" s="4" t="n">
        <f aca="false">LN(B16)/-E4</f>
        <v>0.047005488300538</v>
      </c>
      <c r="E18" s="13" t="s">
        <v>37</v>
      </c>
      <c r="F18" s="13" t="n">
        <f aca="false">(LN(1.25)+(B17-B19+B20^2*0.5))/(B20*SQRT(E3))</f>
        <v>0.790115117521019</v>
      </c>
      <c r="G18" s="13" t="s">
        <v>38</v>
      </c>
      <c r="H18" s="13" t="n">
        <f aca="false">_xlfn.NORM.S.DIST(-F18,1)</f>
        <v>0.214730270940948</v>
      </c>
      <c r="I18" s="13" t="s">
        <v>33</v>
      </c>
      <c r="J18" s="13" t="n">
        <f aca="false">(-H3*EXP((B17-B19)*E3)*H18+0.8*H3*H19)*B15</f>
        <v>157.472697605593</v>
      </c>
      <c r="K18" s="13" t="n">
        <f aca="false">J18*B23</f>
        <v>51.560608332589</v>
      </c>
    </row>
    <row r="19" customFormat="false" ht="13.5" hidden="false" customHeight="false" outlineLevel="0" collapsed="false">
      <c r="A19" s="4" t="s">
        <v>39</v>
      </c>
      <c r="B19" s="4" t="n">
        <v>0.01867</v>
      </c>
      <c r="E19" s="13" t="s">
        <v>40</v>
      </c>
      <c r="F19" s="13" t="n">
        <f aca="false">F18-B20*SQRT(E3)</f>
        <v>0.422690583390782</v>
      </c>
      <c r="G19" s="13" t="s">
        <v>41</v>
      </c>
      <c r="H19" s="13" t="n">
        <f aca="false">_xlfn.NORM.S.DIST(-F19,1)</f>
        <v>0.336260513430651</v>
      </c>
      <c r="I19" s="13"/>
      <c r="J19" s="13"/>
      <c r="K19" s="13"/>
    </row>
    <row r="20" customFormat="false" ht="13.5" hidden="false" customHeight="false" outlineLevel="0" collapsed="false">
      <c r="A20" s="4" t="s">
        <v>42</v>
      </c>
      <c r="B20" s="4" t="n">
        <v>0.28445</v>
      </c>
      <c r="E20" s="13" t="s">
        <v>43</v>
      </c>
      <c r="F20" s="13"/>
      <c r="G20" s="13"/>
      <c r="H20" s="13"/>
      <c r="I20" s="13"/>
      <c r="J20" s="13"/>
      <c r="K20" s="13"/>
    </row>
    <row r="21" customFormat="false" ht="13.5" hidden="false" customHeight="false" outlineLevel="0" collapsed="false">
      <c r="A21" s="4" t="s">
        <v>44</v>
      </c>
      <c r="B21" s="4" t="n">
        <v>0.24453</v>
      </c>
      <c r="E21" s="13" t="s">
        <v>37</v>
      </c>
      <c r="F21" s="13" t="n">
        <f aca="false">(LN(1)+(B17-B19+B21^2*0.5))/(B21*SQRT(E3))</f>
        <v>0.17921142887138</v>
      </c>
      <c r="G21" s="13" t="s">
        <v>45</v>
      </c>
      <c r="H21" s="13" t="n">
        <f aca="false">_xlfn.NORM.S.DIST(F21,1)</f>
        <v>0.571114154968866</v>
      </c>
      <c r="I21" s="13" t="s">
        <v>33</v>
      </c>
      <c r="J21" s="13" t="n">
        <f aca="false">(H3*EXP((B17-B19)*E3)*H21-1*H3*H22)*B15</f>
        <v>536.150676781562</v>
      </c>
      <c r="K21" s="13" t="n">
        <f aca="false">J21*B24*-1</f>
        <v>-280.879217521499</v>
      </c>
    </row>
    <row r="22" customFormat="false" ht="13.5" hidden="false" customHeight="false" outlineLevel="0" collapsed="false">
      <c r="A22" s="4" t="s">
        <v>46</v>
      </c>
      <c r="B22" s="4" t="n">
        <v>0.21424</v>
      </c>
      <c r="E22" s="13" t="s">
        <v>40</v>
      </c>
      <c r="F22" s="13" t="n">
        <f aca="false">F21-B21*SQRT(E3)</f>
        <v>-0.136648375420647</v>
      </c>
      <c r="G22" s="13" t="s">
        <v>47</v>
      </c>
      <c r="H22" s="13" t="n">
        <f aca="false">_xlfn.NORM.S.DIST(F22,1)</f>
        <v>0.445654368531405</v>
      </c>
      <c r="I22" s="13"/>
      <c r="J22" s="13"/>
      <c r="K22" s="13"/>
    </row>
    <row r="23" customFormat="false" ht="13.5" hidden="false" customHeight="false" outlineLevel="0" collapsed="false">
      <c r="A23" s="4" t="s">
        <v>48</v>
      </c>
      <c r="B23" s="4" t="n">
        <f aca="false">1000*1.25/3817.66</f>
        <v>0.327425700560029</v>
      </c>
      <c r="E23" s="13" t="s">
        <v>49</v>
      </c>
      <c r="F23" s="13"/>
      <c r="G23" s="13"/>
      <c r="H23" s="13"/>
      <c r="I23" s="13"/>
      <c r="J23" s="13"/>
      <c r="K23" s="13"/>
    </row>
    <row r="24" customFormat="false" ht="13.5" hidden="false" customHeight="false" outlineLevel="0" collapsed="false">
      <c r="A24" s="4" t="s">
        <v>50</v>
      </c>
      <c r="B24" s="4" t="n">
        <f aca="false">1000*2/3817.66</f>
        <v>0.523881120896046</v>
      </c>
      <c r="E24" s="13" t="s">
        <v>37</v>
      </c>
      <c r="F24" s="13" t="n">
        <f aca="false">(LN(1/1.127)+(B17-B19+B22^2*0.5))/(B22*SQRT(E3))</f>
        <v>-0.252594835129611</v>
      </c>
      <c r="G24" s="13" t="s">
        <v>45</v>
      </c>
      <c r="H24" s="13" t="n">
        <f aca="false">_xlfn.NORM.S.DIST(F24,1)</f>
        <v>0.400290660796869</v>
      </c>
      <c r="I24" s="13" t="s">
        <v>33</v>
      </c>
      <c r="J24" s="13" t="n">
        <f aca="false">(H3*EXP((B17-B19)*E3)*H24-1.127*H3*H25)*B15</f>
        <v>291.498093006789</v>
      </c>
      <c r="K24" s="13" t="n">
        <f aca="false">J24*B25</f>
        <v>152.710347703456</v>
      </c>
    </row>
    <row r="25" customFormat="false" ht="13.5" hidden="false" customHeight="false" outlineLevel="0" collapsed="false">
      <c r="A25" s="4" t="s">
        <v>51</v>
      </c>
      <c r="B25" s="4" t="n">
        <f aca="false">1000*2/3817.66</f>
        <v>0.523881120896046</v>
      </c>
      <c r="E25" s="13" t="s">
        <v>40</v>
      </c>
      <c r="F25" s="13" t="n">
        <f aca="false">F24-B22*SQRT(E3)</f>
        <v>-0.529328996465741</v>
      </c>
      <c r="G25" s="13" t="s">
        <v>47</v>
      </c>
      <c r="H25" s="13" t="n">
        <f aca="false">_xlfn.NORM.S.DIST(F25,1)</f>
        <v>0.298288622011251</v>
      </c>
      <c r="I25" s="13"/>
      <c r="J25" s="13"/>
      <c r="K25" s="13"/>
    </row>
    <row r="26" customFormat="false" ht="13.5" hidden="false" customHeight="false" outlineLevel="0" collapsed="false">
      <c r="E26" s="13"/>
      <c r="F26" s="13"/>
      <c r="G26" s="13"/>
    </row>
    <row r="27" customFormat="false" ht="13.5" hidden="false" customHeight="false" outlineLevel="0" collapsed="false">
      <c r="E27" s="13" t="s">
        <v>52</v>
      </c>
      <c r="F27" s="13" t="n">
        <f aca="false">(-F16+J18*B23-J21*B24+J24*B25)*-1</f>
        <v>1001.89126148545</v>
      </c>
      <c r="G27" s="13"/>
      <c r="H27" s="13"/>
      <c r="I27" s="13"/>
      <c r="J27" s="13"/>
      <c r="K27" s="13"/>
    </row>
    <row r="28" customFormat="false" ht="13.5" hidden="false" customHeight="true" outlineLevel="0" collapsed="false">
      <c r="E28" s="14" t="s">
        <v>53</v>
      </c>
      <c r="F28" s="14"/>
      <c r="G28" s="14"/>
      <c r="H28" s="14"/>
      <c r="I28" s="14"/>
      <c r="J28" s="14"/>
      <c r="K28" s="14"/>
    </row>
    <row r="29" customFormat="false" ht="13.5" hidden="false" customHeight="false" outlineLevel="0" collapsed="false">
      <c r="E29" s="14"/>
      <c r="F29" s="14"/>
      <c r="G29" s="14"/>
      <c r="H29" s="14"/>
      <c r="I29" s="14"/>
    </row>
  </sheetData>
  <mergeCells count="12">
    <mergeCell ref="A2:E2"/>
    <mergeCell ref="G2:H2"/>
    <mergeCell ref="N2:U5"/>
    <mergeCell ref="A8:G8"/>
    <mergeCell ref="A9:H9"/>
    <mergeCell ref="A10:H10"/>
    <mergeCell ref="A11:H11"/>
    <mergeCell ref="A12:H12"/>
    <mergeCell ref="A14:B14"/>
    <mergeCell ref="E14:K14"/>
    <mergeCell ref="N14:Q15"/>
    <mergeCell ref="E28:K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LibreOffice/7.4.4.2$Linux_X86_64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2023-01-27T19:29:24Z</dcterms:created>
  <dc:creator>xzw</dc:creator>
  <dc:description/>
  <dc:language>en-US</dc:language>
  <cp:lastModifiedBy/>
  <dcterms:modified xsi:type="dcterms:W3CDTF">2023-01-27T21:59:49Z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