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oute\Desktop\"/>
    </mc:Choice>
  </mc:AlternateContent>
  <xr:revisionPtr revIDLastSave="0" documentId="13_ncr:1_{D270AFEB-B6E6-4DEA-AE52-46EA0B520A35}" xr6:coauthVersionLast="47" xr6:coauthVersionMax="47" xr10:uidLastSave="{00000000-0000-0000-0000-000000000000}"/>
  <workbookProtection workbookAlgorithmName="SHA-512" workbookHashValue="5CwDfsSqJ3zJAINzI9/E+IHCJUFNJMQc+NmDMm2S5qoXKN4ljZ8+BuhfFBN9+cI3GRLtS4hdoL70caZLVnUTOg==" workbookSaltValue="IcAj4za6fZe/NmMhGhgoew==" workbookSpinCount="100000" lockStructure="1"/>
  <bookViews>
    <workbookView xWindow="-110" yWindow="-110" windowWidth="25820" windowHeight="15500" tabRatio="848" firstSheet="1" activeTab="2" xr2:uid="{780D9684-9D4C-46B8-A3E3-2452F22A1FCD}"/>
  </bookViews>
  <sheets>
    <sheet name="Description" sheetId="32" r:id="rId1"/>
    <sheet name="User Mannual" sheetId="33" r:id="rId2"/>
    <sheet name="Calculator" sheetId="18" r:id="rId3"/>
    <sheet name="Propeller performance" sheetId="28" r:id="rId4"/>
    <sheet name="Sheet1" sheetId="27" r:id="rId5"/>
    <sheet name="OTS props" sheetId="31" r:id="rId6"/>
    <sheet name="For Chart" sheetId="19" r:id="rId7"/>
    <sheet name="40" sheetId="13" r:id="rId8"/>
    <sheet name="32" sheetId="20" r:id="rId9"/>
    <sheet name="30" sheetId="7" r:id="rId10"/>
    <sheet name="28-3 blade" sheetId="12" r:id="rId11"/>
    <sheet name="28" sheetId="6" r:id="rId12"/>
    <sheet name="26" sheetId="5" r:id="rId13"/>
    <sheet name="24" sheetId="4" r:id="rId14"/>
    <sheet name="22" sheetId="3" r:id="rId15"/>
    <sheet name="20" sheetId="2" r:id="rId16"/>
    <sheet name="14" sheetId="22" r:id="rId17"/>
    <sheet name="15" sheetId="23" r:id="rId18"/>
    <sheet name="16" sheetId="24" r:id="rId19"/>
    <sheet name="17" sheetId="26" r:id="rId20"/>
    <sheet name="18" sheetId="25" r:id="rId21"/>
    <sheet name="10" sheetId="34" r:id="rId22"/>
    <sheet name="Motor performance" sheetId="29" r:id="rId23"/>
    <sheet name="To add new prop" sheetId="21" r:id="rId24"/>
  </sheets>
  <definedNames>
    <definedName name="solver_adj" localSheetId="9" hidden="1">'30'!$H$29</definedName>
    <definedName name="solver_adj" localSheetId="2" hidden="1">Calculator!$E$39</definedName>
    <definedName name="solver_cvg" localSheetId="9" hidden="1">0.0001</definedName>
    <definedName name="solver_cvg" localSheetId="2" hidden="1">0.0001</definedName>
    <definedName name="solver_cvg" localSheetId="22" hidden="1">0.0001</definedName>
    <definedName name="solver_drv" localSheetId="9" hidden="1">1</definedName>
    <definedName name="solver_drv" localSheetId="2" hidden="1">1</definedName>
    <definedName name="solver_drv" localSheetId="22" hidden="1">1</definedName>
    <definedName name="solver_eng" localSheetId="9" hidden="1">1</definedName>
    <definedName name="solver_eng" localSheetId="2" hidden="1">2</definedName>
    <definedName name="solver_eng" localSheetId="22" hidden="1">3</definedName>
    <definedName name="solver_est" localSheetId="9" hidden="1">1</definedName>
    <definedName name="solver_est" localSheetId="2" hidden="1">1</definedName>
    <definedName name="solver_est" localSheetId="22" hidden="1">1</definedName>
    <definedName name="solver_itr" localSheetId="9" hidden="1">2147483647</definedName>
    <definedName name="solver_itr" localSheetId="2" hidden="1">2147483647</definedName>
    <definedName name="solver_itr" localSheetId="22" hidden="1">2147483647</definedName>
    <definedName name="solver_lhs1" localSheetId="9" hidden="1">'30'!$H$29</definedName>
    <definedName name="solver_lhs1" localSheetId="2" hidden="1">Calculator!$E$39</definedName>
    <definedName name="solver_lhs2" localSheetId="9" hidden="1">'30'!$H$29</definedName>
    <definedName name="solver_lhs2" localSheetId="2" hidden="1">Calculator!$E$39</definedName>
    <definedName name="solver_mip" localSheetId="9" hidden="1">2147483647</definedName>
    <definedName name="solver_mip" localSheetId="2" hidden="1">2147483647</definedName>
    <definedName name="solver_mip" localSheetId="22" hidden="1">2147483647</definedName>
    <definedName name="solver_mni" localSheetId="9" hidden="1">30</definedName>
    <definedName name="solver_mni" localSheetId="2" hidden="1">30</definedName>
    <definedName name="solver_mni" localSheetId="22" hidden="1">30</definedName>
    <definedName name="solver_mrt" localSheetId="9" hidden="1">0.075</definedName>
    <definedName name="solver_mrt" localSheetId="2" hidden="1">0.075</definedName>
    <definedName name="solver_mrt" localSheetId="22" hidden="1">0.075</definedName>
    <definedName name="solver_msl" localSheetId="9" hidden="1">2</definedName>
    <definedName name="solver_msl" localSheetId="2" hidden="1">2</definedName>
    <definedName name="solver_msl" localSheetId="22" hidden="1">2</definedName>
    <definedName name="solver_neg" localSheetId="9" hidden="1">1</definedName>
    <definedName name="solver_neg" localSheetId="2" hidden="1">1</definedName>
    <definedName name="solver_neg" localSheetId="22" hidden="1">1</definedName>
    <definedName name="solver_nod" localSheetId="9" hidden="1">2147483647</definedName>
    <definedName name="solver_nod" localSheetId="2" hidden="1">2147483647</definedName>
    <definedName name="solver_nod" localSheetId="22" hidden="1">2147483647</definedName>
    <definedName name="solver_num" localSheetId="9" hidden="1">2</definedName>
    <definedName name="solver_num" localSheetId="2" hidden="1">2</definedName>
    <definedName name="solver_num" localSheetId="22" hidden="1">0</definedName>
    <definedName name="solver_nwt" localSheetId="9" hidden="1">1</definedName>
    <definedName name="solver_nwt" localSheetId="2" hidden="1">1</definedName>
    <definedName name="solver_nwt" localSheetId="22" hidden="1">1</definedName>
    <definedName name="solver_opt" localSheetId="9" hidden="1">'30'!$L$31</definedName>
    <definedName name="solver_opt" localSheetId="2" hidden="1">Calculator!#REF!</definedName>
    <definedName name="solver_opt" localSheetId="22" hidden="1">'Motor performance'!$K$14</definedName>
    <definedName name="solver_pre" localSheetId="9" hidden="1">0.000001</definedName>
    <definedName name="solver_pre" localSheetId="2" hidden="1">0.000001</definedName>
    <definedName name="solver_pre" localSheetId="22" hidden="1">0.000001</definedName>
    <definedName name="solver_rbv" localSheetId="9" hidden="1">1</definedName>
    <definedName name="solver_rbv" localSheetId="2" hidden="1">1</definedName>
    <definedName name="solver_rbv" localSheetId="22" hidden="1">1</definedName>
    <definedName name="solver_rel1" localSheetId="9" hidden="1">1</definedName>
    <definedName name="solver_rel1" localSheetId="2" hidden="1">1</definedName>
    <definedName name="solver_rel2" localSheetId="9" hidden="1">3</definedName>
    <definedName name="solver_rel2" localSheetId="2" hidden="1">3</definedName>
    <definedName name="solver_rhs1" localSheetId="9" hidden="1">4816</definedName>
    <definedName name="solver_rhs1" localSheetId="2" hidden="1">500</definedName>
    <definedName name="solver_rhs2" localSheetId="9" hidden="1">827</definedName>
    <definedName name="solver_rhs2" localSheetId="2" hidden="1">10</definedName>
    <definedName name="solver_rlx" localSheetId="9" hidden="1">2</definedName>
    <definedName name="solver_rlx" localSheetId="2" hidden="1">2</definedName>
    <definedName name="solver_rlx" localSheetId="22" hidden="1">2</definedName>
    <definedName name="solver_rsd" localSheetId="9" hidden="1">0</definedName>
    <definedName name="solver_rsd" localSheetId="2" hidden="1">0</definedName>
    <definedName name="solver_rsd" localSheetId="22" hidden="1">0</definedName>
    <definedName name="solver_scl" localSheetId="9" hidden="1">1</definedName>
    <definedName name="solver_scl" localSheetId="2" hidden="1">1</definedName>
    <definedName name="solver_scl" localSheetId="22" hidden="1">1</definedName>
    <definedName name="solver_sho" localSheetId="9" hidden="1">2</definedName>
    <definedName name="solver_sho" localSheetId="2" hidden="1">2</definedName>
    <definedName name="solver_sho" localSheetId="22" hidden="1">2</definedName>
    <definedName name="solver_ssz" localSheetId="9" hidden="1">100</definedName>
    <definedName name="solver_ssz" localSheetId="2" hidden="1">100</definedName>
    <definedName name="solver_ssz" localSheetId="22" hidden="1">100</definedName>
    <definedName name="solver_tim" localSheetId="9" hidden="1">2147483647</definedName>
    <definedName name="solver_tim" localSheetId="2" hidden="1">2147483647</definedName>
    <definedName name="solver_tim" localSheetId="22" hidden="1">2147483647</definedName>
    <definedName name="solver_tol" localSheetId="9" hidden="1">0.01</definedName>
    <definedName name="solver_tol" localSheetId="2" hidden="1">0.01</definedName>
    <definedName name="solver_tol" localSheetId="22" hidden="1">0.01</definedName>
    <definedName name="solver_typ" localSheetId="9" hidden="1">2</definedName>
    <definedName name="solver_typ" localSheetId="2" hidden="1">1</definedName>
    <definedName name="solver_typ" localSheetId="22" hidden="1">3</definedName>
    <definedName name="solver_val" localSheetId="9" hidden="1">0</definedName>
    <definedName name="solver_val" localSheetId="2" hidden="1">0</definedName>
    <definedName name="solver_val" localSheetId="22" hidden="1">0</definedName>
    <definedName name="solver_ver" localSheetId="9" hidden="1">3</definedName>
    <definedName name="solver_ver" localSheetId="2" hidden="1">3</definedName>
    <definedName name="solver_ver" localSheetId="2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31" l="1"/>
  <c r="D17" i="31"/>
  <c r="N13" i="34"/>
  <c r="N12" i="34"/>
  <c r="N11" i="34"/>
  <c r="N10" i="34"/>
  <c r="N9" i="34"/>
  <c r="N8" i="34"/>
  <c r="N7" i="34"/>
  <c r="N6" i="34"/>
  <c r="N5" i="34"/>
  <c r="N4" i="34"/>
  <c r="N3" i="34"/>
  <c r="N2" i="34"/>
  <c r="V1" i="34"/>
  <c r="O12" i="34" s="1"/>
  <c r="N15" i="25"/>
  <c r="N16" i="25"/>
  <c r="N16" i="26"/>
  <c r="J2" i="23"/>
  <c r="J3" i="23"/>
  <c r="J4" i="23"/>
  <c r="J5" i="23"/>
  <c r="J6" i="23"/>
  <c r="J7" i="23"/>
  <c r="J8" i="23"/>
  <c r="J9" i="23"/>
  <c r="J10" i="23"/>
  <c r="J11" i="23"/>
  <c r="J12" i="23"/>
  <c r="J13" i="23"/>
  <c r="J14" i="23"/>
  <c r="J15" i="23"/>
  <c r="J16" i="23"/>
  <c r="L5" i="27"/>
  <c r="J3" i="22"/>
  <c r="J4" i="22"/>
  <c r="J5" i="22"/>
  <c r="J6" i="22"/>
  <c r="J7" i="22"/>
  <c r="J8" i="22"/>
  <c r="J9" i="22"/>
  <c r="J10" i="22"/>
  <c r="J11" i="22"/>
  <c r="J12" i="22"/>
  <c r="J13" i="22"/>
  <c r="J14" i="22"/>
  <c r="J15" i="22"/>
  <c r="J16" i="22"/>
  <c r="J2" i="22"/>
  <c r="N16" i="23" l="1"/>
  <c r="E17" i="31"/>
  <c r="P8" i="34"/>
  <c r="O13" i="34"/>
  <c r="Q4" i="34"/>
  <c r="P5" i="34"/>
  <c r="O6" i="34"/>
  <c r="Q8" i="34"/>
  <c r="P9" i="34"/>
  <c r="O10" i="34"/>
  <c r="Q12" i="34"/>
  <c r="P13" i="34"/>
  <c r="P4" i="34"/>
  <c r="R4" i="34" s="1"/>
  <c r="Q7" i="34"/>
  <c r="O9" i="34"/>
  <c r="Q11" i="34"/>
  <c r="O2" i="34"/>
  <c r="O3" i="34"/>
  <c r="Q5" i="34"/>
  <c r="P6" i="34"/>
  <c r="O7" i="34"/>
  <c r="Q9" i="34"/>
  <c r="P10" i="34"/>
  <c r="O11" i="34"/>
  <c r="Q13" i="34"/>
  <c r="Q2" i="34"/>
  <c r="Q3" i="34"/>
  <c r="O5" i="34"/>
  <c r="P12" i="34"/>
  <c r="P2" i="34"/>
  <c r="P3" i="34"/>
  <c r="O4" i="34"/>
  <c r="Q6" i="34"/>
  <c r="P7" i="34"/>
  <c r="O8" i="34"/>
  <c r="Q10" i="34"/>
  <c r="P11" i="34"/>
  <c r="R5" i="34" l="1"/>
  <c r="R11" i="34"/>
  <c r="R12" i="34"/>
  <c r="R2" i="34"/>
  <c r="R6" i="34"/>
  <c r="R10" i="34"/>
  <c r="R9" i="34"/>
  <c r="R3" i="34"/>
  <c r="R13" i="34"/>
  <c r="R8" i="34"/>
  <c r="R7" i="34"/>
  <c r="L8" i="27" l="1"/>
  <c r="L7" i="27"/>
  <c r="L14" i="27"/>
  <c r="L9" i="27"/>
  <c r="M35" i="31" l="1"/>
  <c r="M33" i="31"/>
  <c r="C16" i="31" l="1"/>
  <c r="D16" i="31"/>
  <c r="D15" i="31"/>
  <c r="C15" i="31"/>
  <c r="T13" i="31"/>
  <c r="T14" i="31"/>
  <c r="T15" i="31"/>
  <c r="T16" i="31"/>
  <c r="T17" i="31"/>
  <c r="T18" i="31"/>
  <c r="T19" i="31"/>
  <c r="T20" i="31"/>
  <c r="T21" i="31"/>
  <c r="T12" i="31"/>
  <c r="AB3" i="31"/>
  <c r="AB4" i="31" s="1"/>
  <c r="AA4" i="31"/>
  <c r="E15" i="31" l="1"/>
  <c r="E16" i="31"/>
  <c r="S15" i="31"/>
  <c r="S19" i="31"/>
  <c r="R14" i="31"/>
  <c r="R18" i="31"/>
  <c r="R12" i="31"/>
  <c r="R20" i="31"/>
  <c r="S18" i="31"/>
  <c r="R17" i="31"/>
  <c r="S16" i="31"/>
  <c r="S20" i="31"/>
  <c r="R15" i="31"/>
  <c r="R19" i="31"/>
  <c r="S12" i="31"/>
  <c r="S13" i="31"/>
  <c r="S17" i="31"/>
  <c r="V17" i="31" s="1"/>
  <c r="S21" i="31"/>
  <c r="R16" i="31"/>
  <c r="S14" i="31"/>
  <c r="R13" i="31"/>
  <c r="R21" i="31"/>
  <c r="H54" i="18"/>
  <c r="H26" i="18" l="1"/>
  <c r="B10" i="27" l="1"/>
  <c r="F11" i="29"/>
  <c r="D27" i="18" l="1"/>
  <c r="E6" i="29" l="1"/>
  <c r="BE5" i="27" s="1"/>
  <c r="BE6" i="27" s="1"/>
  <c r="E8" i="29" l="1"/>
  <c r="E7" i="29"/>
  <c r="G12" i="29"/>
  <c r="J13" i="29" l="1"/>
  <c r="D3" i="31" l="1"/>
  <c r="D4" i="31"/>
  <c r="D5" i="31"/>
  <c r="D6" i="31"/>
  <c r="D7" i="31"/>
  <c r="D8" i="31"/>
  <c r="D9" i="31"/>
  <c r="D10" i="31"/>
  <c r="D11" i="31"/>
  <c r="D12" i="31"/>
  <c r="D13" i="31"/>
  <c r="D14" i="31"/>
  <c r="C3" i="31"/>
  <c r="C4" i="31"/>
  <c r="C5" i="31"/>
  <c r="C6" i="31"/>
  <c r="C7" i="31"/>
  <c r="C8" i="31"/>
  <c r="C9" i="31"/>
  <c r="C10" i="31"/>
  <c r="C11" i="31"/>
  <c r="C12" i="31"/>
  <c r="C13" i="31"/>
  <c r="C14" i="31"/>
  <c r="C2" i="31"/>
  <c r="D2" i="31"/>
  <c r="E14" i="31" l="1"/>
  <c r="E2" i="31"/>
  <c r="E8" i="31"/>
  <c r="E11" i="31"/>
  <c r="E3" i="31"/>
  <c r="E10" i="31"/>
  <c r="E6" i="31"/>
  <c r="E12" i="31"/>
  <c r="E4" i="31"/>
  <c r="E7" i="31"/>
  <c r="E13" i="31"/>
  <c r="E9" i="31"/>
  <c r="E5" i="31"/>
  <c r="F2" i="31" l="1"/>
  <c r="D29" i="18" s="1"/>
  <c r="AA51" i="28"/>
  <c r="AA52" i="28"/>
  <c r="E53" i="28" s="1"/>
  <c r="AA53" i="28"/>
  <c r="AA54" i="28"/>
  <c r="E55" i="28" s="1"/>
  <c r="AA55" i="28"/>
  <c r="E56" i="28" s="1"/>
  <c r="AA56" i="28"/>
  <c r="E57" i="28" s="1"/>
  <c r="AA57" i="28"/>
  <c r="AA58" i="28"/>
  <c r="AA59" i="28"/>
  <c r="AA60" i="28"/>
  <c r="E61" i="28" s="1"/>
  <c r="AA61" i="28"/>
  <c r="AA62" i="28"/>
  <c r="E63" i="28" s="1"/>
  <c r="AA63" i="28"/>
  <c r="E64" i="28" s="1"/>
  <c r="AA64" i="28"/>
  <c r="E65" i="28" s="1"/>
  <c r="AA65" i="28"/>
  <c r="AA66" i="28"/>
  <c r="AA67" i="28"/>
  <c r="X51" i="28"/>
  <c r="B52" i="28" s="1"/>
  <c r="Y51" i="28"/>
  <c r="C52" i="28" s="1"/>
  <c r="X52" i="28"/>
  <c r="B53" i="28" s="1"/>
  <c r="Y52" i="28"/>
  <c r="C53" i="28" s="1"/>
  <c r="X53" i="28"/>
  <c r="B54" i="28" s="1"/>
  <c r="Y53" i="28"/>
  <c r="C54" i="28" s="1"/>
  <c r="X54" i="28"/>
  <c r="B55" i="28" s="1"/>
  <c r="Y54" i="28"/>
  <c r="C55" i="28" s="1"/>
  <c r="X55" i="28"/>
  <c r="B56" i="28" s="1"/>
  <c r="Y55" i="28"/>
  <c r="C56" i="28" s="1"/>
  <c r="X56" i="28"/>
  <c r="B57" i="28" s="1"/>
  <c r="Y56" i="28"/>
  <c r="C57" i="28" s="1"/>
  <c r="X57" i="28"/>
  <c r="B58" i="28" s="1"/>
  <c r="Y57" i="28"/>
  <c r="C58" i="28" s="1"/>
  <c r="X58" i="28"/>
  <c r="B59" i="28" s="1"/>
  <c r="Y58" i="28"/>
  <c r="C59" i="28" s="1"/>
  <c r="X59" i="28"/>
  <c r="B60" i="28" s="1"/>
  <c r="Y59" i="28"/>
  <c r="C60" i="28" s="1"/>
  <c r="X60" i="28"/>
  <c r="B61" i="28" s="1"/>
  <c r="Y60" i="28"/>
  <c r="C61" i="28" s="1"/>
  <c r="X61" i="28"/>
  <c r="B62" i="28" s="1"/>
  <c r="Y61" i="28"/>
  <c r="C62" i="28" s="1"/>
  <c r="X62" i="28"/>
  <c r="B63" i="28" s="1"/>
  <c r="Y62" i="28"/>
  <c r="C63" i="28" s="1"/>
  <c r="X63" i="28"/>
  <c r="B64" i="28" s="1"/>
  <c r="Y63" i="28"/>
  <c r="C64" i="28" s="1"/>
  <c r="X64" i="28"/>
  <c r="B65" i="28" s="1"/>
  <c r="Y64" i="28"/>
  <c r="C65" i="28" s="1"/>
  <c r="X65" i="28"/>
  <c r="B66" i="28" s="1"/>
  <c r="Y65" i="28"/>
  <c r="C66" i="28" s="1"/>
  <c r="X66" i="28"/>
  <c r="B67" i="28" s="1"/>
  <c r="Y66" i="28"/>
  <c r="C67" i="28" s="1"/>
  <c r="X67" i="28"/>
  <c r="Y67" i="28"/>
  <c r="Z58" i="28" l="1"/>
  <c r="D59" i="28" s="1"/>
  <c r="Z64" i="28"/>
  <c r="D65" i="28" s="1"/>
  <c r="Z65" i="28"/>
  <c r="D66" i="28" s="1"/>
  <c r="Z61" i="28"/>
  <c r="D62" i="28" s="1"/>
  <c r="Z57" i="28"/>
  <c r="D58" i="28" s="1"/>
  <c r="Z53" i="28"/>
  <c r="D54" i="28" s="1"/>
  <c r="Z60" i="28"/>
  <c r="D61" i="28" s="1"/>
  <c r="Z66" i="28"/>
  <c r="D67" i="28" s="1"/>
  <c r="Z56" i="28"/>
  <c r="D57" i="28" s="1"/>
  <c r="Z67" i="28"/>
  <c r="Z59" i="28"/>
  <c r="D60" i="28" s="1"/>
  <c r="Z51" i="28"/>
  <c r="D52" i="28" s="1"/>
  <c r="Z52" i="28"/>
  <c r="D53" i="28" s="1"/>
  <c r="E60" i="28"/>
  <c r="E52" i="28"/>
  <c r="E67" i="28"/>
  <c r="E59" i="28"/>
  <c r="Z63" i="28"/>
  <c r="D64" i="28" s="1"/>
  <c r="Z55" i="28"/>
  <c r="D56" i="28" s="1"/>
  <c r="E66" i="28"/>
  <c r="E62" i="28"/>
  <c r="E58" i="28"/>
  <c r="E54" i="28"/>
  <c r="Z62" i="28"/>
  <c r="D63" i="28" s="1"/>
  <c r="Z54" i="28"/>
  <c r="D55" i="28" s="1"/>
  <c r="B1" i="27" l="1"/>
  <c r="B2" i="27"/>
  <c r="B3" i="28" s="1"/>
  <c r="N7" i="27" l="1"/>
  <c r="N2" i="27"/>
  <c r="N4" i="27"/>
  <c r="N8" i="27"/>
  <c r="T13" i="27"/>
  <c r="T14" i="27"/>
  <c r="AO6" i="27"/>
  <c r="AO14" i="27"/>
  <c r="AO13" i="27"/>
  <c r="AO7" i="27"/>
  <c r="B2" i="28"/>
  <c r="AO11" i="27"/>
  <c r="AO10" i="27"/>
  <c r="AO8" i="27"/>
  <c r="AO9" i="27"/>
  <c r="AO12" i="27"/>
  <c r="B6" i="27"/>
  <c r="R94" i="27"/>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4" i="27"/>
  <c r="B4" i="28" s="1"/>
  <c r="T8" i="27"/>
  <c r="D1" i="27"/>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L13" i="27"/>
  <c r="L12" i="27"/>
  <c r="N12" i="27" s="1"/>
  <c r="L11" i="27"/>
  <c r="L10" i="27"/>
  <c r="L6" i="27"/>
  <c r="T12" i="27" l="1"/>
  <c r="N13" i="27"/>
  <c r="T7" i="27"/>
  <c r="N11" i="27"/>
  <c r="T11" i="27"/>
  <c r="N3" i="27"/>
  <c r="N5" i="27"/>
  <c r="N6" i="27"/>
  <c r="T6" i="27"/>
  <c r="N10" i="27"/>
  <c r="T10" i="27"/>
  <c r="N14" i="27"/>
  <c r="T2" i="27"/>
  <c r="T3" i="27"/>
  <c r="T4" i="27"/>
  <c r="T5" i="27"/>
  <c r="N9" i="27"/>
  <c r="T9" i="27"/>
  <c r="N15" i="24"/>
  <c r="N14" i="24"/>
  <c r="N13" i="24"/>
  <c r="N12" i="24"/>
  <c r="N11" i="24"/>
  <c r="N10" i="24"/>
  <c r="N9" i="24"/>
  <c r="N8" i="24"/>
  <c r="N7" i="24"/>
  <c r="N6" i="24"/>
  <c r="N5" i="24"/>
  <c r="N4" i="24"/>
  <c r="N3" i="24"/>
  <c r="N2" i="24"/>
  <c r="V1" i="24"/>
  <c r="B3" i="27" l="1"/>
  <c r="B5" i="27"/>
  <c r="Q10" i="24"/>
  <c r="O15" i="24"/>
  <c r="P15" i="24"/>
  <c r="Q15" i="24"/>
  <c r="O14" i="24"/>
  <c r="P13" i="24"/>
  <c r="Q12" i="24"/>
  <c r="O11" i="24"/>
  <c r="P10" i="24"/>
  <c r="P9" i="24"/>
  <c r="Q8" i="24"/>
  <c r="O7" i="24"/>
  <c r="P6" i="24"/>
  <c r="P5" i="24"/>
  <c r="Q4" i="24"/>
  <c r="O3" i="24"/>
  <c r="P2" i="24"/>
  <c r="O2" i="24"/>
  <c r="Q5" i="24"/>
  <c r="O10" i="24"/>
  <c r="O6" i="24"/>
  <c r="Q9" i="24"/>
  <c r="P3" i="24"/>
  <c r="O4" i="24"/>
  <c r="P7" i="24"/>
  <c r="O8" i="24"/>
  <c r="P11" i="24"/>
  <c r="O12" i="24"/>
  <c r="Q14" i="24"/>
  <c r="Q3" i="24"/>
  <c r="P4" i="24"/>
  <c r="O5" i="24"/>
  <c r="Q7" i="24"/>
  <c r="P8" i="24"/>
  <c r="O9" i="24"/>
  <c r="Q11" i="24"/>
  <c r="P12" i="24"/>
  <c r="O13" i="24"/>
  <c r="Q13" i="24"/>
  <c r="P14" i="24"/>
  <c r="Q2" i="24"/>
  <c r="R2" i="24" s="1"/>
  <c r="Q6" i="24"/>
  <c r="N3" i="26"/>
  <c r="V1" i="26"/>
  <c r="N2" i="26"/>
  <c r="N4" i="26"/>
  <c r="N5" i="26"/>
  <c r="N6" i="26"/>
  <c r="N7" i="26"/>
  <c r="N8" i="26"/>
  <c r="N9" i="26"/>
  <c r="N10" i="26"/>
  <c r="N11" i="26"/>
  <c r="N12" i="26"/>
  <c r="N13" i="26"/>
  <c r="N14" i="26"/>
  <c r="N15" i="26"/>
  <c r="N16" i="22"/>
  <c r="B48" i="27"/>
  <c r="P16" i="26" l="1"/>
  <c r="Q16" i="26"/>
  <c r="O16" i="26"/>
  <c r="P9" i="26"/>
  <c r="R4" i="24"/>
  <c r="R10" i="24"/>
  <c r="R8" i="24"/>
  <c r="R12" i="24"/>
  <c r="M24" i="31"/>
  <c r="R9" i="24"/>
  <c r="R6" i="24"/>
  <c r="R5" i="24"/>
  <c r="R13" i="24"/>
  <c r="AJ7" i="27"/>
  <c r="G30" i="18" s="1"/>
  <c r="Q4" i="26"/>
  <c r="Q3" i="26"/>
  <c r="R11" i="24"/>
  <c r="R15" i="24"/>
  <c r="R14" i="24"/>
  <c r="R7" i="24"/>
  <c r="R3" i="24"/>
  <c r="O3" i="26"/>
  <c r="P3" i="26"/>
  <c r="Q11" i="26"/>
  <c r="P6" i="26"/>
  <c r="P13" i="26"/>
  <c r="P8" i="26"/>
  <c r="Q15" i="26"/>
  <c r="P10" i="26"/>
  <c r="O15" i="26"/>
  <c r="O11" i="26"/>
  <c r="Q7" i="26"/>
  <c r="P4" i="26"/>
  <c r="P14" i="26"/>
  <c r="P12" i="26"/>
  <c r="O7" i="26"/>
  <c r="P5" i="26"/>
  <c r="Q2" i="26"/>
  <c r="O14" i="26"/>
  <c r="O13" i="26"/>
  <c r="O12" i="26"/>
  <c r="P11" i="26"/>
  <c r="Q10" i="26"/>
  <c r="Q9" i="26"/>
  <c r="Q8" i="26"/>
  <c r="O6" i="26"/>
  <c r="O5" i="26"/>
  <c r="O4" i="26"/>
  <c r="P2" i="26"/>
  <c r="O2" i="26"/>
  <c r="P15" i="26"/>
  <c r="R15" i="26" s="1"/>
  <c r="Q14" i="26"/>
  <c r="Q13" i="26"/>
  <c r="R13" i="26" s="1"/>
  <c r="Q12" i="26"/>
  <c r="O10" i="26"/>
  <c r="O9" i="26"/>
  <c r="O8" i="26"/>
  <c r="P7" i="26"/>
  <c r="R7" i="26" s="1"/>
  <c r="Q6" i="26"/>
  <c r="R6" i="26" s="1"/>
  <c r="Q5" i="26"/>
  <c r="N15" i="23"/>
  <c r="N14" i="23"/>
  <c r="N13" i="23"/>
  <c r="N12" i="23"/>
  <c r="N11" i="23"/>
  <c r="N10" i="23"/>
  <c r="N9" i="23"/>
  <c r="N8" i="23"/>
  <c r="N7" i="23"/>
  <c r="N6" i="23"/>
  <c r="N5" i="23"/>
  <c r="N4" i="23"/>
  <c r="N3" i="23"/>
  <c r="N2" i="23"/>
  <c r="V1" i="23"/>
  <c r="N14" i="25"/>
  <c r="N13" i="25"/>
  <c r="N12" i="25"/>
  <c r="N11" i="25"/>
  <c r="N10" i="25"/>
  <c r="N9" i="25"/>
  <c r="N8" i="25"/>
  <c r="N7" i="25"/>
  <c r="N6" i="25"/>
  <c r="N5" i="25"/>
  <c r="N4" i="25"/>
  <c r="N3" i="25"/>
  <c r="N2" i="25"/>
  <c r="V1" i="25"/>
  <c r="N15" i="22"/>
  <c r="N14" i="22"/>
  <c r="N13" i="22"/>
  <c r="N12" i="22"/>
  <c r="N11" i="22"/>
  <c r="N10" i="22"/>
  <c r="N9" i="22"/>
  <c r="N8" i="22"/>
  <c r="N7" i="22"/>
  <c r="N6" i="22"/>
  <c r="N5" i="22"/>
  <c r="N4" i="22"/>
  <c r="N3" i="22"/>
  <c r="N2" i="22"/>
  <c r="V1" i="22"/>
  <c r="A68" i="27"/>
  <c r="A73" i="27"/>
  <c r="C89" i="27"/>
  <c r="A80" i="27"/>
  <c r="B89" i="27"/>
  <c r="B87" i="27"/>
  <c r="B66" i="27"/>
  <c r="C79" i="27"/>
  <c r="C86" i="27"/>
  <c r="B62" i="27"/>
  <c r="B73" i="27"/>
  <c r="B86" i="27"/>
  <c r="B51" i="27"/>
  <c r="C87" i="27"/>
  <c r="A71" i="27"/>
  <c r="A70" i="27"/>
  <c r="B68" i="27"/>
  <c r="A56" i="27"/>
  <c r="B70" i="27"/>
  <c r="A58" i="27"/>
  <c r="B64" i="27"/>
  <c r="C78" i="27"/>
  <c r="B81" i="27"/>
  <c r="A82" i="27"/>
  <c r="C92" i="27"/>
  <c r="A59" i="27"/>
  <c r="C72" i="27"/>
  <c r="A53" i="27"/>
  <c r="A51" i="27"/>
  <c r="C63" i="27"/>
  <c r="B82" i="27"/>
  <c r="C53" i="27"/>
  <c r="C73" i="27"/>
  <c r="C62" i="27"/>
  <c r="A72" i="27"/>
  <c r="A64" i="27"/>
  <c r="A78" i="27"/>
  <c r="C69" i="27"/>
  <c r="C82" i="27"/>
  <c r="A55" i="27"/>
  <c r="B90" i="27"/>
  <c r="C66" i="27"/>
  <c r="A91" i="27"/>
  <c r="B67" i="27"/>
  <c r="A93" i="27"/>
  <c r="A74" i="27"/>
  <c r="C57" i="27"/>
  <c r="B49" i="27"/>
  <c r="B85" i="27"/>
  <c r="C58" i="27"/>
  <c r="A89" i="27"/>
  <c r="C93" i="27"/>
  <c r="C85" i="27"/>
  <c r="A94" i="27"/>
  <c r="B74" i="27"/>
  <c r="C80" i="27"/>
  <c r="C94" i="27"/>
  <c r="A54" i="27"/>
  <c r="C88" i="27"/>
  <c r="B88" i="27"/>
  <c r="C68" i="27"/>
  <c r="B91" i="27"/>
  <c r="B78" i="27"/>
  <c r="A92" i="27"/>
  <c r="B72" i="27"/>
  <c r="C75" i="27"/>
  <c r="C51" i="27"/>
  <c r="A52" i="27"/>
  <c r="B83" i="27"/>
  <c r="B94" i="27"/>
  <c r="C64" i="27"/>
  <c r="A87" i="27"/>
  <c r="C56" i="27"/>
  <c r="B93" i="27"/>
  <c r="C83" i="27"/>
  <c r="C70" i="27"/>
  <c r="B71" i="27"/>
  <c r="B79" i="27"/>
  <c r="C67" i="27"/>
  <c r="A81" i="27"/>
  <c r="B63" i="27"/>
  <c r="C84" i="27"/>
  <c r="B92" i="27"/>
  <c r="A66" i="27"/>
  <c r="C60" i="27"/>
  <c r="A84" i="27"/>
  <c r="C71" i="27"/>
  <c r="A57" i="27"/>
  <c r="A75" i="27"/>
  <c r="C54" i="27"/>
  <c r="C81" i="27"/>
  <c r="A62" i="27"/>
  <c r="B84" i="27"/>
  <c r="A83" i="27"/>
  <c r="A67" i="27"/>
  <c r="A63" i="27"/>
  <c r="A69" i="27"/>
  <c r="C91" i="27"/>
  <c r="C52" i="27"/>
  <c r="C74" i="27"/>
  <c r="C90" i="27"/>
  <c r="B75" i="27"/>
  <c r="A79" i="27"/>
  <c r="C55" i="27"/>
  <c r="B80" i="27"/>
  <c r="A86" i="27"/>
  <c r="A85" i="27"/>
  <c r="A60" i="27"/>
  <c r="C59" i="27"/>
  <c r="B69" i="27"/>
  <c r="A88" i="27"/>
  <c r="A90" i="27"/>
  <c r="N52" i="27" l="1"/>
  <c r="W52" i="27" s="1"/>
  <c r="AU1" i="27" s="1"/>
  <c r="X8" i="28"/>
  <c r="B9" i="28" s="1"/>
  <c r="Q16" i="25"/>
  <c r="P15" i="25"/>
  <c r="P16" i="25"/>
  <c r="R16" i="25" s="1"/>
  <c r="Q15" i="25"/>
  <c r="O15" i="25"/>
  <c r="O16" i="25"/>
  <c r="O16" i="23"/>
  <c r="P16" i="23"/>
  <c r="P6" i="23"/>
  <c r="Q16" i="23"/>
  <c r="R16" i="26"/>
  <c r="R11" i="26"/>
  <c r="R3" i="26"/>
  <c r="P14" i="22"/>
  <c r="M26" i="31"/>
  <c r="N24" i="31"/>
  <c r="N25" i="31" s="1"/>
  <c r="M25" i="31"/>
  <c r="R4" i="26"/>
  <c r="D53" i="27"/>
  <c r="D85" i="27"/>
  <c r="D82" i="27"/>
  <c r="D68" i="27"/>
  <c r="D86" i="27"/>
  <c r="D64" i="27"/>
  <c r="D52" i="27"/>
  <c r="D84" i="27"/>
  <c r="D79" i="27"/>
  <c r="D89" i="27"/>
  <c r="D60" i="27"/>
  <c r="D67" i="27"/>
  <c r="D87" i="27"/>
  <c r="D57" i="27"/>
  <c r="D70" i="27"/>
  <c r="D72" i="27"/>
  <c r="D94" i="27"/>
  <c r="D56" i="27"/>
  <c r="D66" i="27"/>
  <c r="D90" i="27"/>
  <c r="D59" i="27"/>
  <c r="D58" i="27"/>
  <c r="D78" i="27"/>
  <c r="D74" i="27"/>
  <c r="D93" i="27"/>
  <c r="D83" i="27"/>
  <c r="D63" i="27"/>
  <c r="D92" i="27"/>
  <c r="D88" i="27"/>
  <c r="D55" i="27"/>
  <c r="D62" i="27"/>
  <c r="D91" i="27"/>
  <c r="D69" i="27"/>
  <c r="D75" i="27"/>
  <c r="D80" i="27"/>
  <c r="D71" i="27"/>
  <c r="D81" i="27"/>
  <c r="D73" i="27"/>
  <c r="D54" i="27"/>
  <c r="D51" i="27"/>
  <c r="N90" i="27"/>
  <c r="W90" i="27" s="1"/>
  <c r="N88" i="27"/>
  <c r="W88" i="27" s="1"/>
  <c r="N89" i="27"/>
  <c r="W89" i="27" s="1"/>
  <c r="N63" i="27"/>
  <c r="W63" i="27" s="1"/>
  <c r="N68" i="27"/>
  <c r="W68" i="27" s="1"/>
  <c r="N57" i="27"/>
  <c r="W57" i="27" s="1"/>
  <c r="N81" i="27"/>
  <c r="W81" i="27" s="1"/>
  <c r="N94" i="27"/>
  <c r="W94" i="27" s="1"/>
  <c r="N55" i="27"/>
  <c r="W55" i="27" s="1"/>
  <c r="N75" i="27"/>
  <c r="W75" i="27" s="1"/>
  <c r="N71" i="27"/>
  <c r="W71" i="27" s="1"/>
  <c r="N70" i="27"/>
  <c r="W70" i="27" s="1"/>
  <c r="N66" i="27"/>
  <c r="W66" i="27" s="1"/>
  <c r="N58" i="27"/>
  <c r="W58" i="27" s="1"/>
  <c r="N69" i="27"/>
  <c r="W69" i="27" s="1"/>
  <c r="N85" i="27"/>
  <c r="W85" i="27" s="1"/>
  <c r="N54" i="27"/>
  <c r="W54" i="27" s="1"/>
  <c r="N84" i="27"/>
  <c r="W84" i="27" s="1"/>
  <c r="N59" i="27"/>
  <c r="W59" i="27" s="1"/>
  <c r="N64" i="27"/>
  <c r="W64" i="27" s="1"/>
  <c r="N82" i="27"/>
  <c r="W82" i="27" s="1"/>
  <c r="N60" i="27"/>
  <c r="W60" i="27" s="1"/>
  <c r="N53" i="27"/>
  <c r="W53" i="27" s="1"/>
  <c r="N62" i="27"/>
  <c r="W62" i="27" s="1"/>
  <c r="N78" i="27"/>
  <c r="W78" i="27" s="1"/>
  <c r="N74" i="27"/>
  <c r="W74" i="27" s="1"/>
  <c r="N79" i="27"/>
  <c r="W79" i="27" s="1"/>
  <c r="N73" i="27"/>
  <c r="N86" i="27"/>
  <c r="W86" i="27" s="1"/>
  <c r="N93" i="27"/>
  <c r="W93" i="27" s="1"/>
  <c r="N72" i="27"/>
  <c r="W72" i="27" s="1"/>
  <c r="N87" i="27"/>
  <c r="W87" i="27" s="1"/>
  <c r="N91" i="27"/>
  <c r="W91" i="27" s="1"/>
  <c r="N92" i="27"/>
  <c r="W92" i="27" s="1"/>
  <c r="N83" i="27"/>
  <c r="W83" i="27" s="1"/>
  <c r="N56" i="27"/>
  <c r="W56" i="27" s="1"/>
  <c r="N80" i="27"/>
  <c r="W80" i="27" s="1"/>
  <c r="N67" i="27"/>
  <c r="W67" i="27" s="1"/>
  <c r="N51" i="27"/>
  <c r="W51" i="27" s="1"/>
  <c r="X7" i="28"/>
  <c r="B8" i="28" s="1"/>
  <c r="X15" i="28"/>
  <c r="B16" i="28" s="1"/>
  <c r="X36" i="28"/>
  <c r="B37" i="28" s="1"/>
  <c r="X25" i="28"/>
  <c r="B26" i="28" s="1"/>
  <c r="X26" i="28"/>
  <c r="B27" i="28" s="1"/>
  <c r="X19" i="28"/>
  <c r="B20" i="28" s="1"/>
  <c r="X37" i="28"/>
  <c r="B38" i="28" s="1"/>
  <c r="X48" i="28"/>
  <c r="B49" i="28" s="1"/>
  <c r="X18" i="28"/>
  <c r="B19" i="28" s="1"/>
  <c r="X45" i="28"/>
  <c r="B46" i="28" s="1"/>
  <c r="X46" i="28"/>
  <c r="B47" i="28" s="1"/>
  <c r="X35" i="28"/>
  <c r="B36" i="28" s="1"/>
  <c r="X16" i="28"/>
  <c r="B17" i="28" s="1"/>
  <c r="X9" i="28"/>
  <c r="B10" i="28" s="1"/>
  <c r="X10" i="28"/>
  <c r="B11" i="28" s="1"/>
  <c r="X44" i="28"/>
  <c r="B45" i="28" s="1"/>
  <c r="X38" i="28"/>
  <c r="B39" i="28" s="1"/>
  <c r="X14" i="28"/>
  <c r="B15" i="28" s="1"/>
  <c r="X40" i="28"/>
  <c r="B41" i="28" s="1"/>
  <c r="X12" i="28"/>
  <c r="B13" i="28" s="1"/>
  <c r="X20" i="28"/>
  <c r="B21" i="28" s="1"/>
  <c r="X39" i="28"/>
  <c r="B40" i="28" s="1"/>
  <c r="X28" i="28"/>
  <c r="B29" i="28" s="1"/>
  <c r="X30" i="28"/>
  <c r="B31" i="28" s="1"/>
  <c r="X41" i="28"/>
  <c r="B42" i="28" s="1"/>
  <c r="X23" i="28"/>
  <c r="B24" i="28" s="1"/>
  <c r="X24" i="28"/>
  <c r="B25" i="28" s="1"/>
  <c r="X50" i="28"/>
  <c r="B51" i="28" s="1"/>
  <c r="X29" i="28"/>
  <c r="B30" i="28" s="1"/>
  <c r="X13" i="28"/>
  <c r="B14" i="28" s="1"/>
  <c r="X43" i="28"/>
  <c r="B44" i="28" s="1"/>
  <c r="X47" i="28"/>
  <c r="B48" i="28" s="1"/>
  <c r="X22" i="28"/>
  <c r="B23" i="28" s="1"/>
  <c r="X11" i="28"/>
  <c r="B12" i="28" s="1"/>
  <c r="X42" i="28"/>
  <c r="B43" i="28" s="1"/>
  <c r="X27" i="28"/>
  <c r="B28" i="28" s="1"/>
  <c r="X31" i="28"/>
  <c r="B32" i="28" s="1"/>
  <c r="X49" i="28"/>
  <c r="B50" i="28" s="1"/>
  <c r="X34" i="28"/>
  <c r="B35" i="28" s="1"/>
  <c r="A33" i="19"/>
  <c r="A26" i="19"/>
  <c r="A42" i="19"/>
  <c r="A43" i="19"/>
  <c r="A32" i="19"/>
  <c r="A22" i="19"/>
  <c r="A23" i="19"/>
  <c r="A36" i="19"/>
  <c r="A40" i="19"/>
  <c r="A44" i="19"/>
  <c r="A25" i="19"/>
  <c r="A41" i="19"/>
  <c r="A34" i="19"/>
  <c r="A19" i="19"/>
  <c r="A35" i="19"/>
  <c r="A27" i="19"/>
  <c r="A45" i="19"/>
  <c r="A38" i="19"/>
  <c r="A39" i="19"/>
  <c r="A20" i="19"/>
  <c r="A24" i="19"/>
  <c r="A28" i="19"/>
  <c r="A21" i="19"/>
  <c r="A37" i="19"/>
  <c r="A46" i="19"/>
  <c r="A31" i="19"/>
  <c r="A47" i="19"/>
  <c r="A9" i="19"/>
  <c r="A12" i="19"/>
  <c r="A17" i="19"/>
  <c r="A10" i="19"/>
  <c r="A13" i="19"/>
  <c r="A16" i="19"/>
  <c r="A6" i="19"/>
  <c r="A7" i="19"/>
  <c r="A11" i="19"/>
  <c r="A8" i="19"/>
  <c r="A5" i="19"/>
  <c r="A15" i="19"/>
  <c r="A4" i="19"/>
  <c r="D48" i="27"/>
  <c r="E51" i="27" s="1"/>
  <c r="P2" i="25"/>
  <c r="O2" i="25"/>
  <c r="P15" i="23"/>
  <c r="Q15" i="23"/>
  <c r="O15" i="23"/>
  <c r="P14" i="23"/>
  <c r="O14" i="23"/>
  <c r="Q13" i="23"/>
  <c r="P13" i="23"/>
  <c r="O13" i="23"/>
  <c r="Q12" i="23"/>
  <c r="P12" i="23"/>
  <c r="Q11" i="23"/>
  <c r="O11" i="23"/>
  <c r="P10" i="23"/>
  <c r="O10" i="23"/>
  <c r="Q9" i="23"/>
  <c r="P9" i="23"/>
  <c r="O9" i="23"/>
  <c r="Q8" i="23"/>
  <c r="P8" i="23"/>
  <c r="Q7" i="23"/>
  <c r="O7" i="23"/>
  <c r="O6" i="23"/>
  <c r="Q5" i="23"/>
  <c r="P5" i="23"/>
  <c r="O5" i="23"/>
  <c r="Q4" i="23"/>
  <c r="P4" i="23"/>
  <c r="Q3" i="23"/>
  <c r="O3" i="23"/>
  <c r="P2" i="23"/>
  <c r="O2" i="23"/>
  <c r="R2" i="26"/>
  <c r="R8" i="26"/>
  <c r="R14" i="26"/>
  <c r="R10" i="26"/>
  <c r="R12" i="26"/>
  <c r="R5" i="26"/>
  <c r="R9" i="26"/>
  <c r="Q8" i="25"/>
  <c r="O5" i="25"/>
  <c r="O7" i="25"/>
  <c r="O11" i="25"/>
  <c r="Q13" i="25"/>
  <c r="Q3" i="25"/>
  <c r="Q7" i="25"/>
  <c r="Q9" i="25"/>
  <c r="O6" i="25"/>
  <c r="Q12" i="25"/>
  <c r="P4" i="25"/>
  <c r="P5" i="25"/>
  <c r="P6" i="25"/>
  <c r="O9" i="25"/>
  <c r="O10" i="25"/>
  <c r="Q11" i="25"/>
  <c r="O3" i="25"/>
  <c r="Q4" i="25"/>
  <c r="Q5" i="25"/>
  <c r="P8" i="25"/>
  <c r="P9" i="25"/>
  <c r="P10" i="25"/>
  <c r="O13" i="25"/>
  <c r="O14" i="25"/>
  <c r="P12" i="25"/>
  <c r="P13" i="25"/>
  <c r="P14" i="25"/>
  <c r="P6" i="22"/>
  <c r="O9" i="22"/>
  <c r="O15" i="22"/>
  <c r="O3" i="22"/>
  <c r="Q4" i="22"/>
  <c r="Q5" i="22"/>
  <c r="P8" i="22"/>
  <c r="P9" i="22"/>
  <c r="P10" i="22"/>
  <c r="O13" i="22"/>
  <c r="O14" i="22"/>
  <c r="Q15" i="22"/>
  <c r="P4" i="22"/>
  <c r="R4" i="22" s="1"/>
  <c r="O10" i="22"/>
  <c r="O2" i="22"/>
  <c r="O7" i="22"/>
  <c r="Q9" i="22"/>
  <c r="P12" i="22"/>
  <c r="P13" i="22"/>
  <c r="P15" i="22"/>
  <c r="O16" i="22"/>
  <c r="P16" i="22"/>
  <c r="Q16" i="22"/>
  <c r="P5" i="22"/>
  <c r="Q11" i="22"/>
  <c r="Q3" i="22"/>
  <c r="Q8" i="22"/>
  <c r="P2" i="22"/>
  <c r="O5" i="22"/>
  <c r="O6" i="22"/>
  <c r="Q7" i="22"/>
  <c r="O11" i="22"/>
  <c r="Q12" i="22"/>
  <c r="Q13" i="22"/>
  <c r="Q2" i="22"/>
  <c r="P3" i="22"/>
  <c r="O4" i="22"/>
  <c r="Q6" i="22"/>
  <c r="P7" i="22"/>
  <c r="O8" i="22"/>
  <c r="Q10" i="22"/>
  <c r="P11" i="22"/>
  <c r="O12" i="22"/>
  <c r="Q14" i="22"/>
  <c r="Q2" i="25"/>
  <c r="R2" i="25" s="1"/>
  <c r="P3" i="25"/>
  <c r="O4" i="25"/>
  <c r="Q6" i="25"/>
  <c r="P7" i="25"/>
  <c r="O8" i="25"/>
  <c r="Q10" i="25"/>
  <c r="P11" i="25"/>
  <c r="O12" i="25"/>
  <c r="Q14" i="25"/>
  <c r="Q2" i="23"/>
  <c r="P3" i="23"/>
  <c r="O4" i="23"/>
  <c r="Q6" i="23"/>
  <c r="P7" i="23"/>
  <c r="O8" i="23"/>
  <c r="Q10" i="23"/>
  <c r="R10" i="23" s="1"/>
  <c r="P11" i="23"/>
  <c r="O12" i="23"/>
  <c r="Q14" i="23"/>
  <c r="N15" i="20"/>
  <c r="N14" i="20"/>
  <c r="N13" i="20"/>
  <c r="N12" i="20"/>
  <c r="N11" i="20"/>
  <c r="N10" i="20"/>
  <c r="N9" i="20"/>
  <c r="N8" i="20"/>
  <c r="N7" i="20"/>
  <c r="N6" i="20"/>
  <c r="N5" i="20"/>
  <c r="N4" i="20"/>
  <c r="N3" i="20"/>
  <c r="N2" i="20"/>
  <c r="V1" i="20"/>
  <c r="R16" i="23" l="1"/>
  <c r="R14" i="22"/>
  <c r="R15" i="25"/>
  <c r="R8" i="25"/>
  <c r="F51" i="27"/>
  <c r="F52" i="27"/>
  <c r="R12" i="25"/>
  <c r="R7" i="23"/>
  <c r="R2" i="23"/>
  <c r="R4" i="23"/>
  <c r="R8" i="23"/>
  <c r="R5" i="22"/>
  <c r="R15" i="22"/>
  <c r="R11" i="22"/>
  <c r="R10" i="22"/>
  <c r="L30" i="31"/>
  <c r="M30" i="31"/>
  <c r="R28" i="31"/>
  <c r="R29" i="31"/>
  <c r="S30" i="31"/>
  <c r="S27" i="31"/>
  <c r="R31" i="31"/>
  <c r="R32" i="31"/>
  <c r="R25" i="31"/>
  <c r="S34" i="31"/>
  <c r="S31" i="31"/>
  <c r="S32" i="31"/>
  <c r="S29" i="31"/>
  <c r="R26" i="31"/>
  <c r="S25" i="31"/>
  <c r="S33" i="31"/>
  <c r="S26" i="31"/>
  <c r="R27" i="31"/>
  <c r="S28" i="31"/>
  <c r="R33" i="31"/>
  <c r="R34" i="31"/>
  <c r="R30" i="31"/>
  <c r="R6" i="23"/>
  <c r="R7" i="25"/>
  <c r="R14" i="23"/>
  <c r="R3" i="23"/>
  <c r="R12" i="23"/>
  <c r="R5" i="23"/>
  <c r="R11" i="23"/>
  <c r="R6" i="22"/>
  <c r="R9" i="23"/>
  <c r="R13" i="23"/>
  <c r="W73" i="27"/>
  <c r="F68" i="27"/>
  <c r="E79" i="27"/>
  <c r="F83" i="27"/>
  <c r="E70" i="27"/>
  <c r="F86" i="27"/>
  <c r="E83" i="27"/>
  <c r="F55" i="27"/>
  <c r="E71" i="27"/>
  <c r="E62" i="27"/>
  <c r="E93" i="27"/>
  <c r="F67" i="27"/>
  <c r="E63" i="27"/>
  <c r="E94" i="27"/>
  <c r="E74" i="27"/>
  <c r="F71" i="27"/>
  <c r="E67" i="27"/>
  <c r="F69" i="27"/>
  <c r="F84" i="27"/>
  <c r="F75" i="27"/>
  <c r="F79" i="27"/>
  <c r="E81" i="27"/>
  <c r="E64" i="27"/>
  <c r="E69" i="27"/>
  <c r="E91" i="27"/>
  <c r="E78" i="27"/>
  <c r="E73" i="27"/>
  <c r="E72" i="27"/>
  <c r="F74" i="27"/>
  <c r="F53" i="27"/>
  <c r="P53" i="27" s="1"/>
  <c r="E90" i="27"/>
  <c r="F66" i="27"/>
  <c r="F63" i="27"/>
  <c r="F78" i="27"/>
  <c r="F57" i="27"/>
  <c r="F60" i="27"/>
  <c r="E87" i="27"/>
  <c r="F81" i="27"/>
  <c r="F64" i="27"/>
  <c r="E75" i="27"/>
  <c r="F91" i="27"/>
  <c r="E66" i="27"/>
  <c r="F59" i="27"/>
  <c r="E84" i="27"/>
  <c r="E82" i="27"/>
  <c r="E89" i="27"/>
  <c r="E88" i="27"/>
  <c r="F90" i="27"/>
  <c r="F58" i="27"/>
  <c r="F56" i="27"/>
  <c r="E86" i="27"/>
  <c r="F82" i="27"/>
  <c r="E85" i="27"/>
  <c r="F70" i="27"/>
  <c r="E92" i="27"/>
  <c r="F94" i="27"/>
  <c r="F62" i="27"/>
  <c r="F93" i="27"/>
  <c r="F92" i="27"/>
  <c r="E80" i="27"/>
  <c r="F85" i="27"/>
  <c r="F80" i="27"/>
  <c r="E68" i="27"/>
  <c r="F54" i="27"/>
  <c r="Q15" i="20"/>
  <c r="O13" i="20"/>
  <c r="O7" i="20"/>
  <c r="Q3" i="20"/>
  <c r="P2" i="20"/>
  <c r="O2" i="20"/>
  <c r="R3" i="22"/>
  <c r="R2" i="22"/>
  <c r="R9" i="22"/>
  <c r="R5" i="25"/>
  <c r="R15" i="23"/>
  <c r="R11" i="25"/>
  <c r="R9" i="25"/>
  <c r="R3" i="25"/>
  <c r="R14" i="25"/>
  <c r="R13" i="25"/>
  <c r="R6" i="25"/>
  <c r="R4" i="25"/>
  <c r="R10" i="25"/>
  <c r="R13" i="22"/>
  <c r="R8" i="22"/>
  <c r="R12" i="22"/>
  <c r="R7" i="22"/>
  <c r="R16" i="22"/>
  <c r="Q8" i="20"/>
  <c r="P4" i="20"/>
  <c r="P5" i="20"/>
  <c r="P6" i="20"/>
  <c r="O9" i="20"/>
  <c r="Q12" i="20"/>
  <c r="O3" i="20"/>
  <c r="Q4" i="20"/>
  <c r="Q5" i="20"/>
  <c r="P8" i="20"/>
  <c r="R8" i="20" s="1"/>
  <c r="P9" i="20"/>
  <c r="Q11" i="20"/>
  <c r="O14" i="20"/>
  <c r="O5" i="20"/>
  <c r="O6" i="20"/>
  <c r="Q7" i="20"/>
  <c r="O10" i="20"/>
  <c r="P12" i="20"/>
  <c r="P13" i="20"/>
  <c r="Q9" i="20"/>
  <c r="P10" i="20"/>
  <c r="O11" i="20"/>
  <c r="Q13" i="20"/>
  <c r="P14" i="20"/>
  <c r="O15" i="20"/>
  <c r="Q2" i="20"/>
  <c r="R2" i="20" s="1"/>
  <c r="P3" i="20"/>
  <c r="O4" i="20"/>
  <c r="Q6" i="20"/>
  <c r="P7" i="20"/>
  <c r="O8" i="20"/>
  <c r="Q10" i="20"/>
  <c r="P11" i="20"/>
  <c r="O12" i="20"/>
  <c r="Q14" i="20"/>
  <c r="P15" i="20"/>
  <c r="R6" i="20" l="1"/>
  <c r="R9" i="20"/>
  <c r="H86" i="27"/>
  <c r="G86" i="27" s="1"/>
  <c r="H66" i="27"/>
  <c r="G66" i="27" s="1"/>
  <c r="I52" i="27"/>
  <c r="H68" i="27"/>
  <c r="G68" i="27" s="1"/>
  <c r="I68" i="27"/>
  <c r="J68" i="27" s="1"/>
  <c r="I69" i="27"/>
  <c r="J69" i="27" s="1"/>
  <c r="I85" i="27"/>
  <c r="J85" i="27" s="1"/>
  <c r="I83" i="27"/>
  <c r="J83" i="27" s="1"/>
  <c r="I88" i="27"/>
  <c r="J88" i="27" s="1"/>
  <c r="I82" i="27"/>
  <c r="J82" i="27" s="1"/>
  <c r="I71" i="27"/>
  <c r="J71" i="27" s="1"/>
  <c r="I84" i="27"/>
  <c r="J84" i="27" s="1"/>
  <c r="I73" i="27"/>
  <c r="J73" i="27" s="1"/>
  <c r="I89" i="27"/>
  <c r="J89" i="27" s="1"/>
  <c r="I91" i="27"/>
  <c r="J91" i="27" s="1"/>
  <c r="I70" i="27"/>
  <c r="J70" i="27" s="1"/>
  <c r="I86" i="27"/>
  <c r="J86" i="27" s="1"/>
  <c r="I79" i="27"/>
  <c r="J79" i="27" s="1"/>
  <c r="I92" i="27"/>
  <c r="J92" i="27" s="1"/>
  <c r="I93" i="27"/>
  <c r="J93" i="27" s="1"/>
  <c r="I74" i="27"/>
  <c r="J74" i="27" s="1"/>
  <c r="I90" i="27"/>
  <c r="J90" i="27" s="1"/>
  <c r="I87" i="27"/>
  <c r="J87" i="27" s="1"/>
  <c r="I81" i="27"/>
  <c r="J81" i="27" s="1"/>
  <c r="I75" i="27"/>
  <c r="J75" i="27" s="1"/>
  <c r="I80" i="27"/>
  <c r="J80" i="27" s="1"/>
  <c r="I78" i="27"/>
  <c r="J78" i="27" s="1"/>
  <c r="I94" i="27"/>
  <c r="J94" i="27" s="1"/>
  <c r="I72" i="27"/>
  <c r="J72" i="27" s="1"/>
  <c r="I51" i="27"/>
  <c r="H84" i="27"/>
  <c r="G84" i="27" s="1"/>
  <c r="H78" i="27"/>
  <c r="G78" i="27" s="1"/>
  <c r="H81" i="27"/>
  <c r="G81" i="27" s="1"/>
  <c r="H94" i="27"/>
  <c r="G94" i="27" s="1"/>
  <c r="H62" i="27"/>
  <c r="G62" i="27" s="1"/>
  <c r="H75" i="27"/>
  <c r="G75" i="27" s="1"/>
  <c r="H67" i="27"/>
  <c r="G67" i="27" s="1"/>
  <c r="H83" i="27"/>
  <c r="G83" i="27" s="1"/>
  <c r="H63" i="27"/>
  <c r="G63" i="27" s="1"/>
  <c r="H71" i="27"/>
  <c r="G71" i="27" s="1"/>
  <c r="H51" i="27"/>
  <c r="H64" i="27"/>
  <c r="G64" i="27" s="1"/>
  <c r="H92" i="27"/>
  <c r="G92" i="27" s="1"/>
  <c r="H91" i="27"/>
  <c r="G91" i="27" s="1"/>
  <c r="H70" i="27"/>
  <c r="G70" i="27" s="1"/>
  <c r="H85" i="27"/>
  <c r="G85" i="27" s="1"/>
  <c r="H69" i="27"/>
  <c r="G69" i="27" s="1"/>
  <c r="H80" i="27"/>
  <c r="G80" i="27" s="1"/>
  <c r="H82" i="27"/>
  <c r="G82" i="27" s="1"/>
  <c r="H90" i="27"/>
  <c r="G90" i="27" s="1"/>
  <c r="H74" i="27"/>
  <c r="G74" i="27" s="1"/>
  <c r="H93" i="27"/>
  <c r="G93" i="27" s="1"/>
  <c r="H79" i="27"/>
  <c r="G79" i="27" s="1"/>
  <c r="T25" i="31"/>
  <c r="I60" i="27"/>
  <c r="J60" i="27" s="1"/>
  <c r="I59" i="27"/>
  <c r="J59" i="27" s="1"/>
  <c r="I53" i="27"/>
  <c r="J53" i="27" s="1"/>
  <c r="I67" i="27"/>
  <c r="J67" i="27" s="1"/>
  <c r="I62" i="27"/>
  <c r="J62" i="27" s="1"/>
  <c r="I64" i="27"/>
  <c r="J64" i="27" s="1"/>
  <c r="I63" i="27"/>
  <c r="J63" i="27" s="1"/>
  <c r="I57" i="27"/>
  <c r="J57" i="27" s="1"/>
  <c r="I66" i="27"/>
  <c r="J66" i="27" s="1"/>
  <c r="I55" i="27"/>
  <c r="J55" i="27" s="1"/>
  <c r="I54" i="27"/>
  <c r="J54" i="27" s="1"/>
  <c r="I56" i="27"/>
  <c r="J56" i="27" s="1"/>
  <c r="I58" i="27"/>
  <c r="J58" i="27" s="1"/>
  <c r="R12" i="20"/>
  <c r="R11" i="20"/>
  <c r="R7" i="20"/>
  <c r="P52" i="27"/>
  <c r="P60" i="27"/>
  <c r="P94" i="27"/>
  <c r="P58" i="27"/>
  <c r="P64" i="27"/>
  <c r="P57" i="27"/>
  <c r="P75" i="27"/>
  <c r="P71" i="27"/>
  <c r="P62" i="27"/>
  <c r="P56" i="27"/>
  <c r="P59" i="27"/>
  <c r="P92" i="27"/>
  <c r="P82" i="27"/>
  <c r="P90" i="27"/>
  <c r="P91" i="27"/>
  <c r="P81" i="27"/>
  <c r="P78" i="27"/>
  <c r="P63" i="27"/>
  <c r="P84" i="27"/>
  <c r="P67" i="27"/>
  <c r="P86" i="27"/>
  <c r="P85" i="27"/>
  <c r="P70" i="27"/>
  <c r="P66" i="27"/>
  <c r="P83" i="27"/>
  <c r="P54" i="27"/>
  <c r="P80" i="27"/>
  <c r="P93" i="27"/>
  <c r="P74" i="27"/>
  <c r="P79" i="27"/>
  <c r="P69" i="27"/>
  <c r="P55" i="27"/>
  <c r="P68" i="27"/>
  <c r="P51" i="27"/>
  <c r="O51" i="27" s="1"/>
  <c r="R15" i="20"/>
  <c r="R3" i="20"/>
  <c r="R14" i="20"/>
  <c r="R13" i="20"/>
  <c r="R5" i="20"/>
  <c r="R4" i="20"/>
  <c r="R10" i="20"/>
  <c r="X86" i="27" l="1"/>
  <c r="X68" i="27"/>
  <c r="X66" i="27"/>
  <c r="G51" i="27"/>
  <c r="X69" i="27"/>
  <c r="X64" i="27"/>
  <c r="X92" i="27"/>
  <c r="X62" i="27"/>
  <c r="X67" i="27"/>
  <c r="X74" i="27"/>
  <c r="X63" i="27"/>
  <c r="X84" i="27"/>
  <c r="X78" i="27"/>
  <c r="X51" i="27"/>
  <c r="J52" i="27"/>
  <c r="J47" i="27"/>
  <c r="J51" i="27"/>
  <c r="X79" i="27"/>
  <c r="X81" i="27"/>
  <c r="X80" i="27"/>
  <c r="X71" i="27"/>
  <c r="X75" i="27"/>
  <c r="X82" i="27"/>
  <c r="X70" i="27"/>
  <c r="X93" i="27"/>
  <c r="X91" i="27"/>
  <c r="X90" i="27"/>
  <c r="X85" i="27"/>
  <c r="X83" i="27"/>
  <c r="X94" i="27"/>
  <c r="BE1" i="27"/>
  <c r="V54" i="27"/>
  <c r="AA11" i="28"/>
  <c r="Z11" i="28" s="1"/>
  <c r="D12" i="28" s="1"/>
  <c r="T55" i="27"/>
  <c r="AA36" i="28"/>
  <c r="Z36" i="28" s="1"/>
  <c r="D37" i="28" s="1"/>
  <c r="T80" i="27"/>
  <c r="AA37" i="28"/>
  <c r="Z37" i="28" s="1"/>
  <c r="D38" i="28" s="1"/>
  <c r="T81" i="27"/>
  <c r="AA27" i="28"/>
  <c r="Z27" i="28" s="1"/>
  <c r="D28" i="28" s="1"/>
  <c r="T71" i="27"/>
  <c r="AA10" i="28"/>
  <c r="Z10" i="28" s="1"/>
  <c r="D11" i="28" s="1"/>
  <c r="T54" i="27"/>
  <c r="AA41" i="28"/>
  <c r="Z41" i="28" s="1"/>
  <c r="D42" i="28" s="1"/>
  <c r="T85" i="27"/>
  <c r="AA9" i="28"/>
  <c r="Z9" i="28" s="1"/>
  <c r="D10" i="28" s="1"/>
  <c r="T53" i="27"/>
  <c r="AA47" i="28"/>
  <c r="Z47" i="28" s="1"/>
  <c r="D48" i="28" s="1"/>
  <c r="T91" i="27"/>
  <c r="AA15" i="28"/>
  <c r="Z15" i="28" s="1"/>
  <c r="D16" i="28" s="1"/>
  <c r="T59" i="27"/>
  <c r="AA31" i="28"/>
  <c r="Z31" i="28" s="1"/>
  <c r="D32" i="28" s="1"/>
  <c r="T75" i="27"/>
  <c r="AA20" i="28"/>
  <c r="Z20" i="28" s="1"/>
  <c r="D21" i="28" s="1"/>
  <c r="T64" i="27"/>
  <c r="AA16" i="28"/>
  <c r="Z16" i="28" s="1"/>
  <c r="D17" i="28" s="1"/>
  <c r="T60" i="27"/>
  <c r="AA26" i="28"/>
  <c r="Z26" i="28" s="1"/>
  <c r="D27" i="28" s="1"/>
  <c r="T70" i="27"/>
  <c r="AA48" i="28"/>
  <c r="Z48" i="28" s="1"/>
  <c r="D49" i="28" s="1"/>
  <c r="T92" i="27"/>
  <c r="AA25" i="28"/>
  <c r="Z25" i="28" s="1"/>
  <c r="D26" i="28" s="1"/>
  <c r="T69" i="27"/>
  <c r="AA39" i="28"/>
  <c r="Z39" i="28" s="1"/>
  <c r="D40" i="28" s="1"/>
  <c r="T83" i="27"/>
  <c r="AA42" i="28"/>
  <c r="Z42" i="28" s="1"/>
  <c r="D43" i="28" s="1"/>
  <c r="T86" i="27"/>
  <c r="AA19" i="28"/>
  <c r="Z19" i="28" s="1"/>
  <c r="D20" i="28" s="1"/>
  <c r="T63" i="27"/>
  <c r="AA46" i="28"/>
  <c r="Z46" i="28" s="1"/>
  <c r="D47" i="28" s="1"/>
  <c r="T90" i="27"/>
  <c r="AA12" i="28"/>
  <c r="Z12" i="28" s="1"/>
  <c r="D13" i="28" s="1"/>
  <c r="T56" i="27"/>
  <c r="AA14" i="28"/>
  <c r="Z14" i="28" s="1"/>
  <c r="D15" i="28" s="1"/>
  <c r="T58" i="27"/>
  <c r="AA8" i="28"/>
  <c r="Z8" i="28" s="1"/>
  <c r="D9" i="28" s="1"/>
  <c r="T52" i="27"/>
  <c r="X4" i="27" s="1"/>
  <c r="AA30" i="28"/>
  <c r="Z30" i="28" s="1"/>
  <c r="D31" i="28" s="1"/>
  <c r="T74" i="27"/>
  <c r="AA40" i="28"/>
  <c r="Z40" i="28" s="1"/>
  <c r="D41" i="28" s="1"/>
  <c r="T84" i="27"/>
  <c r="AA13" i="28"/>
  <c r="Z13" i="28" s="1"/>
  <c r="D14" i="28" s="1"/>
  <c r="T57" i="27"/>
  <c r="AA24" i="28"/>
  <c r="Z24" i="28" s="1"/>
  <c r="D25" i="28" s="1"/>
  <c r="T68" i="27"/>
  <c r="AA35" i="28"/>
  <c r="Z35" i="28" s="1"/>
  <c r="D36" i="28" s="1"/>
  <c r="T79" i="27"/>
  <c r="AA49" i="28"/>
  <c r="Z49" i="28" s="1"/>
  <c r="D50" i="28" s="1"/>
  <c r="T93" i="27"/>
  <c r="AA22" i="28"/>
  <c r="Z22" i="28" s="1"/>
  <c r="D23" i="28" s="1"/>
  <c r="T66" i="27"/>
  <c r="AA23" i="28"/>
  <c r="Z23" i="28" s="1"/>
  <c r="D24" i="28" s="1"/>
  <c r="T67" i="27"/>
  <c r="AA34" i="28"/>
  <c r="Z34" i="28" s="1"/>
  <c r="D35" i="28" s="1"/>
  <c r="T78" i="27"/>
  <c r="AA38" i="28"/>
  <c r="Z38" i="28" s="1"/>
  <c r="D39" i="28" s="1"/>
  <c r="T82" i="27"/>
  <c r="AA18" i="28"/>
  <c r="Z18" i="28" s="1"/>
  <c r="D19" i="28" s="1"/>
  <c r="T62" i="27"/>
  <c r="AA50" i="28"/>
  <c r="Z50" i="28" s="1"/>
  <c r="D51" i="28" s="1"/>
  <c r="T94" i="27"/>
  <c r="AA7" i="28"/>
  <c r="Z7" i="28" s="1"/>
  <c r="D8" i="28" s="1"/>
  <c r="T51" i="27"/>
  <c r="V84" i="27"/>
  <c r="V57" i="27"/>
  <c r="V69" i="27"/>
  <c r="V52" i="27"/>
  <c r="V85" i="27"/>
  <c r="V53" i="27"/>
  <c r="V91" i="27"/>
  <c r="V59" i="27"/>
  <c r="V75" i="27"/>
  <c r="V64" i="27"/>
  <c r="V60" i="27"/>
  <c r="V70" i="27"/>
  <c r="V92" i="27"/>
  <c r="V71" i="27"/>
  <c r="V68" i="27"/>
  <c r="V79" i="27"/>
  <c r="V83" i="27"/>
  <c r="V86" i="27"/>
  <c r="V63" i="27"/>
  <c r="V90" i="27"/>
  <c r="V56" i="27"/>
  <c r="V58" i="27"/>
  <c r="V80" i="27"/>
  <c r="V81" i="27"/>
  <c r="V55" i="27"/>
  <c r="V74" i="27"/>
  <c r="V93" i="27"/>
  <c r="V66" i="27"/>
  <c r="V67" i="27"/>
  <c r="V78" i="27"/>
  <c r="V82" i="27"/>
  <c r="V62" i="27"/>
  <c r="V94" i="27"/>
  <c r="V51" i="27"/>
  <c r="D10" i="19"/>
  <c r="D5" i="19"/>
  <c r="D7" i="19"/>
  <c r="D6" i="19"/>
  <c r="D12" i="19"/>
  <c r="D13" i="19"/>
  <c r="D9" i="19"/>
  <c r="D11" i="19"/>
  <c r="D8" i="19"/>
  <c r="D4" i="19"/>
  <c r="D21" i="19"/>
  <c r="D32" i="19"/>
  <c r="D33" i="19"/>
  <c r="D36" i="19"/>
  <c r="D23" i="19"/>
  <c r="D39" i="19"/>
  <c r="D37" i="19"/>
  <c r="D16" i="19"/>
  <c r="D34" i="19"/>
  <c r="D43" i="19"/>
  <c r="D45" i="19"/>
  <c r="D24" i="19"/>
  <c r="D22" i="19"/>
  <c r="D27" i="19"/>
  <c r="D46" i="19"/>
  <c r="D19" i="19"/>
  <c r="D38" i="19"/>
  <c r="D20" i="19"/>
  <c r="D31" i="19"/>
  <c r="D44" i="19"/>
  <c r="D35" i="19"/>
  <c r="D15" i="19"/>
  <c r="D28" i="19"/>
  <c r="D17" i="19"/>
  <c r="D47" i="19"/>
  <c r="B1" i="19"/>
  <c r="S51" i="27" l="1"/>
  <c r="BB2" i="27"/>
  <c r="BJ2" i="27" s="1"/>
  <c r="E12" i="28"/>
  <c r="E10" i="28"/>
  <c r="E38" i="28"/>
  <c r="E50" i="28"/>
  <c r="E15" i="28"/>
  <c r="E37" i="28"/>
  <c r="E47" i="28"/>
  <c r="E16" i="28"/>
  <c r="E11" i="28"/>
  <c r="E8" i="28"/>
  <c r="E49" i="28"/>
  <c r="E28" i="28"/>
  <c r="E24" i="28"/>
  <c r="E17" i="28"/>
  <c r="E48" i="28"/>
  <c r="E36" i="28"/>
  <c r="E39" i="28"/>
  <c r="E32" i="28"/>
  <c r="E42" i="28"/>
  <c r="E41" i="28"/>
  <c r="E21" i="28"/>
  <c r="E27" i="28"/>
  <c r="E23" i="28"/>
  <c r="E40" i="28"/>
  <c r="E31" i="28"/>
  <c r="E13" i="28"/>
  <c r="E43" i="28"/>
  <c r="E25" i="28"/>
  <c r="E19" i="28"/>
  <c r="E14" i="28"/>
  <c r="E51" i="28"/>
  <c r="E35" i="28"/>
  <c r="E26" i="28"/>
  <c r="E20" i="28"/>
  <c r="E9" i="28"/>
  <c r="Y7" i="28"/>
  <c r="C8" i="28" s="1"/>
  <c r="U51" i="27"/>
  <c r="B4" i="19"/>
  <c r="C5" i="19"/>
  <c r="C9" i="19"/>
  <c r="C13" i="19"/>
  <c r="C25" i="19"/>
  <c r="C34" i="19"/>
  <c r="C38" i="19"/>
  <c r="C42" i="19"/>
  <c r="C46" i="19"/>
  <c r="C50" i="19"/>
  <c r="C54" i="19"/>
  <c r="C58" i="19"/>
  <c r="C62" i="19"/>
  <c r="C66" i="19"/>
  <c r="C70" i="19"/>
  <c r="C74" i="19"/>
  <c r="C78" i="19"/>
  <c r="C82" i="19"/>
  <c r="C86" i="19"/>
  <c r="C90" i="19"/>
  <c r="C94" i="19"/>
  <c r="C98" i="19"/>
  <c r="C102" i="19"/>
  <c r="C106" i="19"/>
  <c r="C110" i="19"/>
  <c r="C114" i="19"/>
  <c r="C118" i="19"/>
  <c r="C122" i="19"/>
  <c r="C126" i="19"/>
  <c r="C130" i="19"/>
  <c r="C134" i="19"/>
  <c r="C138" i="19"/>
  <c r="C142" i="19"/>
  <c r="C146" i="19"/>
  <c r="C150" i="19"/>
  <c r="C154" i="19"/>
  <c r="C158" i="19"/>
  <c r="C162" i="19"/>
  <c r="C166" i="19"/>
  <c r="C170" i="19"/>
  <c r="C6" i="19"/>
  <c r="C10" i="19"/>
  <c r="C22" i="19"/>
  <c r="C26" i="19"/>
  <c r="C31" i="19"/>
  <c r="C43" i="19"/>
  <c r="C47" i="19"/>
  <c r="C51" i="19"/>
  <c r="C55" i="19"/>
  <c r="C59" i="19"/>
  <c r="C63" i="19"/>
  <c r="C67" i="19"/>
  <c r="C71" i="19"/>
  <c r="C75" i="19"/>
  <c r="C79" i="19"/>
  <c r="C83" i="19"/>
  <c r="C87" i="19"/>
  <c r="C91" i="19"/>
  <c r="C95" i="19"/>
  <c r="C99" i="19"/>
  <c r="C103" i="19"/>
  <c r="C107" i="19"/>
  <c r="C111" i="19"/>
  <c r="C115" i="19"/>
  <c r="C119" i="19"/>
  <c r="C123" i="19"/>
  <c r="C127" i="19"/>
  <c r="C131" i="19"/>
  <c r="C135" i="19"/>
  <c r="C139" i="19"/>
  <c r="C143" i="19"/>
  <c r="C147" i="19"/>
  <c r="C151" i="19"/>
  <c r="C155" i="19"/>
  <c r="C159" i="19"/>
  <c r="C163" i="19"/>
  <c r="C167" i="19"/>
  <c r="C171" i="19"/>
  <c r="C7" i="19"/>
  <c r="C11" i="19"/>
  <c r="C15" i="19"/>
  <c r="C19" i="19"/>
  <c r="C23" i="19"/>
  <c r="C27" i="19"/>
  <c r="C32" i="19"/>
  <c r="C36" i="19"/>
  <c r="C40" i="19"/>
  <c r="C44" i="19"/>
  <c r="C48" i="19"/>
  <c r="C52" i="19"/>
  <c r="C56" i="19"/>
  <c r="C60" i="19"/>
  <c r="C64" i="19"/>
  <c r="C8" i="19"/>
  <c r="C24" i="19"/>
  <c r="C41" i="19"/>
  <c r="C57" i="19"/>
  <c r="C69" i="19"/>
  <c r="C77" i="19"/>
  <c r="C85" i="19"/>
  <c r="C93" i="19"/>
  <c r="C101" i="19"/>
  <c r="C109" i="19"/>
  <c r="C117" i="19"/>
  <c r="C125" i="19"/>
  <c r="C133" i="19"/>
  <c r="C141" i="19"/>
  <c r="C149" i="19"/>
  <c r="C157" i="19"/>
  <c r="C165" i="19"/>
  <c r="C4" i="19"/>
  <c r="C12" i="19"/>
  <c r="C28" i="19"/>
  <c r="C45" i="19"/>
  <c r="C61" i="19"/>
  <c r="C72" i="19"/>
  <c r="C80" i="19"/>
  <c r="C88" i="19"/>
  <c r="C96" i="19"/>
  <c r="C104" i="19"/>
  <c r="C112" i="19"/>
  <c r="C120" i="19"/>
  <c r="C128" i="19"/>
  <c r="C136" i="19"/>
  <c r="C144" i="19"/>
  <c r="C152" i="19"/>
  <c r="C160" i="19"/>
  <c r="C168" i="19"/>
  <c r="C16" i="19"/>
  <c r="C49" i="19"/>
  <c r="C73" i="19"/>
  <c r="C89" i="19"/>
  <c r="C105" i="19"/>
  <c r="C121" i="19"/>
  <c r="C137" i="19"/>
  <c r="C153" i="19"/>
  <c r="C169" i="19"/>
  <c r="C37" i="19"/>
  <c r="C100" i="19"/>
  <c r="C132" i="19"/>
  <c r="C164" i="19"/>
  <c r="L164" i="19" s="1"/>
  <c r="N164" i="19" s="1"/>
  <c r="C20" i="19"/>
  <c r="C53" i="19"/>
  <c r="C76" i="19"/>
  <c r="C92" i="19"/>
  <c r="C108" i="19"/>
  <c r="C124" i="19"/>
  <c r="C140" i="19"/>
  <c r="C156" i="19"/>
  <c r="C172" i="19"/>
  <c r="C33" i="19"/>
  <c r="C65" i="19"/>
  <c r="C81" i="19"/>
  <c r="C97" i="19"/>
  <c r="C113" i="19"/>
  <c r="C129" i="19"/>
  <c r="C145" i="19"/>
  <c r="C161" i="19"/>
  <c r="C68" i="19"/>
  <c r="C84" i="19"/>
  <c r="C116" i="19"/>
  <c r="C148" i="19"/>
  <c r="L148" i="19" s="1"/>
  <c r="N148" i="19" s="1"/>
  <c r="L113" i="19" l="1"/>
  <c r="N113" i="19" s="1"/>
  <c r="L9" i="19"/>
  <c r="N9" i="19" s="1"/>
  <c r="L84" i="19"/>
  <c r="N84" i="19" s="1"/>
  <c r="L15" i="19"/>
  <c r="N15" i="19" s="1"/>
  <c r="L53" i="19"/>
  <c r="N53" i="19" s="1"/>
  <c r="L7" i="19"/>
  <c r="N7" i="19" s="1"/>
  <c r="L11" i="19"/>
  <c r="N11" i="19" s="1"/>
  <c r="L68" i="19"/>
  <c r="N68" i="19" s="1"/>
  <c r="L65" i="19"/>
  <c r="N65" i="19" s="1"/>
  <c r="L6" i="19"/>
  <c r="N6" i="19" s="1"/>
  <c r="L22" i="19"/>
  <c r="N22" i="19" s="1"/>
  <c r="L129" i="19"/>
  <c r="N129" i="19" s="1"/>
  <c r="L152" i="19"/>
  <c r="N152" i="19" s="1"/>
  <c r="L120" i="19"/>
  <c r="N120" i="19" s="1"/>
  <c r="L88" i="19"/>
  <c r="N88" i="19" s="1"/>
  <c r="L137" i="19"/>
  <c r="N137" i="19" s="1"/>
  <c r="L73" i="19"/>
  <c r="N73" i="19" s="1"/>
  <c r="L144" i="19"/>
  <c r="N144" i="19" s="1"/>
  <c r="L112" i="19"/>
  <c r="N112" i="19" s="1"/>
  <c r="L80" i="19"/>
  <c r="N80" i="19" s="1"/>
  <c r="L19" i="19"/>
  <c r="N19" i="19" s="1"/>
  <c r="L132" i="19"/>
  <c r="N132" i="19" s="1"/>
  <c r="L157" i="19"/>
  <c r="N157" i="19" s="1"/>
  <c r="L48" i="19"/>
  <c r="N48" i="19" s="1"/>
  <c r="L162" i="19"/>
  <c r="N162" i="19" s="1"/>
  <c r="L146" i="19"/>
  <c r="N146" i="19" s="1"/>
  <c r="L130" i="19"/>
  <c r="N130" i="19" s="1"/>
  <c r="L114" i="19"/>
  <c r="N114" i="19" s="1"/>
  <c r="L98" i="19"/>
  <c r="N98" i="19" s="1"/>
  <c r="L82" i="19"/>
  <c r="N82" i="19" s="1"/>
  <c r="L66" i="19"/>
  <c r="N66" i="19" s="1"/>
  <c r="L50" i="19"/>
  <c r="N50" i="19" s="1"/>
  <c r="L34" i="19"/>
  <c r="N34" i="19" s="1"/>
  <c r="L145" i="19"/>
  <c r="N145" i="19" s="1"/>
  <c r="L81" i="19"/>
  <c r="N81" i="19" s="1"/>
  <c r="L37" i="19"/>
  <c r="N37" i="19" s="1"/>
  <c r="L149" i="19"/>
  <c r="N149" i="19" s="1"/>
  <c r="L85" i="19"/>
  <c r="N85" i="19" s="1"/>
  <c r="L60" i="19"/>
  <c r="N60" i="19" s="1"/>
  <c r="L44" i="19"/>
  <c r="N44" i="19" s="1"/>
  <c r="L27" i="19"/>
  <c r="N27" i="19" s="1"/>
  <c r="L159" i="19"/>
  <c r="N159" i="19" s="1"/>
  <c r="L143" i="19"/>
  <c r="N143" i="19" s="1"/>
  <c r="L127" i="19"/>
  <c r="N127" i="19" s="1"/>
  <c r="L111" i="19"/>
  <c r="N111" i="19" s="1"/>
  <c r="L95" i="19"/>
  <c r="N95" i="19" s="1"/>
  <c r="L79" i="19"/>
  <c r="N79" i="19" s="1"/>
  <c r="L63" i="19"/>
  <c r="N63" i="19" s="1"/>
  <c r="L47" i="19"/>
  <c r="N47" i="19" s="1"/>
  <c r="L31" i="19"/>
  <c r="N31" i="19" s="1"/>
  <c r="L158" i="19"/>
  <c r="N158" i="19" s="1"/>
  <c r="L142" i="19"/>
  <c r="N142" i="19" s="1"/>
  <c r="L126" i="19"/>
  <c r="N126" i="19" s="1"/>
  <c r="L110" i="19"/>
  <c r="N110" i="19" s="1"/>
  <c r="L94" i="19"/>
  <c r="N94" i="19" s="1"/>
  <c r="L78" i="19"/>
  <c r="N78" i="19" s="1"/>
  <c r="L62" i="19"/>
  <c r="N62" i="19" s="1"/>
  <c r="L46" i="19"/>
  <c r="N46" i="19" s="1"/>
  <c r="L77" i="19"/>
  <c r="N77" i="19" s="1"/>
  <c r="L23" i="19"/>
  <c r="N23" i="19" s="1"/>
  <c r="L124" i="19"/>
  <c r="N124" i="19" s="1"/>
  <c r="L172" i="19"/>
  <c r="N172" i="19" s="1"/>
  <c r="L121" i="19"/>
  <c r="N121" i="19" s="1"/>
  <c r="L171" i="19"/>
  <c r="N171" i="19" s="1"/>
  <c r="L123" i="19"/>
  <c r="N123" i="19" s="1"/>
  <c r="L91" i="19"/>
  <c r="N91" i="19" s="1"/>
  <c r="L59" i="19"/>
  <c r="N59" i="19" s="1"/>
  <c r="L45" i="19"/>
  <c r="N45" i="19" s="1"/>
  <c r="L108" i="19"/>
  <c r="N108" i="19" s="1"/>
  <c r="L49" i="19"/>
  <c r="N49" i="19" s="1"/>
  <c r="L141" i="19"/>
  <c r="N141" i="19" s="1"/>
  <c r="L109" i="19"/>
  <c r="N109" i="19" s="1"/>
  <c r="L56" i="19"/>
  <c r="N56" i="19" s="1"/>
  <c r="L155" i="19"/>
  <c r="N155" i="19" s="1"/>
  <c r="L139" i="19"/>
  <c r="N139" i="19" s="1"/>
  <c r="L107" i="19"/>
  <c r="N107" i="19" s="1"/>
  <c r="L75" i="19"/>
  <c r="N75" i="19" s="1"/>
  <c r="L43" i="19"/>
  <c r="N43" i="19" s="1"/>
  <c r="L116" i="19"/>
  <c r="N116" i="19" s="1"/>
  <c r="L161" i="19"/>
  <c r="N161" i="19" s="1"/>
  <c r="L97" i="19"/>
  <c r="N97" i="19" s="1"/>
  <c r="L156" i="19"/>
  <c r="N156" i="19" s="1"/>
  <c r="L92" i="19"/>
  <c r="N92" i="19" s="1"/>
  <c r="L100" i="19"/>
  <c r="N100" i="19" s="1"/>
  <c r="L169" i="19"/>
  <c r="N169" i="19" s="1"/>
  <c r="L105" i="19"/>
  <c r="N105" i="19" s="1"/>
  <c r="L168" i="19"/>
  <c r="N168" i="19" s="1"/>
  <c r="L136" i="19"/>
  <c r="N136" i="19" s="1"/>
  <c r="L104" i="19"/>
  <c r="N104" i="19" s="1"/>
  <c r="L72" i="19"/>
  <c r="N72" i="19" s="1"/>
  <c r="L165" i="19"/>
  <c r="N165" i="19" s="1"/>
  <c r="L133" i="19"/>
  <c r="N133" i="19" s="1"/>
  <c r="L101" i="19"/>
  <c r="N101" i="19" s="1"/>
  <c r="L69" i="19"/>
  <c r="N69" i="19" s="1"/>
  <c r="L52" i="19"/>
  <c r="N52" i="19" s="1"/>
  <c r="L36" i="19"/>
  <c r="N36" i="19" s="1"/>
  <c r="L167" i="19"/>
  <c r="N167" i="19" s="1"/>
  <c r="L151" i="19"/>
  <c r="N151" i="19" s="1"/>
  <c r="L135" i="19"/>
  <c r="N135" i="19" s="1"/>
  <c r="L119" i="19"/>
  <c r="N119" i="19" s="1"/>
  <c r="L103" i="19"/>
  <c r="N103" i="19" s="1"/>
  <c r="L87" i="19"/>
  <c r="N87" i="19" s="1"/>
  <c r="L71" i="19"/>
  <c r="N71" i="19" s="1"/>
  <c r="L55" i="19"/>
  <c r="N55" i="19" s="1"/>
  <c r="L170" i="19"/>
  <c r="N170" i="19" s="1"/>
  <c r="L154" i="19"/>
  <c r="N154" i="19" s="1"/>
  <c r="L138" i="19"/>
  <c r="N138" i="19" s="1"/>
  <c r="L122" i="19"/>
  <c r="N122" i="19" s="1"/>
  <c r="L106" i="19"/>
  <c r="N106" i="19" s="1"/>
  <c r="L90" i="19"/>
  <c r="N90" i="19" s="1"/>
  <c r="L74" i="19"/>
  <c r="N74" i="19" s="1"/>
  <c r="L58" i="19"/>
  <c r="N58" i="19" s="1"/>
  <c r="L117" i="19"/>
  <c r="N117" i="19" s="1"/>
  <c r="L140" i="19"/>
  <c r="N140" i="19" s="1"/>
  <c r="L76" i="19"/>
  <c r="N76" i="19" s="1"/>
  <c r="L153" i="19"/>
  <c r="N153" i="19" s="1"/>
  <c r="L89" i="19"/>
  <c r="N89" i="19" s="1"/>
  <c r="L160" i="19"/>
  <c r="N160" i="19" s="1"/>
  <c r="L128" i="19"/>
  <c r="N128" i="19" s="1"/>
  <c r="L96" i="19"/>
  <c r="N96" i="19" s="1"/>
  <c r="L61" i="19"/>
  <c r="N61" i="19" s="1"/>
  <c r="L125" i="19"/>
  <c r="N125" i="19" s="1"/>
  <c r="L93" i="19"/>
  <c r="N93" i="19" s="1"/>
  <c r="L57" i="19"/>
  <c r="N57" i="19" s="1"/>
  <c r="L64" i="19"/>
  <c r="N64" i="19" s="1"/>
  <c r="L32" i="19"/>
  <c r="N32" i="19" s="1"/>
  <c r="L163" i="19"/>
  <c r="N163" i="19" s="1"/>
  <c r="L147" i="19"/>
  <c r="N147" i="19" s="1"/>
  <c r="L131" i="19"/>
  <c r="N131" i="19" s="1"/>
  <c r="L115" i="19"/>
  <c r="N115" i="19" s="1"/>
  <c r="L99" i="19"/>
  <c r="N99" i="19" s="1"/>
  <c r="L83" i="19"/>
  <c r="N83" i="19" s="1"/>
  <c r="L67" i="19"/>
  <c r="N67" i="19" s="1"/>
  <c r="L51" i="19"/>
  <c r="N51" i="19" s="1"/>
  <c r="L166" i="19"/>
  <c r="N166" i="19" s="1"/>
  <c r="L150" i="19"/>
  <c r="N150" i="19" s="1"/>
  <c r="L134" i="19"/>
  <c r="N134" i="19" s="1"/>
  <c r="L118" i="19"/>
  <c r="N118" i="19" s="1"/>
  <c r="L102" i="19"/>
  <c r="N102" i="19" s="1"/>
  <c r="L86" i="19"/>
  <c r="N86" i="19" s="1"/>
  <c r="L70" i="19"/>
  <c r="N70" i="19" s="1"/>
  <c r="L54" i="19"/>
  <c r="N54" i="19" s="1"/>
  <c r="L38" i="19"/>
  <c r="N38" i="19" s="1"/>
  <c r="L24" i="19"/>
  <c r="N24" i="19" s="1"/>
  <c r="L20" i="19"/>
  <c r="N20" i="19" s="1"/>
  <c r="L16" i="19"/>
  <c r="N16" i="19" s="1"/>
  <c r="L12" i="19"/>
  <c r="N12" i="19" s="1"/>
  <c r="L8" i="19"/>
  <c r="N8" i="19" s="1"/>
  <c r="L4" i="19"/>
  <c r="N4" i="19" s="1"/>
  <c r="I134" i="19"/>
  <c r="J134" i="19"/>
  <c r="K134" i="19"/>
  <c r="J170" i="19"/>
  <c r="I170" i="19"/>
  <c r="K170" i="19"/>
  <c r="I106" i="19"/>
  <c r="J106" i="19"/>
  <c r="K106" i="19"/>
  <c r="J161" i="19"/>
  <c r="I161" i="19"/>
  <c r="K161" i="19"/>
  <c r="I142" i="19"/>
  <c r="J142" i="19"/>
  <c r="K142" i="19"/>
  <c r="I141" i="19"/>
  <c r="J141" i="19"/>
  <c r="K141" i="19"/>
  <c r="I109" i="19"/>
  <c r="J109" i="19"/>
  <c r="K109" i="19"/>
  <c r="I140" i="19"/>
  <c r="K140" i="19"/>
  <c r="J140" i="19"/>
  <c r="I92" i="19"/>
  <c r="K92" i="19"/>
  <c r="J92" i="19"/>
  <c r="I127" i="19"/>
  <c r="J127" i="19"/>
  <c r="K127" i="19"/>
  <c r="I67" i="19"/>
  <c r="J67" i="19"/>
  <c r="K67" i="19"/>
  <c r="I82" i="19"/>
  <c r="J82" i="19"/>
  <c r="K82" i="19"/>
  <c r="I66" i="19"/>
  <c r="J66" i="19"/>
  <c r="K66" i="19"/>
  <c r="J169" i="19"/>
  <c r="I169" i="19"/>
  <c r="K169" i="19"/>
  <c r="I105" i="19"/>
  <c r="J105" i="19"/>
  <c r="K105" i="19"/>
  <c r="I118" i="19"/>
  <c r="J118" i="19"/>
  <c r="K118" i="19"/>
  <c r="J162" i="19"/>
  <c r="I162" i="19"/>
  <c r="K162" i="19"/>
  <c r="I130" i="19"/>
  <c r="J130" i="19"/>
  <c r="K130" i="19"/>
  <c r="I98" i="19"/>
  <c r="J98" i="19"/>
  <c r="K98" i="19"/>
  <c r="I145" i="19"/>
  <c r="J145" i="19"/>
  <c r="K145" i="19"/>
  <c r="I65" i="19"/>
  <c r="J65" i="19"/>
  <c r="K65" i="19"/>
  <c r="I126" i="19"/>
  <c r="J126" i="19"/>
  <c r="K126" i="19"/>
  <c r="J165" i="19"/>
  <c r="K165" i="19"/>
  <c r="I165" i="19"/>
  <c r="I133" i="19"/>
  <c r="J133" i="19"/>
  <c r="K133" i="19"/>
  <c r="I101" i="19"/>
  <c r="J101" i="19"/>
  <c r="K101" i="19"/>
  <c r="I97" i="19"/>
  <c r="J97" i="19"/>
  <c r="K97" i="19"/>
  <c r="I71" i="19"/>
  <c r="J71" i="19"/>
  <c r="K71" i="19"/>
  <c r="J168" i="19"/>
  <c r="K168" i="19"/>
  <c r="I168" i="19"/>
  <c r="J152" i="19"/>
  <c r="K152" i="19"/>
  <c r="I152" i="19"/>
  <c r="I136" i="19"/>
  <c r="K136" i="19"/>
  <c r="J136" i="19"/>
  <c r="I120" i="19"/>
  <c r="K120" i="19"/>
  <c r="J120" i="19"/>
  <c r="I104" i="19"/>
  <c r="K104" i="19"/>
  <c r="J104" i="19"/>
  <c r="I85" i="19"/>
  <c r="J85" i="19"/>
  <c r="K85" i="19"/>
  <c r="J171" i="19"/>
  <c r="K171" i="19"/>
  <c r="I171" i="19"/>
  <c r="J155" i="19"/>
  <c r="K155" i="19"/>
  <c r="I155" i="19"/>
  <c r="I139" i="19"/>
  <c r="J139" i="19"/>
  <c r="K139" i="19"/>
  <c r="I123" i="19"/>
  <c r="J123" i="19"/>
  <c r="K123" i="19"/>
  <c r="I107" i="19"/>
  <c r="J107" i="19"/>
  <c r="K107" i="19"/>
  <c r="I91" i="19"/>
  <c r="J91" i="19"/>
  <c r="K91" i="19"/>
  <c r="I78" i="19"/>
  <c r="J78" i="19"/>
  <c r="K78" i="19"/>
  <c r="I88" i="19"/>
  <c r="K88" i="19"/>
  <c r="J88" i="19"/>
  <c r="I72" i="19"/>
  <c r="K72" i="19"/>
  <c r="J72" i="19"/>
  <c r="I121" i="19"/>
  <c r="J121" i="19"/>
  <c r="K121" i="19"/>
  <c r="I94" i="19"/>
  <c r="J94" i="19"/>
  <c r="K94" i="19"/>
  <c r="I79" i="19"/>
  <c r="J79" i="19"/>
  <c r="K79" i="19"/>
  <c r="J156" i="19"/>
  <c r="K156" i="19"/>
  <c r="I156" i="19"/>
  <c r="I108" i="19"/>
  <c r="K108" i="19"/>
  <c r="J108" i="19"/>
  <c r="I143" i="19"/>
  <c r="J143" i="19"/>
  <c r="K143" i="19"/>
  <c r="I95" i="19"/>
  <c r="J95" i="19"/>
  <c r="K95" i="19"/>
  <c r="I76" i="19"/>
  <c r="K76" i="19"/>
  <c r="J76" i="19"/>
  <c r="J153" i="19"/>
  <c r="K153" i="19"/>
  <c r="I153" i="19"/>
  <c r="J166" i="19"/>
  <c r="I166" i="19"/>
  <c r="K166" i="19"/>
  <c r="I102" i="19"/>
  <c r="J102" i="19"/>
  <c r="K102" i="19"/>
  <c r="J154" i="19"/>
  <c r="K154" i="19"/>
  <c r="I154" i="19"/>
  <c r="I122" i="19"/>
  <c r="J122" i="19"/>
  <c r="K122" i="19"/>
  <c r="I73" i="19"/>
  <c r="J73" i="19"/>
  <c r="K73" i="19"/>
  <c r="I129" i="19"/>
  <c r="J129" i="19"/>
  <c r="K129" i="19"/>
  <c r="I110" i="19"/>
  <c r="J110" i="19"/>
  <c r="K110" i="19"/>
  <c r="J157" i="19"/>
  <c r="K157" i="19"/>
  <c r="I157" i="19"/>
  <c r="I125" i="19"/>
  <c r="J125" i="19"/>
  <c r="K125" i="19"/>
  <c r="I81" i="19"/>
  <c r="J81" i="19"/>
  <c r="K81" i="19"/>
  <c r="I93" i="19"/>
  <c r="J93" i="19"/>
  <c r="K93" i="19"/>
  <c r="I63" i="19"/>
  <c r="J63" i="19"/>
  <c r="K63" i="19"/>
  <c r="J164" i="19"/>
  <c r="K164" i="19"/>
  <c r="I164" i="19"/>
  <c r="J148" i="19"/>
  <c r="K148" i="19"/>
  <c r="I148" i="19"/>
  <c r="I132" i="19"/>
  <c r="K132" i="19"/>
  <c r="J132" i="19"/>
  <c r="I116" i="19"/>
  <c r="K116" i="19"/>
  <c r="J116" i="19"/>
  <c r="I100" i="19"/>
  <c r="K100" i="19"/>
  <c r="J100" i="19"/>
  <c r="I77" i="19"/>
  <c r="J77" i="19"/>
  <c r="K77" i="19"/>
  <c r="J167" i="19"/>
  <c r="K167" i="19"/>
  <c r="I167" i="19"/>
  <c r="J151" i="19"/>
  <c r="K151" i="19"/>
  <c r="I151" i="19"/>
  <c r="I135" i="19"/>
  <c r="J135" i="19"/>
  <c r="K135" i="19"/>
  <c r="I119" i="19"/>
  <c r="J119" i="19"/>
  <c r="K119" i="19"/>
  <c r="I103" i="19"/>
  <c r="J103" i="19"/>
  <c r="K103" i="19"/>
  <c r="I83" i="19"/>
  <c r="J83" i="19"/>
  <c r="K83" i="19"/>
  <c r="I90" i="19"/>
  <c r="J90" i="19"/>
  <c r="K90" i="19"/>
  <c r="I74" i="19"/>
  <c r="J74" i="19"/>
  <c r="K74" i="19"/>
  <c r="I84" i="19"/>
  <c r="K84" i="19"/>
  <c r="J84" i="19"/>
  <c r="I68" i="19"/>
  <c r="K68" i="19"/>
  <c r="J68" i="19"/>
  <c r="I138" i="19"/>
  <c r="J138" i="19"/>
  <c r="K138" i="19"/>
  <c r="J172" i="19"/>
  <c r="K172" i="19"/>
  <c r="I172" i="19"/>
  <c r="I124" i="19"/>
  <c r="K124" i="19"/>
  <c r="J124" i="19"/>
  <c r="J159" i="19"/>
  <c r="K159" i="19"/>
  <c r="I159" i="19"/>
  <c r="I111" i="19"/>
  <c r="J111" i="19"/>
  <c r="K111" i="19"/>
  <c r="I137" i="19"/>
  <c r="J137" i="19"/>
  <c r="K137" i="19"/>
  <c r="J150" i="19"/>
  <c r="K150" i="19"/>
  <c r="I150" i="19"/>
  <c r="I146" i="19"/>
  <c r="J146" i="19"/>
  <c r="K146" i="19"/>
  <c r="I114" i="19"/>
  <c r="J114" i="19"/>
  <c r="K114" i="19"/>
  <c r="I113" i="19"/>
  <c r="J113" i="19"/>
  <c r="K113" i="19"/>
  <c r="J158" i="19"/>
  <c r="K158" i="19"/>
  <c r="I158" i="19"/>
  <c r="I89" i="19"/>
  <c r="J89" i="19"/>
  <c r="K89" i="19"/>
  <c r="J149" i="19"/>
  <c r="K149" i="19"/>
  <c r="I149" i="19"/>
  <c r="I117" i="19"/>
  <c r="J117" i="19"/>
  <c r="K117" i="19"/>
  <c r="I87" i="19"/>
  <c r="J87" i="19"/>
  <c r="K87" i="19"/>
  <c r="J160" i="19"/>
  <c r="I160" i="19"/>
  <c r="K160" i="19"/>
  <c r="I144" i="19"/>
  <c r="K144" i="19"/>
  <c r="J144" i="19"/>
  <c r="I128" i="19"/>
  <c r="K128" i="19"/>
  <c r="J128" i="19"/>
  <c r="I112" i="19"/>
  <c r="K112" i="19"/>
  <c r="J112" i="19"/>
  <c r="I96" i="19"/>
  <c r="K96" i="19"/>
  <c r="J96" i="19"/>
  <c r="I69" i="19"/>
  <c r="J69" i="19"/>
  <c r="K69" i="19"/>
  <c r="J163" i="19"/>
  <c r="K163" i="19"/>
  <c r="I163" i="19"/>
  <c r="I147" i="19"/>
  <c r="J147" i="19"/>
  <c r="K147" i="19"/>
  <c r="I131" i="19"/>
  <c r="J131" i="19"/>
  <c r="K131" i="19"/>
  <c r="I115" i="19"/>
  <c r="J115" i="19"/>
  <c r="K115" i="19"/>
  <c r="I99" i="19"/>
  <c r="J99" i="19"/>
  <c r="K99" i="19"/>
  <c r="I75" i="19"/>
  <c r="J75" i="19"/>
  <c r="K75" i="19"/>
  <c r="I86" i="19"/>
  <c r="J86" i="19"/>
  <c r="K86" i="19"/>
  <c r="I70" i="19"/>
  <c r="J70" i="19"/>
  <c r="K70" i="19"/>
  <c r="I80" i="19"/>
  <c r="K80" i="19"/>
  <c r="J80" i="19"/>
  <c r="I64" i="19"/>
  <c r="K64" i="19"/>
  <c r="J64" i="19"/>
  <c r="L13" i="19"/>
  <c r="N13" i="19" s="1"/>
  <c r="K60" i="19"/>
  <c r="J60" i="19"/>
  <c r="I60" i="19"/>
  <c r="K49" i="19"/>
  <c r="I49" i="19"/>
  <c r="J49" i="19"/>
  <c r="I32" i="19"/>
  <c r="K32" i="19"/>
  <c r="K16" i="19"/>
  <c r="I16" i="19"/>
  <c r="K50" i="19"/>
  <c r="I50" i="19"/>
  <c r="J50" i="19"/>
  <c r="K59" i="19"/>
  <c r="I59" i="19"/>
  <c r="J59" i="19"/>
  <c r="K43" i="19"/>
  <c r="I43" i="19"/>
  <c r="J43" i="19"/>
  <c r="I26" i="19"/>
  <c r="K26" i="19"/>
  <c r="K10" i="19"/>
  <c r="I10" i="19"/>
  <c r="K5" i="19"/>
  <c r="I5" i="19"/>
  <c r="I31" i="19"/>
  <c r="K31" i="19"/>
  <c r="K19" i="19"/>
  <c r="I19" i="19"/>
  <c r="K40" i="19"/>
  <c r="I40" i="19"/>
  <c r="J40" i="19"/>
  <c r="K11" i="19"/>
  <c r="I11" i="19"/>
  <c r="K53" i="19"/>
  <c r="I53" i="19"/>
  <c r="J53" i="19"/>
  <c r="K36" i="19"/>
  <c r="I36" i="19"/>
  <c r="K20" i="19"/>
  <c r="I20" i="19"/>
  <c r="K54" i="19"/>
  <c r="I54" i="19"/>
  <c r="J54" i="19"/>
  <c r="K37" i="19"/>
  <c r="I37" i="19"/>
  <c r="K47" i="19"/>
  <c r="I47" i="19"/>
  <c r="J47" i="19"/>
  <c r="I27" i="19"/>
  <c r="K27" i="19"/>
  <c r="J4" i="19"/>
  <c r="I4" i="19"/>
  <c r="K4" i="19"/>
  <c r="K57" i="19"/>
  <c r="I57" i="19"/>
  <c r="J57" i="19"/>
  <c r="K41" i="19"/>
  <c r="I41" i="19"/>
  <c r="J41" i="19"/>
  <c r="I24" i="19"/>
  <c r="K24" i="19"/>
  <c r="K8" i="19"/>
  <c r="I8" i="19"/>
  <c r="K58" i="19"/>
  <c r="I58" i="19"/>
  <c r="J58" i="19"/>
  <c r="K42" i="19"/>
  <c r="I42" i="19"/>
  <c r="J42" i="19"/>
  <c r="I25" i="19"/>
  <c r="K25" i="19"/>
  <c r="K9" i="19"/>
  <c r="I9" i="19"/>
  <c r="K51" i="19"/>
  <c r="I51" i="19"/>
  <c r="J51" i="19"/>
  <c r="K34" i="19"/>
  <c r="I34" i="19"/>
  <c r="K15" i="19"/>
  <c r="I15" i="19"/>
  <c r="I23" i="19"/>
  <c r="K23" i="19"/>
  <c r="K48" i="19"/>
  <c r="J48" i="19"/>
  <c r="I48" i="19"/>
  <c r="K56" i="19"/>
  <c r="J56" i="19"/>
  <c r="I56" i="19"/>
  <c r="L5" i="19"/>
  <c r="N5" i="19" s="1"/>
  <c r="K52" i="19"/>
  <c r="J52" i="19"/>
  <c r="I52" i="19"/>
  <c r="K7" i="19"/>
  <c r="I7" i="19"/>
  <c r="K44" i="19"/>
  <c r="J44" i="19"/>
  <c r="I44" i="19"/>
  <c r="K61" i="19"/>
  <c r="I61" i="19"/>
  <c r="J61" i="19"/>
  <c r="K45" i="19"/>
  <c r="I45" i="19"/>
  <c r="J45" i="19"/>
  <c r="K12" i="19"/>
  <c r="I12" i="19"/>
  <c r="K62" i="19"/>
  <c r="I62" i="19"/>
  <c r="J62" i="19"/>
  <c r="K46" i="19"/>
  <c r="I46" i="19"/>
  <c r="J46" i="19"/>
  <c r="K13" i="19"/>
  <c r="I13" i="19"/>
  <c r="K55" i="19"/>
  <c r="I55" i="19"/>
  <c r="J55" i="19"/>
  <c r="K38" i="19"/>
  <c r="I38" i="19"/>
  <c r="I22" i="19"/>
  <c r="K22" i="19"/>
  <c r="K6" i="19"/>
  <c r="I6" i="19"/>
  <c r="M55" i="19" l="1"/>
  <c r="O55" i="19"/>
  <c r="M58" i="19"/>
  <c r="O58" i="19"/>
  <c r="M54" i="19"/>
  <c r="O54" i="19"/>
  <c r="M49" i="19"/>
  <c r="O49" i="19"/>
  <c r="M64" i="19"/>
  <c r="O64" i="19"/>
  <c r="M99" i="19"/>
  <c r="O99" i="19"/>
  <c r="M117" i="19"/>
  <c r="O117" i="19"/>
  <c r="M149" i="19"/>
  <c r="O149" i="19"/>
  <c r="M113" i="19"/>
  <c r="O113" i="19"/>
  <c r="M84" i="19"/>
  <c r="O84" i="19"/>
  <c r="M119" i="19"/>
  <c r="O119" i="19"/>
  <c r="M129" i="19"/>
  <c r="O129" i="19"/>
  <c r="M102" i="19"/>
  <c r="O102" i="19"/>
  <c r="M76" i="19"/>
  <c r="O76" i="19"/>
  <c r="M79" i="19"/>
  <c r="O79" i="19"/>
  <c r="M72" i="19"/>
  <c r="O72" i="19"/>
  <c r="M123" i="19"/>
  <c r="O123" i="19"/>
  <c r="M136" i="19"/>
  <c r="O136" i="19"/>
  <c r="M168" i="19"/>
  <c r="O168" i="19"/>
  <c r="M101" i="19"/>
  <c r="O101" i="19"/>
  <c r="M142" i="19"/>
  <c r="O142" i="19"/>
  <c r="M161" i="19"/>
  <c r="O161" i="19"/>
  <c r="M134" i="19"/>
  <c r="O134" i="19"/>
  <c r="M61" i="19"/>
  <c r="O61" i="19"/>
  <c r="M44" i="19"/>
  <c r="O44" i="19"/>
  <c r="M59" i="19"/>
  <c r="O59" i="19"/>
  <c r="M75" i="19"/>
  <c r="O75" i="19"/>
  <c r="M163" i="19"/>
  <c r="O163" i="19"/>
  <c r="M172" i="19"/>
  <c r="O172" i="19"/>
  <c r="M116" i="19"/>
  <c r="O116" i="19"/>
  <c r="M148" i="19"/>
  <c r="O148" i="19"/>
  <c r="M93" i="19"/>
  <c r="O93" i="19"/>
  <c r="M108" i="19"/>
  <c r="O108" i="19"/>
  <c r="M120" i="19"/>
  <c r="O120" i="19"/>
  <c r="M152" i="19"/>
  <c r="O152" i="19"/>
  <c r="M97" i="19"/>
  <c r="O97" i="19"/>
  <c r="M130" i="19"/>
  <c r="O130" i="19"/>
  <c r="M127" i="19"/>
  <c r="O127" i="19"/>
  <c r="M141" i="19"/>
  <c r="O141" i="19"/>
  <c r="M46" i="19"/>
  <c r="O46" i="19"/>
  <c r="M45" i="19"/>
  <c r="O45" i="19"/>
  <c r="M47" i="19"/>
  <c r="O47" i="19"/>
  <c r="M43" i="19"/>
  <c r="O43" i="19"/>
  <c r="M86" i="19"/>
  <c r="O86" i="19"/>
  <c r="M131" i="19"/>
  <c r="O131" i="19"/>
  <c r="M144" i="19"/>
  <c r="O144" i="19"/>
  <c r="M89" i="19"/>
  <c r="O89" i="19"/>
  <c r="M158" i="19"/>
  <c r="O158" i="19"/>
  <c r="M146" i="19"/>
  <c r="O146" i="19"/>
  <c r="M150" i="19"/>
  <c r="O150" i="19"/>
  <c r="M83" i="19"/>
  <c r="O83" i="19"/>
  <c r="M167" i="19"/>
  <c r="O167" i="19"/>
  <c r="M100" i="19"/>
  <c r="O100" i="19"/>
  <c r="M63" i="19"/>
  <c r="O63" i="19"/>
  <c r="M122" i="19"/>
  <c r="O122" i="19"/>
  <c r="M154" i="19"/>
  <c r="O154" i="19"/>
  <c r="M156" i="19"/>
  <c r="O156" i="19"/>
  <c r="M121" i="19"/>
  <c r="O121" i="19"/>
  <c r="M91" i="19"/>
  <c r="O91" i="19"/>
  <c r="M171" i="19"/>
  <c r="O171" i="19"/>
  <c r="M104" i="19"/>
  <c r="O104" i="19"/>
  <c r="M71" i="19"/>
  <c r="O71" i="19"/>
  <c r="M98" i="19"/>
  <c r="O98" i="19"/>
  <c r="M105" i="19"/>
  <c r="O105" i="19"/>
  <c r="M169" i="19"/>
  <c r="O169" i="19"/>
  <c r="M67" i="19"/>
  <c r="O67" i="19"/>
  <c r="M140" i="19"/>
  <c r="O140" i="19"/>
  <c r="M109" i="19"/>
  <c r="O109" i="19"/>
  <c r="M106" i="19"/>
  <c r="O106" i="19"/>
  <c r="M170" i="19"/>
  <c r="O170" i="19"/>
  <c r="M56" i="19"/>
  <c r="O56" i="19"/>
  <c r="M51" i="19"/>
  <c r="O51" i="19"/>
  <c r="M57" i="19"/>
  <c r="O57" i="19"/>
  <c r="M60" i="19"/>
  <c r="O60" i="19"/>
  <c r="M112" i="19"/>
  <c r="O112" i="19"/>
  <c r="M137" i="19"/>
  <c r="O137" i="19"/>
  <c r="M124" i="19"/>
  <c r="O124" i="19"/>
  <c r="M74" i="19"/>
  <c r="O74" i="19"/>
  <c r="M77" i="19"/>
  <c r="O77" i="19"/>
  <c r="M132" i="19"/>
  <c r="O132" i="19"/>
  <c r="M164" i="19"/>
  <c r="O164" i="19"/>
  <c r="M81" i="19"/>
  <c r="O81" i="19"/>
  <c r="M166" i="19"/>
  <c r="O166" i="19"/>
  <c r="M95" i="19"/>
  <c r="O95" i="19"/>
  <c r="M85" i="19"/>
  <c r="O85" i="19"/>
  <c r="M65" i="19"/>
  <c r="O65" i="19"/>
  <c r="M66" i="19"/>
  <c r="O66" i="19"/>
  <c r="M62" i="19"/>
  <c r="O62" i="19"/>
  <c r="M48" i="19"/>
  <c r="O48" i="19"/>
  <c r="M4" i="19"/>
  <c r="O4" i="19"/>
  <c r="M53" i="19"/>
  <c r="O53" i="19"/>
  <c r="M147" i="19"/>
  <c r="O147" i="19"/>
  <c r="M96" i="19"/>
  <c r="O96" i="19"/>
  <c r="M87" i="19"/>
  <c r="O87" i="19"/>
  <c r="M68" i="19"/>
  <c r="O68" i="19"/>
  <c r="M103" i="19"/>
  <c r="O103" i="19"/>
  <c r="M110" i="19"/>
  <c r="O110" i="19"/>
  <c r="M107" i="19"/>
  <c r="O107" i="19"/>
  <c r="M126" i="19"/>
  <c r="O126" i="19"/>
  <c r="M162" i="19"/>
  <c r="O162" i="19"/>
  <c r="M52" i="19"/>
  <c r="O52" i="19"/>
  <c r="M50" i="19"/>
  <c r="O50" i="19"/>
  <c r="M80" i="19"/>
  <c r="O80" i="19"/>
  <c r="M70" i="19"/>
  <c r="O70" i="19"/>
  <c r="M115" i="19"/>
  <c r="O115" i="19"/>
  <c r="M69" i="19"/>
  <c r="O69" i="19"/>
  <c r="M128" i="19"/>
  <c r="O128" i="19"/>
  <c r="M160" i="19"/>
  <c r="O160" i="19"/>
  <c r="M114" i="19"/>
  <c r="O114" i="19"/>
  <c r="M111" i="19"/>
  <c r="O111" i="19"/>
  <c r="M159" i="19"/>
  <c r="O159" i="19"/>
  <c r="M138" i="19"/>
  <c r="O138" i="19"/>
  <c r="M90" i="19"/>
  <c r="O90" i="19"/>
  <c r="M135" i="19"/>
  <c r="O135" i="19"/>
  <c r="M151" i="19"/>
  <c r="O151" i="19"/>
  <c r="M125" i="19"/>
  <c r="O125" i="19"/>
  <c r="M157" i="19"/>
  <c r="O157" i="19"/>
  <c r="M73" i="19"/>
  <c r="O73" i="19"/>
  <c r="M153" i="19"/>
  <c r="O153" i="19"/>
  <c r="M143" i="19"/>
  <c r="O143" i="19"/>
  <c r="M94" i="19"/>
  <c r="O94" i="19"/>
  <c r="M88" i="19"/>
  <c r="O88" i="19"/>
  <c r="M78" i="19"/>
  <c r="O78" i="19"/>
  <c r="M139" i="19"/>
  <c r="O139" i="19"/>
  <c r="M155" i="19"/>
  <c r="O155" i="19"/>
  <c r="M133" i="19"/>
  <c r="O133" i="19"/>
  <c r="M165" i="19"/>
  <c r="O165" i="19"/>
  <c r="M145" i="19"/>
  <c r="O145" i="19"/>
  <c r="M118" i="19"/>
  <c r="O118" i="19"/>
  <c r="M82" i="19"/>
  <c r="O82" i="19"/>
  <c r="M92" i="19"/>
  <c r="O92" i="19"/>
  <c r="N5" i="12" l="1"/>
  <c r="N8" i="12"/>
  <c r="N15" i="12"/>
  <c r="N19" i="12"/>
  <c r="N21" i="12"/>
  <c r="N22" i="12"/>
  <c r="N23" i="12"/>
  <c r="N24" i="12"/>
  <c r="N25" i="12"/>
  <c r="N26" i="12"/>
  <c r="N27" i="12"/>
  <c r="N28" i="12"/>
  <c r="N29" i="12"/>
  <c r="N30" i="12"/>
  <c r="N5" i="6"/>
  <c r="N12" i="6"/>
  <c r="N17" i="6"/>
  <c r="N21" i="6"/>
  <c r="N23" i="6"/>
  <c r="N24" i="6"/>
  <c r="N25" i="6"/>
  <c r="N26" i="6"/>
  <c r="N27" i="6"/>
  <c r="N28" i="6"/>
  <c r="N29" i="6"/>
  <c r="N30" i="6"/>
  <c r="N31" i="6"/>
  <c r="N32" i="6"/>
  <c r="N5" i="3"/>
  <c r="N8" i="3"/>
  <c r="N13" i="3"/>
  <c r="N17" i="3"/>
  <c r="N21" i="3"/>
  <c r="N24" i="3"/>
  <c r="N29" i="3"/>
  <c r="N30" i="3"/>
  <c r="N31" i="3"/>
  <c r="N32" i="3"/>
  <c r="N33" i="3"/>
  <c r="N34" i="3"/>
  <c r="N35" i="3"/>
  <c r="N36" i="3"/>
  <c r="N23" i="3"/>
  <c r="N25" i="3"/>
  <c r="N28" i="3"/>
  <c r="N26" i="3"/>
  <c r="N27" i="3"/>
  <c r="N5" i="5" l="1"/>
  <c r="N9" i="5"/>
  <c r="N16" i="5"/>
  <c r="N20" i="5"/>
  <c r="N27" i="5"/>
  <c r="N28" i="5"/>
  <c r="N29" i="5"/>
  <c r="N30" i="5"/>
  <c r="N31" i="5"/>
  <c r="N32" i="5"/>
  <c r="N33" i="5"/>
  <c r="N34" i="5"/>
  <c r="N35" i="5"/>
  <c r="N36" i="5"/>
  <c r="N14" i="2" l="1"/>
  <c r="N15" i="2"/>
  <c r="N16" i="2"/>
  <c r="N17" i="2"/>
  <c r="N18" i="2"/>
  <c r="J4" i="13" l="1"/>
  <c r="J5" i="13"/>
  <c r="J6" i="13"/>
  <c r="J7" i="13"/>
  <c r="J8" i="13"/>
  <c r="J9" i="13"/>
  <c r="J10" i="13"/>
  <c r="J11" i="13"/>
  <c r="J3" i="13"/>
  <c r="I4" i="13"/>
  <c r="I5" i="13"/>
  <c r="I6" i="13"/>
  <c r="I7" i="13"/>
  <c r="I8" i="13"/>
  <c r="I9" i="13"/>
  <c r="I10" i="13"/>
  <c r="I11" i="13"/>
  <c r="I3" i="13"/>
  <c r="E4" i="13"/>
  <c r="E5" i="13"/>
  <c r="E6" i="13"/>
  <c r="E7" i="13"/>
  <c r="E8" i="13"/>
  <c r="E9" i="13"/>
  <c r="E10" i="13"/>
  <c r="E11" i="13"/>
  <c r="E3" i="13"/>
  <c r="N2" i="13"/>
  <c r="V1" i="13"/>
  <c r="O11" i="13" s="1"/>
  <c r="B60" i="27"/>
  <c r="B54" i="27"/>
  <c r="B59" i="27"/>
  <c r="B52" i="27"/>
  <c r="B58" i="27"/>
  <c r="B57" i="27"/>
  <c r="B56" i="27"/>
  <c r="B53" i="27"/>
  <c r="B55" i="27"/>
  <c r="E52" i="27" l="1"/>
  <c r="H52" i="27" s="1"/>
  <c r="E58" i="27"/>
  <c r="H58" i="27" s="1"/>
  <c r="E56" i="27"/>
  <c r="H56" i="27" s="1"/>
  <c r="E55" i="27"/>
  <c r="H55" i="27" s="1"/>
  <c r="E54" i="27"/>
  <c r="E57" i="27"/>
  <c r="H57" i="27" s="1"/>
  <c r="E53" i="27"/>
  <c r="H53" i="27" s="1"/>
  <c r="E60" i="27"/>
  <c r="H60" i="27" s="1"/>
  <c r="E59" i="27"/>
  <c r="H59" i="27" s="1"/>
  <c r="N9" i="13"/>
  <c r="Q3" i="13"/>
  <c r="P5" i="13"/>
  <c r="P3" i="13"/>
  <c r="N8" i="13"/>
  <c r="N10" i="13"/>
  <c r="N6" i="13"/>
  <c r="N4" i="13"/>
  <c r="N5" i="13"/>
  <c r="N7" i="13"/>
  <c r="N11" i="13"/>
  <c r="N3" i="13"/>
  <c r="Q4" i="13"/>
  <c r="O6" i="13"/>
  <c r="O2" i="13"/>
  <c r="P9" i="13"/>
  <c r="Q8" i="13"/>
  <c r="O10" i="13"/>
  <c r="P2" i="13"/>
  <c r="O3" i="13"/>
  <c r="Q5" i="13"/>
  <c r="P6" i="13"/>
  <c r="O7" i="13"/>
  <c r="Q9" i="13"/>
  <c r="P10" i="13"/>
  <c r="Q2" i="13"/>
  <c r="O4" i="13"/>
  <c r="Q6" i="13"/>
  <c r="P7" i="13"/>
  <c r="O8" i="13"/>
  <c r="Q10" i="13"/>
  <c r="P11" i="13"/>
  <c r="P4" i="13"/>
  <c r="O5" i="13"/>
  <c r="Q7" i="13"/>
  <c r="P8" i="13"/>
  <c r="O9" i="13"/>
  <c r="Q11" i="13"/>
  <c r="R5" i="13" l="1"/>
  <c r="G55" i="27"/>
  <c r="G60" i="27"/>
  <c r="G56" i="27"/>
  <c r="G59" i="27"/>
  <c r="G57" i="27"/>
  <c r="G58" i="27"/>
  <c r="G53" i="27"/>
  <c r="H54" i="27"/>
  <c r="H47" i="27"/>
  <c r="M34" i="31"/>
  <c r="N33" i="31"/>
  <c r="N34" i="31" s="1"/>
  <c r="X57" i="27"/>
  <c r="X55" i="27"/>
  <c r="X60" i="27"/>
  <c r="X56" i="27"/>
  <c r="X53" i="27"/>
  <c r="X59" i="27"/>
  <c r="X58" i="27"/>
  <c r="R10" i="13"/>
  <c r="R8" i="13"/>
  <c r="R4" i="13"/>
  <c r="R9" i="13"/>
  <c r="R3" i="13"/>
  <c r="R11" i="13"/>
  <c r="R2" i="13"/>
  <c r="R7" i="13"/>
  <c r="R6" i="13"/>
  <c r="G54" i="27" l="1"/>
  <c r="G52" i="27"/>
  <c r="X52" i="27"/>
  <c r="X54" i="27"/>
  <c r="M38" i="31"/>
  <c r="L38" i="31"/>
  <c r="N20" i="12"/>
  <c r="N18" i="12"/>
  <c r="N17" i="12"/>
  <c r="N16" i="12"/>
  <c r="N14" i="12"/>
  <c r="N13" i="12"/>
  <c r="N12" i="12"/>
  <c r="N11" i="12"/>
  <c r="N10" i="12"/>
  <c r="N9" i="12"/>
  <c r="N7" i="12"/>
  <c r="N6" i="12"/>
  <c r="N4" i="12"/>
  <c r="N3" i="12"/>
  <c r="N2" i="12"/>
  <c r="V1" i="12"/>
  <c r="P11" i="12" s="1"/>
  <c r="M52" i="27" l="1"/>
  <c r="M51" i="27"/>
  <c r="M73" i="27"/>
  <c r="M59" i="27"/>
  <c r="M79" i="27"/>
  <c r="M80" i="27"/>
  <c r="M70" i="27"/>
  <c r="M69" i="27"/>
  <c r="M63" i="27"/>
  <c r="M85" i="27"/>
  <c r="M78" i="27"/>
  <c r="M54" i="27"/>
  <c r="M72" i="27"/>
  <c r="M82" i="27"/>
  <c r="M64" i="27"/>
  <c r="M94" i="27"/>
  <c r="M66" i="27"/>
  <c r="M62" i="27"/>
  <c r="M55" i="27"/>
  <c r="M75" i="27"/>
  <c r="M57" i="27"/>
  <c r="M60" i="27"/>
  <c r="M83" i="27"/>
  <c r="M87" i="27"/>
  <c r="M81" i="27"/>
  <c r="M88" i="27"/>
  <c r="M89" i="27"/>
  <c r="M90" i="27"/>
  <c r="M91" i="27"/>
  <c r="M84" i="27"/>
  <c r="M53" i="27"/>
  <c r="M71" i="27"/>
  <c r="M58" i="27"/>
  <c r="M68" i="27"/>
  <c r="M56" i="27"/>
  <c r="M74" i="27"/>
  <c r="M86" i="27"/>
  <c r="M67" i="27"/>
  <c r="M93" i="27"/>
  <c r="M92" i="27"/>
  <c r="L28" i="19"/>
  <c r="N28" i="19" s="1"/>
  <c r="K28" i="19"/>
  <c r="I28" i="19"/>
  <c r="Q20" i="12"/>
  <c r="P5" i="12"/>
  <c r="P8" i="12"/>
  <c r="P15" i="12"/>
  <c r="P19" i="12"/>
  <c r="P21" i="12"/>
  <c r="P22" i="12"/>
  <c r="P23" i="12"/>
  <c r="P24" i="12"/>
  <c r="P25" i="12"/>
  <c r="P26" i="12"/>
  <c r="P27" i="12"/>
  <c r="P28" i="12"/>
  <c r="P29" i="12"/>
  <c r="P30" i="12"/>
  <c r="O5" i="12"/>
  <c r="O19" i="12"/>
  <c r="O23" i="12"/>
  <c r="O26" i="12"/>
  <c r="O28" i="12"/>
  <c r="Q5" i="12"/>
  <c r="Q8" i="12"/>
  <c r="Q15" i="12"/>
  <c r="Q19" i="12"/>
  <c r="Q21" i="12"/>
  <c r="Q22" i="12"/>
  <c r="Q23" i="12"/>
  <c r="Q24" i="12"/>
  <c r="Q25" i="12"/>
  <c r="Q26" i="12"/>
  <c r="Q27" i="12"/>
  <c r="Q28" i="12"/>
  <c r="Q29" i="12"/>
  <c r="Q30" i="12"/>
  <c r="O8" i="12"/>
  <c r="O21" i="12"/>
  <c r="O25" i="12"/>
  <c r="O29" i="12"/>
  <c r="O15" i="12"/>
  <c r="O22" i="12"/>
  <c r="O24" i="12"/>
  <c r="O27" i="12"/>
  <c r="O30" i="12"/>
  <c r="Q10" i="12"/>
  <c r="O12" i="12"/>
  <c r="Q14" i="12"/>
  <c r="O2" i="12"/>
  <c r="P16" i="12"/>
  <c r="O17" i="12"/>
  <c r="Q4" i="12"/>
  <c r="P6" i="12"/>
  <c r="O7" i="12"/>
  <c r="P2" i="12"/>
  <c r="O3" i="12"/>
  <c r="Q6" i="12"/>
  <c r="P7" i="12"/>
  <c r="O9" i="12"/>
  <c r="Q11" i="12"/>
  <c r="R11" i="12" s="1"/>
  <c r="P12" i="12"/>
  <c r="O13" i="12"/>
  <c r="Q16" i="12"/>
  <c r="P17" i="12"/>
  <c r="O18" i="12"/>
  <c r="Q2" i="12"/>
  <c r="P3" i="12"/>
  <c r="O4" i="12"/>
  <c r="Q7" i="12"/>
  <c r="P9" i="12"/>
  <c r="O10" i="12"/>
  <c r="Q12" i="12"/>
  <c r="P13" i="12"/>
  <c r="O14" i="12"/>
  <c r="Q17" i="12"/>
  <c r="P18" i="12"/>
  <c r="O20" i="12"/>
  <c r="Q3" i="12"/>
  <c r="P4" i="12"/>
  <c r="O6" i="12"/>
  <c r="Q9" i="12"/>
  <c r="P10" i="12"/>
  <c r="O11" i="12"/>
  <c r="Q13" i="12"/>
  <c r="P14" i="12"/>
  <c r="O16" i="12"/>
  <c r="Q18" i="12"/>
  <c r="P20" i="12"/>
  <c r="R10" i="12" l="1"/>
  <c r="R16" i="12"/>
  <c r="R27" i="12"/>
  <c r="R23" i="12"/>
  <c r="R15" i="12"/>
  <c r="R14" i="12"/>
  <c r="R30" i="12"/>
  <c r="R26" i="12"/>
  <c r="R22" i="12"/>
  <c r="R8" i="12"/>
  <c r="R29" i="12"/>
  <c r="R25" i="12"/>
  <c r="R21" i="12"/>
  <c r="R5" i="12"/>
  <c r="R28" i="12"/>
  <c r="R24" i="12"/>
  <c r="R19" i="12"/>
  <c r="R7" i="12"/>
  <c r="R6" i="12"/>
  <c r="R20" i="12"/>
  <c r="R4" i="12"/>
  <c r="R3" i="12"/>
  <c r="R12" i="12"/>
  <c r="R9" i="12"/>
  <c r="R17" i="12"/>
  <c r="R18" i="12"/>
  <c r="R13" i="12"/>
  <c r="R2" i="12"/>
  <c r="V1" i="6" l="1"/>
  <c r="V1" i="5"/>
  <c r="V1" i="4"/>
  <c r="V1" i="3"/>
  <c r="V1" i="2"/>
  <c r="V1" i="7"/>
  <c r="N3" i="7"/>
  <c r="N4" i="7"/>
  <c r="N5" i="7"/>
  <c r="N6" i="7"/>
  <c r="N7" i="7"/>
  <c r="N8" i="7"/>
  <c r="N9" i="7"/>
  <c r="N10" i="7"/>
  <c r="N11" i="7"/>
  <c r="N12" i="7"/>
  <c r="N13" i="7"/>
  <c r="N14" i="7"/>
  <c r="N15" i="7"/>
  <c r="N16" i="7"/>
  <c r="N17" i="7"/>
  <c r="N18" i="7"/>
  <c r="N19" i="7"/>
  <c r="N20" i="7"/>
  <c r="N21" i="7"/>
  <c r="N22" i="7"/>
  <c r="N23" i="7"/>
  <c r="N24" i="7"/>
  <c r="N25" i="7"/>
  <c r="N26" i="7"/>
  <c r="N2" i="7"/>
  <c r="N3" i="6"/>
  <c r="N4" i="6"/>
  <c r="N6" i="6"/>
  <c r="N7" i="6"/>
  <c r="N8" i="6"/>
  <c r="N9" i="6"/>
  <c r="N10" i="6"/>
  <c r="N11" i="6"/>
  <c r="N13" i="6"/>
  <c r="N14" i="6"/>
  <c r="N15" i="6"/>
  <c r="N16" i="6"/>
  <c r="N18" i="6"/>
  <c r="N19" i="6"/>
  <c r="N20" i="6"/>
  <c r="N22" i="6"/>
  <c r="N2" i="6"/>
  <c r="N3" i="5"/>
  <c r="N4" i="5"/>
  <c r="N6" i="5"/>
  <c r="N7" i="5"/>
  <c r="N8" i="5"/>
  <c r="N10" i="5"/>
  <c r="N11" i="5"/>
  <c r="N12" i="5"/>
  <c r="N13" i="5"/>
  <c r="N14" i="5"/>
  <c r="N15" i="5"/>
  <c r="N17" i="5"/>
  <c r="N18" i="5"/>
  <c r="N19" i="5"/>
  <c r="N21" i="5"/>
  <c r="N22" i="5"/>
  <c r="N23" i="5"/>
  <c r="N26" i="5"/>
  <c r="N24" i="5"/>
  <c r="N25" i="5"/>
  <c r="N2" i="5"/>
  <c r="N3" i="4"/>
  <c r="N4" i="4"/>
  <c r="N5" i="4"/>
  <c r="N6" i="4"/>
  <c r="N7" i="4"/>
  <c r="N8" i="4"/>
  <c r="N9" i="4"/>
  <c r="N10" i="4"/>
  <c r="N11" i="4"/>
  <c r="N12" i="4"/>
  <c r="N13" i="4"/>
  <c r="N14" i="4"/>
  <c r="N15" i="4"/>
  <c r="N16" i="4"/>
  <c r="N17" i="4"/>
  <c r="N18" i="4"/>
  <c r="N19" i="4"/>
  <c r="N20" i="4"/>
  <c r="N21" i="4"/>
  <c r="N22" i="4"/>
  <c r="N23" i="4"/>
  <c r="N24" i="4"/>
  <c r="N25" i="4"/>
  <c r="N26" i="4"/>
  <c r="N2" i="4"/>
  <c r="N3" i="3"/>
  <c r="N4" i="3"/>
  <c r="N6" i="3"/>
  <c r="N7" i="3"/>
  <c r="N9" i="3"/>
  <c r="N10" i="3"/>
  <c r="N11" i="3"/>
  <c r="N12" i="3"/>
  <c r="N14" i="3"/>
  <c r="N15" i="3"/>
  <c r="N16" i="3"/>
  <c r="N18" i="3"/>
  <c r="N19" i="3"/>
  <c r="N20" i="3"/>
  <c r="N22" i="3"/>
  <c r="N2" i="3"/>
  <c r="N2" i="2"/>
  <c r="N3" i="2"/>
  <c r="N5" i="2"/>
  <c r="N4" i="2"/>
  <c r="N6" i="2"/>
  <c r="N7" i="2"/>
  <c r="N8" i="2"/>
  <c r="N9" i="2"/>
  <c r="N10" i="2"/>
  <c r="N11" i="2"/>
  <c r="N12" i="2"/>
  <c r="N13" i="2"/>
  <c r="P5" i="6" l="1"/>
  <c r="P12" i="6"/>
  <c r="P17" i="6"/>
  <c r="P21" i="6"/>
  <c r="P23" i="6"/>
  <c r="P24" i="6"/>
  <c r="P25" i="6"/>
  <c r="P26" i="6"/>
  <c r="P27" i="6"/>
  <c r="P28" i="6"/>
  <c r="P29" i="6"/>
  <c r="P30" i="6"/>
  <c r="P31" i="6"/>
  <c r="P32" i="6"/>
  <c r="O5" i="6"/>
  <c r="O17" i="6"/>
  <c r="O24" i="6"/>
  <c r="O26" i="6"/>
  <c r="O27" i="6"/>
  <c r="O30" i="6"/>
  <c r="O32" i="6"/>
  <c r="Q5" i="6"/>
  <c r="Q12" i="6"/>
  <c r="Q17" i="6"/>
  <c r="Q21" i="6"/>
  <c r="Q23" i="6"/>
  <c r="Q24" i="6"/>
  <c r="Q25" i="6"/>
  <c r="Q26" i="6"/>
  <c r="Q27" i="6"/>
  <c r="Q28" i="6"/>
  <c r="Q29" i="6"/>
  <c r="Q30" i="6"/>
  <c r="Q31" i="6"/>
  <c r="Q32" i="6"/>
  <c r="O21" i="6"/>
  <c r="O28" i="6"/>
  <c r="O12" i="6"/>
  <c r="O23" i="6"/>
  <c r="O25" i="6"/>
  <c r="O29" i="6"/>
  <c r="O31" i="6"/>
  <c r="P5" i="3"/>
  <c r="P8" i="3"/>
  <c r="P13" i="3"/>
  <c r="P17" i="3"/>
  <c r="P21" i="3"/>
  <c r="P24" i="3"/>
  <c r="P29" i="3"/>
  <c r="P30" i="3"/>
  <c r="P31" i="3"/>
  <c r="P32" i="3"/>
  <c r="P33" i="3"/>
  <c r="P34" i="3"/>
  <c r="O35" i="3"/>
  <c r="O36" i="3"/>
  <c r="O23" i="3"/>
  <c r="O25" i="3"/>
  <c r="O28" i="3"/>
  <c r="O26" i="3"/>
  <c r="P25" i="3"/>
  <c r="P26" i="3"/>
  <c r="O13" i="3"/>
  <c r="O21" i="3"/>
  <c r="O30" i="3"/>
  <c r="O31" i="3"/>
  <c r="O34" i="3"/>
  <c r="Q5" i="3"/>
  <c r="Q8" i="3"/>
  <c r="Q13" i="3"/>
  <c r="Q17" i="3"/>
  <c r="Q21" i="3"/>
  <c r="Q24" i="3"/>
  <c r="Q29" i="3"/>
  <c r="Q30" i="3"/>
  <c r="Q31" i="3"/>
  <c r="Q32" i="3"/>
  <c r="Q33" i="3"/>
  <c r="Q34" i="3"/>
  <c r="P35" i="3"/>
  <c r="P36" i="3"/>
  <c r="P23" i="3"/>
  <c r="P28" i="3"/>
  <c r="O27" i="3"/>
  <c r="O5" i="3"/>
  <c r="O24" i="3"/>
  <c r="O33" i="3"/>
  <c r="Q35" i="3"/>
  <c r="Q36" i="3"/>
  <c r="Q23" i="3"/>
  <c r="Q25" i="3"/>
  <c r="Q28" i="3"/>
  <c r="Q26" i="3"/>
  <c r="P27" i="3"/>
  <c r="O8" i="3"/>
  <c r="O17" i="3"/>
  <c r="O29" i="3"/>
  <c r="O32" i="3"/>
  <c r="Q27" i="3"/>
  <c r="P5" i="5"/>
  <c r="P9" i="5"/>
  <c r="P16" i="5"/>
  <c r="P20" i="5"/>
  <c r="P27" i="5"/>
  <c r="P28" i="5"/>
  <c r="P29" i="5"/>
  <c r="P30" i="5"/>
  <c r="P31" i="5"/>
  <c r="P32" i="5"/>
  <c r="P33" i="5"/>
  <c r="P34" i="5"/>
  <c r="P35" i="5"/>
  <c r="P36" i="5"/>
  <c r="O9" i="5"/>
  <c r="O16" i="5"/>
  <c r="O28" i="5"/>
  <c r="O30" i="5"/>
  <c r="O32" i="5"/>
  <c r="O33" i="5"/>
  <c r="O35" i="5"/>
  <c r="Q5" i="5"/>
  <c r="Q9" i="5"/>
  <c r="Q16" i="5"/>
  <c r="Q20" i="5"/>
  <c r="Q27" i="5"/>
  <c r="Q28" i="5"/>
  <c r="Q29" i="5"/>
  <c r="Q30" i="5"/>
  <c r="Q31" i="5"/>
  <c r="Q32" i="5"/>
  <c r="Q33" i="5"/>
  <c r="Q34" i="5"/>
  <c r="Q35" i="5"/>
  <c r="Q36" i="5"/>
  <c r="O5" i="5"/>
  <c r="O20" i="5"/>
  <c r="O27" i="5"/>
  <c r="O29" i="5"/>
  <c r="O31" i="5"/>
  <c r="O34" i="5"/>
  <c r="O36" i="5"/>
  <c r="O14" i="2"/>
  <c r="O15" i="2"/>
  <c r="O16" i="2"/>
  <c r="Q18" i="2"/>
  <c r="P14" i="2"/>
  <c r="P15" i="2"/>
  <c r="P16" i="2"/>
  <c r="O17" i="2"/>
  <c r="Q14" i="2"/>
  <c r="Q15" i="2"/>
  <c r="Q16" i="2"/>
  <c r="P17" i="2"/>
  <c r="O18" i="2"/>
  <c r="Q17" i="2"/>
  <c r="P18" i="2"/>
  <c r="Q2" i="2"/>
  <c r="Q6" i="2"/>
  <c r="Q10" i="2"/>
  <c r="P2" i="2"/>
  <c r="P6" i="2"/>
  <c r="P10" i="2"/>
  <c r="Q4" i="2"/>
  <c r="P4" i="2"/>
  <c r="Q3" i="2"/>
  <c r="Q7" i="2"/>
  <c r="Q11" i="2"/>
  <c r="P3" i="2"/>
  <c r="P7" i="2"/>
  <c r="P11" i="2"/>
  <c r="Q13" i="2"/>
  <c r="P13" i="2"/>
  <c r="Q5" i="2"/>
  <c r="Q8" i="2"/>
  <c r="Q12" i="2"/>
  <c r="P5" i="2"/>
  <c r="P8" i="2"/>
  <c r="P12" i="2"/>
  <c r="Q9" i="2"/>
  <c r="P9" i="2"/>
  <c r="O2" i="2"/>
  <c r="O6" i="2"/>
  <c r="O10" i="2"/>
  <c r="O9" i="2"/>
  <c r="O3" i="2"/>
  <c r="O7" i="2"/>
  <c r="O11" i="2"/>
  <c r="O4" i="2"/>
  <c r="O5" i="2"/>
  <c r="O8" i="2"/>
  <c r="O12" i="2"/>
  <c r="O13" i="2"/>
  <c r="Q3" i="3"/>
  <c r="Q9" i="3"/>
  <c r="Q14" i="3"/>
  <c r="Q19" i="3"/>
  <c r="P3" i="3"/>
  <c r="P9" i="3"/>
  <c r="R9" i="3" s="1"/>
  <c r="P14" i="3"/>
  <c r="P19" i="3"/>
  <c r="Q7" i="3"/>
  <c r="P12" i="3"/>
  <c r="Q4" i="3"/>
  <c r="Q10" i="3"/>
  <c r="Q15" i="3"/>
  <c r="Q20" i="3"/>
  <c r="P4" i="3"/>
  <c r="P10" i="3"/>
  <c r="P15" i="3"/>
  <c r="P20" i="3"/>
  <c r="Q18" i="3"/>
  <c r="P18" i="3"/>
  <c r="Q6" i="3"/>
  <c r="Q11" i="3"/>
  <c r="Q16" i="3"/>
  <c r="Q22" i="3"/>
  <c r="Q2" i="3"/>
  <c r="P6" i="3"/>
  <c r="P11" i="3"/>
  <c r="P16" i="3"/>
  <c r="P22" i="3"/>
  <c r="P2" i="3"/>
  <c r="Q12" i="3"/>
  <c r="P7" i="3"/>
  <c r="O3" i="3"/>
  <c r="O9" i="3"/>
  <c r="O14" i="3"/>
  <c r="O19" i="3"/>
  <c r="O20" i="3"/>
  <c r="O7" i="3"/>
  <c r="O4" i="3"/>
  <c r="O10" i="3"/>
  <c r="O15" i="3"/>
  <c r="O18" i="3"/>
  <c r="O6" i="3"/>
  <c r="O11" i="3"/>
  <c r="O16" i="3"/>
  <c r="O22" i="3"/>
  <c r="O2" i="3"/>
  <c r="O12" i="3"/>
  <c r="Q5" i="4"/>
  <c r="Q9" i="4"/>
  <c r="Q13" i="4"/>
  <c r="Q17" i="4"/>
  <c r="Q21" i="4"/>
  <c r="Q25" i="4"/>
  <c r="P3" i="4"/>
  <c r="P7" i="4"/>
  <c r="P11" i="4"/>
  <c r="P15" i="4"/>
  <c r="P19" i="4"/>
  <c r="P23" i="4"/>
  <c r="Q12" i="4"/>
  <c r="Q20" i="4"/>
  <c r="P10" i="4"/>
  <c r="P22" i="4"/>
  <c r="P2" i="4"/>
  <c r="Q6" i="4"/>
  <c r="Q10" i="4"/>
  <c r="Q14" i="4"/>
  <c r="Q18" i="4"/>
  <c r="Q22" i="4"/>
  <c r="Q26" i="4"/>
  <c r="Q2" i="4"/>
  <c r="P4" i="4"/>
  <c r="P8" i="4"/>
  <c r="P12" i="4"/>
  <c r="P16" i="4"/>
  <c r="P20" i="4"/>
  <c r="P24" i="4"/>
  <c r="Q8" i="4"/>
  <c r="Q24" i="4"/>
  <c r="P14" i="4"/>
  <c r="P26" i="4"/>
  <c r="Q3" i="4"/>
  <c r="Q7" i="4"/>
  <c r="Q11" i="4"/>
  <c r="Q15" i="4"/>
  <c r="Q19" i="4"/>
  <c r="Q23" i="4"/>
  <c r="P5" i="4"/>
  <c r="P9" i="4"/>
  <c r="P13" i="4"/>
  <c r="R13" i="4" s="1"/>
  <c r="P17" i="4"/>
  <c r="P21" i="4"/>
  <c r="P25" i="4"/>
  <c r="Q4" i="4"/>
  <c r="Q16" i="4"/>
  <c r="P6" i="4"/>
  <c r="P18" i="4"/>
  <c r="O3" i="4"/>
  <c r="O7" i="4"/>
  <c r="O11" i="4"/>
  <c r="O19" i="4"/>
  <c r="O4" i="4"/>
  <c r="O8" i="4"/>
  <c r="O12" i="4"/>
  <c r="O16" i="4"/>
  <c r="O20" i="4"/>
  <c r="O24" i="4"/>
  <c r="O13" i="4"/>
  <c r="O17" i="4"/>
  <c r="O25" i="4"/>
  <c r="O5" i="4"/>
  <c r="O9" i="4"/>
  <c r="O21" i="4"/>
  <c r="O6" i="4"/>
  <c r="O10" i="4"/>
  <c r="O14" i="4"/>
  <c r="O18" i="4"/>
  <c r="O22" i="4"/>
  <c r="O26" i="4"/>
  <c r="O2" i="4"/>
  <c r="O15" i="4"/>
  <c r="O23" i="4"/>
  <c r="Q3" i="5"/>
  <c r="Q8" i="5"/>
  <c r="Q13" i="5"/>
  <c r="Q18" i="5"/>
  <c r="Q23" i="5"/>
  <c r="Q2" i="5"/>
  <c r="P3" i="5"/>
  <c r="P8" i="5"/>
  <c r="P13" i="5"/>
  <c r="P18" i="5"/>
  <c r="P23" i="5"/>
  <c r="P2" i="5"/>
  <c r="Q12" i="5"/>
  <c r="P7" i="5"/>
  <c r="P22" i="5"/>
  <c r="Q4" i="5"/>
  <c r="Q10" i="5"/>
  <c r="Q14" i="5"/>
  <c r="Q19" i="5"/>
  <c r="Q26" i="5"/>
  <c r="P4" i="5"/>
  <c r="P10" i="5"/>
  <c r="P14" i="5"/>
  <c r="P19" i="5"/>
  <c r="P26" i="5"/>
  <c r="Q17" i="5"/>
  <c r="Q22" i="5"/>
  <c r="P12" i="5"/>
  <c r="Q6" i="5"/>
  <c r="Q11" i="5"/>
  <c r="Q15" i="5"/>
  <c r="Q21" i="5"/>
  <c r="Q24" i="5"/>
  <c r="P6" i="5"/>
  <c r="P11" i="5"/>
  <c r="P15" i="5"/>
  <c r="P21" i="5"/>
  <c r="P24" i="5"/>
  <c r="Q7" i="5"/>
  <c r="Q25" i="5"/>
  <c r="P17" i="5"/>
  <c r="P25" i="5"/>
  <c r="O3" i="5"/>
  <c r="O8" i="5"/>
  <c r="O13" i="5"/>
  <c r="O18" i="5"/>
  <c r="O23" i="5"/>
  <c r="O2" i="5"/>
  <c r="O12" i="5"/>
  <c r="O25" i="5"/>
  <c r="O4" i="5"/>
  <c r="O10" i="5"/>
  <c r="O14" i="5"/>
  <c r="O19" i="5"/>
  <c r="O26" i="5"/>
  <c r="O17" i="5"/>
  <c r="O6" i="5"/>
  <c r="O11" i="5"/>
  <c r="O15" i="5"/>
  <c r="O21" i="5"/>
  <c r="O24" i="5"/>
  <c r="O7" i="5"/>
  <c r="O22" i="5"/>
  <c r="Q6" i="6"/>
  <c r="Q10" i="6"/>
  <c r="Q15" i="6"/>
  <c r="Q20" i="6"/>
  <c r="P3" i="6"/>
  <c r="P8" i="6"/>
  <c r="P13" i="6"/>
  <c r="P18" i="6"/>
  <c r="Q4" i="6"/>
  <c r="Q2" i="6"/>
  <c r="P22" i="6"/>
  <c r="Q7" i="6"/>
  <c r="Q11" i="6"/>
  <c r="Q16" i="6"/>
  <c r="Q22" i="6"/>
  <c r="P4" i="6"/>
  <c r="P9" i="6"/>
  <c r="P14" i="6"/>
  <c r="P19" i="6"/>
  <c r="P2" i="6"/>
  <c r="Q14" i="6"/>
  <c r="P11" i="6"/>
  <c r="Q3" i="6"/>
  <c r="Q8" i="6"/>
  <c r="Q13" i="6"/>
  <c r="Q18" i="6"/>
  <c r="P6" i="6"/>
  <c r="P10" i="6"/>
  <c r="P15" i="6"/>
  <c r="P20" i="6"/>
  <c r="Q9" i="6"/>
  <c r="Q19" i="6"/>
  <c r="P7" i="6"/>
  <c r="P16" i="6"/>
  <c r="O3" i="6"/>
  <c r="O8" i="6"/>
  <c r="O13" i="6"/>
  <c r="O18" i="6"/>
  <c r="O16" i="6"/>
  <c r="O4" i="6"/>
  <c r="O9" i="6"/>
  <c r="O14" i="6"/>
  <c r="O19" i="6"/>
  <c r="O2" i="6"/>
  <c r="O7" i="6"/>
  <c r="O6" i="6"/>
  <c r="O10" i="6"/>
  <c r="O15" i="6"/>
  <c r="O20" i="6"/>
  <c r="O11" i="6"/>
  <c r="O22" i="6"/>
  <c r="Q6" i="7"/>
  <c r="Q10" i="7"/>
  <c r="Q14" i="7"/>
  <c r="Q18" i="7"/>
  <c r="Q22" i="7"/>
  <c r="Q26" i="7"/>
  <c r="P6" i="7"/>
  <c r="P10" i="7"/>
  <c r="P14" i="7"/>
  <c r="P18" i="7"/>
  <c r="P22" i="7"/>
  <c r="P26" i="7"/>
  <c r="Q8" i="7"/>
  <c r="Q16" i="7"/>
  <c r="P8" i="7"/>
  <c r="P16" i="7"/>
  <c r="P24" i="7"/>
  <c r="Q5" i="7"/>
  <c r="Q17" i="7"/>
  <c r="Q25" i="7"/>
  <c r="P9" i="7"/>
  <c r="P17" i="7"/>
  <c r="Q3" i="7"/>
  <c r="Q7" i="7"/>
  <c r="Q11" i="7"/>
  <c r="Q15" i="7"/>
  <c r="Q19" i="7"/>
  <c r="Q23" i="7"/>
  <c r="P3" i="7"/>
  <c r="P7" i="7"/>
  <c r="P11" i="7"/>
  <c r="P15" i="7"/>
  <c r="P19" i="7"/>
  <c r="P23" i="7"/>
  <c r="Q4" i="7"/>
  <c r="Q12" i="7"/>
  <c r="Q20" i="7"/>
  <c r="Q24" i="7"/>
  <c r="P4" i="7"/>
  <c r="P12" i="7"/>
  <c r="R12" i="7" s="1"/>
  <c r="P20" i="7"/>
  <c r="R20" i="7" s="1"/>
  <c r="Q9" i="7"/>
  <c r="Q13" i="7"/>
  <c r="Q21" i="7"/>
  <c r="Q2" i="7"/>
  <c r="P5" i="7"/>
  <c r="P13" i="7"/>
  <c r="P21" i="7"/>
  <c r="P25" i="7"/>
  <c r="P2" i="7"/>
  <c r="O6" i="7"/>
  <c r="O10" i="7"/>
  <c r="O14" i="7"/>
  <c r="O18" i="7"/>
  <c r="O22" i="7"/>
  <c r="O26" i="7"/>
  <c r="O9" i="7"/>
  <c r="O25" i="7"/>
  <c r="O2" i="7"/>
  <c r="O3" i="7"/>
  <c r="O7" i="7"/>
  <c r="O11" i="7"/>
  <c r="O15" i="7"/>
  <c r="O19" i="7"/>
  <c r="O23" i="7"/>
  <c r="O5" i="7"/>
  <c r="O17" i="7"/>
  <c r="O4" i="7"/>
  <c r="O8" i="7"/>
  <c r="O12" i="7"/>
  <c r="O16" i="7"/>
  <c r="O20" i="7"/>
  <c r="O24" i="7"/>
  <c r="O13" i="7"/>
  <c r="O21" i="7"/>
  <c r="R15" i="7" l="1"/>
  <c r="R14" i="3"/>
  <c r="R18" i="5"/>
  <c r="R16" i="6"/>
  <c r="R26" i="5"/>
  <c r="R18" i="3"/>
  <c r="R20" i="3"/>
  <c r="R6" i="4"/>
  <c r="R18" i="4"/>
  <c r="R25" i="4"/>
  <c r="R9" i="4"/>
  <c r="R16" i="4"/>
  <c r="R11" i="4"/>
  <c r="R35" i="5"/>
  <c r="R31" i="5"/>
  <c r="R27" i="5"/>
  <c r="R5" i="5"/>
  <c r="R32" i="3"/>
  <c r="R24" i="3"/>
  <c r="R8" i="3"/>
  <c r="R30" i="6"/>
  <c r="R26" i="6"/>
  <c r="R21" i="6"/>
  <c r="R34" i="5"/>
  <c r="R30" i="5"/>
  <c r="R20" i="5"/>
  <c r="R28" i="3"/>
  <c r="R31" i="3"/>
  <c r="R21" i="3"/>
  <c r="R5" i="3"/>
  <c r="R29" i="6"/>
  <c r="R25" i="6"/>
  <c r="R17" i="6"/>
  <c r="R20" i="6"/>
  <c r="R21" i="4"/>
  <c r="R5" i="4"/>
  <c r="R8" i="4"/>
  <c r="R19" i="4"/>
  <c r="R18" i="2"/>
  <c r="R33" i="5"/>
  <c r="R29" i="5"/>
  <c r="R16" i="5"/>
  <c r="R27" i="3"/>
  <c r="R23" i="3"/>
  <c r="R26" i="3"/>
  <c r="R34" i="3"/>
  <c r="R30" i="3"/>
  <c r="R17" i="3"/>
  <c r="R32" i="6"/>
  <c r="R28" i="6"/>
  <c r="R24" i="6"/>
  <c r="R12" i="6"/>
  <c r="R35" i="3"/>
  <c r="R7" i="6"/>
  <c r="R17" i="4"/>
  <c r="R36" i="5"/>
  <c r="R32" i="5"/>
  <c r="R28" i="5"/>
  <c r="R9" i="5"/>
  <c r="R36" i="3"/>
  <c r="R25" i="3"/>
  <c r="R33" i="3"/>
  <c r="R29" i="3"/>
  <c r="R13" i="3"/>
  <c r="R31" i="6"/>
  <c r="R27" i="6"/>
  <c r="R23" i="6"/>
  <c r="R5" i="6"/>
  <c r="R15" i="6"/>
  <c r="R2" i="6"/>
  <c r="R4" i="6"/>
  <c r="R4" i="3"/>
  <c r="R17" i="5"/>
  <c r="R11" i="5"/>
  <c r="R14" i="5"/>
  <c r="R23" i="5"/>
  <c r="R17" i="2"/>
  <c r="R16" i="2"/>
  <c r="R15" i="2"/>
  <c r="R14" i="2"/>
  <c r="R11" i="2"/>
  <c r="R21" i="7"/>
  <c r="R13" i="7"/>
  <c r="R6" i="5"/>
  <c r="R12" i="4"/>
  <c r="R12" i="5"/>
  <c r="R2" i="5"/>
  <c r="R7" i="3"/>
  <c r="R19" i="3"/>
  <c r="R6" i="6"/>
  <c r="R25" i="5"/>
  <c r="R10" i="6"/>
  <c r="R13" i="5"/>
  <c r="R3" i="4"/>
  <c r="R3" i="2"/>
  <c r="R4" i="7"/>
  <c r="R19" i="5"/>
  <c r="R8" i="5"/>
  <c r="R10" i="3"/>
  <c r="R3" i="5"/>
  <c r="R22" i="3"/>
  <c r="R9" i="2"/>
  <c r="R4" i="2"/>
  <c r="R10" i="5"/>
  <c r="R13" i="2"/>
  <c r="R11" i="6"/>
  <c r="R4" i="5"/>
  <c r="R26" i="4"/>
  <c r="R11" i="3"/>
  <c r="R12" i="2"/>
  <c r="R10" i="2"/>
  <c r="R24" i="5"/>
  <c r="R6" i="3"/>
  <c r="R6" i="2"/>
  <c r="R5" i="2"/>
  <c r="R2" i="2"/>
  <c r="R2" i="7"/>
  <c r="R5" i="7"/>
  <c r="R11" i="7"/>
  <c r="R16" i="7"/>
  <c r="R26" i="7"/>
  <c r="R10" i="7"/>
  <c r="R8" i="7"/>
  <c r="R22" i="7"/>
  <c r="R6" i="7"/>
  <c r="R8" i="2"/>
  <c r="R7" i="2"/>
  <c r="R2" i="3"/>
  <c r="R16" i="3"/>
  <c r="R3" i="3"/>
  <c r="R15" i="3"/>
  <c r="R12" i="3"/>
  <c r="R22" i="4"/>
  <c r="R10" i="4"/>
  <c r="R23" i="4"/>
  <c r="R7" i="4"/>
  <c r="R24" i="4"/>
  <c r="R14" i="4"/>
  <c r="R20" i="4"/>
  <c r="R4" i="4"/>
  <c r="R2" i="4"/>
  <c r="R15" i="4"/>
  <c r="R22" i="5"/>
  <c r="R7" i="5"/>
  <c r="R21" i="5"/>
  <c r="R15" i="5"/>
  <c r="R8" i="6"/>
  <c r="R19" i="6"/>
  <c r="R3" i="6"/>
  <c r="R14" i="6"/>
  <c r="R18" i="6"/>
  <c r="R9" i="6"/>
  <c r="R22" i="6"/>
  <c r="R13" i="6"/>
  <c r="R7" i="7"/>
  <c r="R19" i="7"/>
  <c r="R3" i="7"/>
  <c r="R17" i="7"/>
  <c r="R18" i="7"/>
  <c r="R25" i="7"/>
  <c r="R23" i="7"/>
  <c r="R9" i="7"/>
  <c r="R24" i="7"/>
  <c r="R14" i="7"/>
  <c r="L10" i="19" l="1"/>
  <c r="N10" i="19" l="1"/>
  <c r="L33" i="19" l="1"/>
  <c r="N33" i="19" s="1"/>
  <c r="I33" i="19"/>
  <c r="K33" i="19"/>
  <c r="I39" i="19" l="1"/>
  <c r="K39" i="19"/>
  <c r="J39" i="19"/>
  <c r="C39" i="19" l="1"/>
  <c r="L39" i="19" s="1"/>
  <c r="C17" i="19"/>
  <c r="L17" i="19" l="1"/>
  <c r="N17" i="19" s="1"/>
  <c r="I17" i="19"/>
  <c r="K17" i="19"/>
  <c r="N39" i="19"/>
  <c r="O39" i="19" s="1"/>
  <c r="M39" i="19"/>
  <c r="C30" i="19" l="1"/>
  <c r="C29" i="19" l="1"/>
  <c r="I35" i="19" l="1"/>
  <c r="C35" i="19" l="1"/>
  <c r="L35" i="19" l="1"/>
  <c r="N35" i="19" s="1"/>
  <c r="K35" i="19"/>
  <c r="A65" i="27"/>
  <c r="M65" i="27" l="1"/>
  <c r="I65" i="27"/>
  <c r="J65" i="27" s="1"/>
  <c r="N65" i="27"/>
  <c r="W65" i="27" s="1"/>
  <c r="X21" i="28"/>
  <c r="B22" i="28" s="1"/>
  <c r="A18" i="19"/>
  <c r="I18" i="19" s="1"/>
  <c r="I21" i="19"/>
  <c r="L21" i="19"/>
  <c r="N21" i="19" s="1"/>
  <c r="B65" i="27"/>
  <c r="C65" i="27"/>
  <c r="D65" i="27" l="1"/>
  <c r="F65" i="27" s="1"/>
  <c r="E65" i="27"/>
  <c r="C18" i="19"/>
  <c r="K18" i="19" s="1"/>
  <c r="H65" i="27" l="1"/>
  <c r="G65" i="27" s="1"/>
  <c r="P65" i="27"/>
  <c r="A77" i="27"/>
  <c r="M77" i="27" l="1"/>
  <c r="X65" i="27"/>
  <c r="I77" i="27"/>
  <c r="J77" i="27" s="1"/>
  <c r="N77" i="27"/>
  <c r="W77" i="27" s="1"/>
  <c r="AA21" i="28"/>
  <c r="Z21" i="28" s="1"/>
  <c r="D22" i="28" s="1"/>
  <c r="T65" i="27"/>
  <c r="X33" i="28"/>
  <c r="B34" i="28" s="1"/>
  <c r="V65" i="27"/>
  <c r="D18" i="19"/>
  <c r="L18" i="19" s="1"/>
  <c r="N18" i="19" s="1"/>
  <c r="A30" i="19"/>
  <c r="B77" i="27"/>
  <c r="C77" i="27"/>
  <c r="D77" i="27" l="1"/>
  <c r="F77" i="27" s="1"/>
  <c r="F89" i="27"/>
  <c r="H89" i="27" s="1"/>
  <c r="G89" i="27" s="1"/>
  <c r="E22" i="28"/>
  <c r="K30" i="19"/>
  <c r="I30" i="19"/>
  <c r="E77" i="27"/>
  <c r="H77" i="27" l="1"/>
  <c r="G77" i="27" s="1"/>
  <c r="P89" i="27"/>
  <c r="X89" i="27"/>
  <c r="P77" i="27"/>
  <c r="X77" i="27" l="1"/>
  <c r="AA45" i="28"/>
  <c r="T89" i="27"/>
  <c r="D42" i="19"/>
  <c r="L42" i="19" s="1"/>
  <c r="V89" i="27"/>
  <c r="AA33" i="28"/>
  <c r="Z33" i="28" s="1"/>
  <c r="D34" i="28" s="1"/>
  <c r="T77" i="27"/>
  <c r="V77" i="27"/>
  <c r="D30" i="19"/>
  <c r="L30" i="19" s="1"/>
  <c r="N30" i="19" s="1"/>
  <c r="Z45" i="28" l="1"/>
  <c r="D46" i="28" s="1"/>
  <c r="E46" i="28"/>
  <c r="N42" i="19"/>
  <c r="O42" i="19" s="1"/>
  <c r="M42" i="19"/>
  <c r="E34" i="28"/>
  <c r="A76" i="27"/>
  <c r="C76" i="27"/>
  <c r="M76" i="27" l="1"/>
  <c r="I76" i="27"/>
  <c r="J76" i="27" s="1"/>
  <c r="D76" i="27"/>
  <c r="F76" i="27" s="1"/>
  <c r="N76" i="27"/>
  <c r="W76" i="27" s="1"/>
  <c r="X32" i="28"/>
  <c r="B33" i="28" s="1"/>
  <c r="A29" i="19"/>
  <c r="B76" i="27"/>
  <c r="F87" i="27" l="1"/>
  <c r="H87" i="27" s="1"/>
  <c r="G87" i="27" s="1"/>
  <c r="F88" i="27"/>
  <c r="H88" i="27" s="1"/>
  <c r="G88" i="27" s="1"/>
  <c r="P76" i="27"/>
  <c r="E76" i="27"/>
  <c r="H76" i="27" s="1"/>
  <c r="G76" i="27" s="1"/>
  <c r="K29" i="19"/>
  <c r="I29" i="19"/>
  <c r="P88" i="27" l="1"/>
  <c r="X88" i="27"/>
  <c r="P87" i="27"/>
  <c r="X87" i="27"/>
  <c r="AA32" i="28"/>
  <c r="Z32" i="28" s="1"/>
  <c r="D33" i="28" s="1"/>
  <c r="T76" i="27"/>
  <c r="V76" i="27"/>
  <c r="D29" i="19"/>
  <c r="L29" i="19" s="1"/>
  <c r="N29" i="19" s="1"/>
  <c r="X76" i="27"/>
  <c r="A61" i="27"/>
  <c r="M61" i="27" l="1"/>
  <c r="I61" i="27"/>
  <c r="AA43" i="28"/>
  <c r="V87" i="27"/>
  <c r="T87" i="27"/>
  <c r="D40" i="19"/>
  <c r="L40" i="19" s="1"/>
  <c r="AA44" i="28"/>
  <c r="T88" i="27"/>
  <c r="D41" i="19"/>
  <c r="L41" i="19" s="1"/>
  <c r="V88" i="27"/>
  <c r="N61" i="27"/>
  <c r="W61" i="27" s="1"/>
  <c r="E33" i="28"/>
  <c r="X17" i="28"/>
  <c r="B18" i="28" s="1"/>
  <c r="A14" i="19"/>
  <c r="C61" i="27"/>
  <c r="J48" i="27" l="1"/>
  <c r="J61" i="27"/>
  <c r="D61" i="27"/>
  <c r="F61" i="27" s="1"/>
  <c r="N41" i="19"/>
  <c r="O41" i="19" s="1"/>
  <c r="M41" i="19"/>
  <c r="Z44" i="28"/>
  <c r="D45" i="28" s="1"/>
  <c r="E45" i="28"/>
  <c r="M40" i="19"/>
  <c r="N40" i="19"/>
  <c r="O40" i="19" s="1"/>
  <c r="Z43" i="28"/>
  <c r="D44" i="28" s="1"/>
  <c r="E44" i="28"/>
  <c r="B61" i="27"/>
  <c r="L86" i="27" l="1"/>
  <c r="O86" i="27" s="1"/>
  <c r="Q86" i="27" s="1"/>
  <c r="R85" i="27" s="1"/>
  <c r="L79" i="27"/>
  <c r="O79" i="27" s="1"/>
  <c r="L94" i="27"/>
  <c r="O94" i="27" s="1"/>
  <c r="B47" i="19" s="1"/>
  <c r="L91" i="27"/>
  <c r="O91" i="27" s="1"/>
  <c r="L92" i="27"/>
  <c r="O92" i="27" s="1"/>
  <c r="Q92" i="27" s="1"/>
  <c r="R91" i="27" s="1"/>
  <c r="L69" i="27"/>
  <c r="O69" i="27" s="1"/>
  <c r="L81" i="27"/>
  <c r="O81" i="27" s="1"/>
  <c r="L93" i="27"/>
  <c r="O93" i="27" s="1"/>
  <c r="Y49" i="28" s="1"/>
  <c r="C50" i="28" s="1"/>
  <c r="L70" i="27"/>
  <c r="O70" i="27" s="1"/>
  <c r="L90" i="27"/>
  <c r="O90" i="27" s="1"/>
  <c r="L82" i="27"/>
  <c r="O82" i="27" s="1"/>
  <c r="L68" i="27"/>
  <c r="O68" i="27" s="1"/>
  <c r="L87" i="27"/>
  <c r="O87" i="27" s="1"/>
  <c r="Y43" i="28" s="1"/>
  <c r="C44" i="28" s="1"/>
  <c r="L89" i="27"/>
  <c r="O89" i="27" s="1"/>
  <c r="S89" i="27" s="1"/>
  <c r="L80" i="27"/>
  <c r="O80" i="27" s="1"/>
  <c r="L88" i="27"/>
  <c r="O88" i="27" s="1"/>
  <c r="U88" i="27" s="1"/>
  <c r="F72" i="27"/>
  <c r="H72" i="27" s="1"/>
  <c r="G72" i="27" s="1"/>
  <c r="F73" i="27"/>
  <c r="H73" i="27" s="1"/>
  <c r="G73" i="27" s="1"/>
  <c r="P61" i="27"/>
  <c r="E61" i="27"/>
  <c r="H61" i="27" s="1"/>
  <c r="G61" i="27" s="1"/>
  <c r="I14" i="19"/>
  <c r="C14" i="19"/>
  <c r="K14" i="19" s="1"/>
  <c r="C21" i="19"/>
  <c r="K21" i="19" s="1"/>
  <c r="H48" i="27" l="1"/>
  <c r="L58" i="27" s="1"/>
  <c r="O58" i="27" s="1"/>
  <c r="U58" i="27" s="1"/>
  <c r="L77" i="27"/>
  <c r="O77" i="27" s="1"/>
  <c r="Y33" i="28" s="1"/>
  <c r="C34" i="28" s="1"/>
  <c r="L75" i="27"/>
  <c r="O75" i="27" s="1"/>
  <c r="Q75" i="27" s="1"/>
  <c r="R74" i="27" s="1"/>
  <c r="L78" i="27"/>
  <c r="O78" i="27" s="1"/>
  <c r="S78" i="27" s="1"/>
  <c r="L74" i="27"/>
  <c r="O74" i="27" s="1"/>
  <c r="U74" i="27" s="1"/>
  <c r="L76" i="27"/>
  <c r="O76" i="27" s="1"/>
  <c r="Y32" i="28" s="1"/>
  <c r="C33" i="28" s="1"/>
  <c r="Q94" i="27"/>
  <c r="R93" i="27" s="1"/>
  <c r="U89" i="27"/>
  <c r="Q90" i="27"/>
  <c r="R89" i="27" s="1"/>
  <c r="B43" i="19"/>
  <c r="U90" i="27"/>
  <c r="B45" i="19"/>
  <c r="Y45" i="28"/>
  <c r="C46" i="28" s="1"/>
  <c r="L83" i="27"/>
  <c r="O83" i="27" s="1"/>
  <c r="L84" i="27"/>
  <c r="O84" i="27" s="1"/>
  <c r="Y42" i="28"/>
  <c r="C43" i="28" s="1"/>
  <c r="Y46" i="28"/>
  <c r="C47" i="28" s="1"/>
  <c r="S90" i="27"/>
  <c r="L71" i="27"/>
  <c r="O71" i="27" s="1"/>
  <c r="B39" i="19"/>
  <c r="B42" i="19"/>
  <c r="L72" i="27"/>
  <c r="L73" i="27"/>
  <c r="Q89" i="27"/>
  <c r="R88" i="27" s="1"/>
  <c r="Y48" i="28"/>
  <c r="C49" i="28" s="1"/>
  <c r="S86" i="27"/>
  <c r="Y50" i="28"/>
  <c r="C51" i="28" s="1"/>
  <c r="B44" i="19"/>
  <c r="U91" i="27"/>
  <c r="S91" i="27"/>
  <c r="Q91" i="27"/>
  <c r="R90" i="27" s="1"/>
  <c r="B46" i="19"/>
  <c r="U86" i="27"/>
  <c r="U94" i="27"/>
  <c r="Y47" i="28"/>
  <c r="C48" i="28" s="1"/>
  <c r="S93" i="27"/>
  <c r="S92" i="27"/>
  <c r="S94" i="27"/>
  <c r="U92" i="27"/>
  <c r="Q93" i="27"/>
  <c r="R92" i="27" s="1"/>
  <c r="U93" i="27"/>
  <c r="Q88" i="27"/>
  <c r="R87" i="27" s="1"/>
  <c r="S88" i="27"/>
  <c r="B41" i="19"/>
  <c r="Y44" i="28"/>
  <c r="C45" i="28" s="1"/>
  <c r="Q87" i="27"/>
  <c r="R86" i="27" s="1"/>
  <c r="S87" i="27"/>
  <c r="B40" i="19"/>
  <c r="U87" i="27"/>
  <c r="U82" i="27"/>
  <c r="Q82" i="27"/>
  <c r="R81" i="27" s="1"/>
  <c r="Y38" i="28"/>
  <c r="C39" i="28" s="1"/>
  <c r="S82" i="27"/>
  <c r="B35" i="19"/>
  <c r="J35" i="19" s="1"/>
  <c r="Q81" i="27"/>
  <c r="R80" i="27" s="1"/>
  <c r="B34" i="19"/>
  <c r="J34" i="19" s="1"/>
  <c r="Y37" i="28"/>
  <c r="C38" i="28" s="1"/>
  <c r="U81" i="27"/>
  <c r="S81" i="27"/>
  <c r="Y36" i="28"/>
  <c r="C37" i="28" s="1"/>
  <c r="U80" i="27"/>
  <c r="S80" i="27"/>
  <c r="Q80" i="27"/>
  <c r="R79" i="27" s="1"/>
  <c r="B33" i="19"/>
  <c r="J33" i="19" s="1"/>
  <c r="S69" i="27"/>
  <c r="Q69" i="27"/>
  <c r="R68" i="27" s="1"/>
  <c r="U69" i="27"/>
  <c r="B22" i="19"/>
  <c r="J22" i="19" s="1"/>
  <c r="Y25" i="28"/>
  <c r="C26" i="28" s="1"/>
  <c r="S79" i="27"/>
  <c r="B32" i="19"/>
  <c r="J32" i="19" s="1"/>
  <c r="Y35" i="28"/>
  <c r="C36" i="28" s="1"/>
  <c r="U79" i="27"/>
  <c r="Q79" i="27"/>
  <c r="R78" i="27" s="1"/>
  <c r="S70" i="27"/>
  <c r="Q70" i="27"/>
  <c r="R69" i="27" s="1"/>
  <c r="B23" i="19"/>
  <c r="J23" i="19" s="1"/>
  <c r="U70" i="27"/>
  <c r="Y26" i="28"/>
  <c r="C27" i="28" s="1"/>
  <c r="Q68" i="27"/>
  <c r="R67" i="27" s="1"/>
  <c r="Y24" i="28"/>
  <c r="C25" i="28" s="1"/>
  <c r="U68" i="27"/>
  <c r="S68" i="27"/>
  <c r="B21" i="19"/>
  <c r="J21" i="19" s="1"/>
  <c r="P73" i="27"/>
  <c r="X73" i="27"/>
  <c r="X72" i="27"/>
  <c r="P72" i="27"/>
  <c r="AA17" i="28"/>
  <c r="Z17" i="28" s="1"/>
  <c r="D18" i="28" s="1"/>
  <c r="T61" i="27"/>
  <c r="V61" i="27"/>
  <c r="D14" i="19"/>
  <c r="L14" i="19" s="1"/>
  <c r="N14" i="19" s="1"/>
  <c r="X61" i="27"/>
  <c r="L59" i="27" l="1"/>
  <c r="O59" i="27" s="1"/>
  <c r="B12" i="19" s="1"/>
  <c r="J12" i="19" s="1"/>
  <c r="M12" i="19" s="1"/>
  <c r="L53" i="27"/>
  <c r="O53" i="27" s="1"/>
  <c r="L52" i="27"/>
  <c r="O52" i="27" s="1"/>
  <c r="L54" i="27"/>
  <c r="O54" i="27" s="1"/>
  <c r="L57" i="27"/>
  <c r="O57" i="27" s="1"/>
  <c r="L56" i="27"/>
  <c r="O56" i="27" s="1"/>
  <c r="L55" i="27"/>
  <c r="O55" i="27" s="1"/>
  <c r="B30" i="19"/>
  <c r="J30" i="19" s="1"/>
  <c r="O30" i="19" s="1"/>
  <c r="U75" i="27"/>
  <c r="S75" i="27"/>
  <c r="Y14" i="28"/>
  <c r="C15" i="28" s="1"/>
  <c r="S76" i="27"/>
  <c r="U76" i="27"/>
  <c r="S77" i="27"/>
  <c r="S58" i="27"/>
  <c r="B11" i="19"/>
  <c r="J11" i="19" s="1"/>
  <c r="O11" i="19" s="1"/>
  <c r="Y31" i="28"/>
  <c r="C32" i="28" s="1"/>
  <c r="Q58" i="27"/>
  <c r="R57" i="27" s="1"/>
  <c r="U77" i="27"/>
  <c r="B28" i="19"/>
  <c r="J28" i="19" s="1"/>
  <c r="M28" i="19" s="1"/>
  <c r="B29" i="19"/>
  <c r="J29" i="19" s="1"/>
  <c r="O29" i="19" s="1"/>
  <c r="Q77" i="27"/>
  <c r="R76" i="27" s="1"/>
  <c r="Q76" i="27"/>
  <c r="R75" i="27" s="1"/>
  <c r="B31" i="19"/>
  <c r="J31" i="19" s="1"/>
  <c r="M31" i="19" s="1"/>
  <c r="U78" i="27"/>
  <c r="Q74" i="27"/>
  <c r="R73" i="27" s="1"/>
  <c r="B27" i="19"/>
  <c r="J27" i="19" s="1"/>
  <c r="M27" i="19" s="1"/>
  <c r="Q78" i="27"/>
  <c r="R77" i="27" s="1"/>
  <c r="Y30" i="28"/>
  <c r="C31" i="28" s="1"/>
  <c r="S74" i="27"/>
  <c r="Y34" i="28"/>
  <c r="C35" i="28" s="1"/>
  <c r="L62" i="27"/>
  <c r="O62" i="27" s="1"/>
  <c r="L63" i="27"/>
  <c r="O63" i="27" s="1"/>
  <c r="L61" i="27"/>
  <c r="O61" i="27" s="1"/>
  <c r="L60" i="27"/>
  <c r="O60" i="27" s="1"/>
  <c r="S60" i="27" s="1"/>
  <c r="L64" i="27"/>
  <c r="O64" i="27" s="1"/>
  <c r="L66" i="27"/>
  <c r="O66" i="27" s="1"/>
  <c r="L67" i="27"/>
  <c r="O67" i="27" s="1"/>
  <c r="L65" i="27"/>
  <c r="O65" i="27" s="1"/>
  <c r="L85" i="27"/>
  <c r="O85" i="27" s="1"/>
  <c r="O73" i="27"/>
  <c r="O72" i="27"/>
  <c r="S84" i="27"/>
  <c r="B37" i="19"/>
  <c r="J37" i="19" s="1"/>
  <c r="Y40" i="28"/>
  <c r="C41" i="28" s="1"/>
  <c r="U84" i="27"/>
  <c r="Q84" i="27"/>
  <c r="R83" i="27" s="1"/>
  <c r="M22" i="19"/>
  <c r="O22" i="19"/>
  <c r="Q83" i="27"/>
  <c r="R82" i="27" s="1"/>
  <c r="Y39" i="28"/>
  <c r="C40" i="28" s="1"/>
  <c r="U83" i="27"/>
  <c r="S83" i="27"/>
  <c r="B36" i="19"/>
  <c r="J36" i="19" s="1"/>
  <c r="M21" i="19"/>
  <c r="O21" i="19"/>
  <c r="M23" i="19"/>
  <c r="O23" i="19"/>
  <c r="O35" i="19"/>
  <c r="M35" i="19"/>
  <c r="M32" i="19"/>
  <c r="O32" i="19"/>
  <c r="O33" i="19"/>
  <c r="M33" i="19"/>
  <c r="Y27" i="28"/>
  <c r="C28" i="28" s="1"/>
  <c r="Q71" i="27"/>
  <c r="R70" i="27" s="1"/>
  <c r="S71" i="27"/>
  <c r="U71" i="27"/>
  <c r="B24" i="19"/>
  <c r="J24" i="19" s="1"/>
  <c r="O34" i="19"/>
  <c r="M34" i="19"/>
  <c r="AA28" i="28"/>
  <c r="T72" i="27"/>
  <c r="D25" i="19"/>
  <c r="L25" i="19" s="1"/>
  <c r="V72" i="27"/>
  <c r="AA29" i="28"/>
  <c r="T73" i="27"/>
  <c r="V73" i="27"/>
  <c r="D26" i="19"/>
  <c r="L26" i="19" s="1"/>
  <c r="E18" i="28"/>
  <c r="Y15" i="28" l="1"/>
  <c r="C16" i="28" s="1"/>
  <c r="S59" i="27"/>
  <c r="O12" i="19"/>
  <c r="Q59" i="27"/>
  <c r="R58" i="27" s="1"/>
  <c r="U59" i="27"/>
  <c r="M30" i="19"/>
  <c r="U54" i="27"/>
  <c r="Q54" i="27"/>
  <c r="R53" i="27" s="1"/>
  <c r="S54" i="27"/>
  <c r="Y10" i="28"/>
  <c r="C11" i="28" s="1"/>
  <c r="B7" i="19"/>
  <c r="J7" i="19" s="1"/>
  <c r="B5" i="19"/>
  <c r="J5" i="19" s="1"/>
  <c r="S52" i="27"/>
  <c r="W4" i="27" s="1"/>
  <c r="Q52" i="27"/>
  <c r="Y8" i="28"/>
  <c r="C9" i="28" s="1"/>
  <c r="U52" i="27"/>
  <c r="W6" i="27" s="1"/>
  <c r="U53" i="27"/>
  <c r="S53" i="27"/>
  <c r="B6" i="19"/>
  <c r="J6" i="19" s="1"/>
  <c r="Q53" i="27"/>
  <c r="R52" i="27" s="1"/>
  <c r="Y9" i="28"/>
  <c r="C10" i="28" s="1"/>
  <c r="S55" i="27"/>
  <c r="U55" i="27"/>
  <c r="Y11" i="28"/>
  <c r="C12" i="28" s="1"/>
  <c r="Q55" i="27"/>
  <c r="R54" i="27" s="1"/>
  <c r="B8" i="19"/>
  <c r="J8" i="19" s="1"/>
  <c r="Y12" i="28"/>
  <c r="C13" i="28" s="1"/>
  <c r="S56" i="27"/>
  <c r="Q56" i="27"/>
  <c r="R55" i="27" s="1"/>
  <c r="B9" i="19"/>
  <c r="J9" i="19" s="1"/>
  <c r="U56" i="27"/>
  <c r="Y13" i="28"/>
  <c r="C14" i="28" s="1"/>
  <c r="B10" i="19"/>
  <c r="J10" i="19" s="1"/>
  <c r="U57" i="27"/>
  <c r="S57" i="27"/>
  <c r="Q57" i="27"/>
  <c r="R56" i="27" s="1"/>
  <c r="M11" i="19"/>
  <c r="O28" i="19"/>
  <c r="M29" i="19"/>
  <c r="O31" i="19"/>
  <c r="O27" i="19"/>
  <c r="B13" i="19"/>
  <c r="J13" i="19" s="1"/>
  <c r="O13" i="19" s="1"/>
  <c r="Q60" i="27"/>
  <c r="R59" i="27" s="1"/>
  <c r="Y16" i="28"/>
  <c r="C17" i="28" s="1"/>
  <c r="U60" i="27"/>
  <c r="S63" i="27"/>
  <c r="U63" i="27"/>
  <c r="Q63" i="27"/>
  <c r="R62" i="27" s="1"/>
  <c r="B16" i="19"/>
  <c r="J16" i="19" s="1"/>
  <c r="Y19" i="28"/>
  <c r="C20" i="28" s="1"/>
  <c r="B15" i="19"/>
  <c r="J15" i="19" s="1"/>
  <c r="Y18" i="28"/>
  <c r="C19" i="28" s="1"/>
  <c r="S62" i="27"/>
  <c r="Q62" i="27"/>
  <c r="R61" i="27" s="1"/>
  <c r="U62" i="27"/>
  <c r="Y21" i="28"/>
  <c r="C22" i="28" s="1"/>
  <c r="S65" i="27"/>
  <c r="B18" i="19"/>
  <c r="J18" i="19" s="1"/>
  <c r="Q65" i="27"/>
  <c r="R64" i="27" s="1"/>
  <c r="U65" i="27"/>
  <c r="S67" i="27"/>
  <c r="Y23" i="28"/>
  <c r="C24" i="28" s="1"/>
  <c r="Q67" i="27"/>
  <c r="R66" i="27" s="1"/>
  <c r="B20" i="19"/>
  <c r="J20" i="19" s="1"/>
  <c r="U67" i="27"/>
  <c r="Y22" i="28"/>
  <c r="C23" i="28" s="1"/>
  <c r="U66" i="27"/>
  <c r="S66" i="27"/>
  <c r="B19" i="19"/>
  <c r="J19" i="19" s="1"/>
  <c r="Q66" i="27"/>
  <c r="R65" i="27" s="1"/>
  <c r="Q64" i="27"/>
  <c r="R63" i="27" s="1"/>
  <c r="Y20" i="28"/>
  <c r="C21" i="28" s="1"/>
  <c r="B17" i="19"/>
  <c r="J17" i="19" s="1"/>
  <c r="U64" i="27"/>
  <c r="S64" i="27"/>
  <c r="U85" i="27"/>
  <c r="Y41" i="28"/>
  <c r="C42" i="28" s="1"/>
  <c r="Q85" i="27"/>
  <c r="R84" i="27" s="1"/>
  <c r="B38" i="19"/>
  <c r="J38" i="19" s="1"/>
  <c r="S85" i="27"/>
  <c r="M24" i="19"/>
  <c r="O24" i="19"/>
  <c r="O37" i="19"/>
  <c r="M37" i="19"/>
  <c r="O36" i="19"/>
  <c r="M36" i="19"/>
  <c r="W12" i="27"/>
  <c r="N26" i="19"/>
  <c r="N25" i="19"/>
  <c r="Y29" i="28"/>
  <c r="C30" i="28" s="1"/>
  <c r="S73" i="27"/>
  <c r="Q73" i="27"/>
  <c r="R72" i="27" s="1"/>
  <c r="U73" i="27"/>
  <c r="B26" i="19"/>
  <c r="J26" i="19" s="1"/>
  <c r="M26" i="19" s="1"/>
  <c r="Z29" i="28"/>
  <c r="D30" i="28" s="1"/>
  <c r="E30" i="28"/>
  <c r="Z28" i="28"/>
  <c r="D29" i="28" s="1"/>
  <c r="E29" i="28"/>
  <c r="Y28" i="28"/>
  <c r="C29" i="28" s="1"/>
  <c r="Q72" i="27"/>
  <c r="R71" i="27" s="1"/>
  <c r="S72" i="27"/>
  <c r="U72" i="27"/>
  <c r="B25" i="19"/>
  <c r="J25" i="19" s="1"/>
  <c r="M25" i="19" s="1"/>
  <c r="X12" i="27"/>
  <c r="B14" i="19"/>
  <c r="J14" i="19" s="1"/>
  <c r="M14" i="19" s="1"/>
  <c r="U61" i="27"/>
  <c r="S61" i="27"/>
  <c r="Q61" i="27"/>
  <c r="R60" i="27" s="1"/>
  <c r="Y17" i="28"/>
  <c r="C18" i="28" s="1"/>
  <c r="BB1" i="27" l="1"/>
  <c r="BJ1" i="27" s="1"/>
  <c r="W9" i="27"/>
  <c r="X9" i="27" s="1"/>
  <c r="M5" i="19"/>
  <c r="O5" i="19"/>
  <c r="M6" i="19"/>
  <c r="O6" i="19"/>
  <c r="M7" i="19"/>
  <c r="O7" i="19"/>
  <c r="O10" i="19"/>
  <c r="M10" i="19"/>
  <c r="M9" i="19"/>
  <c r="O9" i="19"/>
  <c r="O8" i="19"/>
  <c r="M8" i="19"/>
  <c r="M13" i="19"/>
  <c r="M16" i="19"/>
  <c r="O16" i="19"/>
  <c r="O15" i="19"/>
  <c r="M15" i="19"/>
  <c r="R49" i="27"/>
  <c r="M18" i="19"/>
  <c r="O18" i="19"/>
  <c r="O17" i="19"/>
  <c r="M17" i="19"/>
  <c r="O19" i="19"/>
  <c r="M19" i="19"/>
  <c r="O20" i="19"/>
  <c r="M20" i="19"/>
  <c r="O38" i="19"/>
  <c r="M38" i="19"/>
  <c r="BE2" i="27"/>
  <c r="O25" i="19"/>
  <c r="O26" i="19"/>
  <c r="AU2" i="27"/>
  <c r="O14" i="19"/>
  <c r="Z4" i="27"/>
  <c r="AA4" i="27"/>
  <c r="AZ2" i="27" s="1"/>
  <c r="BH2" i="27" s="1"/>
  <c r="Z6" i="27"/>
  <c r="Z9" i="27" l="1"/>
  <c r="AA9" i="27" s="1"/>
  <c r="AZ1" i="27"/>
  <c r="BH1" i="27" s="1"/>
  <c r="AE3" i="27" l="1"/>
  <c r="G22" i="18" s="1"/>
  <c r="H24" i="18" s="1"/>
  <c r="AE4" i="27"/>
  <c r="G24" i="18" s="1"/>
  <c r="G26" i="18" s="1"/>
  <c r="H53" i="18" s="1"/>
  <c r="AE5" i="27" l="1"/>
  <c r="H30" i="18" s="1"/>
  <c r="H22" i="18"/>
  <c r="J7" i="29"/>
  <c r="Y12" i="27"/>
  <c r="AP14" i="27" s="1"/>
  <c r="H28" i="18"/>
  <c r="H52" i="18"/>
  <c r="J6" i="29"/>
  <c r="G28" i="18"/>
  <c r="J8" i="29" l="1"/>
  <c r="AP7" i="27"/>
  <c r="AP12" i="27"/>
  <c r="AP8" i="27"/>
  <c r="AP11" i="27"/>
  <c r="AP9" i="27"/>
  <c r="AP6" i="27"/>
  <c r="AP13" i="27"/>
  <c r="AP10" i="27"/>
  <c r="AQ10" i="27" s="1"/>
  <c r="BH5" i="27"/>
  <c r="G11" i="29"/>
  <c r="F13" i="29"/>
  <c r="G37" i="18" s="1"/>
  <c r="P6" i="29"/>
  <c r="G43" i="18" l="1"/>
  <c r="G41" i="18"/>
  <c r="G42" i="18"/>
  <c r="E45" i="18"/>
  <c r="BJ5" i="27"/>
  <c r="BJ6" i="27" s="1"/>
  <c r="BH6" i="27"/>
  <c r="P7" i="29"/>
  <c r="BE8" i="27" l="1"/>
  <c r="F12" i="29" s="1"/>
  <c r="BE7" i="27"/>
  <c r="E12" i="29" s="1"/>
  <c r="H42" i="18" s="1"/>
  <c r="E11" i="29"/>
  <c r="H41" i="18" s="1"/>
  <c r="E9" i="29"/>
  <c r="F14" i="29" s="1"/>
  <c r="AW4" i="27"/>
  <c r="F19" i="29" l="1"/>
  <c r="G19" i="29" s="1"/>
  <c r="E19" i="29"/>
  <c r="H43" i="18"/>
  <c r="E15" i="29"/>
  <c r="F18" i="29" s="1"/>
  <c r="E44" i="18" s="1"/>
  <c r="AZ5" i="27"/>
  <c r="BB6" i="27"/>
  <c r="BB5" i="27"/>
  <c r="AZ6" i="27"/>
  <c r="AW5" i="27" l="1"/>
  <c r="J17" i="29" s="1"/>
  <c r="AW6" i="27" l="1"/>
  <c r="AW7" i="27" s="1"/>
  <c r="J14" i="29" s="1"/>
  <c r="I16" i="29" s="1"/>
  <c r="E46" i="18" s="1"/>
  <c r="G38" i="18" l="1"/>
  <c r="H38" i="18"/>
  <c r="H39" i="18"/>
  <c r="G39" i="18"/>
  <c r="J18" i="29"/>
  <c r="J19" i="29" s="1"/>
  <c r="J20" i="29" s="1"/>
  <c r="J21" i="29" s="1"/>
  <c r="AW9" i="27" s="1"/>
  <c r="AZ10" i="27" s="1"/>
  <c r="K18" i="29" l="1"/>
  <c r="O25" i="29"/>
  <c r="N25" i="29"/>
  <c r="BB11" i="27"/>
  <c r="AZ11" i="27"/>
  <c r="BB10" i="27"/>
  <c r="AW10" i="27" s="1"/>
  <c r="J23" i="29" s="1"/>
  <c r="AW11" i="27" l="1"/>
  <c r="AW12" i="27" s="1"/>
  <c r="J22" i="29" s="1"/>
  <c r="J25" i="29" s="1"/>
  <c r="K25" i="29" s="1"/>
  <c r="J26" i="29" l="1"/>
  <c r="J27" i="29" s="1"/>
  <c r="J28" i="29" s="1"/>
  <c r="AW14" i="27" s="1"/>
  <c r="BB46" i="27" s="1"/>
  <c r="O26" i="29" l="1"/>
  <c r="N26" i="29"/>
  <c r="AZ46" i="27"/>
  <c r="AZ45" i="27"/>
  <c r="BB45" i="27"/>
  <c r="AW45" i="27" l="1"/>
  <c r="J30" i="29" s="1"/>
  <c r="AW46" i="27" l="1"/>
  <c r="AW47" i="27" s="1"/>
  <c r="J29" i="29" s="1"/>
  <c r="J32" i="29" s="1"/>
  <c r="K32" i="29" s="1"/>
  <c r="J33" i="29" l="1"/>
  <c r="N27" i="29" s="1"/>
  <c r="J34" i="29" l="1"/>
  <c r="O27" i="29" s="1"/>
  <c r="J35" i="29" l="1"/>
  <c r="AW49" i="27" s="1"/>
  <c r="AZ51" i="27" s="1"/>
  <c r="AZ50" i="27" l="1"/>
  <c r="BB51" i="27"/>
  <c r="BB50" i="27"/>
  <c r="AW50" i="27" l="1"/>
  <c r="J37" i="29" s="1"/>
  <c r="AW51" i="27"/>
  <c r="AW52" i="27" s="1"/>
  <c r="J36" i="29" s="1"/>
  <c r="J39" i="29" s="1"/>
  <c r="J40" i="29" l="1"/>
  <c r="N28" i="29" s="1"/>
  <c r="K39" i="29"/>
  <c r="J41" i="29" l="1"/>
  <c r="O28" i="29" s="1"/>
  <c r="J42" i="29" l="1"/>
  <c r="AW54" i="27" l="1"/>
  <c r="BB55" i="27" l="1"/>
  <c r="AZ56" i="27"/>
  <c r="AZ55" i="27"/>
  <c r="BB56" i="27"/>
  <c r="AW55" i="27" l="1"/>
  <c r="J44" i="29" s="1"/>
  <c r="AW56" i="27" l="1"/>
  <c r="AW57" i="27" s="1"/>
  <c r="J43" i="29" s="1"/>
</calcChain>
</file>

<file path=xl/sharedStrings.xml><?xml version="1.0" encoding="utf-8"?>
<sst xmlns="http://schemas.openxmlformats.org/spreadsheetml/2006/main" count="945" uniqueCount="375">
  <si>
    <t>INPUT</t>
  </si>
  <si>
    <t>Output</t>
  </si>
  <si>
    <t>Diameter (inches)</t>
  </si>
  <si>
    <t>RPM</t>
  </si>
  <si>
    <t>Torque (Nm)</t>
  </si>
  <si>
    <t>Thrust/Prop (kgf)</t>
  </si>
  <si>
    <t>Motor Efficiency (%)</t>
  </si>
  <si>
    <t>Mechanical Power (W)</t>
  </si>
  <si>
    <t>Tip Speed (M)</t>
  </si>
  <si>
    <t>Electrical Power (W)</t>
  </si>
  <si>
    <t>Figure of Merit</t>
  </si>
  <si>
    <t>g/W (mechanical)</t>
  </si>
  <si>
    <t>g/W (electrical)</t>
  </si>
  <si>
    <t>Voltage</t>
  </si>
  <si>
    <t>Capacity (mAh)</t>
  </si>
  <si>
    <t>Max discharge(%)</t>
  </si>
  <si>
    <t>No of rotors</t>
  </si>
  <si>
    <t>Propeller</t>
  </si>
  <si>
    <t>Thrust</t>
  </si>
  <si>
    <t>Torque</t>
  </si>
  <si>
    <t>Power</t>
  </si>
  <si>
    <t>Weight</t>
  </si>
  <si>
    <t>Density</t>
  </si>
  <si>
    <t>Create new sheet and rename it only with the dia</t>
  </si>
  <si>
    <t>Use the same format, same column of thrust torque rpm mech power</t>
  </si>
  <si>
    <t>In the ineterpolation and extrapolation sheet</t>
  </si>
  <si>
    <t xml:space="preserve">mark the thrust </t>
  </si>
  <si>
    <t>thrust torque rpm</t>
  </si>
  <si>
    <t>max thrust min thrust</t>
  </si>
  <si>
    <t xml:space="preserve">Max min ct cp </t>
  </si>
  <si>
    <t>Go to calculator tab</t>
  </si>
  <si>
    <t xml:space="preserve">Drag down </t>
  </si>
  <si>
    <t>and it should appear</t>
  </si>
  <si>
    <t>Then go back and add last line in the spread sheet</t>
  </si>
  <si>
    <t>Change the last lines cell referencing ( if you copy and past it )</t>
  </si>
  <si>
    <t xml:space="preserve">For chart </t>
  </si>
  <si>
    <t>add if statement to rpm thrust torque</t>
  </si>
  <si>
    <t xml:space="preserve">go to calculator tab and sort </t>
  </si>
  <si>
    <t>Mech power (W)</t>
  </si>
  <si>
    <t>g/W (mech)</t>
  </si>
  <si>
    <t>Elec power</t>
  </si>
  <si>
    <t>g/W elec</t>
  </si>
  <si>
    <t>Time (s)</t>
  </si>
  <si>
    <t>ESC (µs)</t>
  </si>
  <si>
    <t>Thrust [N]</t>
  </si>
  <si>
    <t>Torque (N·m)</t>
  </si>
  <si>
    <t>Thrust (kgf)</t>
  </si>
  <si>
    <t>Voltage (V)</t>
  </si>
  <si>
    <t>Current (A)</t>
  </si>
  <si>
    <t>Motor Optical Speed (RPM)</t>
  </si>
  <si>
    <t>Propeller Mech. Efficiency (kgf/W)</t>
  </si>
  <si>
    <t>Overall Efficiency (kgf/W)</t>
  </si>
  <si>
    <t>g/W</t>
  </si>
  <si>
    <t>Tip Speed</t>
  </si>
  <si>
    <t>Ct</t>
  </si>
  <si>
    <t>Cp</t>
  </si>
  <si>
    <t>FoM</t>
  </si>
  <si>
    <t>Diameter</t>
  </si>
  <si>
    <t>inches</t>
  </si>
  <si>
    <t>m</t>
  </si>
  <si>
    <t>Servo (µs)</t>
  </si>
  <si>
    <t>Endurance (mins)</t>
  </si>
  <si>
    <t>Takeoff weight (kgf)</t>
  </si>
  <si>
    <t>Endurance Calculations - INPUT</t>
  </si>
  <si>
    <t>min</t>
  </si>
  <si>
    <t>max</t>
  </si>
  <si>
    <t>condition</t>
  </si>
  <si>
    <t>Available propellers</t>
  </si>
  <si>
    <t>input density</t>
  </si>
  <si>
    <t>no of blades</t>
  </si>
  <si>
    <t>power factor</t>
  </si>
  <si>
    <t>Database diameter</t>
  </si>
  <si>
    <t>density</t>
  </si>
  <si>
    <t>kg/m3</t>
  </si>
  <si>
    <t>Power factor</t>
  </si>
  <si>
    <t>Airdensity</t>
  </si>
  <si>
    <t>Mech power</t>
  </si>
  <si>
    <t>No of blades</t>
  </si>
  <si>
    <t>iferror</t>
  </si>
  <si>
    <t>if</t>
  </si>
  <si>
    <t>Ctmin</t>
  </si>
  <si>
    <t>Ctmax</t>
  </si>
  <si>
    <t>Cpmin</t>
  </si>
  <si>
    <t>Cpmax</t>
  </si>
  <si>
    <t>Before display</t>
  </si>
  <si>
    <t>interpol</t>
  </si>
  <si>
    <t>power</t>
  </si>
  <si>
    <t>Propeller weight</t>
  </si>
  <si>
    <t>Prop weight</t>
  </si>
  <si>
    <r>
      <t>Airdensity (kg/m</t>
    </r>
    <r>
      <rPr>
        <vertAlign val="superscript"/>
        <sz val="24"/>
        <color theme="0"/>
        <rFont val="Verdana"/>
        <family val="2"/>
      </rPr>
      <t>3</t>
    </r>
    <r>
      <rPr>
        <sz val="24"/>
        <color theme="0"/>
        <rFont val="Verdana"/>
        <family val="2"/>
      </rPr>
      <t>)</t>
    </r>
  </si>
  <si>
    <r>
      <t>Air density kg/m</t>
    </r>
    <r>
      <rPr>
        <vertAlign val="superscript"/>
        <sz val="16"/>
        <color theme="0"/>
        <rFont val="Verdana"/>
        <family val="2"/>
      </rPr>
      <t>3</t>
    </r>
  </si>
  <si>
    <t>Motor KV</t>
  </si>
  <si>
    <t>Motor Power</t>
  </si>
  <si>
    <t>Watts</t>
  </si>
  <si>
    <t>V</t>
  </si>
  <si>
    <t>required power</t>
  </si>
  <si>
    <t>Required KV</t>
  </si>
  <si>
    <t>KV</t>
  </si>
  <si>
    <t>power %</t>
  </si>
  <si>
    <t>KV %</t>
  </si>
  <si>
    <t>KV drop</t>
  </si>
  <si>
    <t>power%</t>
  </si>
  <si>
    <t>Loaded RPM</t>
  </si>
  <si>
    <t>Motor Checking</t>
  </si>
  <si>
    <t>Motor Suggesion</t>
  </si>
  <si>
    <t>Max RPM</t>
  </si>
  <si>
    <t>propeller power at max rpm</t>
  </si>
  <si>
    <t>For motor</t>
  </si>
  <si>
    <t>for motor</t>
  </si>
  <si>
    <t>Min RPM</t>
  </si>
  <si>
    <t>Ct max</t>
  </si>
  <si>
    <t>Ct low</t>
  </si>
  <si>
    <t>Cp max</t>
  </si>
  <si>
    <t>Cp low</t>
  </si>
  <si>
    <t>motor recheck</t>
  </si>
  <si>
    <t>EL power</t>
  </si>
  <si>
    <t>Iteration 2</t>
  </si>
  <si>
    <t>unused power</t>
  </si>
  <si>
    <t>KV drop%</t>
  </si>
  <si>
    <t>IT2</t>
  </si>
  <si>
    <t>Iteration 3</t>
  </si>
  <si>
    <t>IT3</t>
  </si>
  <si>
    <t>Iteration 4</t>
  </si>
  <si>
    <t>IT 4</t>
  </si>
  <si>
    <t>Iteration 5</t>
  </si>
  <si>
    <t>IT5</t>
  </si>
  <si>
    <t>Result</t>
  </si>
  <si>
    <t>Final result</t>
  </si>
  <si>
    <t>This is not OTS propeller</t>
  </si>
  <si>
    <t>Optimum KV</t>
  </si>
  <si>
    <t>Max KV</t>
  </si>
  <si>
    <t>El power</t>
  </si>
  <si>
    <t>Power max</t>
  </si>
  <si>
    <t>Power min</t>
  </si>
  <si>
    <t>W</t>
  </si>
  <si>
    <t>thrust</t>
  </si>
  <si>
    <t>unused</t>
  </si>
  <si>
    <t>Mode</t>
  </si>
  <si>
    <t>Single</t>
  </si>
  <si>
    <t>Coaxial</t>
  </si>
  <si>
    <t>Active mode</t>
  </si>
  <si>
    <t>Propeller Mass (g)</t>
  </si>
  <si>
    <t>Raam Sundhar</t>
  </si>
  <si>
    <t>Radovan Dite</t>
  </si>
  <si>
    <t>Brno, Czech Republic</t>
  </si>
  <si>
    <t>Release date:</t>
  </si>
  <si>
    <t>Location:</t>
  </si>
  <si>
    <t>Version:</t>
  </si>
  <si>
    <t>This calculator is limited to multicopter propellers, which means we cannot enter the propeller pitch</t>
  </si>
  <si>
    <t>Propeller Pitch</t>
  </si>
  <si>
    <t>The reason we are not able to incorporate the pitch settings into this calculator is:</t>
  </si>
  <si>
    <t>If you need more thrust for a multicopter increase the number of blades and not the pitch</t>
  </si>
  <si>
    <t>The calculator is based on the propeller measurements at ground level.</t>
  </si>
  <si>
    <t>All the results you see in the calculator are measured data with some inter and extrapolation from the measured values.</t>
  </si>
  <si>
    <t>i) Propeller Pitch</t>
  </si>
  <si>
    <t>ii)Reynolds number effect</t>
  </si>
  <si>
    <t>iv)Propeller Mass</t>
  </si>
  <si>
    <t>We do not give you overestimated propeller performance.</t>
  </si>
  <si>
    <t>v) Coaxial</t>
  </si>
  <si>
    <t>The power loss will depend on the speed the propellers are rotating etc.</t>
  </si>
  <si>
    <t>vi) Limited only to Mejzlik Propellers</t>
  </si>
  <si>
    <t>vii)Number of blades</t>
  </si>
  <si>
    <t>The maximum number of blades that you can add is 14</t>
  </si>
  <si>
    <t>Propellers</t>
  </si>
  <si>
    <t>Motors</t>
  </si>
  <si>
    <t>The blog will give the basics of propeller and motor power consumption</t>
  </si>
  <si>
    <t>Created by:</t>
  </si>
  <si>
    <t>But when we put a propeller on to the motor, it will not spin at 4000 RPM, its RPM will reduce based on the load</t>
  </si>
  <si>
    <t>This is not an accurate way to do it as this model does not represent the performance of all the motors exactly in the market.</t>
  </si>
  <si>
    <t>The endurance calculator is straightforward</t>
  </si>
  <si>
    <t>We divide the Wh of the battery with the W required for hover.</t>
  </si>
  <si>
    <t>viii)Air density</t>
  </si>
  <si>
    <t>This calculator has been made as simple as possible</t>
  </si>
  <si>
    <t>This calculator will work without any problem in Excel 2016 and Office 365 version</t>
  </si>
  <si>
    <t>Thank you for using the calculator.</t>
  </si>
  <si>
    <t>info@mejzlik.eu</t>
  </si>
  <si>
    <t>If you have any doubts please write to info@mejzlik.eu</t>
  </si>
  <si>
    <t>Feedbacks are welcomed</t>
  </si>
  <si>
    <t>* unless the drone is flying at very high speeds and at high AoA</t>
  </si>
  <si>
    <t>The airfoils which we use for multicopter and fixed wings are different.</t>
  </si>
  <si>
    <t>Increasing the pitch will reduce the efficiency of multicopter propeller in its operating regime*</t>
  </si>
  <si>
    <t>iii)Manufacturing differences:</t>
  </si>
  <si>
    <t>Not all propellers perform the same way.</t>
  </si>
  <si>
    <t>Also based on the configuration there are chances that the one rotor has higher power loss compared to the other rotor on the same arm.</t>
  </si>
  <si>
    <t>But the calculator has an option for coaxial where you need to enter the loss percentage manually, and the power consumption is changed accordingly.</t>
  </si>
  <si>
    <t>If you are using different propeller brand then you can still use the power consumption from this calculator, but the RPMs and the torque value will be different. **</t>
  </si>
  <si>
    <t>You won’t be able to use the motor calculations (since the RPM and torque will be different)</t>
  </si>
  <si>
    <t>But in reality, you will not need more blades because of disk loading.</t>
  </si>
  <si>
    <t>Ever wondered why most of the drones have 2-3 blades and don’t have more blades?</t>
  </si>
  <si>
    <t>It is because of disk loading. You can read about disk loading here in this blog. https://www.mejzlik.eu/articles/9-how-to-make-your-ideas-fly</t>
  </si>
  <si>
    <t>The air density during our propeller testing is an approximate number,</t>
  </si>
  <si>
    <t>KV is the measure of speed for the motor for 1V</t>
  </si>
  <si>
    <t>E.g. If the KV of the motor is 100 and the voltage is 40 the motor spins at 4000 RPM unloaded</t>
  </si>
  <si>
    <t>If you have any doubts or suggestions please write to our email ID below, we are always happy to help you</t>
  </si>
  <si>
    <t>So please do not worry about the reliability of the data, we are honest and open about what we can deliver, and we deliver what we say.</t>
  </si>
  <si>
    <t>Please read the document carefully. There are certain operating conditions that the performance of the propeller will change slightly which has been commented below</t>
  </si>
  <si>
    <t>Once you enter the propeller diameter the propeller pitch is automatically chosen to give the best hover performance</t>
  </si>
  <si>
    <t>Airfoils are chosen in such a way that it gives us the best efficiency at the operating points, so we cannot use the same airfoil for both fixed-wing and multicopter propellers</t>
  </si>
  <si>
    <t>We can make a static thrust calculator for fixed-wing propellers as well but the limitations are:</t>
  </si>
  <si>
    <t>After a certain pitch angle, the propeller will be in stall condition during the static condition, but such pitch angle is useful for forward flight conditions. The propeller will recover from stall as the airspeed increases.</t>
  </si>
  <si>
    <t>And the static data will not be much of a use for forward flight cases, that is why we are working on to provide you with dynamic data for our fixed-wing propellers</t>
  </si>
  <si>
    <t>Even though the design is the same, moulds are the same, in reality, there will be about 0-3% difference in the performance of the propellers having the same design.</t>
  </si>
  <si>
    <t>So, we suggest you expect 0-3% difference from the values from the calculator.</t>
  </si>
  <si>
    <t>As mentioned previously not all propellers are the same. There will be a difference in propeller weight because of the manufacturing differences</t>
  </si>
  <si>
    <t>The accuracy of propeller weights for the ones which are not available as OTS will be less, you should only consider that as a rough estimate, especially props with a diameter of 40+''</t>
  </si>
  <si>
    <t>For some cases, we recommend propellers with thicker propeller hub (HD hub) which will increase the propeller's weight</t>
  </si>
  <si>
    <t>The most common assumption is "if the diameter and pitch is same then the propeller performance should be same" But the answer is No</t>
  </si>
  <si>
    <t>Even if the propeller diameter and pitch is the same with a different brand, the results will not match.</t>
  </si>
  <si>
    <t>This will give you different results for different propeller manufacturers even though the pitch and diameter are the same.</t>
  </si>
  <si>
    <t>This calculator is made from Mejzlik propeller's test results, so we cannot guarantee good accuracy with other brand propellers.</t>
  </si>
  <si>
    <t>The accuracy of the results will reduce as we increase the number of blades, the reason is the influence of the blades increases when we have a higher number of blades</t>
  </si>
  <si>
    <t>It could also be because of low motor KV which is not discussed in the blog post. But that does not come under disk loading anyways.</t>
  </si>
  <si>
    <t>If the load is more the KV drop is also more. So we tried to take a few motor data that are available on the web</t>
  </si>
  <si>
    <t>In the future version, the user will be able to input their motor models to get more accurate results.</t>
  </si>
  <si>
    <t>Even though these are test results, in reality, you will require slightly more power</t>
  </si>
  <si>
    <t>  Hover thrust/propeller  </t>
  </si>
  <si>
    <t>  Maximum thrust/propeller  </t>
  </si>
  <si>
    <t>     </t>
  </si>
  <si>
    <t>  For now the calculator works with the following units:  </t>
  </si>
  <si>
    <t>  Inches for diameter  </t>
  </si>
  <si>
    <t>  kilograms for thrust  </t>
  </si>
  <si>
    <t>  kg/m3 for air density   </t>
  </si>
  <si>
    <t>  So if you are working with any other unit I request everyone to change to the above-mentioned units.  </t>
  </si>
  <si>
    <t>  Eg:  </t>
  </si>
  <si>
    <t>  With the above inputs we can calculate the hover thrust  </t>
  </si>
  <si>
    <t>  In the output section you can see the performance of the propeller  </t>
  </si>
  <si>
    <t>  Apart from the hover thrust, you will require additional thrust for maneuvering,stability and control  </t>
  </si>
  <si>
    <t>  It is denoted by the term thrust/weight often represented as T/W  </t>
  </si>
  <si>
    <t>  Generally, drones have T/W=2 which means that the max thrust is 2x the hover thrust  </t>
  </si>
  <si>
    <t>  Racing drones will have higher T/W   </t>
  </si>
  <si>
    <t>  Hybrid VTOL drones will have lower T/W as they do not have to manever  </t>
  </si>
  <si>
    <t>  Higher the T/W, faster will be the climb rate and the speed  </t>
  </si>
  <si>
    <t>  In the output section, you can see the performance of the propeller  </t>
  </si>
  <si>
    <t>  Motor calculations  </t>
  </si>
  <si>
    <t>  Note that we must always use maximum thrust to choose the motor  </t>
  </si>
  <si>
    <t>  To find the ideal motor for this use case:  </t>
  </si>
  <si>
    <t>  Input the electrical power from the propeller output into the motor section  </t>
  </si>
  <si>
    <t>  Enter the operating voltage  </t>
  </si>
  <si>
    <t>  In the output, you will find that the optimum and the maximum KV is the same  </t>
  </si>
  <si>
    <t>  But in reality, it is very hard to find the exact KV and power combination since the takeoff weight thrust diameter of the drones are different  </t>
  </si>
  <si>
    <t>  The operating voltage is a range and not constant which will change the motor parameter as well  </t>
  </si>
  <si>
    <t>  So to check if the found motor is suitable for this use case you can type the motor power, KV and voltage and it will give you the output  </t>
  </si>
  <si>
    <t>  Let's say we have a motor with:  </t>
  </si>
  <si>
    <t>  KV-100  </t>
  </si>
  <si>
    <t>  In the output, you can see that the motor is good enough  </t>
  </si>
  <si>
    <t>  Which means that the motor will be able to produce the required max thrust of the drone   </t>
  </si>
  <si>
    <t>  Remember you need to enter the motor power at the specific voltage that you are operating at.  </t>
  </si>
  <si>
    <t>  Most of the motors are limited by Amps, So the power of the motor changes with the operating voltage.  </t>
  </si>
  <si>
    <t>  So make sure you enter the correct power  </t>
  </si>
  <si>
    <t>  Additionally, you can also see the maximum thrust produced and unused power of the motor  </t>
  </si>
  <si>
    <t>  But more unused power we have more the motor efficiency  </t>
  </si>
  <si>
    <t>  But more unused power we have the more unused weight we carry.  </t>
  </si>
  <si>
    <t>  Max KV means that the motor will use 100 % of its power, producing additional thrust than required.  </t>
  </si>
  <si>
    <t>  If the entered KV is more than the maximum KV  </t>
  </si>
  <si>
    <t>  You will get "the motor is good enough", reduce the KV  </t>
  </si>
  <si>
    <t>  This means that the motor will produce the required thrust but it will overload the motor at 100% throttle  </t>
  </si>
  <si>
    <t>  If the motor power is less than the power required by the propeller </t>
  </si>
  <si>
    <t>  you have to change the motor  </t>
  </si>
  <si>
    <t>  You must find a motor with increased power  </t>
  </si>
  <si>
    <t>  Performance At higher altitude:  </t>
  </si>
  <si>
    <t>  You need to know the air density at the altitude you need to operate.  </t>
  </si>
  <si>
    <t>  Enter the air density in the input column  </t>
  </si>
  <si>
    <t>  Changing the number of blades  </t>
  </si>
  <si>
    <t>  You can increase the number of blades  </t>
  </si>
  <si>
    <t>  Changing the number of blades has more influence on motor KV   </t>
  </si>
  <si>
    <t>  Motor efficiency  </t>
  </si>
  <si>
    <t>  You need to enter valid motor efficiency to calculate the electrical power from the mechanical power  </t>
  </si>
  <si>
    <t>  If you are not sure how it works we recommend you to read this blog post  </t>
  </si>
  <si>
    <t>  When mentioned motor efficiency it is the efficiency of the motor and the ESC together  </t>
  </si>
  <si>
    <t>  If you do not know the motor efficiency we recommend you to assume something between 75 to 80 %  </t>
  </si>
  <si>
    <t>  This number depends on the quality and power of the motor  </t>
  </si>
  <si>
    <t>  Mode  </t>
  </si>
  <si>
    <t>  Single mode:  </t>
  </si>
  <si>
    <t>  It is for a propeller without any overlap or coaxial flow.  </t>
  </si>
  <si>
    <t>  Coaxial:  </t>
  </si>
  <si>
    <t>  We know that there will be loss in efficiency, but the % of loss will differ based on the configuration  </t>
  </si>
  <si>
    <t>  So the user can enter the % of loss which will add up to the mechanical power.  </t>
  </si>
  <si>
    <t>  This version is a simplified version, there might be changes in RPMs too, but this version does not take those into consideration  </t>
  </si>
  <si>
    <t>  If you want to have the complete propeller performance data then go to the Propeller performance tab  </t>
  </si>
  <si>
    <t>  You will be able to copy the contents of the cells for your further analysis.  </t>
  </si>
  <si>
    <t>  Thank you for using the calculator.  </t>
  </si>
  <si>
    <t>  If you have any doubts or suggestions please write to our email ID below, we are always happy to help you  </t>
  </si>
  <si>
    <t>  </t>
  </si>
  <si>
    <r>
      <rPr>
        <sz val="11"/>
        <color rgb="FFFFCD00"/>
        <rFont val="Verdana"/>
        <family val="2"/>
      </rPr>
      <t>  </t>
    </r>
    <r>
      <rPr>
        <u/>
        <sz val="11"/>
        <color rgb="FFFFCD00"/>
        <rFont val="Verdana"/>
        <family val="2"/>
      </rPr>
      <t>info@mejzlik.eu</t>
    </r>
    <r>
      <rPr>
        <sz val="11"/>
        <color rgb="FFFFCD00"/>
        <rFont val="Verdana"/>
        <family val="2"/>
      </rPr>
      <t>  </t>
    </r>
  </si>
  <si>
    <t>Email:</t>
  </si>
  <si>
    <t>*** accuracy could be lower, based on the motor, this is number is based on our experience</t>
  </si>
  <si>
    <t>Not an OTS propeller</t>
  </si>
  <si>
    <t xml:space="preserve">  change the prop size/no of blades and choose something which available OTS, </t>
  </si>
  <si>
    <t xml:space="preserve">  Or if you want us to manufacture your calculated prop send us a request through email</t>
  </si>
  <si>
    <t xml:space="preserve"> But you will have to pay for the tooling in this case.</t>
  </si>
  <si>
    <t xml:space="preserve">  If we do not have the calculated propeller, you will get a display saying it is not an OTS prop</t>
  </si>
  <si>
    <t xml:space="preserve">  In that case, you can :</t>
  </si>
  <si>
    <t>Endurance</t>
  </si>
  <si>
    <t>Enter the battery voltage and capacity</t>
  </si>
  <si>
    <t>Enter the maximum capacity that you want to discharge from the battery</t>
  </si>
  <si>
    <t>If you discharge 100%  capacity of the battery there are chances that the battery could have permanent damage and will not be able to recharge again</t>
  </si>
  <si>
    <t>UAV</t>
  </si>
  <si>
    <t>Graphs</t>
  </si>
  <si>
    <t>Motor Checking-INPUT</t>
  </si>
  <si>
    <t>https://www.mejzlik.eu/articles/8-understanding-power</t>
  </si>
  <si>
    <t>To start with we also recommend you to read this blog post</t>
  </si>
  <si>
    <t>1) Propellers</t>
  </si>
  <si>
    <t>3) Endurance calculator</t>
  </si>
  <si>
    <t>When you enter low air densities (higher altitude) the accuracy will be slightly lower.</t>
  </si>
  <si>
    <t>The performance will be underestimated slightly when the air density is higher than the tested air density.</t>
  </si>
  <si>
    <t>Coaxial propeller configuration is quite complicated so there is no one-number solution for the amount of loss.</t>
  </si>
  <si>
    <t>So we will not be able to help you on that right now - We are working on in-house coaxial simulation software at this moment .</t>
  </si>
  <si>
    <t>** depends on the brand</t>
  </si>
  <si>
    <t>Limitations of this calculator:</t>
  </si>
  <si>
    <t>All the values you see will be only applicable if it is a Mejzlik multicopter propeller</t>
  </si>
  <si>
    <t>2) Motors</t>
  </si>
  <si>
    <t>We keep updating the sheet with more accurate data</t>
  </si>
  <si>
    <t>This calculator only gives you only rough motor suggestions. The final result should be verified by your chosen motor manufacturer.</t>
  </si>
  <si>
    <t>We are not motor manufacturers so we do not have complete control over this parameter. We can help you choosing best fitting motor partner.</t>
  </si>
  <si>
    <t>KV is the speed constant of the motor</t>
  </si>
  <si>
    <t>KV is measured when the motor is unloaded, i.e., without any propeller on it</t>
  </si>
  <si>
    <t>When we put a load (propeller) on the motor the RPM of the motor drop even further.</t>
  </si>
  <si>
    <t>and modeled the KV drop based on the power and used an average model in this calculator which will give us a rough estimate</t>
  </si>
  <si>
    <t>There will be additional power consumption for the control, to balance the gust wind etc.</t>
  </si>
  <si>
    <t xml:space="preserve">  Before starting the calculator we need to break down the information we have into   </t>
  </si>
  <si>
    <r>
      <t xml:space="preserve">  Takeoff weight </t>
    </r>
    <r>
      <rPr>
        <sz val="11"/>
        <color rgb="FFFFCD00"/>
        <rFont val="Verdana"/>
        <family val="2"/>
      </rPr>
      <t>20 kgs</t>
    </r>
    <r>
      <rPr>
        <sz val="11"/>
        <color theme="0"/>
        <rFont val="Verdana"/>
        <family val="2"/>
      </rPr>
      <t>  </t>
    </r>
  </si>
  <si>
    <r>
      <t xml:space="preserve">  no of rotors in the drone is </t>
    </r>
    <r>
      <rPr>
        <sz val="11"/>
        <color rgb="FFFFCD00"/>
        <rFont val="Verdana"/>
        <family val="2"/>
      </rPr>
      <t>4</t>
    </r>
    <r>
      <rPr>
        <sz val="11"/>
        <color theme="0"/>
        <rFont val="Verdana"/>
        <family val="2"/>
      </rPr>
      <t>   </t>
    </r>
  </si>
  <si>
    <r>
      <t xml:space="preserve">  Maximum prop diameter </t>
    </r>
    <r>
      <rPr>
        <sz val="11"/>
        <color rgb="FFFFCD00"/>
        <rFont val="Verdana"/>
        <family val="2"/>
      </rPr>
      <t>28''</t>
    </r>
    <r>
      <rPr>
        <sz val="11"/>
        <color theme="0"/>
        <rFont val="Verdana"/>
        <family val="2"/>
      </rPr>
      <t>  </t>
    </r>
  </si>
  <si>
    <r>
      <t xml:space="preserve">  Hover thrust / prop = 20/4 =&gt; </t>
    </r>
    <r>
      <rPr>
        <sz val="11"/>
        <color rgb="FFFFCD00"/>
        <rFont val="Verdana"/>
        <family val="2"/>
      </rPr>
      <t>5 kgs  </t>
    </r>
  </si>
  <si>
    <r>
      <t xml:space="preserve">  So for this example, we will assume T/W of </t>
    </r>
    <r>
      <rPr>
        <sz val="11"/>
        <color rgb="FFFFCD00"/>
        <rFont val="Verdana"/>
        <family val="2"/>
      </rPr>
      <t xml:space="preserve">2  </t>
    </r>
    <r>
      <rPr>
        <sz val="11"/>
        <color theme="0"/>
        <rFont val="Verdana"/>
        <family val="2"/>
      </rPr>
      <t> </t>
    </r>
  </si>
  <si>
    <r>
      <t xml:space="preserve">  The max thrust will be </t>
    </r>
    <r>
      <rPr>
        <sz val="11"/>
        <color rgb="FFFFCD00"/>
        <rFont val="Verdana"/>
        <family val="2"/>
      </rPr>
      <t>10 kgs  </t>
    </r>
  </si>
  <si>
    <r>
      <t xml:space="preserve">  Change the thrust to </t>
    </r>
    <r>
      <rPr>
        <sz val="11"/>
        <color rgb="FFFFCD00"/>
        <rFont val="Verdana"/>
        <family val="2"/>
      </rPr>
      <t>10 kgs  </t>
    </r>
  </si>
  <si>
    <r>
      <t xml:space="preserve">  So the Ideal KV is </t>
    </r>
    <r>
      <rPr>
        <sz val="11"/>
        <color rgb="FFFFCD00"/>
        <rFont val="Verdana"/>
        <family val="2"/>
      </rPr>
      <t>105 KV</t>
    </r>
    <r>
      <rPr>
        <sz val="11"/>
        <color theme="0"/>
        <rFont val="Verdana"/>
        <family val="2"/>
      </rPr>
      <t xml:space="preserve"> for this use case  </t>
    </r>
  </si>
  <si>
    <r>
      <t>  </t>
    </r>
    <r>
      <rPr>
        <sz val="11"/>
        <color rgb="FFFFCD00"/>
        <rFont val="Verdana"/>
        <family val="2"/>
      </rPr>
      <t>Power-2800W  </t>
    </r>
  </si>
  <si>
    <r>
      <t xml:space="preserve">  Optimum Kv means if the motor is </t>
    </r>
    <r>
      <rPr>
        <sz val="11"/>
        <color rgb="FFFFCD00"/>
        <rFont val="Verdana"/>
        <family val="2"/>
      </rPr>
      <t>93.88 KV</t>
    </r>
    <r>
      <rPr>
        <sz val="11"/>
        <color theme="0"/>
        <rFont val="Verdana"/>
        <family val="2"/>
      </rPr>
      <t xml:space="preserve"> then it will produce </t>
    </r>
    <r>
      <rPr>
        <sz val="11"/>
        <color rgb="FFFFCD00"/>
        <rFont val="Verdana"/>
        <family val="2"/>
      </rPr>
      <t>10 kg</t>
    </r>
    <r>
      <rPr>
        <sz val="11"/>
        <color theme="0"/>
        <rFont val="Verdana"/>
        <family val="2"/>
      </rPr>
      <t xml:space="preserve"> of max thrust and it will have some unused power  </t>
    </r>
  </si>
  <si>
    <r>
      <t xml:space="preserve">  Here you can see if the motor is </t>
    </r>
    <r>
      <rPr>
        <sz val="11"/>
        <color rgb="FFFFCD00"/>
        <rFont val="Verdana"/>
        <family val="2"/>
      </rPr>
      <t>121.40 KV</t>
    </r>
    <r>
      <rPr>
        <sz val="11"/>
        <color theme="0"/>
        <rFont val="Verdana"/>
        <family val="2"/>
      </rPr>
      <t xml:space="preserve"> it would produce </t>
    </r>
    <r>
      <rPr>
        <sz val="11"/>
        <color rgb="FFFFCD00"/>
        <rFont val="Verdana"/>
        <family val="2"/>
      </rPr>
      <t>13.81 kgs </t>
    </r>
  </si>
  <si>
    <r>
      <t xml:space="preserve">  of max thrust instead of </t>
    </r>
    <r>
      <rPr>
        <sz val="11"/>
        <color rgb="FFFFCD00"/>
        <rFont val="Verdana"/>
        <family val="2"/>
      </rPr>
      <t>10 kgs  </t>
    </r>
  </si>
  <si>
    <r>
      <t xml:space="preserve">  If you are operating at </t>
    </r>
    <r>
      <rPr>
        <sz val="11"/>
        <color rgb="FFFFCD00"/>
        <rFont val="Verdana"/>
        <family val="2"/>
      </rPr>
      <t>15000 feet</t>
    </r>
    <r>
      <rPr>
        <sz val="11"/>
        <color theme="0"/>
        <rFont val="Verdana"/>
        <family val="2"/>
      </rPr>
      <t xml:space="preserve">, the air density should be approx </t>
    </r>
    <r>
      <rPr>
        <sz val="11"/>
        <color rgb="FFFFCD00"/>
        <rFont val="Verdana"/>
        <family val="2"/>
      </rPr>
      <t>0.7708</t>
    </r>
    <r>
      <rPr>
        <sz val="11"/>
        <color theme="0"/>
        <rFont val="Verdana"/>
        <family val="2"/>
      </rPr>
      <t>  </t>
    </r>
  </si>
  <si>
    <r>
      <t xml:space="preserve">  If you are operating at sea level the air density should be </t>
    </r>
    <r>
      <rPr>
        <sz val="11"/>
        <color rgb="FFFFCD00"/>
        <rFont val="Verdana"/>
        <family val="2"/>
      </rPr>
      <t>1.225  </t>
    </r>
  </si>
  <si>
    <r>
      <t>  and if you are operating in water the density should be</t>
    </r>
    <r>
      <rPr>
        <sz val="11"/>
        <color rgb="FFFFCD00"/>
        <rFont val="Verdana"/>
        <family val="2"/>
      </rPr>
      <t xml:space="preserve"> 998   </t>
    </r>
  </si>
  <si>
    <r>
      <t xml:space="preserve">  Max number of blades is </t>
    </r>
    <r>
      <rPr>
        <sz val="11"/>
        <color rgb="FFFFCD00"/>
        <rFont val="Verdana"/>
        <family val="2"/>
      </rPr>
      <t>14  </t>
    </r>
  </si>
  <si>
    <r>
      <rPr>
        <sz val="11"/>
        <color theme="10"/>
        <rFont val="Verdana"/>
        <family val="2"/>
      </rPr>
      <t xml:space="preserve">  </t>
    </r>
    <r>
      <rPr>
        <u/>
        <sz val="11"/>
        <color theme="10"/>
        <rFont val="Verdana"/>
        <family val="2"/>
      </rPr>
      <t>https://www.mejzlik.eu/articles/8-understanding-power</t>
    </r>
  </si>
  <si>
    <t>Motor Model</t>
  </si>
  <si>
    <t>With the assumed motor model, the accuracy in KV could be ~ 80% ***</t>
  </si>
  <si>
    <t>Geometry</t>
  </si>
  <si>
    <t>r/R</t>
  </si>
  <si>
    <t>c/R</t>
  </si>
  <si>
    <t>Beta</t>
  </si>
  <si>
    <t>r</t>
  </si>
  <si>
    <t>c</t>
  </si>
  <si>
    <t>R (%)</t>
  </si>
  <si>
    <t>r (mm)</t>
  </si>
  <si>
    <t>c (mm)</t>
  </si>
  <si>
    <t>t (mm)</t>
  </si>
  <si>
    <t>angle (deg)</t>
  </si>
  <si>
    <t>Dia</t>
  </si>
  <si>
    <t>`</t>
  </si>
  <si>
    <t>Rho</t>
  </si>
  <si>
    <t>at r/R=0.75</t>
  </si>
  <si>
    <t>Redata</t>
  </si>
  <si>
    <t>Re calculated</t>
  </si>
  <si>
    <t>DATABASE</t>
  </si>
  <si>
    <t>To calculate</t>
  </si>
  <si>
    <t>FoM-Re</t>
  </si>
  <si>
    <t>Re Data</t>
  </si>
  <si>
    <t>Fom for max</t>
  </si>
  <si>
    <t>air temperature</t>
  </si>
  <si>
    <t>°C</t>
  </si>
  <si>
    <t>air pressure</t>
  </si>
  <si>
    <t>hPa</t>
  </si>
  <si>
    <t>relative humidity</t>
  </si>
  <si>
    <t>%</t>
  </si>
  <si>
    <t>  There will not be much of a difference in Mechanical power  </t>
  </si>
  <si>
    <t>The power consumption is changed based on coax loss, but then the RPM stays the same therefore the torque is increased. The coaxial calculation might not represent operating point RPM.</t>
  </si>
  <si>
    <t>The reason is different propeller manufacturers use different airfoil, chord and pitch distributions.</t>
  </si>
  <si>
    <t xml:space="preserve">  But there will be a change in motor efficiency if we use the same motor</t>
  </si>
  <si>
    <t xml:space="preserve">    </t>
  </si>
  <si>
    <t xml:space="preserve">  You can find how the motor efficiency changes with increase in number of blades our blog post</t>
  </si>
  <si>
    <t xml:space="preserve">  So the electrical power depends on the motor effieicncy input that we give, so please be careful while entering motor efficiency </t>
  </si>
  <si>
    <t>So, this does not have any macro mode so that the user does not have to install  or enable any type off add-ins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</si>
</sst>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F800]dddd\,\ mmmm\ dd\,\ yyyy"/>
    <numFmt numFmtId="167" formatCode="0.0"/>
  </numFmts>
  <fonts count="41" x14ac:knownFonts="1">
    <font>
      <sz val="11"/>
      <color theme="1"/>
      <name val="Calibri"/>
      <family val="2"/>
      <scheme val="minor"/>
    </font>
    <font>
      <sz val="11"/>
      <color rgb="FFFFCD00"/>
      <name val="Verdana"/>
      <family val="2"/>
    </font>
    <font>
      <b/>
      <sz val="26"/>
      <color rgb="FFFFCD00"/>
      <name val="Verdana"/>
      <family val="2"/>
    </font>
    <font>
      <b/>
      <sz val="24"/>
      <color rgb="FFFFCD00"/>
      <name val="Verdana"/>
      <family val="2"/>
    </font>
    <font>
      <sz val="24"/>
      <color rgb="FFFFCD00"/>
      <name val="Verdana"/>
      <family val="2"/>
    </font>
    <font>
      <sz val="11"/>
      <color theme="1"/>
      <name val="Calibri"/>
      <family val="2"/>
      <charset val="238"/>
      <scheme val="minor"/>
    </font>
    <font>
      <b/>
      <sz val="8"/>
      <name val="Verdana"/>
      <family val="2"/>
      <charset val="238"/>
    </font>
    <font>
      <b/>
      <sz val="11"/>
      <color theme="1"/>
      <name val="Calibri"/>
      <family val="2"/>
      <scheme val="minor"/>
    </font>
    <font>
      <b/>
      <sz val="24"/>
      <color theme="0"/>
      <name val="Verdana"/>
      <family val="2"/>
    </font>
    <font>
      <b/>
      <sz val="24"/>
      <color theme="0" tint="-4.9989318521683403E-2"/>
      <name val="Verdana"/>
      <family val="2"/>
    </font>
    <font>
      <sz val="24"/>
      <color theme="0"/>
      <name val="Verdana"/>
      <family val="2"/>
    </font>
    <font>
      <vertAlign val="superscript"/>
      <sz val="24"/>
      <color theme="0"/>
      <name val="Verdana"/>
      <family val="2"/>
    </font>
    <font>
      <sz val="11"/>
      <color rgb="FFFFCD00"/>
      <name val="Calibri"/>
      <family val="2"/>
      <scheme val="minor"/>
    </font>
    <font>
      <sz val="16"/>
      <color theme="0"/>
      <name val="Verdana"/>
      <family val="2"/>
    </font>
    <font>
      <b/>
      <sz val="16"/>
      <color rgb="FFFFCD00"/>
      <name val="Verdana"/>
      <family val="2"/>
    </font>
    <font>
      <sz val="12"/>
      <color rgb="FFFFCD00"/>
      <name val="Verdana"/>
      <family val="2"/>
    </font>
    <font>
      <sz val="12"/>
      <color theme="1"/>
      <name val="Verdana"/>
      <family val="2"/>
    </font>
    <font>
      <vertAlign val="superscript"/>
      <sz val="16"/>
      <color theme="0"/>
      <name val="Verdana"/>
      <family val="2"/>
    </font>
    <font>
      <sz val="24"/>
      <color theme="1"/>
      <name val="Verdana"/>
      <family val="2"/>
    </font>
    <font>
      <b/>
      <sz val="24"/>
      <color theme="1"/>
      <name val="Verdana"/>
      <family val="2"/>
    </font>
    <font>
      <u/>
      <sz val="11"/>
      <color theme="10"/>
      <name val="Calibri"/>
      <family val="2"/>
      <scheme val="minor"/>
    </font>
    <font>
      <b/>
      <sz val="11"/>
      <color rgb="FFFFCD00"/>
      <name val="Verdana"/>
      <family val="2"/>
    </font>
    <font>
      <u/>
      <sz val="11"/>
      <color rgb="FFFFCD00"/>
      <name val="Verdana"/>
      <family val="2"/>
    </font>
    <font>
      <sz val="11"/>
      <color theme="0"/>
      <name val="Verdana"/>
      <family val="2"/>
    </font>
    <font>
      <sz val="36"/>
      <color rgb="FFFFCD00"/>
      <name val="Verdana"/>
      <family val="2"/>
    </font>
    <font>
      <sz val="32"/>
      <color rgb="FFFFCD00"/>
      <name val="Verdana"/>
      <family val="2"/>
    </font>
    <font>
      <sz val="11"/>
      <color theme="0"/>
      <name val="Calibri"/>
      <family val="2"/>
      <scheme val="minor"/>
    </font>
    <font>
      <b/>
      <sz val="40"/>
      <color theme="0"/>
      <name val="Verdana"/>
      <family val="2"/>
    </font>
    <font>
      <b/>
      <sz val="12"/>
      <color theme="0"/>
      <name val="Verdana"/>
      <family val="2"/>
    </font>
    <font>
      <sz val="10"/>
      <color theme="0"/>
      <name val="Verdana"/>
      <family val="2"/>
    </font>
    <font>
      <sz val="10"/>
      <color rgb="FFFFCD00"/>
      <name val="Verdana"/>
      <family val="2"/>
    </font>
    <font>
      <u/>
      <sz val="10"/>
      <color rgb="FFFFCD00"/>
      <name val="Verdana"/>
      <family val="2"/>
    </font>
    <font>
      <b/>
      <sz val="10"/>
      <color theme="1"/>
      <name val="Verdana"/>
      <family val="2"/>
    </font>
    <font>
      <sz val="10"/>
      <color theme="1"/>
      <name val="Verdana"/>
      <family val="2"/>
    </font>
    <font>
      <b/>
      <sz val="10"/>
      <color rgb="FFFFCD00"/>
      <name val="Verdana"/>
      <family val="2"/>
    </font>
    <font>
      <b/>
      <sz val="10"/>
      <color theme="0"/>
      <name val="Verdana"/>
      <family val="2"/>
    </font>
    <font>
      <b/>
      <i/>
      <sz val="10"/>
      <color theme="0"/>
      <name val="Verdana"/>
      <family val="2"/>
    </font>
    <font>
      <u/>
      <sz val="11"/>
      <color theme="10"/>
      <name val="Verdana"/>
      <family val="2"/>
    </font>
    <font>
      <sz val="11"/>
      <color theme="10"/>
      <name val="Verdana"/>
      <family val="2"/>
    </font>
    <font>
      <sz val="10"/>
      <color rgb="FFCCCCFF"/>
      <name val="Verdana"/>
      <family val="2"/>
    </font>
    <font>
      <sz val="11"/>
      <color theme="1"/>
      <name val="Calibri"/>
      <family val="2"/>
      <charset val="238"/>
    </font>
  </fonts>
  <fills count="3">
    <fill>
      <patternFill patternType="none"/>
    </fill>
    <fill>
      <patternFill patternType="gray125"/>
    </fill>
    <fill>
      <patternFill patternType="solid">
        <fgColor theme="1"/>
        <bgColor indexed="64"/>
      </patternFill>
    </fill>
  </fills>
  <borders count="15">
    <border>
      <left/>
      <right/>
      <top/>
      <bottom/>
      <diagonal/>
    </border>
    <border>
      <left/>
      <right/>
      <top style="thin">
        <color indexed="64"/>
      </top>
      <bottom/>
      <diagonal/>
    </border>
    <border>
      <left style="thin">
        <color rgb="FFFFCD00"/>
      </left>
      <right style="thin">
        <color rgb="FFFFCD00"/>
      </right>
      <top style="thin">
        <color rgb="FFFFCD00"/>
      </top>
      <bottom/>
      <diagonal/>
    </border>
    <border>
      <left style="thin">
        <color rgb="FFFFCD00"/>
      </left>
      <right style="thin">
        <color rgb="FFFFCD00"/>
      </right>
      <top/>
      <bottom/>
      <diagonal/>
    </border>
    <border>
      <left style="thin">
        <color rgb="FFFFCD00"/>
      </left>
      <right style="thin">
        <color rgb="FFFFCD00"/>
      </right>
      <top/>
      <bottom style="thin">
        <color rgb="FFFFCD00"/>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bottom style="thin">
        <color rgb="FFFFCD00"/>
      </bottom>
      <diagonal/>
    </border>
    <border>
      <left style="thin">
        <color rgb="FFFFCD00"/>
      </left>
      <right/>
      <top style="thin">
        <color rgb="FFFFCD00"/>
      </top>
      <bottom/>
      <diagonal/>
    </border>
    <border>
      <left/>
      <right/>
      <top style="thin">
        <color rgb="FFFFCD00"/>
      </top>
      <bottom/>
      <diagonal/>
    </border>
    <border>
      <left/>
      <right style="thin">
        <color rgb="FFFFCD00"/>
      </right>
      <top style="thin">
        <color rgb="FFFFCD00"/>
      </top>
      <bottom/>
      <diagonal/>
    </border>
    <border>
      <left style="thin">
        <color rgb="FFFFCD00"/>
      </left>
      <right/>
      <top/>
      <bottom/>
      <diagonal/>
    </border>
    <border>
      <left/>
      <right style="thin">
        <color rgb="FFFFCD00"/>
      </right>
      <top/>
      <bottom/>
      <diagonal/>
    </border>
    <border>
      <left style="thin">
        <color rgb="FFFFCD00"/>
      </left>
      <right/>
      <top/>
      <bottom style="thin">
        <color rgb="FFFFCD00"/>
      </bottom>
      <diagonal/>
    </border>
    <border>
      <left/>
      <right style="thin">
        <color rgb="FFFFCD00"/>
      </right>
      <top/>
      <bottom style="thin">
        <color rgb="FFFFCD00"/>
      </bottom>
      <diagonal/>
    </border>
  </borders>
  <cellStyleXfs count="3">
    <xf numFmtId="0" fontId="0" fillId="0" borderId="0"/>
    <xf numFmtId="0" fontId="5" fillId="0" borderId="0"/>
    <xf numFmtId="0" fontId="20" fillId="0" borderId="0" applyNumberFormat="0" applyFill="0" applyBorder="0" applyAlignment="0" applyProtection="0"/>
  </cellStyleXfs>
  <cellXfs count="107">
    <xf numFmtId="0" fontId="0" fillId="0" borderId="0" xfId="0"/>
    <xf numFmtId="0" fontId="12" fillId="2" borderId="0" xfId="0" applyFont="1" applyFill="1"/>
    <xf numFmtId="0" fontId="0" fillId="2" borderId="0" xfId="0" applyFill="1"/>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0" xfId="0" applyFont="1" applyFill="1" applyAlignment="1">
      <alignment horizontal="center"/>
    </xf>
    <xf numFmtId="0" fontId="1" fillId="2" borderId="0" xfId="0" applyFont="1" applyFill="1"/>
    <xf numFmtId="2" fontId="3" fillId="2" borderId="0" xfId="0" applyNumberFormat="1" applyFont="1" applyFill="1" applyAlignment="1">
      <alignment horizontal="center"/>
    </xf>
    <xf numFmtId="0" fontId="10" fillId="2" borderId="0" xfId="0" applyFont="1" applyFill="1" applyAlignment="1">
      <alignment horizontal="center"/>
    </xf>
    <xf numFmtId="1" fontId="3" fillId="2" borderId="0" xfId="0" applyNumberFormat="1" applyFont="1" applyFill="1" applyAlignment="1">
      <alignment horizontal="center"/>
    </xf>
    <xf numFmtId="2" fontId="10" fillId="2" borderId="0" xfId="0" applyNumberFormat="1" applyFont="1" applyFill="1" applyAlignment="1">
      <alignment horizontal="center"/>
    </xf>
    <xf numFmtId="2" fontId="2" fillId="2" borderId="0" xfId="0" applyNumberFormat="1" applyFont="1" applyFill="1" applyAlignment="1">
      <alignment horizontal="center"/>
    </xf>
    <xf numFmtId="0" fontId="4" fillId="2" borderId="0" xfId="0" applyFont="1" applyFill="1"/>
    <xf numFmtId="2" fontId="3" fillId="2" borderId="0" xfId="0" applyNumberFormat="1" applyFont="1" applyFill="1" applyAlignment="1">
      <alignment horizontal="left"/>
    </xf>
    <xf numFmtId="2" fontId="12" fillId="2" borderId="0" xfId="0" applyNumberFormat="1" applyFont="1" applyFill="1" applyAlignment="1" applyProtection="1">
      <alignment horizontal="center"/>
      <protection hidden="1"/>
    </xf>
    <xf numFmtId="1" fontId="15" fillId="2" borderId="0" xfId="0" applyNumberFormat="1" applyFont="1" applyFill="1" applyAlignment="1" applyProtection="1">
      <alignment horizontal="center"/>
      <protection hidden="1"/>
    </xf>
    <xf numFmtId="2" fontId="15" fillId="2" borderId="0" xfId="0" applyNumberFormat="1"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2" fontId="16" fillId="2" borderId="0" xfId="0" applyNumberFormat="1" applyFont="1" applyFill="1" applyAlignment="1" applyProtection="1">
      <alignment horizontal="center"/>
      <protection hidden="1"/>
    </xf>
    <xf numFmtId="164" fontId="0" fillId="2" borderId="0" xfId="0" applyNumberFormat="1" applyFill="1"/>
    <xf numFmtId="2" fontId="0" fillId="2" borderId="0" xfId="0" applyNumberFormat="1" applyFill="1"/>
    <xf numFmtId="164" fontId="0" fillId="2" borderId="0" xfId="0" applyNumberFormat="1" applyFill="1" applyAlignment="1">
      <alignment horizontal="center"/>
    </xf>
    <xf numFmtId="165" fontId="0" fillId="2" borderId="0" xfId="0" applyNumberFormat="1" applyFill="1" applyAlignment="1">
      <alignment horizontal="center"/>
    </xf>
    <xf numFmtId="11" fontId="0" fillId="2" borderId="0" xfId="0" applyNumberFormat="1" applyFill="1"/>
    <xf numFmtId="0" fontId="7" fillId="2" borderId="0" xfId="0" applyFont="1" applyFill="1"/>
    <xf numFmtId="0" fontId="1" fillId="2" borderId="0" xfId="0" applyFont="1" applyFill="1" applyAlignment="1">
      <alignment vertical="center"/>
    </xf>
    <xf numFmtId="0" fontId="22" fillId="2" borderId="0" xfId="2" applyFont="1" applyFill="1" applyAlignment="1">
      <alignment vertical="center"/>
    </xf>
    <xf numFmtId="0" fontId="18" fillId="2" borderId="0" xfId="0" applyFont="1" applyFill="1" applyAlignment="1">
      <alignment horizontal="center"/>
    </xf>
    <xf numFmtId="2" fontId="19" fillId="2" borderId="0" xfId="0" applyNumberFormat="1" applyFont="1" applyFill="1" applyAlignment="1">
      <alignment horizontal="center"/>
    </xf>
    <xf numFmtId="0" fontId="19" fillId="2" borderId="0" xfId="0" applyFont="1" applyFill="1" applyAlignment="1">
      <alignment horizontal="center"/>
    </xf>
    <xf numFmtId="0" fontId="21" fillId="2" borderId="0" xfId="0" applyFont="1" applyFill="1" applyAlignment="1">
      <alignment vertical="center"/>
    </xf>
    <xf numFmtId="0" fontId="1" fillId="2" borderId="7" xfId="0" applyFont="1" applyFill="1" applyBorder="1"/>
    <xf numFmtId="0" fontId="3" fillId="2" borderId="7" xfId="0" applyFont="1" applyFill="1" applyBorder="1" applyAlignment="1">
      <alignment horizontal="center"/>
    </xf>
    <xf numFmtId="2" fontId="10" fillId="2" borderId="11" xfId="0" applyNumberFormat="1" applyFont="1" applyFill="1" applyBorder="1" applyAlignment="1">
      <alignment horizontal="center"/>
    </xf>
    <xf numFmtId="2" fontId="3" fillId="2" borderId="12" xfId="0" applyNumberFormat="1" applyFont="1" applyFill="1" applyBorder="1" applyAlignment="1">
      <alignment horizontal="left"/>
    </xf>
    <xf numFmtId="0" fontId="10" fillId="2" borderId="11" xfId="0" applyFont="1" applyFill="1" applyBorder="1" applyAlignment="1">
      <alignment horizontal="center"/>
    </xf>
    <xf numFmtId="0" fontId="1" fillId="2" borderId="11"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2" fontId="3" fillId="2" borderId="12" xfId="0" applyNumberFormat="1" applyFont="1" applyFill="1" applyBorder="1" applyAlignment="1">
      <alignment horizontal="center"/>
    </xf>
    <xf numFmtId="0" fontId="3" fillId="2" borderId="12" xfId="0" applyFont="1" applyFill="1" applyBorder="1" applyAlignment="1">
      <alignment horizontal="center"/>
    </xf>
    <xf numFmtId="0" fontId="10" fillId="2" borderId="12" xfId="0" applyFont="1" applyFill="1" applyBorder="1" applyAlignment="1">
      <alignment horizontal="center"/>
    </xf>
    <xf numFmtId="167" fontId="3" fillId="2" borderId="12" xfId="0" applyNumberFormat="1" applyFont="1" applyFill="1" applyBorder="1" applyAlignment="1">
      <alignment horizontal="center"/>
    </xf>
    <xf numFmtId="2" fontId="10" fillId="2" borderId="12" xfId="0" applyNumberFormat="1" applyFont="1" applyFill="1" applyBorder="1" applyAlignment="1">
      <alignment horizontal="center"/>
    </xf>
    <xf numFmtId="0" fontId="28" fillId="2" borderId="0" xfId="0" applyFont="1" applyFill="1" applyAlignment="1" applyProtection="1">
      <alignment horizontal="center"/>
      <protection hidden="1"/>
    </xf>
    <xf numFmtId="0" fontId="23" fillId="2" borderId="0" xfId="0" applyFont="1" applyFill="1" applyAlignment="1">
      <alignment vertical="center"/>
    </xf>
    <xf numFmtId="0" fontId="29" fillId="2" borderId="0" xfId="0" applyFont="1" applyFill="1"/>
    <xf numFmtId="0" fontId="32" fillId="2" borderId="0" xfId="0" applyFont="1" applyFill="1"/>
    <xf numFmtId="0" fontId="33" fillId="2" borderId="0" xfId="0" applyFont="1" applyFill="1"/>
    <xf numFmtId="0" fontId="34" fillId="2" borderId="0" xfId="0" applyFont="1" applyFill="1"/>
    <xf numFmtId="0" fontId="29" fillId="2" borderId="0" xfId="0" applyFont="1" applyFill="1" applyAlignment="1">
      <alignment horizontal="left"/>
    </xf>
    <xf numFmtId="0" fontId="30" fillId="2" borderId="0" xfId="0" applyFont="1" applyFill="1" applyAlignment="1">
      <alignment horizontal="left"/>
    </xf>
    <xf numFmtId="166" fontId="30" fillId="2" borderId="0" xfId="0" applyNumberFormat="1" applyFont="1" applyFill="1" applyAlignment="1">
      <alignment horizontal="left"/>
    </xf>
    <xf numFmtId="0" fontId="30" fillId="2" borderId="0" xfId="0" applyFont="1" applyFill="1"/>
    <xf numFmtId="0" fontId="29" fillId="2" borderId="0" xfId="0" applyFont="1" applyFill="1" applyAlignment="1">
      <alignment vertical="center"/>
    </xf>
    <xf numFmtId="0" fontId="30" fillId="2" borderId="0" xfId="0" applyFont="1" applyFill="1" applyAlignment="1">
      <alignment vertical="center"/>
    </xf>
    <xf numFmtId="0" fontId="34" fillId="2" borderId="0" xfId="0" applyFont="1" applyFill="1" applyAlignment="1">
      <alignment horizontal="center"/>
    </xf>
    <xf numFmtId="0" fontId="20" fillId="2" borderId="0" xfId="2" applyFill="1"/>
    <xf numFmtId="0" fontId="34" fillId="2" borderId="0" xfId="0" applyFont="1" applyFill="1" applyAlignment="1">
      <alignment vertical="center"/>
    </xf>
    <xf numFmtId="0" fontId="35" fillId="2" borderId="0" xfId="0" applyFont="1" applyFill="1" applyAlignment="1">
      <alignment vertical="center"/>
    </xf>
    <xf numFmtId="0" fontId="36" fillId="2" borderId="0" xfId="0" applyFont="1" applyFill="1" applyAlignment="1">
      <alignment vertical="center"/>
    </xf>
    <xf numFmtId="0" fontId="26" fillId="2" borderId="0" xfId="0" applyFont="1" applyFill="1"/>
    <xf numFmtId="0" fontId="37" fillId="2" borderId="0" xfId="2" applyFont="1" applyFill="1"/>
    <xf numFmtId="0" fontId="39" fillId="2" borderId="0" xfId="0" applyFont="1" applyFill="1"/>
    <xf numFmtId="0" fontId="8" fillId="2" borderId="0" xfId="0" applyFont="1" applyFill="1" applyAlignment="1">
      <alignment horizontal="center" vertical="center"/>
    </xf>
    <xf numFmtId="0" fontId="8" fillId="2" borderId="11" xfId="0" applyFont="1" applyFill="1" applyBorder="1" applyAlignment="1">
      <alignment horizontal="center" vertical="center"/>
    </xf>
    <xf numFmtId="0" fontId="40" fillId="2" borderId="0" xfId="0" applyFont="1" applyFill="1"/>
    <xf numFmtId="2" fontId="6" fillId="2" borderId="5" xfId="1" applyNumberFormat="1" applyFont="1" applyFill="1" applyBorder="1" applyAlignment="1">
      <alignment horizontal="center" vertical="center"/>
    </xf>
    <xf numFmtId="0" fontId="0" fillId="2" borderId="1" xfId="0" applyFill="1" applyBorder="1"/>
    <xf numFmtId="1" fontId="0" fillId="2" borderId="0" xfId="0" applyNumberFormat="1" applyFill="1"/>
    <xf numFmtId="2" fontId="6" fillId="2" borderId="6" xfId="1" applyNumberFormat="1" applyFont="1" applyFill="1" applyBorder="1" applyAlignment="1">
      <alignment horizontal="center" vertical="center"/>
    </xf>
    <xf numFmtId="165" fontId="0" fillId="2" borderId="0" xfId="0" applyNumberFormat="1" applyFill="1"/>
    <xf numFmtId="0" fontId="31" fillId="2" borderId="0" xfId="2" applyFont="1" applyFill="1" applyAlignment="1" applyProtection="1"/>
    <xf numFmtId="0" fontId="31" fillId="2" borderId="0" xfId="2" applyFont="1" applyFill="1" applyProtection="1"/>
    <xf numFmtId="0" fontId="20" fillId="2" borderId="0" xfId="2" applyFill="1" applyProtection="1"/>
    <xf numFmtId="0" fontId="13" fillId="2" borderId="0" xfId="0" applyFont="1" applyFill="1" applyAlignment="1" applyProtection="1">
      <alignment horizontal="center"/>
      <protection hidden="1"/>
    </xf>
    <xf numFmtId="0" fontId="14" fillId="2" borderId="0" xfId="0" applyFont="1" applyFill="1" applyAlignment="1" applyProtection="1">
      <alignment horizontal="center"/>
      <protection hidden="1"/>
    </xf>
    <xf numFmtId="0" fontId="0" fillId="2" borderId="0" xfId="0" applyFill="1" applyProtection="1">
      <protection hidden="1"/>
    </xf>
    <xf numFmtId="0" fontId="12" fillId="2" borderId="0" xfId="0" applyFont="1" applyFill="1" applyProtection="1">
      <protection hidden="1"/>
    </xf>
    <xf numFmtId="165" fontId="14" fillId="2" borderId="0" xfId="0" applyNumberFormat="1" applyFont="1" applyFill="1" applyAlignment="1" applyProtection="1">
      <alignment horizontal="center"/>
      <protection hidden="1"/>
    </xf>
    <xf numFmtId="0" fontId="27" fillId="2" borderId="8" xfId="0" applyFont="1" applyFill="1" applyBorder="1" applyAlignment="1">
      <alignment horizontal="center"/>
    </xf>
    <xf numFmtId="0" fontId="24" fillId="2" borderId="9" xfId="0" applyFont="1" applyFill="1" applyBorder="1" applyAlignment="1">
      <alignment horizontal="center"/>
    </xf>
    <xf numFmtId="0" fontId="24" fillId="2" borderId="10" xfId="0" applyFont="1" applyFill="1" applyBorder="1" applyAlignment="1">
      <alignment horizontal="center"/>
    </xf>
    <xf numFmtId="0" fontId="24" fillId="2" borderId="11" xfId="0" applyFont="1" applyFill="1" applyBorder="1" applyAlignment="1">
      <alignment horizontal="center"/>
    </xf>
    <xf numFmtId="0" fontId="24" fillId="2" borderId="0" xfId="0" applyFont="1" applyFill="1" applyAlignment="1">
      <alignment horizontal="center"/>
    </xf>
    <xf numFmtId="0" fontId="24" fillId="2" borderId="12" xfId="0" applyFont="1" applyFill="1" applyBorder="1" applyAlignment="1">
      <alignment horizontal="center"/>
    </xf>
    <xf numFmtId="0" fontId="25" fillId="2" borderId="9" xfId="0" applyFont="1" applyFill="1" applyBorder="1" applyAlignment="1">
      <alignment horizontal="center"/>
    </xf>
    <xf numFmtId="0" fontId="25" fillId="2" borderId="10" xfId="0" applyFont="1" applyFill="1" applyBorder="1" applyAlignment="1">
      <alignment horizontal="center"/>
    </xf>
    <xf numFmtId="0" fontId="25" fillId="2" borderId="11" xfId="0" applyFont="1" applyFill="1" applyBorder="1" applyAlignment="1">
      <alignment horizontal="center"/>
    </xf>
    <xf numFmtId="0" fontId="25" fillId="2" borderId="0" xfId="0" applyFont="1" applyFill="1" applyAlignment="1">
      <alignment horizontal="center"/>
    </xf>
    <xf numFmtId="0" fontId="25" fillId="2" borderId="12" xfId="0" applyFont="1" applyFill="1" applyBorder="1" applyAlignment="1">
      <alignment horizontal="center"/>
    </xf>
    <xf numFmtId="0" fontId="8" fillId="2" borderId="0" xfId="0" applyFont="1" applyFill="1" applyAlignment="1">
      <alignment horizontal="center" vertical="center"/>
    </xf>
    <xf numFmtId="0" fontId="8" fillId="2" borderId="12" xfId="0" applyFont="1" applyFill="1" applyBorder="1" applyAlignment="1">
      <alignment horizontal="center" vertical="center"/>
    </xf>
    <xf numFmtId="0" fontId="8" fillId="2" borderId="11" xfId="0" applyFont="1" applyFill="1" applyBorder="1" applyAlignment="1">
      <alignment horizontal="center" vertical="center"/>
    </xf>
    <xf numFmtId="0" fontId="27" fillId="2" borderId="9" xfId="0" applyFont="1" applyFill="1" applyBorder="1" applyAlignment="1">
      <alignment horizontal="center"/>
    </xf>
    <xf numFmtId="0" fontId="27" fillId="2" borderId="10" xfId="0" applyFont="1" applyFill="1" applyBorder="1" applyAlignment="1">
      <alignment horizontal="center"/>
    </xf>
    <xf numFmtId="0" fontId="27" fillId="2" borderId="11" xfId="0" applyFont="1" applyFill="1" applyBorder="1" applyAlignment="1">
      <alignment horizontal="center"/>
    </xf>
    <xf numFmtId="0" fontId="27" fillId="2" borderId="0" xfId="0" applyFont="1" applyFill="1" applyAlignment="1">
      <alignment horizontal="center"/>
    </xf>
    <xf numFmtId="0" fontId="27" fillId="2" borderId="12" xfId="0" applyFont="1" applyFill="1" applyBorder="1" applyAlignment="1">
      <alignment horizontal="center"/>
    </xf>
    <xf numFmtId="1" fontId="3" fillId="2" borderId="11" xfId="0" applyNumberFormat="1" applyFont="1" applyFill="1" applyBorder="1" applyAlignment="1">
      <alignment horizontal="center" vertical="center"/>
    </xf>
    <xf numFmtId="1" fontId="3" fillId="2" borderId="0" xfId="0" applyNumberFormat="1" applyFont="1" applyFill="1" applyAlignment="1">
      <alignment horizontal="center" vertical="center"/>
    </xf>
    <xf numFmtId="0" fontId="9" fillId="2" borderId="11" xfId="0" applyFont="1" applyFill="1" applyBorder="1" applyAlignment="1">
      <alignment horizontal="center" vertical="center"/>
    </xf>
    <xf numFmtId="0" fontId="9" fillId="2" borderId="0" xfId="0" applyFont="1" applyFill="1" applyAlignment="1">
      <alignment horizontal="center" vertical="center"/>
    </xf>
    <xf numFmtId="0" fontId="19" fillId="2" borderId="0" xfId="0" applyFont="1" applyFill="1" applyAlignment="1">
      <alignment horizontal="center" vertical="center"/>
    </xf>
  </cellXfs>
  <cellStyles count="3">
    <cellStyle name="Hyperlink" xfId="2" builtinId="8"/>
    <cellStyle name="Normal" xfId="0" builtinId="0"/>
    <cellStyle name="Normal 2" xfId="1" xr:uid="{BA601AB1-DDEE-41B3-B5A1-EF4E5F6BBA81}"/>
  </cellStyles>
  <dxfs count="2">
    <dxf>
      <fill>
        <patternFill>
          <bgColor rgb="FFFF0000"/>
        </patternFill>
      </fill>
    </dxf>
    <dxf>
      <font>
        <color auto="1"/>
      </font>
    </dxf>
  </dxfs>
  <tableStyles count="0" defaultTableStyle="TableStyleMedium2" defaultPivotStyle="PivotStyleLight16"/>
  <colors>
    <mruColors>
      <color rgb="FFFFFFCC"/>
      <color rgb="FFCCCCFF"/>
      <color rgb="FFFFCD00"/>
      <color rgb="FFFFFF99"/>
      <color rgb="FFFFFF66"/>
      <color rgb="FF000066"/>
      <color rgb="FF00FFFF"/>
      <color rgb="FF00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r>
              <a:rPr lang="en-IN" sz="1100" b="1">
                <a:solidFill>
                  <a:schemeClr val="bg1"/>
                </a:solidFill>
                <a:latin typeface="Verdana" panose="020B0604030504040204" pitchFamily="34" charset="0"/>
                <a:ea typeface="Verdana" panose="020B0604030504040204" pitchFamily="34" charset="0"/>
              </a:rPr>
              <a:t>KV drop model of the motor used in calculator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rgbClr val="FFCD00"/>
              </a:solidFill>
              <a:round/>
            </a:ln>
            <a:effectLst/>
          </c:spPr>
          <c:marker>
            <c:symbol val="none"/>
          </c:marker>
          <c:xVal>
            <c:numRef>
              <c:f>'Motor performance'!$L$4:$L$11</c:f>
              <c:numCache>
                <c:formatCode>General</c:formatCode>
                <c:ptCount val="8"/>
                <c:pt idx="0">
                  <c:v>0</c:v>
                </c:pt>
                <c:pt idx="1">
                  <c:v>0.37952218430034135</c:v>
                </c:pt>
                <c:pt idx="2">
                  <c:v>0.44232081911262799</c:v>
                </c:pt>
                <c:pt idx="3">
                  <c:v>0.51331058020477816</c:v>
                </c:pt>
                <c:pt idx="4">
                  <c:v>0.58134243458475543</c:v>
                </c:pt>
                <c:pt idx="5">
                  <c:v>0.69055745164960181</c:v>
                </c:pt>
                <c:pt idx="6">
                  <c:v>0.86916951080773608</c:v>
                </c:pt>
                <c:pt idx="7">
                  <c:v>1</c:v>
                </c:pt>
              </c:numCache>
            </c:numRef>
          </c:xVal>
          <c:yVal>
            <c:numRef>
              <c:f>'Motor performance'!$M$4:$M$11</c:f>
              <c:numCache>
                <c:formatCode>General</c:formatCode>
                <c:ptCount val="8"/>
                <c:pt idx="0">
                  <c:v>1</c:v>
                </c:pt>
                <c:pt idx="1">
                  <c:v>0.8989583333333333</c:v>
                </c:pt>
                <c:pt idx="2">
                  <c:v>0.88385416666666672</c:v>
                </c:pt>
                <c:pt idx="3">
                  <c:v>0.86875000000000002</c:v>
                </c:pt>
                <c:pt idx="4">
                  <c:v>0.85703125000000002</c:v>
                </c:pt>
                <c:pt idx="5">
                  <c:v>0.8359375</c:v>
                </c:pt>
                <c:pt idx="6">
                  <c:v>0.8</c:v>
                </c:pt>
                <c:pt idx="7">
                  <c:v>0.76</c:v>
                </c:pt>
              </c:numCache>
            </c:numRef>
          </c:yVal>
          <c:smooth val="1"/>
          <c:extLst>
            <c:ext xmlns:c16="http://schemas.microsoft.com/office/drawing/2014/chart" uri="{C3380CC4-5D6E-409C-BE32-E72D297353CC}">
              <c16:uniqueId val="{00000000-B3CA-4D2B-BCFB-59C16AAF3AB1}"/>
            </c:ext>
          </c:extLst>
        </c:ser>
        <c:dLbls>
          <c:showLegendKey val="0"/>
          <c:showVal val="0"/>
          <c:showCatName val="0"/>
          <c:showSerName val="0"/>
          <c:showPercent val="0"/>
          <c:showBubbleSize val="0"/>
        </c:dLbls>
        <c:axId val="745695096"/>
        <c:axId val="745695416"/>
      </c:scatterChart>
      <c:valAx>
        <c:axId val="74569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Power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416"/>
        <c:crosses val="autoZero"/>
        <c:crossBetween val="midCat"/>
      </c:valAx>
      <c:valAx>
        <c:axId val="745695416"/>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KV drop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D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Thrust Vs RPM</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8.8198997025316903E-2"/>
          <c:y val="0.146608240579259"/>
          <c:w val="0.78280733180143347"/>
          <c:h val="0.67701558937053552"/>
        </c:manualLayout>
      </c:layout>
      <c:scatterChart>
        <c:scatterStyle val="smoothMarker"/>
        <c:varyColors val="0"/>
        <c:ser>
          <c:idx val="0"/>
          <c:order val="0"/>
          <c:spPr>
            <a:ln w="38100" cap="rnd">
              <a:solidFill>
                <a:srgbClr val="FFCD00"/>
              </a:solidFill>
              <a:round/>
            </a:ln>
            <a:effectLst/>
          </c:spPr>
          <c:marker>
            <c:symbol val="none"/>
          </c:marker>
          <c:xVal>
            <c:numRef>
              <c:f>'For Chart'!$I$4:$I$46</c:f>
              <c:numCache>
                <c:formatCode>General</c:formatCode>
                <c:ptCount val="43"/>
                <c:pt idx="0">
                  <c:v>#N/A</c:v>
                </c:pt>
                <c:pt idx="1">
                  <c:v>3578</c:v>
                </c:pt>
                <c:pt idx="2">
                  <c:v>4283</c:v>
                </c:pt>
                <c:pt idx="3">
                  <c:v>4910</c:v>
                </c:pt>
                <c:pt idx="4">
                  <c:v>5541</c:v>
                </c:pt>
                <c:pt idx="5">
                  <c:v>6169</c:v>
                </c:pt>
                <c:pt idx="6">
                  <c:v>6807</c:v>
                </c:pt>
                <c:pt idx="7">
                  <c:v>7398</c:v>
                </c:pt>
                <c:pt idx="8">
                  <c:v>8008</c:v>
                </c:pt>
                <c:pt idx="9">
                  <c:v>8579</c:v>
                </c:pt>
                <c:pt idx="10">
                  <c:v>9121</c:v>
                </c:pt>
                <c:pt idx="11">
                  <c:v>9355</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1"/>
          <c:extLst>
            <c:ext xmlns:c16="http://schemas.microsoft.com/office/drawing/2014/chart" uri="{C3380CC4-5D6E-409C-BE32-E72D297353CC}">
              <c16:uniqueId val="{00000000-FBA0-4C3E-9F1F-8B47F308C484}"/>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Calculator!$G$22</c:f>
              <c:numCache>
                <c:formatCode>0</c:formatCode>
                <c:ptCount val="1"/>
                <c:pt idx="0">
                  <c:v>8262.273469514168</c:v>
                </c:pt>
              </c:numCache>
            </c:numRef>
          </c:xVal>
          <c:yVal>
            <c:numRef>
              <c:f>Calculator!$E$24</c:f>
              <c:numCache>
                <c:formatCode>General</c:formatCode>
                <c:ptCount val="1"/>
                <c:pt idx="0">
                  <c:v>1</c:v>
                </c:pt>
              </c:numCache>
            </c:numRef>
          </c:yVal>
          <c:smooth val="1"/>
          <c:extLst>
            <c:ext xmlns:c16="http://schemas.microsoft.com/office/drawing/2014/chart" uri="{C3380CC4-5D6E-409C-BE32-E72D297353CC}">
              <c16:uniqueId val="{00000000-6FE3-4572-8EDE-2C58FBE9FB6C}"/>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RPM</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layout>
            <c:manualLayout>
              <c:xMode val="edge"/>
              <c:yMode val="edge"/>
              <c:x val="7.826077558383519E-3"/>
              <c:y val="0.30975268934053046"/>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Mechanical Power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8100" cap="rnd">
              <a:solidFill>
                <a:srgbClr val="FFCD00"/>
              </a:solidFill>
              <a:round/>
            </a:ln>
            <a:effectLst/>
          </c:spPr>
          <c:marker>
            <c:symbol val="none"/>
          </c:marker>
          <c:x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Chart'!$L$4:$L$46</c:f>
              <c:numCache>
                <c:formatCode>General</c:formatCode>
                <c:ptCount val="43"/>
                <c:pt idx="0">
                  <c:v>0</c:v>
                </c:pt>
                <c:pt idx="1">
                  <c:v>8.592362230121001</c:v>
                </c:pt>
                <c:pt idx="2">
                  <c:v>15.786769591688486</c:v>
                </c:pt>
                <c:pt idx="3">
                  <c:v>25.027496762832726</c:v>
                </c:pt>
                <c:pt idx="4">
                  <c:v>37.990193951567257</c:v>
                </c:pt>
                <c:pt idx="5">
                  <c:v>56.155672841693978</c:v>
                </c:pt>
                <c:pt idx="6">
                  <c:v>76.757121625149551</c:v>
                </c:pt>
                <c:pt idx="7">
                  <c:v>101.24018709809383</c:v>
                </c:pt>
                <c:pt idx="8">
                  <c:v>131.235843487175</c:v>
                </c:pt>
                <c:pt idx="9">
                  <c:v>163.21961581945038</c:v>
                </c:pt>
                <c:pt idx="10">
                  <c:v>197.73765777314304</c:v>
                </c:pt>
                <c:pt idx="11">
                  <c:v>220.30084378833271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yVal>
          <c:smooth val="1"/>
          <c:extLst>
            <c:ext xmlns:c16="http://schemas.microsoft.com/office/drawing/2014/chart" uri="{C3380CC4-5D6E-409C-BE32-E72D297353CC}">
              <c16:uniqueId val="{00000000-2822-41B1-8439-829E07B30C01}"/>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c:v>
                </c:pt>
              </c:numCache>
            </c:numRef>
          </c:xVal>
          <c:yVal>
            <c:numRef>
              <c:f>Calculator!$G$24</c:f>
              <c:numCache>
                <c:formatCode>0.00</c:formatCode>
                <c:ptCount val="1"/>
                <c:pt idx="0">
                  <c:v>145.47861889712055</c:v>
                </c:pt>
              </c:numCache>
            </c:numRef>
          </c:yVal>
          <c:smooth val="1"/>
          <c:extLst>
            <c:ext xmlns:c16="http://schemas.microsoft.com/office/drawing/2014/chart" uri="{C3380CC4-5D6E-409C-BE32-E72D297353CC}">
              <c16:uniqueId val="{00000000-CED8-45A6-8A29-8B1E4274A7D8}"/>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6.2802863239628604E-3"/>
              <c:y val="0.1265762225071628"/>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g/W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4925" cap="rnd">
              <a:solidFill>
                <a:srgbClr val="FFCD00"/>
              </a:solidFill>
              <a:round/>
            </a:ln>
            <a:effectLst/>
          </c:spPr>
          <c:marker>
            <c:symbol val="none"/>
          </c:marker>
          <c:xVal>
            <c:numRef>
              <c:f>'For Chart'!$J$8:$J$46</c:f>
              <c:numCache>
                <c:formatCode>General</c:formatCode>
                <c:ptCount val="39"/>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xVal>
          <c:yVal>
            <c:numRef>
              <c:f>'For Chart'!$M$8:$M$46</c:f>
              <c:numCache>
                <c:formatCode>General</c:formatCode>
                <c:ptCount val="39"/>
                <c:pt idx="0">
                  <c:v>10.465907832002342</c:v>
                </c:pt>
                <c:pt idx="1">
                  <c:v>9.2132824508171964</c:v>
                </c:pt>
                <c:pt idx="2">
                  <c:v>8.3633939730481099</c:v>
                </c:pt>
                <c:pt idx="3">
                  <c:v>7.6608032537270363</c:v>
                </c:pt>
                <c:pt idx="4">
                  <c:v>7.0736308339031613</c:v>
                </c:pt>
                <c:pt idx="5">
                  <c:v>6.6737884127966387</c:v>
                </c:pt>
                <c:pt idx="6">
                  <c:v>6.3575596321350591</c:v>
                </c:pt>
                <c:pt idx="7">
                  <c:v>6.1326500645655591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yVal>
          <c:smooth val="1"/>
          <c:extLst>
            <c:ext xmlns:c16="http://schemas.microsoft.com/office/drawing/2014/chart" uri="{C3380CC4-5D6E-409C-BE32-E72D297353CC}">
              <c16:uniqueId val="{00000000-FF4E-4F85-ACC3-8D944400A65B}"/>
            </c:ext>
          </c:extLst>
        </c:ser>
        <c:ser>
          <c:idx val="1"/>
          <c:order val="1"/>
          <c:spPr>
            <a:ln w="19050" cap="rnd">
              <a:solidFill>
                <a:srgbClr val="FF0000"/>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c:v>
                </c:pt>
              </c:numCache>
            </c:numRef>
          </c:xVal>
          <c:yVal>
            <c:numRef>
              <c:f>Calculator!$G$28</c:f>
              <c:numCache>
                <c:formatCode>0.00</c:formatCode>
                <c:ptCount val="1"/>
                <c:pt idx="0">
                  <c:v>6.8738623419787839</c:v>
                </c:pt>
              </c:numCache>
            </c:numRef>
          </c:yVal>
          <c:smooth val="1"/>
          <c:extLst>
            <c:ext xmlns:c16="http://schemas.microsoft.com/office/drawing/2014/chart" uri="{C3380CC4-5D6E-409C-BE32-E72D297353CC}">
              <c16:uniqueId val="{00000001-FF4E-4F85-ACC3-8D944400A65B}"/>
            </c:ext>
          </c:extLst>
        </c:ser>
        <c:ser>
          <c:idx val="2"/>
          <c:order val="2"/>
          <c:tx>
            <c:v>electrical</c:v>
          </c:tx>
          <c:spPr>
            <a:ln w="38100" cap="rnd">
              <a:solidFill>
                <a:srgbClr val="FFCD00"/>
              </a:solidFill>
              <a:round/>
            </a:ln>
            <a:effectLst/>
          </c:spPr>
          <c:marker>
            <c:symbol val="none"/>
          </c:marker>
          <c:xVal>
            <c:numRef>
              <c:f>'For Chart'!$J$8:$J$172</c:f>
              <c:numCache>
                <c:formatCode>General</c:formatCode>
                <c:ptCount val="165"/>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xVal>
          <c:yVal>
            <c:numRef>
              <c:f>'For Chart'!$O$8:$O$172</c:f>
              <c:numCache>
                <c:formatCode>General</c:formatCode>
                <c:ptCount val="165"/>
                <c:pt idx="0">
                  <c:v>8.3727262656018748</c:v>
                </c:pt>
                <c:pt idx="1">
                  <c:v>7.370625960653757</c:v>
                </c:pt>
                <c:pt idx="2">
                  <c:v>6.6907151784384888</c:v>
                </c:pt>
                <c:pt idx="3">
                  <c:v>6.1286426029816292</c:v>
                </c:pt>
                <c:pt idx="4">
                  <c:v>5.6589046671225294</c:v>
                </c:pt>
                <c:pt idx="5">
                  <c:v>5.3390307302373108</c:v>
                </c:pt>
                <c:pt idx="6">
                  <c:v>5.0860477057080473</c:v>
                </c:pt>
                <c:pt idx="7">
                  <c:v>4.9061200516524472</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yVal>
          <c:smooth val="1"/>
          <c:extLst>
            <c:ext xmlns:c16="http://schemas.microsoft.com/office/drawing/2014/chart" uri="{C3380CC4-5D6E-409C-BE32-E72D297353CC}">
              <c16:uniqueId val="{00000002-FF4E-4F85-ACC3-8D944400A65B}"/>
            </c:ext>
          </c:extLst>
        </c:ser>
        <c:ser>
          <c:idx val="3"/>
          <c:order val="3"/>
          <c:spPr>
            <a:ln w="19050" cap="rnd">
              <a:solidFill>
                <a:schemeClr val="accent4"/>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c:v>
                </c:pt>
              </c:numCache>
            </c:numRef>
          </c:xVal>
          <c:yVal>
            <c:numRef>
              <c:f>Calculator!$H$28</c:f>
              <c:numCache>
                <c:formatCode>0.00</c:formatCode>
                <c:ptCount val="1"/>
                <c:pt idx="0">
                  <c:v>5.4990898735830269</c:v>
                </c:pt>
              </c:numCache>
            </c:numRef>
          </c:yVal>
          <c:smooth val="1"/>
          <c:extLst>
            <c:ext xmlns:c16="http://schemas.microsoft.com/office/drawing/2014/chart" uri="{C3380CC4-5D6E-409C-BE32-E72D297353CC}">
              <c16:uniqueId val="{00000003-FF4E-4F85-ACC3-8D944400A65B}"/>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g/W (Mech &amp; Elec)</a:t>
                </a:r>
              </a:p>
            </c:rich>
          </c:tx>
          <c:layout>
            <c:manualLayout>
              <c:xMode val="edge"/>
              <c:yMode val="edge"/>
              <c:x val="3.8660696136951445E-2"/>
              <c:y val="0.23750505249442064"/>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Power consumption based on diamater</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col"/>
        <c:grouping val="clustered"/>
        <c:varyColors val="0"/>
        <c:ser>
          <c:idx val="0"/>
          <c:order val="0"/>
          <c:spPr>
            <a:solidFill>
              <a:srgbClr val="FFCD00"/>
            </a:solidFill>
            <a:ln>
              <a:noFill/>
            </a:ln>
            <a:effectLst/>
          </c:spPr>
          <c:invertIfNegative val="0"/>
          <c:dPt>
            <c:idx val="4"/>
            <c:invertIfNegative val="0"/>
            <c:bubble3D val="0"/>
            <c:extLst>
              <c:ext xmlns:c16="http://schemas.microsoft.com/office/drawing/2014/chart" uri="{C3380CC4-5D6E-409C-BE32-E72D297353CC}">
                <c16:uniqueId val="{00000000-7701-46B0-8830-AC93E2154042}"/>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181.84827362140064</c:v>
                </c:pt>
                <c:pt idx="1">
                  <c:v>171.15131634955358</c:v>
                </c:pt>
                <c:pt idx="2">
                  <c:v>161.64290988568945</c:v>
                </c:pt>
                <c:pt idx="3">
                  <c:v>153.13538831275849</c:v>
                </c:pt>
                <c:pt idx="4">
                  <c:v>145.47861889712055</c:v>
                </c:pt>
                <c:pt idx="5">
                  <c:v>138.55106561630521</c:v>
                </c:pt>
                <c:pt idx="6">
                  <c:v>132.25328990647327</c:v>
                </c:pt>
                <c:pt idx="7">
                  <c:v>126.50314686706122</c:v>
                </c:pt>
                <c:pt idx="8">
                  <c:v>121.23218241426709</c:v>
                </c:pt>
              </c:numCache>
            </c:numRef>
          </c:val>
          <c:extLst>
            <c:ext xmlns:c16="http://schemas.microsoft.com/office/drawing/2014/chart" uri="{C3380CC4-5D6E-409C-BE32-E72D297353CC}">
              <c16:uniqueId val="{00000001-7701-46B0-8830-AC93E2154042}"/>
            </c:ext>
          </c:extLst>
        </c:ser>
        <c:ser>
          <c:idx val="1"/>
          <c:order val="1"/>
          <c:spPr>
            <a:solidFill>
              <a:srgbClr val="FF0000"/>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7701-46B0-8830-AC93E2154042}"/>
              </c:ext>
            </c:extLst>
          </c:dPt>
          <c:val>
            <c:numRef>
              <c:f>Sheet1!$AQ$6:$AQ$14</c:f>
              <c:numCache>
                <c:formatCode>General</c:formatCode>
                <c:ptCount val="9"/>
                <c:pt idx="0">
                  <c:v>0</c:v>
                </c:pt>
                <c:pt idx="1">
                  <c:v>0</c:v>
                </c:pt>
                <c:pt idx="2">
                  <c:v>0</c:v>
                </c:pt>
                <c:pt idx="3">
                  <c:v>0</c:v>
                </c:pt>
                <c:pt idx="4">
                  <c:v>145.47861889712055</c:v>
                </c:pt>
                <c:pt idx="5">
                  <c:v>0</c:v>
                </c:pt>
                <c:pt idx="6">
                  <c:v>0</c:v>
                </c:pt>
                <c:pt idx="7">
                  <c:v>0</c:v>
                </c:pt>
                <c:pt idx="8">
                  <c:v>0</c:v>
                </c:pt>
              </c:numCache>
            </c:numRef>
          </c:val>
          <c:extLst>
            <c:ext xmlns:c16="http://schemas.microsoft.com/office/drawing/2014/chart" uri="{C3380CC4-5D6E-409C-BE32-E72D297353CC}">
              <c16:uniqueId val="{00000002-7701-46B0-8830-AC93E2154042}"/>
            </c:ext>
          </c:extLst>
        </c:ser>
        <c:dLbls>
          <c:showLegendKey val="0"/>
          <c:showVal val="0"/>
          <c:showCatName val="0"/>
          <c:showSerName val="0"/>
          <c:showPercent val="0"/>
          <c:showBubbleSize val="0"/>
        </c:dLbls>
        <c:gapWidth val="15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Diameter (inches)</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5.1342495071423676E-3"/>
              <c:y val="0.24020874741150902"/>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870F-45B7-9E2B-43B3E9F2EEFE}"/>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181.84827362140064</c:v>
                </c:pt>
                <c:pt idx="1">
                  <c:v>171.15131634955358</c:v>
                </c:pt>
                <c:pt idx="2">
                  <c:v>161.64290988568945</c:v>
                </c:pt>
                <c:pt idx="3">
                  <c:v>153.13538831275849</c:v>
                </c:pt>
                <c:pt idx="4">
                  <c:v>145.47861889712055</c:v>
                </c:pt>
                <c:pt idx="5">
                  <c:v>138.55106561630521</c:v>
                </c:pt>
                <c:pt idx="6">
                  <c:v>132.25328990647327</c:v>
                </c:pt>
                <c:pt idx="7">
                  <c:v>126.50314686706122</c:v>
                </c:pt>
                <c:pt idx="8">
                  <c:v>121.23218241426709</c:v>
                </c:pt>
              </c:numCache>
            </c:numRef>
          </c:val>
          <c:extLst>
            <c:ext xmlns:c16="http://schemas.microsoft.com/office/drawing/2014/chart" uri="{C3380CC4-5D6E-409C-BE32-E72D297353CC}">
              <c16:uniqueId val="{00000000-726A-4C10-AF44-4272DD44B05B}"/>
            </c:ext>
          </c:extLst>
        </c:ser>
        <c:ser>
          <c:idx val="1"/>
          <c:order val="1"/>
          <c:spPr>
            <a:solidFill>
              <a:schemeClr val="accent2"/>
            </a:solidFill>
            <a:ln>
              <a:noFill/>
            </a:ln>
            <a:effectLst/>
          </c:spPr>
          <c:invertIfNegative val="0"/>
          <c:val>
            <c:numRef>
              <c:f>Sheet1!$AQ$6:$AQ$14</c:f>
              <c:numCache>
                <c:formatCode>General</c:formatCode>
                <c:ptCount val="9"/>
                <c:pt idx="0">
                  <c:v>0</c:v>
                </c:pt>
                <c:pt idx="1">
                  <c:v>0</c:v>
                </c:pt>
                <c:pt idx="2">
                  <c:v>0</c:v>
                </c:pt>
                <c:pt idx="3">
                  <c:v>0</c:v>
                </c:pt>
                <c:pt idx="4">
                  <c:v>145.47861889712055</c:v>
                </c:pt>
                <c:pt idx="5">
                  <c:v>0</c:v>
                </c:pt>
                <c:pt idx="6">
                  <c:v>0</c:v>
                </c:pt>
                <c:pt idx="7">
                  <c:v>0</c:v>
                </c:pt>
                <c:pt idx="8">
                  <c:v>0</c:v>
                </c:pt>
              </c:numCache>
            </c:numRef>
          </c:val>
          <c:extLst>
            <c:ext xmlns:c16="http://schemas.microsoft.com/office/drawing/2014/chart" uri="{C3380CC4-5D6E-409C-BE32-E72D297353CC}">
              <c16:uniqueId val="{00000003-726A-4C10-AF44-4272DD44B05B}"/>
            </c:ext>
          </c:extLst>
        </c:ser>
        <c:dLbls>
          <c:showLegendKey val="0"/>
          <c:showVal val="0"/>
          <c:showCatName val="0"/>
          <c:showSerName val="0"/>
          <c:showPercent val="0"/>
          <c:showBubbleSize val="0"/>
        </c:dLbls>
        <c:gapWidth val="30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Diameter (inches)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Mechanical</a:t>
                </a:r>
                <a:r>
                  <a:rPr lang="en-IN" baseline="0"/>
                  <a:t> Power (W)</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Sheet1!$I$52:$I$67</c:f>
              <c:numCache>
                <c:formatCode>General</c:formatCode>
                <c:ptCount val="16"/>
                <c:pt idx="0">
                  <c:v>35619.457004098818</c:v>
                </c:pt>
                <c:pt idx="1">
                  <c:v>42637.824021396089</c:v>
                </c:pt>
                <c:pt idx="2">
                  <c:v>48879.690858056216</c:v>
                </c:pt>
                <c:pt idx="3">
                  <c:v>55161.378216800309</c:v>
                </c:pt>
                <c:pt idx="4">
                  <c:v>61413.200183981426</c:v>
                </c:pt>
                <c:pt idx="5">
                  <c:v>67764.57345637244</c:v>
                </c:pt>
                <c:pt idx="6">
                  <c:v>73648.055594276986</c:v>
                </c:pt>
                <c:pt idx="7">
                  <c:v>79720.685212080294</c:v>
                </c:pt>
                <c:pt idx="8">
                  <c:v>85405.06473956503</c:v>
                </c:pt>
                <c:pt idx="9">
                  <c:v>90800.745481941107</c:v>
                </c:pt>
                <c:pt idx="10">
                  <c:v>93130.246023852524</c:v>
                </c:pt>
                <c:pt idx="11">
                  <c:v>0</c:v>
                </c:pt>
                <c:pt idx="12">
                  <c:v>0</c:v>
                </c:pt>
                <c:pt idx="13">
                  <c:v>0</c:v>
                </c:pt>
                <c:pt idx="14">
                  <c:v>0</c:v>
                </c:pt>
                <c:pt idx="15">
                  <c:v>0</c:v>
                </c:pt>
              </c:numCache>
            </c:numRef>
          </c:xVal>
          <c:yVal>
            <c:numRef>
              <c:f>Sheet1!$H$52:$H$67</c:f>
              <c:numCache>
                <c:formatCode>0.000</c:formatCode>
                <c:ptCount val="16"/>
                <c:pt idx="0">
                  <c:v>0.52591092869822931</c:v>
                </c:pt>
                <c:pt idx="1">
                  <c:v>0.51171117608822603</c:v>
                </c:pt>
                <c:pt idx="2">
                  <c:v>0.5044205682260251</c:v>
                </c:pt>
                <c:pt idx="3">
                  <c:v>0.51356864483195941</c:v>
                </c:pt>
                <c:pt idx="4">
                  <c:v>0.50704278390645874</c:v>
                </c:pt>
                <c:pt idx="5">
                  <c:v>0.51563069071768952</c:v>
                </c:pt>
                <c:pt idx="6">
                  <c:v>0.51878462739854736</c:v>
                </c:pt>
                <c:pt idx="7">
                  <c:v>0.52229034031977417</c:v>
                </c:pt>
                <c:pt idx="8">
                  <c:v>0.52741182463286795</c:v>
                </c:pt>
                <c:pt idx="9">
                  <c:v>0.53858488228939572</c:v>
                </c:pt>
                <c:pt idx="10">
                  <c:v>0.55089281570933946</c:v>
                </c:pt>
                <c:pt idx="11">
                  <c:v>#N/A</c:v>
                </c:pt>
                <c:pt idx="12">
                  <c:v>#N/A</c:v>
                </c:pt>
                <c:pt idx="13">
                  <c:v>#N/A</c:v>
                </c:pt>
                <c:pt idx="14">
                  <c:v>#N/A</c:v>
                </c:pt>
                <c:pt idx="15">
                  <c:v>#N/A</c:v>
                </c:pt>
              </c:numCache>
            </c:numRef>
          </c:yVal>
          <c:smooth val="1"/>
          <c:extLst>
            <c:ext xmlns:c16="http://schemas.microsoft.com/office/drawing/2014/chart" uri="{C3380CC4-5D6E-409C-BE32-E72D297353CC}">
              <c16:uniqueId val="{00000000-4B1E-452D-A2D2-26C1D9481C25}"/>
            </c:ext>
          </c:extLst>
        </c:ser>
        <c:dLbls>
          <c:showLegendKey val="0"/>
          <c:showVal val="0"/>
          <c:showCatName val="0"/>
          <c:showSerName val="0"/>
          <c:showPercent val="0"/>
          <c:showBubbleSize val="0"/>
        </c:dLbls>
        <c:axId val="749654392"/>
        <c:axId val="749654712"/>
      </c:scatterChart>
      <c:valAx>
        <c:axId val="74965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712"/>
        <c:crosses val="autoZero"/>
        <c:crossBetween val="midCat"/>
      </c:valAx>
      <c:valAx>
        <c:axId val="7496547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props'!$AB$12:$AB$22</c:f>
              <c:numCache>
                <c:formatCode>General</c:formatCode>
                <c:ptCount val="11"/>
                <c:pt idx="0">
                  <c:v>31.16</c:v>
                </c:pt>
                <c:pt idx="1">
                  <c:v>37.81</c:v>
                </c:pt>
                <c:pt idx="2">
                  <c:v>36.03</c:v>
                </c:pt>
                <c:pt idx="3">
                  <c:v>33.28</c:v>
                </c:pt>
                <c:pt idx="4">
                  <c:v>29.77</c:v>
                </c:pt>
                <c:pt idx="5">
                  <c:v>27.77</c:v>
                </c:pt>
                <c:pt idx="6">
                  <c:v>25.58</c:v>
                </c:pt>
                <c:pt idx="7">
                  <c:v>23.2</c:v>
                </c:pt>
                <c:pt idx="8">
                  <c:v>20.6</c:v>
                </c:pt>
                <c:pt idx="9">
                  <c:v>17.72</c:v>
                </c:pt>
                <c:pt idx="10">
                  <c:v>1.71</c:v>
                </c:pt>
              </c:numCache>
            </c:numRef>
          </c:yVal>
          <c:smooth val="1"/>
          <c:extLst>
            <c:ext xmlns:c16="http://schemas.microsoft.com/office/drawing/2014/chart" uri="{C3380CC4-5D6E-409C-BE32-E72D297353CC}">
              <c16:uniqueId val="{00000000-DC86-4E84-B031-C121095BA162}"/>
            </c:ext>
          </c:extLst>
        </c:ser>
        <c:dLbls>
          <c:showLegendKey val="0"/>
          <c:showVal val="0"/>
          <c:showCatName val="0"/>
          <c:showSerName val="0"/>
          <c:showPercent val="0"/>
          <c:showBubbleSize val="0"/>
        </c:dLbls>
        <c:axId val="582746616"/>
        <c:axId val="582748536"/>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props'!$AD$12:$AD$22</c:f>
              <c:numCache>
                <c:formatCode>General</c:formatCode>
                <c:ptCount val="11"/>
                <c:pt idx="0">
                  <c:v>29.51</c:v>
                </c:pt>
                <c:pt idx="1">
                  <c:v>20.28</c:v>
                </c:pt>
                <c:pt idx="2">
                  <c:v>12.63</c:v>
                </c:pt>
                <c:pt idx="3">
                  <c:v>10.57</c:v>
                </c:pt>
                <c:pt idx="4">
                  <c:v>9.0399999999999991</c:v>
                </c:pt>
                <c:pt idx="5">
                  <c:v>8.5</c:v>
                </c:pt>
                <c:pt idx="6">
                  <c:v>8.14</c:v>
                </c:pt>
                <c:pt idx="7">
                  <c:v>7.88</c:v>
                </c:pt>
                <c:pt idx="8">
                  <c:v>7.39</c:v>
                </c:pt>
                <c:pt idx="9">
                  <c:v>6.19</c:v>
                </c:pt>
                <c:pt idx="10">
                  <c:v>5.95</c:v>
                </c:pt>
              </c:numCache>
            </c:numRef>
          </c:yVal>
          <c:smooth val="1"/>
          <c:extLst>
            <c:ext xmlns:c16="http://schemas.microsoft.com/office/drawing/2014/chart" uri="{C3380CC4-5D6E-409C-BE32-E72D297353CC}">
              <c16:uniqueId val="{00000001-DC86-4E84-B031-C121095BA162}"/>
            </c:ext>
          </c:extLst>
        </c:ser>
        <c:dLbls>
          <c:showLegendKey val="0"/>
          <c:showVal val="0"/>
          <c:showCatName val="0"/>
          <c:showSerName val="0"/>
          <c:showPercent val="0"/>
          <c:showBubbleSize val="0"/>
        </c:dLbls>
        <c:axId val="295004392"/>
        <c:axId val="582749176"/>
      </c:scatterChart>
      <c:valAx>
        <c:axId val="5827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536"/>
        <c:crosses val="autoZero"/>
        <c:crossBetween val="midCat"/>
      </c:valAx>
      <c:valAx>
        <c:axId val="5827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6616"/>
        <c:crosses val="autoZero"/>
        <c:crossBetween val="midCat"/>
      </c:valAx>
      <c:valAx>
        <c:axId val="58274917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04392"/>
        <c:crosses val="max"/>
        <c:crossBetween val="midCat"/>
      </c:valAx>
      <c:valAx>
        <c:axId val="295004392"/>
        <c:scaling>
          <c:orientation val="minMax"/>
        </c:scaling>
        <c:delete val="1"/>
        <c:axPos val="b"/>
        <c:numFmt formatCode="General" sourceLinked="1"/>
        <c:majorTickMark val="out"/>
        <c:minorTickMark val="none"/>
        <c:tickLblPos val="nextTo"/>
        <c:crossAx val="58274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props'!$R$25:$R$35</c:f>
              <c:numCache>
                <c:formatCode>General</c:formatCode>
                <c:ptCount val="11"/>
                <c:pt idx="0">
                  <c:v>25.475555555555559</c:v>
                </c:pt>
                <c:pt idx="1">
                  <c:v>44.582222222222221</c:v>
                </c:pt>
                <c:pt idx="2">
                  <c:v>63.688888888888897</c:v>
                </c:pt>
                <c:pt idx="3">
                  <c:v>76.426666666666677</c:v>
                </c:pt>
                <c:pt idx="4">
                  <c:v>89.164444444444442</c:v>
                </c:pt>
                <c:pt idx="5">
                  <c:v>95.533333333333331</c:v>
                </c:pt>
                <c:pt idx="6">
                  <c:v>101.90222222222224</c:v>
                </c:pt>
                <c:pt idx="7">
                  <c:v>108.27111111111113</c:v>
                </c:pt>
                <c:pt idx="8">
                  <c:v>114.64</c:v>
                </c:pt>
                <c:pt idx="9">
                  <c:v>121.00888888888889</c:v>
                </c:pt>
              </c:numCache>
            </c:numRef>
          </c:xVal>
          <c:yVal>
            <c:numRef>
              <c:f>'OTS props'!$S$25:$S$35</c:f>
              <c:numCache>
                <c:formatCode>General</c:formatCode>
                <c:ptCount val="11"/>
                <c:pt idx="0">
                  <c:v>17.31111111111111</c:v>
                </c:pt>
                <c:pt idx="1">
                  <c:v>21.005555555555556</c:v>
                </c:pt>
                <c:pt idx="2">
                  <c:v>20.016666666666666</c:v>
                </c:pt>
                <c:pt idx="3">
                  <c:v>18.488888888888891</c:v>
                </c:pt>
                <c:pt idx="4">
                  <c:v>16.538888888888888</c:v>
                </c:pt>
                <c:pt idx="5">
                  <c:v>15.427777777777779</c:v>
                </c:pt>
                <c:pt idx="6">
                  <c:v>14.21111111111111</c:v>
                </c:pt>
                <c:pt idx="7">
                  <c:v>12.888888888888889</c:v>
                </c:pt>
                <c:pt idx="8">
                  <c:v>11.444444444444445</c:v>
                </c:pt>
                <c:pt idx="9">
                  <c:v>9.8444444444444432</c:v>
                </c:pt>
              </c:numCache>
            </c:numRef>
          </c:yVal>
          <c:smooth val="1"/>
          <c:extLst>
            <c:ext xmlns:c16="http://schemas.microsoft.com/office/drawing/2014/chart" uri="{C3380CC4-5D6E-409C-BE32-E72D297353CC}">
              <c16:uniqueId val="{00000000-C096-45C7-8CFB-68D0C51A132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props'!$L$30</c:f>
              <c:numCache>
                <c:formatCode>General</c:formatCode>
                <c:ptCount val="1"/>
                <c:pt idx="0">
                  <c:v>95.25</c:v>
                </c:pt>
              </c:numCache>
            </c:numRef>
          </c:xVal>
          <c:yVal>
            <c:numRef>
              <c:f>'OTS props'!$M$30</c:f>
              <c:numCache>
                <c:formatCode>General</c:formatCode>
                <c:ptCount val="1"/>
                <c:pt idx="0">
                  <c:v>15.477207877801039</c:v>
                </c:pt>
              </c:numCache>
            </c:numRef>
          </c:yVal>
          <c:smooth val="1"/>
          <c:extLst>
            <c:ext xmlns:c16="http://schemas.microsoft.com/office/drawing/2014/chart" uri="{C3380CC4-5D6E-409C-BE32-E72D297353CC}">
              <c16:uniqueId val="{00000004-C096-45C7-8CFB-68D0C51A132A}"/>
            </c:ext>
          </c:extLst>
        </c:ser>
        <c:dLbls>
          <c:showLegendKey val="0"/>
          <c:showVal val="0"/>
          <c:showCatName val="0"/>
          <c:showSerName val="0"/>
          <c:showPercent val="0"/>
          <c:showBubbleSize val="0"/>
        </c:dLbls>
        <c:axId val="749644472"/>
        <c:axId val="749647992"/>
      </c:scatterChart>
      <c:valAx>
        <c:axId val="74964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7992"/>
        <c:crosses val="autoZero"/>
        <c:crossBetween val="midCat"/>
      </c:valAx>
      <c:valAx>
        <c:axId val="7496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9.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346266</xdr:colOff>
      <xdr:row>3</xdr:row>
      <xdr:rowOff>98513</xdr:rowOff>
    </xdr:from>
    <xdr:to>
      <xdr:col>1</xdr:col>
      <xdr:colOff>931133</xdr:colOff>
      <xdr:row>8</xdr:row>
      <xdr:rowOff>68011</xdr:rowOff>
    </xdr:to>
    <xdr:pic>
      <xdr:nvPicPr>
        <xdr:cNvPr id="3" name="Picture 2">
          <a:extLst>
            <a:ext uri="{FF2B5EF4-FFF2-40B4-BE49-F238E27FC236}">
              <a16:creationId xmlns:a16="http://schemas.microsoft.com/office/drawing/2014/main" id="{23EECC51-B2EB-4BDE-B8CD-E0741E438DD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977" r="2811" b="26130"/>
        <a:stretch/>
      </xdr:blipFill>
      <xdr:spPr>
        <a:xfrm>
          <a:off x="346266" y="624895"/>
          <a:ext cx="1866816" cy="758486"/>
        </a:xfrm>
        <a:prstGeom prst="rect">
          <a:avLst/>
        </a:prstGeom>
      </xdr:spPr>
    </xdr:pic>
    <xdr:clientData/>
  </xdr:twoCellAnchor>
  <xdr:twoCellAnchor>
    <xdr:from>
      <xdr:col>12</xdr:col>
      <xdr:colOff>569240</xdr:colOff>
      <xdr:row>97</xdr:row>
      <xdr:rowOff>150503</xdr:rowOff>
    </xdr:from>
    <xdr:to>
      <xdr:col>18</xdr:col>
      <xdr:colOff>427102</xdr:colOff>
      <xdr:row>113</xdr:row>
      <xdr:rowOff>18696</xdr:rowOff>
    </xdr:to>
    <xdr:graphicFrame macro="">
      <xdr:nvGraphicFramePr>
        <xdr:cNvPr id="4" name="Chart 3">
          <a:extLst>
            <a:ext uri="{FF2B5EF4-FFF2-40B4-BE49-F238E27FC236}">
              <a16:creationId xmlns:a16="http://schemas.microsoft.com/office/drawing/2014/main" id="{584D3350-2443-40C4-AE85-9EBFD696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285750</xdr:colOff>
      <xdr:row>1</xdr:row>
      <xdr:rowOff>133350</xdr:rowOff>
    </xdr:from>
    <xdr:to>
      <xdr:col>19</xdr:col>
      <xdr:colOff>133350</xdr:colOff>
      <xdr:row>42</xdr:row>
      <xdr:rowOff>95250</xdr:rowOff>
    </xdr:to>
    <xdr:pic>
      <xdr:nvPicPr>
        <xdr:cNvPr id="3" name="Picture 2">
          <a:extLst>
            <a:ext uri="{FF2B5EF4-FFF2-40B4-BE49-F238E27FC236}">
              <a16:creationId xmlns:a16="http://schemas.microsoft.com/office/drawing/2014/main" id="{63D2ED3A-E96F-409D-9087-871412076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3350" y="323850"/>
          <a:ext cx="7772400" cy="7772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228600</xdr:colOff>
      <xdr:row>0</xdr:row>
      <xdr:rowOff>133350</xdr:rowOff>
    </xdr:from>
    <xdr:to>
      <xdr:col>18</xdr:col>
      <xdr:colOff>523875</xdr:colOff>
      <xdr:row>41</xdr:row>
      <xdr:rowOff>114300</xdr:rowOff>
    </xdr:to>
    <xdr:pic>
      <xdr:nvPicPr>
        <xdr:cNvPr id="2" name="Picture 1">
          <a:extLst>
            <a:ext uri="{FF2B5EF4-FFF2-40B4-BE49-F238E27FC236}">
              <a16:creationId xmlns:a16="http://schemas.microsoft.com/office/drawing/2014/main" id="{6A2C54D2-83D9-4D53-8146-9932667F7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0" y="133350"/>
          <a:ext cx="7772400" cy="7772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266700</xdr:colOff>
      <xdr:row>0</xdr:row>
      <xdr:rowOff>114300</xdr:rowOff>
    </xdr:from>
    <xdr:to>
      <xdr:col>19</xdr:col>
      <xdr:colOff>114300</xdr:colOff>
      <xdr:row>41</xdr:row>
      <xdr:rowOff>76200</xdr:rowOff>
    </xdr:to>
    <xdr:pic>
      <xdr:nvPicPr>
        <xdr:cNvPr id="2" name="Picture 1">
          <a:extLst>
            <a:ext uri="{FF2B5EF4-FFF2-40B4-BE49-F238E27FC236}">
              <a16:creationId xmlns:a16="http://schemas.microsoft.com/office/drawing/2014/main" id="{FA635A9B-FF27-422A-A8C9-E38FA56EB7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14300"/>
          <a:ext cx="777240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0</xdr:row>
      <xdr:rowOff>161925</xdr:rowOff>
    </xdr:from>
    <xdr:to>
      <xdr:col>19</xdr:col>
      <xdr:colOff>381000</xdr:colOff>
      <xdr:row>41</xdr:row>
      <xdr:rowOff>123825</xdr:rowOff>
    </xdr:to>
    <xdr:pic>
      <xdr:nvPicPr>
        <xdr:cNvPr id="2" name="Picture 1">
          <a:extLst>
            <a:ext uri="{FF2B5EF4-FFF2-40B4-BE49-F238E27FC236}">
              <a16:creationId xmlns:a16="http://schemas.microsoft.com/office/drawing/2014/main" id="{0D146FC9-F7A4-421D-BED4-27AA3A1CC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161925"/>
          <a:ext cx="7772400" cy="7772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504825</xdr:colOff>
      <xdr:row>0</xdr:row>
      <xdr:rowOff>123825</xdr:rowOff>
    </xdr:from>
    <xdr:to>
      <xdr:col>19</xdr:col>
      <xdr:colOff>352425</xdr:colOff>
      <xdr:row>41</xdr:row>
      <xdr:rowOff>85725</xdr:rowOff>
    </xdr:to>
    <xdr:pic>
      <xdr:nvPicPr>
        <xdr:cNvPr id="2" name="Picture 1">
          <a:extLst>
            <a:ext uri="{FF2B5EF4-FFF2-40B4-BE49-F238E27FC236}">
              <a16:creationId xmlns:a16="http://schemas.microsoft.com/office/drawing/2014/main" id="{19155EE8-4B91-4758-95AA-A62D255A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2425" y="123825"/>
          <a:ext cx="7772400" cy="7772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66675</xdr:colOff>
      <xdr:row>0</xdr:row>
      <xdr:rowOff>114300</xdr:rowOff>
    </xdr:from>
    <xdr:to>
      <xdr:col>18</xdr:col>
      <xdr:colOff>523875</xdr:colOff>
      <xdr:row>41</xdr:row>
      <xdr:rowOff>76200</xdr:rowOff>
    </xdr:to>
    <xdr:pic>
      <xdr:nvPicPr>
        <xdr:cNvPr id="2" name="Picture 1">
          <a:extLst>
            <a:ext uri="{FF2B5EF4-FFF2-40B4-BE49-F238E27FC236}">
              <a16:creationId xmlns:a16="http://schemas.microsoft.com/office/drawing/2014/main" id="{BFEA88E8-E15A-4E90-BA6F-E0B03811D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14300"/>
          <a:ext cx="7772400" cy="7772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447675</xdr:colOff>
      <xdr:row>0</xdr:row>
      <xdr:rowOff>104775</xdr:rowOff>
    </xdr:from>
    <xdr:to>
      <xdr:col>17</xdr:col>
      <xdr:colOff>85725</xdr:colOff>
      <xdr:row>41</xdr:row>
      <xdr:rowOff>66675</xdr:rowOff>
    </xdr:to>
    <xdr:pic>
      <xdr:nvPicPr>
        <xdr:cNvPr id="3" name="Picture 2">
          <a:extLst>
            <a:ext uri="{FF2B5EF4-FFF2-40B4-BE49-F238E27FC236}">
              <a16:creationId xmlns:a16="http://schemas.microsoft.com/office/drawing/2014/main" id="{284975CA-03DB-4477-B8DE-96F0EE33DE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04775"/>
          <a:ext cx="7772400" cy="7772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419100</xdr:colOff>
      <xdr:row>0</xdr:row>
      <xdr:rowOff>47625</xdr:rowOff>
    </xdr:from>
    <xdr:to>
      <xdr:col>18</xdr:col>
      <xdr:colOff>57150</xdr:colOff>
      <xdr:row>41</xdr:row>
      <xdr:rowOff>9525</xdr:rowOff>
    </xdr:to>
    <xdr:pic>
      <xdr:nvPicPr>
        <xdr:cNvPr id="2" name="Picture 1">
          <a:extLst>
            <a:ext uri="{FF2B5EF4-FFF2-40B4-BE49-F238E27FC236}">
              <a16:creationId xmlns:a16="http://schemas.microsoft.com/office/drawing/2014/main" id="{B7634C0C-B6FC-455B-80A5-0E3DD45AE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1025" y="47625"/>
          <a:ext cx="7772400" cy="7772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533400</xdr:colOff>
      <xdr:row>4</xdr:row>
      <xdr:rowOff>0</xdr:rowOff>
    </xdr:from>
    <xdr:to>
      <xdr:col>18</xdr:col>
      <xdr:colOff>171450</xdr:colOff>
      <xdr:row>44</xdr:row>
      <xdr:rowOff>152400</xdr:rowOff>
    </xdr:to>
    <xdr:pic>
      <xdr:nvPicPr>
        <xdr:cNvPr id="2" name="Picture 1">
          <a:extLst>
            <a:ext uri="{FF2B5EF4-FFF2-40B4-BE49-F238E27FC236}">
              <a16:creationId xmlns:a16="http://schemas.microsoft.com/office/drawing/2014/main" id="{E8B571B4-1391-47DF-B7E1-A42D37458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762000"/>
          <a:ext cx="7772400" cy="7772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47625</xdr:colOff>
      <xdr:row>0</xdr:row>
      <xdr:rowOff>76200</xdr:rowOff>
    </xdr:from>
    <xdr:to>
      <xdr:col>17</xdr:col>
      <xdr:colOff>295275</xdr:colOff>
      <xdr:row>41</xdr:row>
      <xdr:rowOff>38100</xdr:rowOff>
    </xdr:to>
    <xdr:pic>
      <xdr:nvPicPr>
        <xdr:cNvPr id="2" name="Picture 1">
          <a:extLst>
            <a:ext uri="{FF2B5EF4-FFF2-40B4-BE49-F238E27FC236}">
              <a16:creationId xmlns:a16="http://schemas.microsoft.com/office/drawing/2014/main" id="{8B773D21-B1DA-457A-8E08-886332F1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76200"/>
          <a:ext cx="77724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537482</xdr:colOff>
      <xdr:row>3</xdr:row>
      <xdr:rowOff>74839</xdr:rowOff>
    </xdr:from>
    <xdr:to>
      <xdr:col>6</xdr:col>
      <xdr:colOff>47625</xdr:colOff>
      <xdr:row>7</xdr:row>
      <xdr:rowOff>34018</xdr:rowOff>
    </xdr:to>
    <xdr:sp macro="" textlink="">
      <xdr:nvSpPr>
        <xdr:cNvPr id="2" name="Rectangle: Rounded Corners 1">
          <a:extLst>
            <a:ext uri="{FF2B5EF4-FFF2-40B4-BE49-F238E27FC236}">
              <a16:creationId xmlns:a16="http://schemas.microsoft.com/office/drawing/2014/main" id="{1750068E-35DB-4E5C-9FE4-C0BB1CBB3486}"/>
            </a:ext>
          </a:extLst>
        </xdr:cNvPr>
        <xdr:cNvSpPr/>
      </xdr:nvSpPr>
      <xdr:spPr>
        <a:xfrm>
          <a:off x="1762125" y="646339"/>
          <a:ext cx="1959429" cy="721179"/>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IN" sz="1600" b="1">
              <a:solidFill>
                <a:srgbClr val="FFCD00"/>
              </a:solidFill>
              <a:latin typeface="Verdana" panose="020B0604030504040204" pitchFamily="34" charset="0"/>
              <a:ea typeface="Verdana" panose="020B0604030504040204" pitchFamily="34" charset="0"/>
            </a:rPr>
            <a:t>Take</a:t>
          </a:r>
          <a:r>
            <a:rPr lang="en-IN" sz="1600" b="1" baseline="0">
              <a:solidFill>
                <a:srgbClr val="FFCD00"/>
              </a:solidFill>
              <a:latin typeface="Verdana" panose="020B0604030504040204" pitchFamily="34" charset="0"/>
              <a:ea typeface="Verdana" panose="020B0604030504040204" pitchFamily="34" charset="0"/>
            </a:rPr>
            <a:t> off weight</a:t>
          </a:r>
          <a:endParaRPr lang="en-IN" sz="1600" b="1">
            <a:solidFill>
              <a:srgbClr val="FFCD00"/>
            </a:solidFill>
            <a:latin typeface="Verdana" panose="020B0604030504040204" pitchFamily="34" charset="0"/>
            <a:ea typeface="Verdana" panose="020B0604030504040204" pitchFamily="34" charset="0"/>
          </a:endParaRPr>
        </a:p>
      </xdr:txBody>
    </xdr:sp>
    <xdr:clientData/>
  </xdr:twoCellAnchor>
  <xdr:twoCellAnchor>
    <xdr:from>
      <xdr:col>0</xdr:col>
      <xdr:colOff>81644</xdr:colOff>
      <xdr:row>11</xdr:row>
      <xdr:rowOff>34018</xdr:rowOff>
    </xdr:from>
    <xdr:to>
      <xdr:col>3</xdr:col>
      <xdr:colOff>496661</xdr:colOff>
      <xdr:row>15</xdr:row>
      <xdr:rowOff>61231</xdr:rowOff>
    </xdr:to>
    <xdr:sp macro="" textlink="">
      <xdr:nvSpPr>
        <xdr:cNvPr id="3" name="Rectangle: Rounded Corners 2">
          <a:extLst>
            <a:ext uri="{FF2B5EF4-FFF2-40B4-BE49-F238E27FC236}">
              <a16:creationId xmlns:a16="http://schemas.microsoft.com/office/drawing/2014/main" id="{3934952B-7FA6-4BBA-B810-161000456F73}"/>
            </a:ext>
          </a:extLst>
        </xdr:cNvPr>
        <xdr:cNvSpPr/>
      </xdr:nvSpPr>
      <xdr:spPr>
        <a:xfrm>
          <a:off x="81644" y="2129518"/>
          <a:ext cx="2251981" cy="789213"/>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Hover</a:t>
          </a:r>
          <a:r>
            <a:rPr lang="en-IN" sz="1600" b="1" u="sng" baseline="0">
              <a:solidFill>
                <a:srgbClr val="FFCD00"/>
              </a:solidFill>
              <a:latin typeface="Verdana" panose="020B0604030504040204" pitchFamily="34" charset="0"/>
              <a:ea typeface="Verdana" panose="020B0604030504040204" pitchFamily="34" charset="0"/>
            </a:rPr>
            <a:t> thrust/prop</a:t>
          </a:r>
          <a:br>
            <a:rPr lang="en-IN" sz="1400" baseline="0">
              <a:solidFill>
                <a:srgbClr val="FFCD00"/>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For power consuption</a:t>
          </a:r>
          <a:br>
            <a:rPr lang="en-IN" sz="1000" baseline="0">
              <a:solidFill>
                <a:schemeClr val="bg1"/>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To calculate endurance</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142875</xdr:colOff>
      <xdr:row>11</xdr:row>
      <xdr:rowOff>34017</xdr:rowOff>
    </xdr:from>
    <xdr:to>
      <xdr:col>9</xdr:col>
      <xdr:colOff>6803</xdr:colOff>
      <xdr:row>15</xdr:row>
      <xdr:rowOff>68034</xdr:rowOff>
    </xdr:to>
    <xdr:sp macro="" textlink="">
      <xdr:nvSpPr>
        <xdr:cNvPr id="4" name="Rectangle: Rounded Corners 3">
          <a:extLst>
            <a:ext uri="{FF2B5EF4-FFF2-40B4-BE49-F238E27FC236}">
              <a16:creationId xmlns:a16="http://schemas.microsoft.com/office/drawing/2014/main" id="{A484709E-4DC9-4B19-A0EB-5C3BAC99F546}"/>
            </a:ext>
          </a:extLst>
        </xdr:cNvPr>
        <xdr:cNvSpPr/>
      </xdr:nvSpPr>
      <xdr:spPr>
        <a:xfrm>
          <a:off x="3204482" y="2129517"/>
          <a:ext cx="2313214" cy="796017"/>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Max thrust/</a:t>
          </a:r>
          <a:r>
            <a:rPr lang="en-IN" sz="1600" b="1" u="sng">
              <a:solidFill>
                <a:srgbClr val="FFCD00"/>
              </a:solidFill>
              <a:latin typeface="Verdana" panose="020B0604030504040204" pitchFamily="34" charset="0"/>
              <a:ea typeface="Verdana" panose="020B0604030504040204" pitchFamily="34" charset="0"/>
              <a:cs typeface="+mn-cs"/>
            </a:rPr>
            <a:t>prop</a:t>
          </a:r>
        </a:p>
        <a:p>
          <a:pPr algn="l"/>
          <a:r>
            <a:rPr lang="en-IN" sz="1000">
              <a:solidFill>
                <a:schemeClr val="bg1"/>
              </a:solidFill>
              <a:latin typeface="Verdana" panose="020B0604030504040204" pitchFamily="34" charset="0"/>
              <a:ea typeface="Verdana" panose="020B0604030504040204" pitchFamily="34" charset="0"/>
            </a:rPr>
            <a:t>To</a:t>
          </a:r>
          <a:r>
            <a:rPr lang="en-IN" sz="1000" baseline="0">
              <a:solidFill>
                <a:schemeClr val="bg1"/>
              </a:solidFill>
              <a:latin typeface="Verdana" panose="020B0604030504040204" pitchFamily="34" charset="0"/>
              <a:ea typeface="Verdana" panose="020B0604030504040204" pitchFamily="34" charset="0"/>
            </a:rPr>
            <a:t> choose the right motor</a:t>
          </a:r>
        </a:p>
        <a:p>
          <a:pPr algn="l"/>
          <a:r>
            <a:rPr lang="en-IN" sz="1000" baseline="0">
              <a:solidFill>
                <a:schemeClr val="bg1"/>
              </a:solidFill>
              <a:latin typeface="Verdana" panose="020B0604030504040204" pitchFamily="34" charset="0"/>
              <a:ea typeface="Verdana" panose="020B0604030504040204" pitchFamily="34" charset="0"/>
            </a:rPr>
            <a:t>To decide the stability</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595314</xdr:colOff>
      <xdr:row>7</xdr:row>
      <xdr:rowOff>34019</xdr:rowOff>
    </xdr:from>
    <xdr:to>
      <xdr:col>4</xdr:col>
      <xdr:colOff>292554</xdr:colOff>
      <xdr:row>11</xdr:row>
      <xdr:rowOff>34019</xdr:rowOff>
    </xdr:to>
    <xdr:cxnSp macro="">
      <xdr:nvCxnSpPr>
        <xdr:cNvPr id="6" name="Connector: Elbow 5">
          <a:extLst>
            <a:ext uri="{FF2B5EF4-FFF2-40B4-BE49-F238E27FC236}">
              <a16:creationId xmlns:a16="http://schemas.microsoft.com/office/drawing/2014/main" id="{C3EC9206-DD3E-425A-99EE-4536C497870F}"/>
            </a:ext>
          </a:extLst>
        </xdr:cNvPr>
        <xdr:cNvCxnSpPr>
          <a:stCxn id="2" idx="2"/>
          <a:endCxn id="3" idx="0"/>
        </xdr:cNvCxnSpPr>
      </xdr:nvCxnSpPr>
      <xdr:spPr>
        <a:xfrm rot="5400000">
          <a:off x="1593738" y="981416"/>
          <a:ext cx="762000" cy="1534205"/>
        </a:xfrm>
        <a:prstGeom prst="bentConnector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292554</xdr:colOff>
      <xdr:row>7</xdr:row>
      <xdr:rowOff>34017</xdr:rowOff>
    </xdr:from>
    <xdr:to>
      <xdr:col>7</xdr:col>
      <xdr:colOff>74839</xdr:colOff>
      <xdr:row>11</xdr:row>
      <xdr:rowOff>34016</xdr:rowOff>
    </xdr:to>
    <xdr:cxnSp macro="">
      <xdr:nvCxnSpPr>
        <xdr:cNvPr id="7" name="Connector: Elbow 6">
          <a:extLst>
            <a:ext uri="{FF2B5EF4-FFF2-40B4-BE49-F238E27FC236}">
              <a16:creationId xmlns:a16="http://schemas.microsoft.com/office/drawing/2014/main" id="{31DE63A5-46A5-4A0F-9DF6-DA43ABA4FB3E}"/>
            </a:ext>
          </a:extLst>
        </xdr:cNvPr>
        <xdr:cNvCxnSpPr>
          <a:stCxn id="2" idx="2"/>
          <a:endCxn id="4" idx="0"/>
        </xdr:cNvCxnSpPr>
      </xdr:nvCxnSpPr>
      <xdr:spPr>
        <a:xfrm rot="16200000" flipH="1">
          <a:off x="3170465" y="938892"/>
          <a:ext cx="761999" cy="1619249"/>
        </a:xfrm>
        <a:prstGeom prst="bentConnector3">
          <a:avLst>
            <a:gd name="adj1" fmla="val 50000"/>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124240</xdr:colOff>
      <xdr:row>24</xdr:row>
      <xdr:rowOff>87381</xdr:rowOff>
    </xdr:from>
    <xdr:to>
      <xdr:col>14</xdr:col>
      <xdr:colOff>8698</xdr:colOff>
      <xdr:row>29</xdr:row>
      <xdr:rowOff>20706</xdr:rowOff>
    </xdr:to>
    <xdr:sp macro="" textlink="">
      <xdr:nvSpPr>
        <xdr:cNvPr id="24" name="Arrow: Right 23">
          <a:extLst>
            <a:ext uri="{FF2B5EF4-FFF2-40B4-BE49-F238E27FC236}">
              <a16:creationId xmlns:a16="http://schemas.microsoft.com/office/drawing/2014/main" id="{AE3D351C-D93C-4283-B015-54C59F0D3A2F}"/>
            </a:ext>
          </a:extLst>
        </xdr:cNvPr>
        <xdr:cNvSpPr/>
      </xdr:nvSpPr>
      <xdr:spPr>
        <a:xfrm>
          <a:off x="6232664" y="4580696"/>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chemeClr val="tx1"/>
              </a:solidFill>
              <a:latin typeface="Verdana" panose="020B0604030504040204" pitchFamily="34" charset="0"/>
              <a:ea typeface="Verdana" panose="020B0604030504040204" pitchFamily="34" charset="0"/>
            </a:rPr>
            <a:t>Hover thrust/prop</a:t>
          </a:r>
        </a:p>
      </xdr:txBody>
    </xdr:sp>
    <xdr:clientData/>
  </xdr:twoCellAnchor>
  <xdr:twoCellAnchor editAs="oneCell">
    <xdr:from>
      <xdr:col>15</xdr:col>
      <xdr:colOff>393425</xdr:colOff>
      <xdr:row>20</xdr:row>
      <xdr:rowOff>176006</xdr:rowOff>
    </xdr:from>
    <xdr:to>
      <xdr:col>30</xdr:col>
      <xdr:colOff>528018</xdr:colOff>
      <xdr:row>34</xdr:row>
      <xdr:rowOff>134594</xdr:rowOff>
    </xdr:to>
    <xdr:pic>
      <xdr:nvPicPr>
        <xdr:cNvPr id="28" name="Picture 27">
          <a:extLst>
            <a:ext uri="{FF2B5EF4-FFF2-40B4-BE49-F238E27FC236}">
              <a16:creationId xmlns:a16="http://schemas.microsoft.com/office/drawing/2014/main" id="{239C2582-A767-4E9D-918F-A4BC8DCC4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83" t="19769" r="5267" b="13584"/>
        <a:stretch/>
      </xdr:blipFill>
      <xdr:spPr>
        <a:xfrm>
          <a:off x="9556061" y="3923886"/>
          <a:ext cx="9297229" cy="2567609"/>
        </a:xfrm>
        <a:prstGeom prst="rect">
          <a:avLst/>
        </a:prstGeom>
      </xdr:spPr>
    </xdr:pic>
    <xdr:clientData/>
  </xdr:twoCellAnchor>
  <xdr:twoCellAnchor>
    <xdr:from>
      <xdr:col>10</xdr:col>
      <xdr:colOff>424483</xdr:colOff>
      <xdr:row>39</xdr:row>
      <xdr:rowOff>144945</xdr:rowOff>
    </xdr:from>
    <xdr:to>
      <xdr:col>14</xdr:col>
      <xdr:colOff>308941</xdr:colOff>
      <xdr:row>44</xdr:row>
      <xdr:rowOff>78271</xdr:rowOff>
    </xdr:to>
    <xdr:sp macro="" textlink="">
      <xdr:nvSpPr>
        <xdr:cNvPr id="29" name="Arrow: Right 28">
          <a:extLst>
            <a:ext uri="{FF2B5EF4-FFF2-40B4-BE49-F238E27FC236}">
              <a16:creationId xmlns:a16="http://schemas.microsoft.com/office/drawing/2014/main" id="{3809202A-CFB6-49BD-8A1A-6C5977633FD5}"/>
            </a:ext>
          </a:extLst>
        </xdr:cNvPr>
        <xdr:cNvSpPr/>
      </xdr:nvSpPr>
      <xdr:spPr>
        <a:xfrm>
          <a:off x="6532907" y="7433641"/>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ysClr val="windowText" lastClr="000000"/>
              </a:solidFill>
              <a:latin typeface="Verdana" panose="020B0604030504040204" pitchFamily="34" charset="0"/>
              <a:ea typeface="Verdana" panose="020B0604030504040204" pitchFamily="34" charset="0"/>
            </a:rPr>
            <a:t>Max thrust/prop</a:t>
          </a:r>
        </a:p>
      </xdr:txBody>
    </xdr:sp>
    <xdr:clientData/>
  </xdr:twoCellAnchor>
  <xdr:twoCellAnchor editAs="oneCell">
    <xdr:from>
      <xdr:col>15</xdr:col>
      <xdr:colOff>207065</xdr:colOff>
      <xdr:row>35</xdr:row>
      <xdr:rowOff>41412</xdr:rowOff>
    </xdr:from>
    <xdr:to>
      <xdr:col>31</xdr:col>
      <xdr:colOff>491987</xdr:colOff>
      <xdr:row>52</xdr:row>
      <xdr:rowOff>70382</xdr:rowOff>
    </xdr:to>
    <xdr:pic>
      <xdr:nvPicPr>
        <xdr:cNvPr id="31" name="Picture 30">
          <a:extLst>
            <a:ext uri="{FF2B5EF4-FFF2-40B4-BE49-F238E27FC236}">
              <a16:creationId xmlns:a16="http://schemas.microsoft.com/office/drawing/2014/main" id="{79499C7C-57A5-407D-98D8-6385358527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9701" y="6584673"/>
          <a:ext cx="10058400" cy="3197068"/>
        </a:xfrm>
        <a:prstGeom prst="rect">
          <a:avLst/>
        </a:prstGeom>
      </xdr:spPr>
    </xdr:pic>
    <xdr:clientData/>
  </xdr:twoCellAnchor>
  <xdr:twoCellAnchor>
    <xdr:from>
      <xdr:col>4</xdr:col>
      <xdr:colOff>320953</xdr:colOff>
      <xdr:row>27</xdr:row>
      <xdr:rowOff>20706</xdr:rowOff>
    </xdr:from>
    <xdr:to>
      <xdr:col>20</xdr:col>
      <xdr:colOff>144945</xdr:colOff>
      <xdr:row>28</xdr:row>
      <xdr:rowOff>113884</xdr:rowOff>
    </xdr:to>
    <xdr:cxnSp macro="">
      <xdr:nvCxnSpPr>
        <xdr:cNvPr id="33" name="Connector: Elbow 32">
          <a:extLst>
            <a:ext uri="{FF2B5EF4-FFF2-40B4-BE49-F238E27FC236}">
              <a16:creationId xmlns:a16="http://schemas.microsoft.com/office/drawing/2014/main" id="{57D6C81A-5187-4EB7-AA03-D3F2D6DFBDC3}"/>
            </a:ext>
          </a:extLst>
        </xdr:cNvPr>
        <xdr:cNvCxnSpPr/>
      </xdr:nvCxnSpPr>
      <xdr:spPr>
        <a:xfrm rot="10800000" flipV="1">
          <a:off x="2764323" y="5073097"/>
          <a:ext cx="9597470" cy="279537"/>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405694</xdr:colOff>
      <xdr:row>24</xdr:row>
      <xdr:rowOff>165651</xdr:rowOff>
    </xdr:from>
    <xdr:to>
      <xdr:col>20</xdr:col>
      <xdr:colOff>144946</xdr:colOff>
      <xdr:row>25</xdr:row>
      <xdr:rowOff>97014</xdr:rowOff>
    </xdr:to>
    <xdr:cxnSp macro="">
      <xdr:nvCxnSpPr>
        <xdr:cNvPr id="34" name="Connector: Elbow 33">
          <a:extLst>
            <a:ext uri="{FF2B5EF4-FFF2-40B4-BE49-F238E27FC236}">
              <a16:creationId xmlns:a16="http://schemas.microsoft.com/office/drawing/2014/main" id="{77F367E2-0078-42E3-B486-94E88FF3F9E2}"/>
            </a:ext>
          </a:extLst>
        </xdr:cNvPr>
        <xdr:cNvCxnSpPr/>
      </xdr:nvCxnSpPr>
      <xdr:spPr>
        <a:xfrm rot="10800000" flipV="1">
          <a:off x="2231319" y="4822318"/>
          <a:ext cx="10084460" cy="125390"/>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15</xdr:col>
      <xdr:colOff>144945</xdr:colOff>
      <xdr:row>54</xdr:row>
      <xdr:rowOff>20707</xdr:rowOff>
    </xdr:from>
    <xdr:to>
      <xdr:col>25</xdr:col>
      <xdr:colOff>389696</xdr:colOff>
      <xdr:row>64</xdr:row>
      <xdr:rowOff>52595</xdr:rowOff>
    </xdr:to>
    <xdr:pic>
      <xdr:nvPicPr>
        <xdr:cNvPr id="42" name="Picture 41">
          <a:extLst>
            <a:ext uri="{FF2B5EF4-FFF2-40B4-BE49-F238E27FC236}">
              <a16:creationId xmlns:a16="http://schemas.microsoft.com/office/drawing/2014/main" id="{9009D82B-A751-49BA-A710-6802BDFE5C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07581" y="10104783"/>
          <a:ext cx="6353175" cy="1895475"/>
        </a:xfrm>
        <a:prstGeom prst="rect">
          <a:avLst/>
        </a:prstGeom>
      </xdr:spPr>
    </xdr:pic>
    <xdr:clientData/>
  </xdr:twoCellAnchor>
  <xdr:twoCellAnchor>
    <xdr:from>
      <xdr:col>19</xdr:col>
      <xdr:colOff>3</xdr:colOff>
      <xdr:row>46</xdr:row>
      <xdr:rowOff>82826</xdr:rowOff>
    </xdr:from>
    <xdr:to>
      <xdr:col>25</xdr:col>
      <xdr:colOff>186359</xdr:colOff>
      <xdr:row>55</xdr:row>
      <xdr:rowOff>155298</xdr:rowOff>
    </xdr:to>
    <xdr:cxnSp macro="">
      <xdr:nvCxnSpPr>
        <xdr:cNvPr id="43" name="Connector: Elbow 42">
          <a:extLst>
            <a:ext uri="{FF2B5EF4-FFF2-40B4-BE49-F238E27FC236}">
              <a16:creationId xmlns:a16="http://schemas.microsoft.com/office/drawing/2014/main" id="{8EE479AA-C007-467B-BF65-3DB8568B1A10}"/>
            </a:ext>
          </a:extLst>
        </xdr:cNvPr>
        <xdr:cNvCxnSpPr/>
      </xdr:nvCxnSpPr>
      <xdr:spPr>
        <a:xfrm rot="10800000" flipV="1">
          <a:off x="11606008" y="8676033"/>
          <a:ext cx="3851411" cy="1749700"/>
        </a:xfrm>
        <a:prstGeom prst="bentConnector3">
          <a:avLst>
            <a:gd name="adj1" fmla="val 9973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23</xdr:col>
      <xdr:colOff>538370</xdr:colOff>
      <xdr:row>58</xdr:row>
      <xdr:rowOff>20706</xdr:rowOff>
    </xdr:from>
    <xdr:to>
      <xdr:col>25</xdr:col>
      <xdr:colOff>310598</xdr:colOff>
      <xdr:row>60</xdr:row>
      <xdr:rowOff>134593</xdr:rowOff>
    </xdr:to>
    <xdr:sp macro="" textlink="">
      <xdr:nvSpPr>
        <xdr:cNvPr id="50" name="Oval 49">
          <a:extLst>
            <a:ext uri="{FF2B5EF4-FFF2-40B4-BE49-F238E27FC236}">
              <a16:creationId xmlns:a16="http://schemas.microsoft.com/office/drawing/2014/main" id="{7DBC896F-D76B-4CE9-9EF5-975DB4965E5D}"/>
            </a:ext>
          </a:extLst>
        </xdr:cNvPr>
        <xdr:cNvSpPr/>
      </xdr:nvSpPr>
      <xdr:spPr>
        <a:xfrm>
          <a:off x="14587745" y="10850217"/>
          <a:ext cx="993913" cy="486604"/>
        </a:xfrm>
        <a:prstGeom prst="ellipse">
          <a:avLst/>
        </a:prstGeom>
        <a:noFill/>
        <a:ln>
          <a:solidFill>
            <a:srgbClr val="FFCD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82826</xdr:colOff>
      <xdr:row>58</xdr:row>
      <xdr:rowOff>93179</xdr:rowOff>
    </xdr:from>
    <xdr:to>
      <xdr:col>23</xdr:col>
      <xdr:colOff>486603</xdr:colOff>
      <xdr:row>59</xdr:row>
      <xdr:rowOff>82827</xdr:rowOff>
    </xdr:to>
    <xdr:cxnSp macro="">
      <xdr:nvCxnSpPr>
        <xdr:cNvPr id="52" name="Straight Arrow Connector 51">
          <a:extLst>
            <a:ext uri="{FF2B5EF4-FFF2-40B4-BE49-F238E27FC236}">
              <a16:creationId xmlns:a16="http://schemas.microsoft.com/office/drawing/2014/main" id="{4C028DE4-D6D9-426F-B9F2-A01C7AD15E27}"/>
            </a:ext>
          </a:extLst>
        </xdr:cNvPr>
        <xdr:cNvCxnSpPr/>
      </xdr:nvCxnSpPr>
      <xdr:spPr>
        <a:xfrm flipH="1" flipV="1">
          <a:off x="3137038" y="10922690"/>
          <a:ext cx="11398940" cy="17600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54342</xdr:colOff>
      <xdr:row>73</xdr:row>
      <xdr:rowOff>41519</xdr:rowOff>
    </xdr:from>
    <xdr:to>
      <xdr:col>10</xdr:col>
      <xdr:colOff>169701</xdr:colOff>
      <xdr:row>82</xdr:row>
      <xdr:rowOff>12944</xdr:rowOff>
    </xdr:to>
    <xdr:pic>
      <xdr:nvPicPr>
        <xdr:cNvPr id="55" name="Picture 54">
          <a:extLst>
            <a:ext uri="{FF2B5EF4-FFF2-40B4-BE49-F238E27FC236}">
              <a16:creationId xmlns:a16="http://schemas.microsoft.com/office/drawing/2014/main" id="{09826D76-8B29-49A1-B6B5-917A52E879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342" y="13962673"/>
          <a:ext cx="6269974" cy="1685925"/>
        </a:xfrm>
        <a:prstGeom prst="rect">
          <a:avLst/>
        </a:prstGeom>
      </xdr:spPr>
    </xdr:pic>
    <xdr:clientData/>
  </xdr:twoCellAnchor>
  <xdr:twoCellAnchor editAs="oneCell">
    <xdr:from>
      <xdr:col>0</xdr:col>
      <xdr:colOff>117231</xdr:colOff>
      <xdr:row>115</xdr:row>
      <xdr:rowOff>137870</xdr:rowOff>
    </xdr:from>
    <xdr:to>
      <xdr:col>5</xdr:col>
      <xdr:colOff>268898</xdr:colOff>
      <xdr:row>124</xdr:row>
      <xdr:rowOff>83403</xdr:rowOff>
    </xdr:to>
    <xdr:pic>
      <xdr:nvPicPr>
        <xdr:cNvPr id="74" name="Picture 73">
          <a:extLst>
            <a:ext uri="{FF2B5EF4-FFF2-40B4-BE49-F238E27FC236}">
              <a16:creationId xmlns:a16="http://schemas.microsoft.com/office/drawing/2014/main" id="{D64B3882-26FD-42AC-AD89-68F5AE3994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231" y="21736814"/>
          <a:ext cx="3170153" cy="1635885"/>
        </a:xfrm>
        <a:prstGeom prst="rect">
          <a:avLst/>
        </a:prstGeom>
      </xdr:spPr>
    </xdr:pic>
    <xdr:clientData/>
  </xdr:twoCellAnchor>
  <xdr:twoCellAnchor editAs="oneCell">
    <xdr:from>
      <xdr:col>0</xdr:col>
      <xdr:colOff>87924</xdr:colOff>
      <xdr:row>100</xdr:row>
      <xdr:rowOff>168416</xdr:rowOff>
    </xdr:from>
    <xdr:to>
      <xdr:col>9</xdr:col>
      <xdr:colOff>511420</xdr:colOff>
      <xdr:row>110</xdr:row>
      <xdr:rowOff>177941</xdr:rowOff>
    </xdr:to>
    <xdr:pic>
      <xdr:nvPicPr>
        <xdr:cNvPr id="76" name="Picture 75">
          <a:extLst>
            <a:ext uri="{FF2B5EF4-FFF2-40B4-BE49-F238E27FC236}">
              <a16:creationId xmlns:a16="http://schemas.microsoft.com/office/drawing/2014/main" id="{5CAE0215-55DC-43E7-8E5D-FE8C248A33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924" y="18950106"/>
          <a:ext cx="5856771" cy="18876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390525</xdr:colOff>
      <xdr:row>8</xdr:row>
      <xdr:rowOff>9525</xdr:rowOff>
    </xdr:from>
    <xdr:to>
      <xdr:col>19</xdr:col>
      <xdr:colOff>28575</xdr:colOff>
      <xdr:row>48</xdr:row>
      <xdr:rowOff>161925</xdr:rowOff>
    </xdr:to>
    <xdr:pic>
      <xdr:nvPicPr>
        <xdr:cNvPr id="2" name="Picture 1">
          <a:extLst>
            <a:ext uri="{FF2B5EF4-FFF2-40B4-BE49-F238E27FC236}">
              <a16:creationId xmlns:a16="http://schemas.microsoft.com/office/drawing/2014/main" id="{55E2AC49-1FB4-4445-A353-BA62AB6AE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0" y="1533525"/>
          <a:ext cx="7772400" cy="7772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552450</xdr:colOff>
      <xdr:row>3</xdr:row>
      <xdr:rowOff>19050</xdr:rowOff>
    </xdr:from>
    <xdr:to>
      <xdr:col>18</xdr:col>
      <xdr:colOff>190500</xdr:colOff>
      <xdr:row>43</xdr:row>
      <xdr:rowOff>171450</xdr:rowOff>
    </xdr:to>
    <xdr:pic>
      <xdr:nvPicPr>
        <xdr:cNvPr id="2" name="Picture 1">
          <a:extLst>
            <a:ext uri="{FF2B5EF4-FFF2-40B4-BE49-F238E27FC236}">
              <a16:creationId xmlns:a16="http://schemas.microsoft.com/office/drawing/2014/main" id="{E22BF9B9-21FB-42A5-B917-72900D322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4375" y="1162050"/>
          <a:ext cx="7772400" cy="7772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48104</xdr:colOff>
      <xdr:row>0</xdr:row>
      <xdr:rowOff>17318</xdr:rowOff>
    </xdr:from>
    <xdr:to>
      <xdr:col>10</xdr:col>
      <xdr:colOff>168489</xdr:colOff>
      <xdr:row>53</xdr:row>
      <xdr:rowOff>64943</xdr:rowOff>
    </xdr:to>
    <xdr:pic>
      <xdr:nvPicPr>
        <xdr:cNvPr id="5" name="Picture 4">
          <a:extLst>
            <a:ext uri="{FF2B5EF4-FFF2-40B4-BE49-F238E27FC236}">
              <a16:creationId xmlns:a16="http://schemas.microsoft.com/office/drawing/2014/main" id="{36A4F382-70AC-4DA6-B862-8B02326D2A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1786" y="17318"/>
          <a:ext cx="13541976" cy="118499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333375</xdr:colOff>
      <xdr:row>2</xdr:row>
      <xdr:rowOff>66675</xdr:rowOff>
    </xdr:from>
    <xdr:to>
      <xdr:col>20</xdr:col>
      <xdr:colOff>180975</xdr:colOff>
      <xdr:row>43</xdr:row>
      <xdr:rowOff>28575</xdr:rowOff>
    </xdr:to>
    <xdr:pic>
      <xdr:nvPicPr>
        <xdr:cNvPr id="2" name="Picture 1">
          <a:extLst>
            <a:ext uri="{FF2B5EF4-FFF2-40B4-BE49-F238E27FC236}">
              <a16:creationId xmlns:a16="http://schemas.microsoft.com/office/drawing/2014/main" id="{1C75AAE0-D3ED-4EF6-A2EA-F6C100CF4F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00575" y="447675"/>
          <a:ext cx="7772400"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3103705</xdr:colOff>
      <xdr:row>11</xdr:row>
      <xdr:rowOff>31534</xdr:rowOff>
    </xdr:from>
    <xdr:to>
      <xdr:col>17</xdr:col>
      <xdr:colOff>625029</xdr:colOff>
      <xdr:row>14</xdr:row>
      <xdr:rowOff>366307</xdr:rowOff>
    </xdr:to>
    <xdr:sp macro="" textlink="">
      <xdr:nvSpPr>
        <xdr:cNvPr id="19" name="Rectangle 18">
          <a:extLst>
            <a:ext uri="{FF2B5EF4-FFF2-40B4-BE49-F238E27FC236}">
              <a16:creationId xmlns:a16="http://schemas.microsoft.com/office/drawing/2014/main" id="{FF1B4A56-E689-4D6B-A930-3F9E7C656660}"/>
            </a:ext>
          </a:extLst>
        </xdr:cNvPr>
        <xdr:cNvSpPr/>
      </xdr:nvSpPr>
      <xdr:spPr>
        <a:xfrm>
          <a:off x="14041582" y="1952411"/>
          <a:ext cx="12078697" cy="1271396"/>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000" b="0" i="0" cap="none" spc="0">
              <a:ln w="12700" cmpd="sng">
                <a:solidFill>
                  <a:schemeClr val="bg1"/>
                </a:solidFill>
                <a:prstDash val="solid"/>
              </a:ln>
              <a:solidFill>
                <a:schemeClr val="bg1"/>
              </a:solidFill>
              <a:effectLst/>
              <a:latin typeface="Verdana" panose="020B0604030504040204" pitchFamily="34" charset="0"/>
              <a:ea typeface="Verdana" panose="020B0604030504040204" pitchFamily="34" charset="0"/>
            </a:rPr>
            <a:t>Static Thrust Calculator</a:t>
          </a:r>
        </a:p>
      </xdr:txBody>
    </xdr:sp>
    <xdr:clientData/>
  </xdr:twoCellAnchor>
  <xdr:twoCellAnchor>
    <xdr:from>
      <xdr:col>18</xdr:col>
      <xdr:colOff>1369784</xdr:colOff>
      <xdr:row>19</xdr:row>
      <xdr:rowOff>289830</xdr:rowOff>
    </xdr:from>
    <xdr:to>
      <xdr:col>22</xdr:col>
      <xdr:colOff>941916</xdr:colOff>
      <xdr:row>32</xdr:row>
      <xdr:rowOff>141662</xdr:rowOff>
    </xdr:to>
    <xdr:graphicFrame macro="">
      <xdr:nvGraphicFramePr>
        <xdr:cNvPr id="5" name="Chart 4">
          <a:extLst>
            <a:ext uri="{FF2B5EF4-FFF2-40B4-BE49-F238E27FC236}">
              <a16:creationId xmlns:a16="http://schemas.microsoft.com/office/drawing/2014/main" id="{FB603D6A-AFAB-43A4-B8E4-59AACF48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1150558</xdr:colOff>
      <xdr:row>31</xdr:row>
      <xdr:rowOff>87689</xdr:rowOff>
    </xdr:from>
    <xdr:to>
      <xdr:col>22</xdr:col>
      <xdr:colOff>861785</xdr:colOff>
      <xdr:row>48</xdr:row>
      <xdr:rowOff>3021</xdr:rowOff>
    </xdr:to>
    <xdr:graphicFrame macro="">
      <xdr:nvGraphicFramePr>
        <xdr:cNvPr id="7" name="Chart 6">
          <a:extLst>
            <a:ext uri="{FF2B5EF4-FFF2-40B4-BE49-F238E27FC236}">
              <a16:creationId xmlns:a16="http://schemas.microsoft.com/office/drawing/2014/main" id="{00FF5AAE-6778-42B9-8BCD-3F5B1E52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317819</xdr:colOff>
      <xdr:row>34</xdr:row>
      <xdr:rowOff>66521</xdr:rowOff>
    </xdr:from>
    <xdr:to>
      <xdr:col>18</xdr:col>
      <xdr:colOff>356809</xdr:colOff>
      <xdr:row>47</xdr:row>
      <xdr:rowOff>257020</xdr:rowOff>
    </xdr:to>
    <xdr:graphicFrame macro="">
      <xdr:nvGraphicFramePr>
        <xdr:cNvPr id="9" name="Chart 8">
          <a:extLst>
            <a:ext uri="{FF2B5EF4-FFF2-40B4-BE49-F238E27FC236}">
              <a16:creationId xmlns:a16="http://schemas.microsoft.com/office/drawing/2014/main" id="{5535E897-989A-41B1-914C-9FA4F274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2833573</xdr:colOff>
      <xdr:row>1</xdr:row>
      <xdr:rowOff>60324</xdr:rowOff>
    </xdr:from>
    <xdr:to>
      <xdr:col>11</xdr:col>
      <xdr:colOff>57148</xdr:colOff>
      <xdr:row>10</xdr:row>
      <xdr:rowOff>103136</xdr:rowOff>
    </xdr:to>
    <xdr:pic>
      <xdr:nvPicPr>
        <xdr:cNvPr id="2" name="Picture 1">
          <a:extLst>
            <a:ext uri="{FF2B5EF4-FFF2-40B4-BE49-F238E27FC236}">
              <a16:creationId xmlns:a16="http://schemas.microsoft.com/office/drawing/2014/main" id="{00C3002D-2447-4381-83DA-115A01E73B5A}"/>
            </a:ext>
          </a:extLst>
        </xdr:cNvPr>
        <xdr:cNvPicPr>
          <a:picLocks noChangeAspect="1"/>
        </xdr:cNvPicPr>
      </xdr:nvPicPr>
      <xdr:blipFill rotWithShape="1">
        <a:blip xmlns:r="http://schemas.openxmlformats.org/officeDocument/2006/relationships" r:embed="rId4"/>
        <a:srcRect l="9549" t="29381" r="9360" b="32130"/>
        <a:stretch/>
      </xdr:blipFill>
      <xdr:spPr>
        <a:xfrm>
          <a:off x="18406948" y="227012"/>
          <a:ext cx="3291001" cy="1538237"/>
        </a:xfrm>
        <a:prstGeom prst="rect">
          <a:avLst/>
        </a:prstGeom>
      </xdr:spPr>
    </xdr:pic>
    <xdr:clientData/>
  </xdr:twoCellAnchor>
  <xdr:twoCellAnchor>
    <xdr:from>
      <xdr:col>12</xdr:col>
      <xdr:colOff>57884</xdr:colOff>
      <xdr:row>20</xdr:row>
      <xdr:rowOff>24189</xdr:rowOff>
    </xdr:from>
    <xdr:to>
      <xdr:col>18</xdr:col>
      <xdr:colOff>1179286</xdr:colOff>
      <xdr:row>32</xdr:row>
      <xdr:rowOff>3021</xdr:rowOff>
    </xdr:to>
    <xdr:graphicFrame macro="">
      <xdr:nvGraphicFramePr>
        <xdr:cNvPr id="8" name="Chart 7">
          <a:extLst>
            <a:ext uri="{FF2B5EF4-FFF2-40B4-BE49-F238E27FC236}">
              <a16:creationId xmlns:a16="http://schemas.microsoft.com/office/drawing/2014/main" id="{0A783156-48BC-4CBE-A88E-FE363089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381000</xdr:colOff>
      <xdr:row>53</xdr:row>
      <xdr:rowOff>138112</xdr:rowOff>
    </xdr:from>
    <xdr:to>
      <xdr:col>40</xdr:col>
      <xdr:colOff>76200</xdr:colOff>
      <xdr:row>68</xdr:row>
      <xdr:rowOff>23812</xdr:rowOff>
    </xdr:to>
    <xdr:graphicFrame macro="">
      <xdr:nvGraphicFramePr>
        <xdr:cNvPr id="3" name="Chart 2">
          <a:extLst>
            <a:ext uri="{FF2B5EF4-FFF2-40B4-BE49-F238E27FC236}">
              <a16:creationId xmlns:a16="http://schemas.microsoft.com/office/drawing/2014/main" id="{18385837-8B0B-4D3F-BF20-BB00CF28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22225</xdr:colOff>
      <xdr:row>80</xdr:row>
      <xdr:rowOff>0</xdr:rowOff>
    </xdr:from>
    <xdr:to>
      <xdr:col>61</xdr:col>
      <xdr:colOff>293157</xdr:colOff>
      <xdr:row>120</xdr:row>
      <xdr:rowOff>152400</xdr:rowOff>
    </xdr:to>
    <xdr:pic>
      <xdr:nvPicPr>
        <xdr:cNvPr id="5" name="Picture 4">
          <a:extLst>
            <a:ext uri="{FF2B5EF4-FFF2-40B4-BE49-F238E27FC236}">
              <a16:creationId xmlns:a16="http://schemas.microsoft.com/office/drawing/2014/main" id="{546180C3-A21C-4F79-8505-F7B4FA53C2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820225" y="15240000"/>
          <a:ext cx="7827432" cy="7772400"/>
        </a:xfrm>
        <a:prstGeom prst="rect">
          <a:avLst/>
        </a:prstGeom>
      </xdr:spPr>
    </xdr:pic>
    <xdr:clientData/>
  </xdr:twoCellAnchor>
  <xdr:twoCellAnchor>
    <xdr:from>
      <xdr:col>24</xdr:col>
      <xdr:colOff>119062</xdr:colOff>
      <xdr:row>50</xdr:row>
      <xdr:rowOff>3573</xdr:rowOff>
    </xdr:from>
    <xdr:to>
      <xdr:col>31</xdr:col>
      <xdr:colOff>440531</xdr:colOff>
      <xdr:row>64</xdr:row>
      <xdr:rowOff>79773</xdr:rowOff>
    </xdr:to>
    <xdr:graphicFrame macro="">
      <xdr:nvGraphicFramePr>
        <xdr:cNvPr id="2" name="Chart 1">
          <a:extLst>
            <a:ext uri="{FF2B5EF4-FFF2-40B4-BE49-F238E27FC236}">
              <a16:creationId xmlns:a16="http://schemas.microsoft.com/office/drawing/2014/main" id="{F1289F6C-15EA-4CFF-85B5-D332ED43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419100</xdr:colOff>
      <xdr:row>1</xdr:row>
      <xdr:rowOff>9525</xdr:rowOff>
    </xdr:from>
    <xdr:to>
      <xdr:col>18</xdr:col>
      <xdr:colOff>266700</xdr:colOff>
      <xdr:row>41</xdr:row>
      <xdr:rowOff>161925</xdr:rowOff>
    </xdr:to>
    <xdr:pic>
      <xdr:nvPicPr>
        <xdr:cNvPr id="2" name="Picture 1">
          <a:extLst>
            <a:ext uri="{FF2B5EF4-FFF2-40B4-BE49-F238E27FC236}">
              <a16:creationId xmlns:a16="http://schemas.microsoft.com/office/drawing/2014/main" id="{6EDB3E0B-9599-4A53-80CA-F9E2D17F2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200025"/>
          <a:ext cx="7772400" cy="7772400"/>
        </a:xfrm>
        <a:prstGeom prst="rect">
          <a:avLst/>
        </a:prstGeom>
      </xdr:spPr>
    </xdr:pic>
    <xdr:clientData/>
  </xdr:twoCellAnchor>
  <xdr:twoCellAnchor>
    <xdr:from>
      <xdr:col>49</xdr:col>
      <xdr:colOff>342900</xdr:colOff>
      <xdr:row>9</xdr:row>
      <xdr:rowOff>166687</xdr:rowOff>
    </xdr:from>
    <xdr:to>
      <xdr:col>57</xdr:col>
      <xdr:colOff>38100</xdr:colOff>
      <xdr:row>24</xdr:row>
      <xdr:rowOff>52387</xdr:rowOff>
    </xdr:to>
    <xdr:graphicFrame macro="">
      <xdr:nvGraphicFramePr>
        <xdr:cNvPr id="3" name="Chart 2">
          <a:extLst>
            <a:ext uri="{FF2B5EF4-FFF2-40B4-BE49-F238E27FC236}">
              <a16:creationId xmlns:a16="http://schemas.microsoft.com/office/drawing/2014/main" id="{3D18C9AE-25DC-4083-907F-F0306E64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42862</xdr:colOff>
      <xdr:row>25</xdr:row>
      <xdr:rowOff>42862</xdr:rowOff>
    </xdr:from>
    <xdr:to>
      <xdr:col>57</xdr:col>
      <xdr:colOff>347662</xdr:colOff>
      <xdr:row>39</xdr:row>
      <xdr:rowOff>119062</xdr:rowOff>
    </xdr:to>
    <xdr:graphicFrame macro="">
      <xdr:nvGraphicFramePr>
        <xdr:cNvPr id="4" name="Chart 3">
          <a:extLst>
            <a:ext uri="{FF2B5EF4-FFF2-40B4-BE49-F238E27FC236}">
              <a16:creationId xmlns:a16="http://schemas.microsoft.com/office/drawing/2014/main" id="{F45D644A-D04A-4AAD-AECB-75E53E7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405320</xdr:colOff>
      <xdr:row>0</xdr:row>
      <xdr:rowOff>0</xdr:rowOff>
    </xdr:from>
    <xdr:to>
      <xdr:col>35</xdr:col>
      <xdr:colOff>273996</xdr:colOff>
      <xdr:row>40</xdr:row>
      <xdr:rowOff>71336</xdr:rowOff>
    </xdr:to>
    <xdr:pic>
      <xdr:nvPicPr>
        <xdr:cNvPr id="5" name="Picture 4">
          <a:extLst>
            <a:ext uri="{FF2B5EF4-FFF2-40B4-BE49-F238E27FC236}">
              <a16:creationId xmlns:a16="http://schemas.microsoft.com/office/drawing/2014/main" id="{57BE3C30-C0E5-4BED-BB23-39BFDED21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4043" y="0"/>
          <a:ext cx="7772400"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247650</xdr:colOff>
      <xdr:row>0</xdr:row>
      <xdr:rowOff>38100</xdr:rowOff>
    </xdr:from>
    <xdr:to>
      <xdr:col>18</xdr:col>
      <xdr:colOff>542925</xdr:colOff>
      <xdr:row>41</xdr:row>
      <xdr:rowOff>0</xdr:rowOff>
    </xdr:to>
    <xdr:pic>
      <xdr:nvPicPr>
        <xdr:cNvPr id="2" name="Picture 1">
          <a:extLst>
            <a:ext uri="{FF2B5EF4-FFF2-40B4-BE49-F238E27FC236}">
              <a16:creationId xmlns:a16="http://schemas.microsoft.com/office/drawing/2014/main" id="{2A8DF3B2-2BA7-40CB-B7DC-DE08D8421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0" y="38100"/>
          <a:ext cx="777240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447675</xdr:colOff>
      <xdr:row>0</xdr:row>
      <xdr:rowOff>171450</xdr:rowOff>
    </xdr:from>
    <xdr:to>
      <xdr:col>17</xdr:col>
      <xdr:colOff>85725</xdr:colOff>
      <xdr:row>41</xdr:row>
      <xdr:rowOff>133350</xdr:rowOff>
    </xdr:to>
    <xdr:pic>
      <xdr:nvPicPr>
        <xdr:cNvPr id="2" name="Picture 1">
          <a:extLst>
            <a:ext uri="{FF2B5EF4-FFF2-40B4-BE49-F238E27FC236}">
              <a16:creationId xmlns:a16="http://schemas.microsoft.com/office/drawing/2014/main" id="{51820C0C-EE91-4482-882F-4AC5D9D4B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71450"/>
          <a:ext cx="777240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285750</xdr:colOff>
      <xdr:row>0</xdr:row>
      <xdr:rowOff>57150</xdr:rowOff>
    </xdr:from>
    <xdr:to>
      <xdr:col>17</xdr:col>
      <xdr:colOff>533400</xdr:colOff>
      <xdr:row>41</xdr:row>
      <xdr:rowOff>19050</xdr:rowOff>
    </xdr:to>
    <xdr:pic>
      <xdr:nvPicPr>
        <xdr:cNvPr id="2" name="Picture 1">
          <a:extLst>
            <a:ext uri="{FF2B5EF4-FFF2-40B4-BE49-F238E27FC236}">
              <a16:creationId xmlns:a16="http://schemas.microsoft.com/office/drawing/2014/main" id="{37DEB2A0-4A4D-4C45-8E93-8B5DFC4E3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5" y="57150"/>
          <a:ext cx="7772400" cy="77724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867-6906-4232-B9FD-5C27342F8AE8}">
  <dimension ref="A12:Y192"/>
  <sheetViews>
    <sheetView showGridLines="0" showRowColHeaders="0" topLeftCell="A96" zoomScale="82" zoomScaleNormal="160" workbookViewId="0">
      <selection activeCell="A26" sqref="A26"/>
    </sheetView>
  </sheetViews>
  <sheetFormatPr defaultColWidth="9.1796875" defaultRowHeight="13.5" x14ac:dyDescent="0.3"/>
  <cols>
    <col min="1" max="1" width="18" style="51" customWidth="1"/>
    <col min="2" max="2" width="26.453125" style="51" bestFit="1" customWidth="1"/>
    <col min="3" max="12" width="9.1796875" style="51"/>
    <col min="13" max="13" width="16" style="51" bestFit="1" customWidth="1"/>
    <col min="14" max="14" width="18.54296875" style="51" customWidth="1"/>
    <col min="15" max="16384" width="9.1796875" style="51"/>
  </cols>
  <sheetData>
    <row r="12" spans="1:4" x14ac:dyDescent="0.3">
      <c r="A12" s="49" t="s">
        <v>166</v>
      </c>
      <c r="B12" s="59" t="s">
        <v>142</v>
      </c>
      <c r="C12" s="75"/>
      <c r="D12" s="50"/>
    </row>
    <row r="13" spans="1:4" x14ac:dyDescent="0.3">
      <c r="A13" s="49"/>
      <c r="B13" s="59" t="s">
        <v>143</v>
      </c>
      <c r="C13" s="75"/>
      <c r="D13" s="50"/>
    </row>
    <row r="14" spans="1:4" x14ac:dyDescent="0.3">
      <c r="A14" s="49"/>
      <c r="B14" s="52"/>
      <c r="C14" s="52"/>
      <c r="D14" s="50"/>
    </row>
    <row r="15" spans="1:4" x14ac:dyDescent="0.3">
      <c r="A15" s="53" t="s">
        <v>147</v>
      </c>
      <c r="B15" s="54">
        <v>1</v>
      </c>
      <c r="C15" s="52"/>
      <c r="D15" s="50"/>
    </row>
    <row r="16" spans="1:4" x14ac:dyDescent="0.3">
      <c r="A16" s="53" t="s">
        <v>145</v>
      </c>
      <c r="B16" s="55">
        <v>43956</v>
      </c>
      <c r="C16" s="52"/>
      <c r="D16" s="50"/>
    </row>
    <row r="17" spans="1:14" x14ac:dyDescent="0.3">
      <c r="A17" s="53" t="s">
        <v>146</v>
      </c>
      <c r="B17" s="56" t="s">
        <v>144</v>
      </c>
      <c r="C17" s="52"/>
      <c r="D17" s="50"/>
    </row>
    <row r="18" spans="1:14" x14ac:dyDescent="0.3">
      <c r="A18" s="53" t="s">
        <v>284</v>
      </c>
      <c r="B18" s="76" t="s">
        <v>175</v>
      </c>
      <c r="C18" s="52"/>
      <c r="D18" s="50"/>
    </row>
    <row r="19" spans="1:14" x14ac:dyDescent="0.3">
      <c r="A19" s="53"/>
      <c r="B19" s="76"/>
      <c r="C19" s="52"/>
      <c r="D19" s="50"/>
    </row>
    <row r="20" spans="1:14" x14ac:dyDescent="0.3">
      <c r="A20" s="57" t="s">
        <v>172</v>
      </c>
      <c r="B20" s="56"/>
      <c r="C20" s="52"/>
      <c r="D20" s="50"/>
    </row>
    <row r="21" spans="1:14" x14ac:dyDescent="0.3">
      <c r="A21" s="57" t="s">
        <v>374</v>
      </c>
      <c r="B21" s="56"/>
      <c r="C21" s="52"/>
      <c r="D21" s="50"/>
    </row>
    <row r="22" spans="1:14" x14ac:dyDescent="0.3">
      <c r="A22" s="57" t="s">
        <v>173</v>
      </c>
      <c r="B22" s="56"/>
      <c r="C22" s="52"/>
      <c r="D22" s="50"/>
    </row>
    <row r="23" spans="1:14" x14ac:dyDescent="0.3">
      <c r="A23" s="57" t="s">
        <v>176</v>
      </c>
      <c r="B23" s="56"/>
      <c r="C23" s="52"/>
      <c r="D23" s="50"/>
    </row>
    <row r="24" spans="1:14" ht="14.5" x14ac:dyDescent="0.35">
      <c r="A24" s="57" t="s">
        <v>177</v>
      </c>
      <c r="N24" s="77"/>
    </row>
    <row r="25" spans="1:14" x14ac:dyDescent="0.3">
      <c r="A25" s="58"/>
    </row>
    <row r="26" spans="1:14" x14ac:dyDescent="0.3">
      <c r="A26" s="57" t="s">
        <v>157</v>
      </c>
    </row>
    <row r="27" spans="1:14" x14ac:dyDescent="0.3">
      <c r="A27" s="57" t="s">
        <v>153</v>
      </c>
    </row>
    <row r="28" spans="1:14" x14ac:dyDescent="0.3">
      <c r="A28" s="57" t="s">
        <v>194</v>
      </c>
    </row>
    <row r="29" spans="1:14" x14ac:dyDescent="0.3">
      <c r="A29" s="57" t="s">
        <v>195</v>
      </c>
    </row>
    <row r="30" spans="1:14" ht="14.5" x14ac:dyDescent="0.35">
      <c r="A30" s="57" t="s">
        <v>300</v>
      </c>
      <c r="E30" s="77" t="s">
        <v>299</v>
      </c>
    </row>
    <row r="31" spans="1:14" x14ac:dyDescent="0.3">
      <c r="A31" s="57" t="s">
        <v>165</v>
      </c>
    </row>
    <row r="32" spans="1:14" x14ac:dyDescent="0.3">
      <c r="A32" s="58"/>
    </row>
    <row r="33" spans="1:25" x14ac:dyDescent="0.3">
      <c r="A33" s="62" t="s">
        <v>308</v>
      </c>
    </row>
    <row r="34" spans="1:25" x14ac:dyDescent="0.3">
      <c r="A34" s="62"/>
    </row>
    <row r="35" spans="1:25" x14ac:dyDescent="0.3">
      <c r="A35" s="61" t="s">
        <v>301</v>
      </c>
    </row>
    <row r="36" spans="1:25" x14ac:dyDescent="0.3">
      <c r="A36" s="61"/>
    </row>
    <row r="37" spans="1:25" x14ac:dyDescent="0.3">
      <c r="A37" s="63" t="s">
        <v>154</v>
      </c>
    </row>
    <row r="38" spans="1:25" x14ac:dyDescent="0.3">
      <c r="A38" s="57" t="s">
        <v>148</v>
      </c>
    </row>
    <row r="39" spans="1:25" x14ac:dyDescent="0.3">
      <c r="A39" s="57" t="s">
        <v>196</v>
      </c>
    </row>
    <row r="40" spans="1:25" x14ac:dyDescent="0.3">
      <c r="A40" s="57" t="s">
        <v>150</v>
      </c>
    </row>
    <row r="41" spans="1:25" x14ac:dyDescent="0.3">
      <c r="A41" s="57" t="s">
        <v>179</v>
      </c>
    </row>
    <row r="42" spans="1:25" x14ac:dyDescent="0.3">
      <c r="A42" s="57" t="s">
        <v>197</v>
      </c>
      <c r="Y42" s="56" t="s">
        <v>178</v>
      </c>
    </row>
    <row r="43" spans="1:25" x14ac:dyDescent="0.3">
      <c r="A43" s="57" t="s">
        <v>151</v>
      </c>
    </row>
    <row r="44" spans="1:25" x14ac:dyDescent="0.3">
      <c r="A44" s="57" t="s">
        <v>180</v>
      </c>
    </row>
    <row r="45" spans="1:25" x14ac:dyDescent="0.3">
      <c r="A45" s="57" t="s">
        <v>198</v>
      </c>
    </row>
    <row r="46" spans="1:25" x14ac:dyDescent="0.3">
      <c r="A46" s="57" t="s">
        <v>199</v>
      </c>
    </row>
    <row r="47" spans="1:25" x14ac:dyDescent="0.3">
      <c r="A47" s="57" t="s">
        <v>200</v>
      </c>
    </row>
    <row r="48" spans="1:25" x14ac:dyDescent="0.3">
      <c r="A48" s="58"/>
    </row>
    <row r="49" spans="1:22" x14ac:dyDescent="0.3">
      <c r="A49" s="63" t="s">
        <v>155</v>
      </c>
      <c r="V49" s="56"/>
    </row>
    <row r="50" spans="1:22" x14ac:dyDescent="0.3">
      <c r="A50" s="57" t="s">
        <v>152</v>
      </c>
      <c r="V50" s="56"/>
    </row>
    <row r="51" spans="1:22" x14ac:dyDescent="0.3">
      <c r="A51" s="57" t="s">
        <v>303</v>
      </c>
      <c r="V51" s="56"/>
    </row>
    <row r="52" spans="1:22" x14ac:dyDescent="0.3">
      <c r="A52" s="57" t="s">
        <v>304</v>
      </c>
      <c r="V52" s="56"/>
    </row>
    <row r="53" spans="1:22" x14ac:dyDescent="0.3">
      <c r="A53" s="58"/>
      <c r="V53" s="56"/>
    </row>
    <row r="54" spans="1:22" x14ac:dyDescent="0.3">
      <c r="A54" s="63" t="s">
        <v>181</v>
      </c>
      <c r="V54" s="56"/>
    </row>
    <row r="55" spans="1:22" x14ac:dyDescent="0.3">
      <c r="A55" s="57" t="s">
        <v>182</v>
      </c>
      <c r="V55" s="56"/>
    </row>
    <row r="56" spans="1:22" x14ac:dyDescent="0.3">
      <c r="A56" s="57" t="s">
        <v>201</v>
      </c>
      <c r="V56" s="56"/>
    </row>
    <row r="57" spans="1:22" x14ac:dyDescent="0.3">
      <c r="A57" s="57" t="s">
        <v>202</v>
      </c>
      <c r="V57" s="56"/>
    </row>
    <row r="58" spans="1:22" x14ac:dyDescent="0.3">
      <c r="A58" s="58"/>
      <c r="V58" s="56"/>
    </row>
    <row r="59" spans="1:22" x14ac:dyDescent="0.3">
      <c r="A59" s="63" t="s">
        <v>156</v>
      </c>
      <c r="V59" s="56"/>
    </row>
    <row r="60" spans="1:22" x14ac:dyDescent="0.3">
      <c r="A60" s="57" t="s">
        <v>203</v>
      </c>
      <c r="V60" s="56"/>
    </row>
    <row r="61" spans="1:22" x14ac:dyDescent="0.3">
      <c r="A61" s="57" t="s">
        <v>204</v>
      </c>
      <c r="V61" s="56"/>
    </row>
    <row r="62" spans="1:22" x14ac:dyDescent="0.3">
      <c r="A62" s="57" t="s">
        <v>205</v>
      </c>
      <c r="V62" s="56"/>
    </row>
    <row r="63" spans="1:22" x14ac:dyDescent="0.3">
      <c r="A63" s="57"/>
      <c r="V63" s="56"/>
    </row>
    <row r="64" spans="1:22" x14ac:dyDescent="0.3">
      <c r="A64" s="63" t="s">
        <v>158</v>
      </c>
      <c r="V64" s="56"/>
    </row>
    <row r="65" spans="1:22" x14ac:dyDescent="0.3">
      <c r="A65" s="57" t="s">
        <v>305</v>
      </c>
      <c r="V65" s="56"/>
    </row>
    <row r="66" spans="1:22" x14ac:dyDescent="0.3">
      <c r="A66" s="57" t="s">
        <v>159</v>
      </c>
      <c r="V66" s="56"/>
    </row>
    <row r="67" spans="1:22" x14ac:dyDescent="0.3">
      <c r="A67" s="57" t="s">
        <v>183</v>
      </c>
      <c r="V67" s="56"/>
    </row>
    <row r="68" spans="1:22" x14ac:dyDescent="0.3">
      <c r="A68" s="57" t="s">
        <v>306</v>
      </c>
      <c r="V68" s="56"/>
    </row>
    <row r="69" spans="1:22" x14ac:dyDescent="0.3">
      <c r="A69" s="57" t="s">
        <v>184</v>
      </c>
      <c r="N69" s="66"/>
      <c r="V69" s="56"/>
    </row>
    <row r="70" spans="1:22" x14ac:dyDescent="0.3">
      <c r="A70" s="57" t="s">
        <v>368</v>
      </c>
      <c r="N70" s="66"/>
      <c r="V70" s="56"/>
    </row>
    <row r="71" spans="1:22" x14ac:dyDescent="0.3">
      <c r="A71" s="58"/>
      <c r="V71" s="56"/>
    </row>
    <row r="72" spans="1:22" x14ac:dyDescent="0.3">
      <c r="A72" s="63" t="s">
        <v>160</v>
      </c>
      <c r="V72" s="56"/>
    </row>
    <row r="73" spans="1:22" x14ac:dyDescent="0.3">
      <c r="A73" s="57" t="s">
        <v>309</v>
      </c>
      <c r="V73" s="56"/>
    </row>
    <row r="74" spans="1:22" x14ac:dyDescent="0.3">
      <c r="A74" s="57" t="s">
        <v>206</v>
      </c>
      <c r="V74" s="56"/>
    </row>
    <row r="75" spans="1:22" x14ac:dyDescent="0.3">
      <c r="A75" s="57" t="s">
        <v>207</v>
      </c>
      <c r="V75" s="56"/>
    </row>
    <row r="76" spans="1:22" x14ac:dyDescent="0.3">
      <c r="A76" s="57" t="s">
        <v>369</v>
      </c>
      <c r="H76" s="66"/>
      <c r="V76" s="56"/>
    </row>
    <row r="77" spans="1:22" x14ac:dyDescent="0.3">
      <c r="A77" s="57" t="s">
        <v>208</v>
      </c>
      <c r="V77" s="56"/>
    </row>
    <row r="78" spans="1:22" x14ac:dyDescent="0.3">
      <c r="A78" s="58"/>
      <c r="V78" s="56"/>
    </row>
    <row r="79" spans="1:22" x14ac:dyDescent="0.3">
      <c r="A79" s="57" t="s">
        <v>185</v>
      </c>
      <c r="S79" s="49" t="s">
        <v>307</v>
      </c>
      <c r="V79" s="56"/>
    </row>
    <row r="80" spans="1:22" x14ac:dyDescent="0.3">
      <c r="A80" s="57" t="s">
        <v>186</v>
      </c>
      <c r="V80" s="56"/>
    </row>
    <row r="81" spans="1:22" x14ac:dyDescent="0.3">
      <c r="A81" s="57" t="s">
        <v>209</v>
      </c>
      <c r="V81" s="56"/>
    </row>
    <row r="82" spans="1:22" x14ac:dyDescent="0.3">
      <c r="A82" s="58"/>
      <c r="V82" s="56"/>
    </row>
    <row r="83" spans="1:22" x14ac:dyDescent="0.3">
      <c r="A83" s="63" t="s">
        <v>161</v>
      </c>
      <c r="V83" s="56"/>
    </row>
    <row r="84" spans="1:22" x14ac:dyDescent="0.3">
      <c r="A84" s="57" t="s">
        <v>162</v>
      </c>
      <c r="V84" s="56"/>
    </row>
    <row r="85" spans="1:22" x14ac:dyDescent="0.3">
      <c r="A85" s="57" t="s">
        <v>210</v>
      </c>
      <c r="V85" s="56"/>
    </row>
    <row r="86" spans="1:22" x14ac:dyDescent="0.3">
      <c r="A86" s="57" t="s">
        <v>187</v>
      </c>
      <c r="V86" s="56"/>
    </row>
    <row r="87" spans="1:22" x14ac:dyDescent="0.3">
      <c r="A87" s="57" t="s">
        <v>188</v>
      </c>
      <c r="V87" s="56"/>
    </row>
    <row r="88" spans="1:22" x14ac:dyDescent="0.3">
      <c r="A88" s="57" t="s">
        <v>189</v>
      </c>
      <c r="V88" s="56"/>
    </row>
    <row r="89" spans="1:22" x14ac:dyDescent="0.3">
      <c r="A89" s="57" t="s">
        <v>211</v>
      </c>
      <c r="V89" s="56"/>
    </row>
    <row r="90" spans="1:22" x14ac:dyDescent="0.3">
      <c r="A90" s="57"/>
    </row>
    <row r="91" spans="1:22" x14ac:dyDescent="0.3">
      <c r="A91" s="63" t="s">
        <v>171</v>
      </c>
    </row>
    <row r="92" spans="1:22" x14ac:dyDescent="0.3">
      <c r="A92" s="57" t="s">
        <v>190</v>
      </c>
    </row>
    <row r="93" spans="1:22" x14ac:dyDescent="0.3">
      <c r="A93" s="57" t="s">
        <v>311</v>
      </c>
    </row>
    <row r="94" spans="1:22" x14ac:dyDescent="0.3">
      <c r="A94" s="57"/>
    </row>
    <row r="95" spans="1:22" x14ac:dyDescent="0.3">
      <c r="A95" s="61" t="s">
        <v>310</v>
      </c>
    </row>
    <row r="96" spans="1:22" x14ac:dyDescent="0.3">
      <c r="A96" s="61"/>
    </row>
    <row r="97" spans="1:20" x14ac:dyDescent="0.3">
      <c r="A97" s="57" t="s">
        <v>313</v>
      </c>
    </row>
    <row r="98" spans="1:20" x14ac:dyDescent="0.3">
      <c r="A98" s="57" t="s">
        <v>312</v>
      </c>
    </row>
    <row r="99" spans="1:20" x14ac:dyDescent="0.3">
      <c r="A99" s="58"/>
    </row>
    <row r="100" spans="1:20" x14ac:dyDescent="0.3">
      <c r="A100" s="62" t="s">
        <v>337</v>
      </c>
    </row>
    <row r="101" spans="1:20" x14ac:dyDescent="0.3">
      <c r="A101" s="57" t="s">
        <v>314</v>
      </c>
    </row>
    <row r="102" spans="1:20" x14ac:dyDescent="0.3">
      <c r="A102" s="57" t="s">
        <v>191</v>
      </c>
    </row>
    <row r="103" spans="1:20" x14ac:dyDescent="0.3">
      <c r="A103" s="57" t="s">
        <v>315</v>
      </c>
    </row>
    <row r="104" spans="1:20" x14ac:dyDescent="0.3">
      <c r="A104" s="57" t="s">
        <v>316</v>
      </c>
    </row>
    <row r="105" spans="1:20" x14ac:dyDescent="0.3">
      <c r="A105" s="57" t="s">
        <v>192</v>
      </c>
    </row>
    <row r="106" spans="1:20" x14ac:dyDescent="0.3">
      <c r="A106" s="57" t="s">
        <v>167</v>
      </c>
    </row>
    <row r="107" spans="1:20" x14ac:dyDescent="0.3">
      <c r="A107" s="57" t="s">
        <v>212</v>
      </c>
      <c r="T107" s="49" t="s">
        <v>285</v>
      </c>
    </row>
    <row r="108" spans="1:20" x14ac:dyDescent="0.3">
      <c r="A108" s="57" t="s">
        <v>317</v>
      </c>
    </row>
    <row r="109" spans="1:20" x14ac:dyDescent="0.3">
      <c r="A109" s="57" t="s">
        <v>168</v>
      </c>
    </row>
    <row r="110" spans="1:20" x14ac:dyDescent="0.3">
      <c r="A110" s="57" t="s">
        <v>213</v>
      </c>
      <c r="N110" s="49"/>
      <c r="O110" s="49"/>
      <c r="P110" s="49"/>
      <c r="Q110" s="49"/>
      <c r="R110" s="49"/>
      <c r="S110" s="49"/>
    </row>
    <row r="111" spans="1:20" x14ac:dyDescent="0.3">
      <c r="A111" s="57" t="s">
        <v>338</v>
      </c>
    </row>
    <row r="112" spans="1:20" x14ac:dyDescent="0.3">
      <c r="A112" s="58"/>
    </row>
    <row r="113" spans="1:8" x14ac:dyDescent="0.3">
      <c r="A113" s="61" t="s">
        <v>302</v>
      </c>
      <c r="G113" s="66"/>
    </row>
    <row r="114" spans="1:8" x14ac:dyDescent="0.3">
      <c r="A114" s="61"/>
    </row>
    <row r="115" spans="1:8" x14ac:dyDescent="0.3">
      <c r="A115" s="57" t="s">
        <v>169</v>
      </c>
    </row>
    <row r="116" spans="1:8" x14ac:dyDescent="0.3">
      <c r="A116" s="57" t="s">
        <v>170</v>
      </c>
      <c r="H116" s="66"/>
    </row>
    <row r="117" spans="1:8" x14ac:dyDescent="0.3">
      <c r="A117" s="57" t="s">
        <v>214</v>
      </c>
    </row>
    <row r="118" spans="1:8" x14ac:dyDescent="0.3">
      <c r="A118" s="57" t="s">
        <v>318</v>
      </c>
    </row>
    <row r="119" spans="1:8" x14ac:dyDescent="0.3">
      <c r="A119" s="58"/>
    </row>
    <row r="120" spans="1:8" x14ac:dyDescent="0.3">
      <c r="A120" s="58"/>
    </row>
    <row r="121" spans="1:8" x14ac:dyDescent="0.3">
      <c r="A121" s="57" t="s">
        <v>174</v>
      </c>
    </row>
    <row r="122" spans="1:8" x14ac:dyDescent="0.3">
      <c r="A122" s="57" t="s">
        <v>193</v>
      </c>
    </row>
    <row r="123" spans="1:8" x14ac:dyDescent="0.3">
      <c r="A123" s="58" t="s">
        <v>175</v>
      </c>
    </row>
    <row r="124" spans="1:8" x14ac:dyDescent="0.3">
      <c r="A124" s="56"/>
    </row>
    <row r="125" spans="1:8" x14ac:dyDescent="0.3">
      <c r="A125" s="56"/>
    </row>
    <row r="126" spans="1:8" x14ac:dyDescent="0.3">
      <c r="A126" s="56"/>
    </row>
    <row r="127" spans="1:8" x14ac:dyDescent="0.3">
      <c r="A127" s="56"/>
    </row>
    <row r="128" spans="1:8" x14ac:dyDescent="0.3">
      <c r="A128" s="56"/>
    </row>
    <row r="129" spans="1:1" x14ac:dyDescent="0.3">
      <c r="A129" s="56"/>
    </row>
    <row r="130" spans="1:1" x14ac:dyDescent="0.3">
      <c r="A130" s="56"/>
    </row>
    <row r="131" spans="1:1" x14ac:dyDescent="0.3">
      <c r="A131" s="56"/>
    </row>
    <row r="132" spans="1:1" x14ac:dyDescent="0.3">
      <c r="A132" s="56"/>
    </row>
    <row r="133" spans="1:1" x14ac:dyDescent="0.3">
      <c r="A133" s="56"/>
    </row>
    <row r="134" spans="1:1" x14ac:dyDescent="0.3">
      <c r="A134" s="56"/>
    </row>
    <row r="135" spans="1:1" x14ac:dyDescent="0.3">
      <c r="A135" s="56"/>
    </row>
    <row r="136" spans="1:1" x14ac:dyDescent="0.3">
      <c r="A136" s="56"/>
    </row>
    <row r="137" spans="1:1" x14ac:dyDescent="0.3">
      <c r="A137" s="56"/>
    </row>
    <row r="138" spans="1:1" x14ac:dyDescent="0.3">
      <c r="A138" s="56"/>
    </row>
    <row r="139" spans="1:1" x14ac:dyDescent="0.3">
      <c r="A139" s="56"/>
    </row>
    <row r="140" spans="1:1" x14ac:dyDescent="0.3">
      <c r="A140" s="56"/>
    </row>
    <row r="141" spans="1:1" x14ac:dyDescent="0.3">
      <c r="A141" s="56"/>
    </row>
    <row r="142" spans="1:1" x14ac:dyDescent="0.3">
      <c r="A142" s="56"/>
    </row>
    <row r="143" spans="1:1" x14ac:dyDescent="0.3">
      <c r="A143" s="56"/>
    </row>
    <row r="144" spans="1:1" x14ac:dyDescent="0.3">
      <c r="A144" s="56"/>
    </row>
    <row r="145" spans="1:1" x14ac:dyDescent="0.3">
      <c r="A145" s="56"/>
    </row>
    <row r="146" spans="1:1" x14ac:dyDescent="0.3">
      <c r="A146" s="56"/>
    </row>
    <row r="147" spans="1:1" x14ac:dyDescent="0.3">
      <c r="A147" s="56"/>
    </row>
    <row r="148" spans="1:1" x14ac:dyDescent="0.3">
      <c r="A148" s="56"/>
    </row>
    <row r="149" spans="1:1" x14ac:dyDescent="0.3">
      <c r="A149" s="56"/>
    </row>
    <row r="150" spans="1:1" x14ac:dyDescent="0.3">
      <c r="A150" s="56"/>
    </row>
    <row r="151" spans="1:1" x14ac:dyDescent="0.3">
      <c r="A151" s="56"/>
    </row>
    <row r="152" spans="1:1" x14ac:dyDescent="0.3">
      <c r="A152" s="56"/>
    </row>
    <row r="153" spans="1:1" x14ac:dyDescent="0.3">
      <c r="A153" s="56"/>
    </row>
    <row r="154" spans="1:1" x14ac:dyDescent="0.3">
      <c r="A154" s="56"/>
    </row>
    <row r="155" spans="1:1" x14ac:dyDescent="0.3">
      <c r="A155" s="56"/>
    </row>
    <row r="156" spans="1:1" x14ac:dyDescent="0.3">
      <c r="A156" s="56"/>
    </row>
    <row r="157" spans="1:1" x14ac:dyDescent="0.3">
      <c r="A157" s="56"/>
    </row>
    <row r="158" spans="1:1" x14ac:dyDescent="0.3">
      <c r="A158" s="56"/>
    </row>
    <row r="159" spans="1:1" x14ac:dyDescent="0.3">
      <c r="A159" s="56"/>
    </row>
    <row r="160" spans="1:1" x14ac:dyDescent="0.3">
      <c r="A160" s="56"/>
    </row>
    <row r="161" spans="1:1" x14ac:dyDescent="0.3">
      <c r="A161" s="56"/>
    </row>
    <row r="162" spans="1:1" x14ac:dyDescent="0.3">
      <c r="A162" s="56"/>
    </row>
    <row r="163" spans="1:1" x14ac:dyDescent="0.3">
      <c r="A163" s="56"/>
    </row>
    <row r="164" spans="1:1" x14ac:dyDescent="0.3">
      <c r="A164" s="56"/>
    </row>
    <row r="165" spans="1:1" x14ac:dyDescent="0.3">
      <c r="A165" s="56"/>
    </row>
    <row r="166" spans="1:1" x14ac:dyDescent="0.3">
      <c r="A166" s="56"/>
    </row>
    <row r="167" spans="1:1" x14ac:dyDescent="0.3">
      <c r="A167" s="56"/>
    </row>
    <row r="168" spans="1:1" x14ac:dyDescent="0.3">
      <c r="A168" s="56"/>
    </row>
    <row r="169" spans="1:1" x14ac:dyDescent="0.3">
      <c r="A169" s="56"/>
    </row>
    <row r="170" spans="1:1" x14ac:dyDescent="0.3">
      <c r="A170" s="56"/>
    </row>
    <row r="171" spans="1:1" x14ac:dyDescent="0.3">
      <c r="A171" s="56"/>
    </row>
    <row r="172" spans="1:1" x14ac:dyDescent="0.3">
      <c r="A172" s="56"/>
    </row>
    <row r="173" spans="1:1" x14ac:dyDescent="0.3">
      <c r="A173" s="56"/>
    </row>
    <row r="174" spans="1:1" x14ac:dyDescent="0.3">
      <c r="A174" s="56"/>
    </row>
    <row r="175" spans="1:1" x14ac:dyDescent="0.3">
      <c r="A175" s="56"/>
    </row>
    <row r="176" spans="1:1" x14ac:dyDescent="0.3">
      <c r="A176" s="56"/>
    </row>
    <row r="177" spans="1:1" x14ac:dyDescent="0.3">
      <c r="A177" s="56"/>
    </row>
    <row r="178" spans="1:1" x14ac:dyDescent="0.3">
      <c r="A178" s="56"/>
    </row>
    <row r="179" spans="1:1" x14ac:dyDescent="0.3">
      <c r="A179" s="56"/>
    </row>
    <row r="180" spans="1:1" x14ac:dyDescent="0.3">
      <c r="A180" s="56"/>
    </row>
    <row r="181" spans="1:1" x14ac:dyDescent="0.3">
      <c r="A181" s="56"/>
    </row>
    <row r="182" spans="1:1" x14ac:dyDescent="0.3">
      <c r="A182" s="56"/>
    </row>
    <row r="183" spans="1:1" x14ac:dyDescent="0.3">
      <c r="A183" s="56"/>
    </row>
    <row r="184" spans="1:1" x14ac:dyDescent="0.3">
      <c r="A184" s="56"/>
    </row>
    <row r="185" spans="1:1" x14ac:dyDescent="0.3">
      <c r="A185" s="56"/>
    </row>
    <row r="186" spans="1:1" x14ac:dyDescent="0.3">
      <c r="A186" s="56"/>
    </row>
    <row r="187" spans="1:1" x14ac:dyDescent="0.3">
      <c r="A187" s="56"/>
    </row>
    <row r="188" spans="1:1" x14ac:dyDescent="0.3">
      <c r="A188" s="56"/>
    </row>
    <row r="189" spans="1:1" x14ac:dyDescent="0.3">
      <c r="A189" s="56"/>
    </row>
    <row r="190" spans="1:1" x14ac:dyDescent="0.3">
      <c r="A190" s="56"/>
    </row>
    <row r="191" spans="1:1" x14ac:dyDescent="0.3">
      <c r="A191" s="56"/>
    </row>
    <row r="192" spans="1:1" x14ac:dyDescent="0.3">
      <c r="A192" s="56"/>
    </row>
  </sheetData>
  <sheetProtection algorithmName="SHA-512" hashValue="d6Lk3yyRpKvDGlTn/KtUulBZJ7waic9x+VC558HuE1ywyZsLZbJYkdmWjhp/Nia3h0adBbpAg6Uf/IrbOelQ5w==" saltValue="q1tm9WmmOUkmN+Gt3MsIcw==" spinCount="100000" sheet="1" objects="1" scenarios="1"/>
  <hyperlinks>
    <hyperlink ref="B18" r:id="rId1" xr:uid="{29A3B07D-2388-427E-964D-E4C68760EBE0}"/>
    <hyperlink ref="E30" r:id="rId2" xr:uid="{96B11ED8-6D88-4066-AEF9-F2B96F31F192}"/>
  </hyperlinks>
  <pageMargins left="0.7" right="0.7" top="0.75" bottom="0.75" header="0.3" footer="0.3"/>
  <pageSetup orientation="portrait" horizontalDpi="300" verticalDpi="3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D3DA-6B44-4D22-9E50-CA87DADA545D}">
  <sheetPr codeName="Sheet5"/>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30</v>
      </c>
      <c r="U1" s="2" t="s">
        <v>58</v>
      </c>
      <c r="V1" s="2">
        <f>T1*0.0254</f>
        <v>0.76200000000000001</v>
      </c>
      <c r="W1" s="2" t="s">
        <v>59</v>
      </c>
    </row>
    <row r="2" spans="1:23" x14ac:dyDescent="0.35">
      <c r="A2" s="2">
        <v>1.76195270000014</v>
      </c>
      <c r="B2" s="2">
        <v>1000</v>
      </c>
      <c r="D2" s="2">
        <v>9.4642464600408404E-5</v>
      </c>
      <c r="E2" s="2">
        <v>4.7589231190778801E-4</v>
      </c>
      <c r="F2" s="2">
        <v>50.372982822050901</v>
      </c>
      <c r="G2" s="2">
        <v>0.116513061172521</v>
      </c>
      <c r="H2" s="2">
        <v>0</v>
      </c>
      <c r="I2" s="2">
        <v>5.8691105822773597</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1.7572015000002099</v>
      </c>
      <c r="B3" s="2">
        <v>1050</v>
      </c>
      <c r="D3" s="2">
        <v>0.21199842268529101</v>
      </c>
      <c r="E3" s="2">
        <v>0.54612294875867295</v>
      </c>
      <c r="F3" s="2">
        <v>50.354493248690098</v>
      </c>
      <c r="G3" s="2">
        <v>1.11962130954115</v>
      </c>
      <c r="H3" s="2">
        <v>827</v>
      </c>
      <c r="I3" s="2">
        <v>56.377960664103199</v>
      </c>
      <c r="J3" s="2">
        <v>18.364094521865901</v>
      </c>
      <c r="K3" s="2">
        <v>32.573057520039001</v>
      </c>
      <c r="L3" s="2">
        <v>2.9740671110285801E-2</v>
      </c>
      <c r="M3" s="2">
        <v>9.6871086505337708E-3</v>
      </c>
      <c r="N3" s="2">
        <f t="shared" ref="N3:N26" si="0">E3*1000/J3</f>
        <v>29.738626541505276</v>
      </c>
      <c r="O3" s="2">
        <f t="shared" ref="O3:O26" si="1">+PI()*$V$1*H3/60*0.00291545</f>
        <v>9.6197702723313336E-2</v>
      </c>
      <c r="P3" s="23">
        <f t="shared" ref="P3:P26" si="2">(E3*9.81)/($T$2*(H3/60)^2*($V$1)^4)</f>
        <v>6.828022467607224E-2</v>
      </c>
      <c r="Q3" s="23">
        <f t="shared" ref="Q3:Q26" si="3">J3/($T$2*((H3/60)^3)*($V$1)^5)</f>
        <v>2.2284135808061021E-2</v>
      </c>
      <c r="R3" s="24">
        <f t="shared" ref="R3:R26" si="4">(P3^(3/2))/(Q3*SQRT(2))</f>
        <v>0.56615013844527173</v>
      </c>
    </row>
    <row r="4" spans="1:23" x14ac:dyDescent="0.35">
      <c r="A4" s="2">
        <v>7.5600766000002002</v>
      </c>
      <c r="B4" s="2">
        <v>1056</v>
      </c>
      <c r="D4" s="2">
        <v>0.31507331646071601</v>
      </c>
      <c r="E4" s="2">
        <v>0.84253080524108603</v>
      </c>
      <c r="F4" s="2">
        <v>50.348939047317998</v>
      </c>
      <c r="G4" s="2">
        <v>1.5833879086714699</v>
      </c>
      <c r="H4" s="2">
        <v>1005</v>
      </c>
      <c r="I4" s="2">
        <v>79.721897789334193</v>
      </c>
      <c r="J4" s="2">
        <v>33.144191484777998</v>
      </c>
      <c r="K4" s="2">
        <v>41.574113705107202</v>
      </c>
      <c r="L4" s="2">
        <v>2.54249668834227E-2</v>
      </c>
      <c r="M4" s="2">
        <v>1.0569161895635899E-2</v>
      </c>
      <c r="N4" s="2">
        <f t="shared" si="0"/>
        <v>25.420164665293822</v>
      </c>
      <c r="O4" s="2">
        <f t="shared" si="1"/>
        <v>0.11690289145940738</v>
      </c>
      <c r="P4" s="23">
        <f t="shared" si="2"/>
        <v>7.1329503229144012E-2</v>
      </c>
      <c r="Q4" s="23">
        <f t="shared" si="3"/>
        <v>2.241052599025159E-2</v>
      </c>
      <c r="R4" s="24">
        <f t="shared" si="4"/>
        <v>0.60108619180565848</v>
      </c>
    </row>
    <row r="5" spans="1:23" x14ac:dyDescent="0.35">
      <c r="A5" s="2">
        <v>13.393345850000101</v>
      </c>
      <c r="B5" s="2">
        <v>1063</v>
      </c>
      <c r="D5" s="2">
        <v>0.473562769891268</v>
      </c>
      <c r="E5" s="2">
        <v>1.2914751553225401</v>
      </c>
      <c r="F5" s="2">
        <v>50.318549094538398</v>
      </c>
      <c r="G5" s="2">
        <v>2.4321748224789501</v>
      </c>
      <c r="H5" s="2">
        <v>1235</v>
      </c>
      <c r="I5" s="2">
        <v>122.383491135455</v>
      </c>
      <c r="J5" s="2">
        <v>61.240869970753401</v>
      </c>
      <c r="K5" s="2">
        <v>50.040634676643798</v>
      </c>
      <c r="L5" s="2">
        <v>2.1091427596316999E-2</v>
      </c>
      <c r="M5" s="2">
        <v>1.0553506821839099E-2</v>
      </c>
      <c r="N5" s="2">
        <f t="shared" si="0"/>
        <v>21.088452138895246</v>
      </c>
      <c r="O5" s="2">
        <f t="shared" si="1"/>
        <v>0.14365678701728171</v>
      </c>
      <c r="P5" s="23">
        <f t="shared" si="2"/>
        <v>7.2404852770496311E-2</v>
      </c>
      <c r="Q5" s="23">
        <f t="shared" si="3"/>
        <v>2.2314300870259689E-2</v>
      </c>
      <c r="R5" s="24">
        <f t="shared" si="4"/>
        <v>0.61738095728919462</v>
      </c>
    </row>
    <row r="6" spans="1:23" x14ac:dyDescent="0.35">
      <c r="A6" s="2">
        <v>19.2317903500002</v>
      </c>
      <c r="B6" s="2">
        <v>1069</v>
      </c>
      <c r="D6" s="2">
        <v>0.65155827776820696</v>
      </c>
      <c r="E6" s="2">
        <v>1.79451330406651</v>
      </c>
      <c r="F6" s="2">
        <v>50.2684888492211</v>
      </c>
      <c r="G6" s="2">
        <v>3.4474099117281698</v>
      </c>
      <c r="H6" s="2">
        <v>1447</v>
      </c>
      <c r="I6" s="2">
        <v>173.29602776519701</v>
      </c>
      <c r="J6" s="2">
        <v>98.761696296024894</v>
      </c>
      <c r="K6" s="2">
        <v>56.996134686413797</v>
      </c>
      <c r="L6" s="2">
        <v>1.8172602624311099E-2</v>
      </c>
      <c r="M6" s="2">
        <v>1.0356914645629701E-2</v>
      </c>
      <c r="N6" s="2">
        <f t="shared" si="0"/>
        <v>18.170134489060395</v>
      </c>
      <c r="O6" s="2">
        <f t="shared" si="1"/>
        <v>0.16831689944453976</v>
      </c>
      <c r="P6" s="23">
        <f t="shared" si="2"/>
        <v>7.3286697947085755E-2</v>
      </c>
      <c r="Q6" s="23">
        <f t="shared" si="3"/>
        <v>2.2373078838456701E-2</v>
      </c>
      <c r="R6" s="24">
        <f t="shared" si="4"/>
        <v>0.62704250422190444</v>
      </c>
    </row>
    <row r="7" spans="1:23" x14ac:dyDescent="0.35">
      <c r="A7" s="2">
        <v>25.176519950000198</v>
      </c>
      <c r="B7" s="2">
        <v>1075</v>
      </c>
      <c r="D7" s="2">
        <v>0.85484876484304895</v>
      </c>
      <c r="E7" s="2">
        <v>2.3956199016160702</v>
      </c>
      <c r="F7" s="2">
        <v>50.194203797237698</v>
      </c>
      <c r="G7" s="2">
        <v>4.7490492712580101</v>
      </c>
      <c r="H7" s="2">
        <v>1662</v>
      </c>
      <c r="I7" s="2">
        <v>238.374670945958</v>
      </c>
      <c r="J7" s="2">
        <v>148.74930746967999</v>
      </c>
      <c r="K7" s="2">
        <v>62.406764565881801</v>
      </c>
      <c r="L7" s="2">
        <v>1.6108361253745099E-2</v>
      </c>
      <c r="M7" s="2">
        <v>1.00518485532714E-2</v>
      </c>
      <c r="N7" s="2">
        <f t="shared" si="0"/>
        <v>16.105082721843104</v>
      </c>
      <c r="O7" s="2">
        <f t="shared" si="1"/>
        <v>0.19332597572690055</v>
      </c>
      <c r="P7" s="23">
        <f t="shared" si="2"/>
        <v>7.4160287967156568E-2</v>
      </c>
      <c r="Q7" s="23">
        <f t="shared" si="3"/>
        <v>2.2238459516343744E-2</v>
      </c>
      <c r="R7" s="24">
        <f t="shared" si="4"/>
        <v>0.64215137020419499</v>
      </c>
    </row>
    <row r="8" spans="1:23" x14ac:dyDescent="0.35">
      <c r="A8" s="2">
        <v>31.219010750000098</v>
      </c>
      <c r="B8" s="2">
        <v>1081</v>
      </c>
      <c r="D8" s="2">
        <v>1.0921668303795999</v>
      </c>
      <c r="E8" s="2">
        <v>3.0441279038076798</v>
      </c>
      <c r="F8" s="2">
        <v>50.089205615688002</v>
      </c>
      <c r="G8" s="2">
        <v>6.4380959187907099</v>
      </c>
      <c r="H8" s="2">
        <v>1872</v>
      </c>
      <c r="I8" s="2">
        <v>322.478536567628</v>
      </c>
      <c r="J8" s="2">
        <v>214.057436256165</v>
      </c>
      <c r="K8" s="2">
        <v>66.383463267146894</v>
      </c>
      <c r="L8" s="2">
        <v>1.4222000582925999E-2</v>
      </c>
      <c r="M8" s="2">
        <v>9.4409448635166798E-3</v>
      </c>
      <c r="N8" s="2">
        <f t="shared" si="0"/>
        <v>14.221079898222909</v>
      </c>
      <c r="O8" s="2">
        <f t="shared" si="1"/>
        <v>0.21775344558409018</v>
      </c>
      <c r="P8" s="23">
        <f t="shared" si="2"/>
        <v>7.4279118530387558E-2</v>
      </c>
      <c r="Q8" s="23">
        <f t="shared" si="3"/>
        <v>2.239523335909608E-2</v>
      </c>
      <c r="R8" s="24">
        <f t="shared" si="4"/>
        <v>0.63918933782230114</v>
      </c>
    </row>
    <row r="9" spans="1:23" x14ac:dyDescent="0.35">
      <c r="A9" s="2">
        <v>37.349545350000099</v>
      </c>
      <c r="B9" s="2">
        <v>1088</v>
      </c>
      <c r="D9" s="2">
        <v>1.4055943977548</v>
      </c>
      <c r="E9" s="2">
        <v>3.9324420284005202</v>
      </c>
      <c r="F9" s="2">
        <v>49.936069401963799</v>
      </c>
      <c r="G9" s="2">
        <v>8.8096822171141707</v>
      </c>
      <c r="H9" s="2">
        <v>2110</v>
      </c>
      <c r="I9" s="2">
        <v>439.920792960136</v>
      </c>
      <c r="J9" s="2">
        <v>310.642410760806</v>
      </c>
      <c r="K9" s="2">
        <v>70.620296173171695</v>
      </c>
      <c r="L9" s="2">
        <v>1.26599268156464E-2</v>
      </c>
      <c r="M9" s="2">
        <v>8.9403938455669598E-3</v>
      </c>
      <c r="N9" s="2">
        <f t="shared" si="0"/>
        <v>12.659063579790759</v>
      </c>
      <c r="O9" s="2">
        <f t="shared" si="1"/>
        <v>0.24543791142223834</v>
      </c>
      <c r="P9" s="23">
        <f t="shared" si="2"/>
        <v>7.5528863969325968E-2</v>
      </c>
      <c r="Q9" s="23">
        <f t="shared" si="3"/>
        <v>2.2696358763760249E-2</v>
      </c>
      <c r="R9" s="24">
        <f t="shared" si="4"/>
        <v>0.64669312377749999</v>
      </c>
    </row>
    <row r="10" spans="1:23" x14ac:dyDescent="0.35">
      <c r="A10" s="2">
        <v>43.3779192000001</v>
      </c>
      <c r="B10" s="2">
        <v>1094</v>
      </c>
      <c r="D10" s="2">
        <v>1.70015300507946</v>
      </c>
      <c r="E10" s="2">
        <v>4.7391519749968296</v>
      </c>
      <c r="F10" s="2">
        <v>49.766728730498301</v>
      </c>
      <c r="G10" s="2">
        <v>11.282064390988999</v>
      </c>
      <c r="H10" s="2">
        <v>2307</v>
      </c>
      <c r="I10" s="2">
        <v>561.47056205500303</v>
      </c>
      <c r="J10" s="2">
        <v>410.711497760989</v>
      </c>
      <c r="K10" s="2">
        <v>73.155897633711405</v>
      </c>
      <c r="L10" s="2">
        <v>1.15390213086771E-2</v>
      </c>
      <c r="M10" s="2">
        <v>8.4415327127371001E-3</v>
      </c>
      <c r="N10" s="2">
        <f t="shared" si="0"/>
        <v>11.538883135321303</v>
      </c>
      <c r="O10" s="2">
        <f t="shared" si="1"/>
        <v>0.26835320457398287</v>
      </c>
      <c r="P10" s="23">
        <f t="shared" si="2"/>
        <v>7.614142157444341E-2</v>
      </c>
      <c r="Q10" s="23">
        <f t="shared" si="3"/>
        <v>2.295814968796886E-2</v>
      </c>
      <c r="R10" s="24">
        <f t="shared" si="4"/>
        <v>0.6471122040443531</v>
      </c>
    </row>
    <row r="11" spans="1:23" x14ac:dyDescent="0.35">
      <c r="A11" s="2">
        <v>49.5793140500002</v>
      </c>
      <c r="B11" s="2">
        <v>1100</v>
      </c>
      <c r="D11" s="2">
        <v>1.99600910658922</v>
      </c>
      <c r="E11" s="2">
        <v>5.5875702215193801</v>
      </c>
      <c r="F11" s="2">
        <v>49.592652279631402</v>
      </c>
      <c r="G11" s="2">
        <v>13.646986348569699</v>
      </c>
      <c r="H11" s="2">
        <v>2484</v>
      </c>
      <c r="I11" s="2">
        <v>676.789276273665</v>
      </c>
      <c r="J11" s="2">
        <v>519.28752905689498</v>
      </c>
      <c r="K11" s="2">
        <v>76.736871461015596</v>
      </c>
      <c r="L11" s="2">
        <v>1.07603454770509E-2</v>
      </c>
      <c r="M11" s="2">
        <v>8.2570904914249597E-3</v>
      </c>
      <c r="N11" s="2">
        <f t="shared" si="0"/>
        <v>10.760070113116825</v>
      </c>
      <c r="O11" s="2">
        <f t="shared" si="1"/>
        <v>0.28894207202504274</v>
      </c>
      <c r="P11" s="23">
        <f t="shared" si="2"/>
        <v>7.7434650984550754E-2</v>
      </c>
      <c r="Q11" s="23">
        <f t="shared" si="3"/>
        <v>2.3253906620818859E-2</v>
      </c>
      <c r="R11" s="24">
        <f t="shared" si="4"/>
        <v>0.65522746877487315</v>
      </c>
    </row>
    <row r="12" spans="1:23" x14ac:dyDescent="0.35">
      <c r="A12" s="2">
        <v>55.766031650000102</v>
      </c>
      <c r="B12" s="2">
        <v>1106</v>
      </c>
      <c r="D12" s="2">
        <v>2.3175272544971199</v>
      </c>
      <c r="E12" s="2">
        <v>6.4411736178865899</v>
      </c>
      <c r="F12" s="2">
        <v>49.388455962600297</v>
      </c>
      <c r="G12" s="2">
        <v>16.7086735082007</v>
      </c>
      <c r="H12" s="2">
        <v>2659</v>
      </c>
      <c r="I12" s="2">
        <v>825.21455349855796</v>
      </c>
      <c r="J12" s="2">
        <v>645.37066972203297</v>
      </c>
      <c r="K12" s="2">
        <v>78.209980612220505</v>
      </c>
      <c r="L12" s="2">
        <v>9.9811984467259307E-3</v>
      </c>
      <c r="M12" s="2">
        <v>7.8061885914355797E-3</v>
      </c>
      <c r="N12" s="2">
        <f t="shared" si="0"/>
        <v>9.9805800295524154</v>
      </c>
      <c r="O12" s="2">
        <f t="shared" si="1"/>
        <v>0.30929829690603405</v>
      </c>
      <c r="P12" s="23">
        <f t="shared" si="2"/>
        <v>7.790114927817679E-2</v>
      </c>
      <c r="Q12" s="23">
        <f t="shared" si="3"/>
        <v>2.3561178950358041E-2</v>
      </c>
      <c r="R12" s="24">
        <f t="shared" si="4"/>
        <v>0.65253495612598067</v>
      </c>
    </row>
    <row r="13" spans="1:23" x14ac:dyDescent="0.35">
      <c r="A13" s="2">
        <v>62.031972450000197</v>
      </c>
      <c r="B13" s="2">
        <v>1113</v>
      </c>
      <c r="D13" s="2">
        <v>2.75545655823435</v>
      </c>
      <c r="E13" s="2">
        <v>7.6475171499449299</v>
      </c>
      <c r="F13" s="2">
        <v>49.111130925171501</v>
      </c>
      <c r="G13" s="2">
        <v>21.310148281109001</v>
      </c>
      <c r="H13" s="2">
        <v>2890</v>
      </c>
      <c r="I13" s="2">
        <v>1046.56646144554</v>
      </c>
      <c r="J13" s="2">
        <v>834.02612354622204</v>
      </c>
      <c r="K13" s="2">
        <v>79.691959124985601</v>
      </c>
      <c r="L13" s="2">
        <v>9.1695517169638405E-3</v>
      </c>
      <c r="M13" s="2">
        <v>7.3073249829627698E-3</v>
      </c>
      <c r="N13" s="2">
        <f t="shared" si="0"/>
        <v>9.1693976172211613</v>
      </c>
      <c r="O13" s="2">
        <f t="shared" si="1"/>
        <v>0.33616851374894258</v>
      </c>
      <c r="P13" s="23">
        <f t="shared" si="2"/>
        <v>7.8296132120582659E-2</v>
      </c>
      <c r="Q13" s="23">
        <f t="shared" si="3"/>
        <v>2.3715316847448854E-2</v>
      </c>
      <c r="R13" s="24">
        <f t="shared" si="4"/>
        <v>0.65323061855181896</v>
      </c>
    </row>
    <row r="14" spans="1:23" x14ac:dyDescent="0.35">
      <c r="A14" s="2">
        <v>68.186386100000107</v>
      </c>
      <c r="B14" s="2">
        <v>1119</v>
      </c>
      <c r="D14" s="2">
        <v>3.1643042058986599</v>
      </c>
      <c r="E14" s="2">
        <v>8.8000726837134007</v>
      </c>
      <c r="F14" s="2">
        <v>48.842211461036797</v>
      </c>
      <c r="G14" s="2">
        <v>25.8778876184731</v>
      </c>
      <c r="H14" s="2">
        <v>3075</v>
      </c>
      <c r="I14" s="2">
        <v>1263.9330029748</v>
      </c>
      <c r="J14" s="2">
        <v>1018.80979584439</v>
      </c>
      <c r="K14" s="2">
        <v>80.607799327404706</v>
      </c>
      <c r="L14" s="2">
        <v>8.6376489436021803E-3</v>
      </c>
      <c r="M14" s="2">
        <v>6.9626256033961803E-3</v>
      </c>
      <c r="N14" s="2">
        <f t="shared" si="0"/>
        <v>8.6376011691366745</v>
      </c>
      <c r="O14" s="2">
        <f t="shared" si="1"/>
        <v>0.35768795148027627</v>
      </c>
      <c r="P14" s="23">
        <f t="shared" si="2"/>
        <v>7.9581395978485792E-2</v>
      </c>
      <c r="Q14" s="23">
        <f t="shared" si="3"/>
        <v>2.4049195757289785E-2</v>
      </c>
      <c r="R14" s="24">
        <f t="shared" si="4"/>
        <v>0.6600879037617976</v>
      </c>
    </row>
    <row r="15" spans="1:23" x14ac:dyDescent="0.35">
      <c r="A15" s="2">
        <v>74.5587531500002</v>
      </c>
      <c r="B15" s="2">
        <v>1125</v>
      </c>
      <c r="D15" s="2">
        <v>3.5941747475393302</v>
      </c>
      <c r="E15" s="2">
        <v>9.9394469612871905</v>
      </c>
      <c r="F15" s="2">
        <v>48.564618438402498</v>
      </c>
      <c r="G15" s="2">
        <v>30.931361206787798</v>
      </c>
      <c r="H15" s="2">
        <v>3242</v>
      </c>
      <c r="I15" s="2">
        <v>1502.1666384502901</v>
      </c>
      <c r="J15" s="2">
        <v>1220.17413106303</v>
      </c>
      <c r="K15" s="2">
        <v>81.228765309492104</v>
      </c>
      <c r="L15" s="2">
        <v>8.1459601282053099E-3</v>
      </c>
      <c r="M15" s="2">
        <v>6.6168311411069899E-3</v>
      </c>
      <c r="N15" s="2">
        <f t="shared" si="0"/>
        <v>8.1459250022190091</v>
      </c>
      <c r="O15" s="2">
        <f t="shared" si="1"/>
        <v>0.3771136060809937</v>
      </c>
      <c r="P15" s="23">
        <f t="shared" si="2"/>
        <v>8.0863350811457221E-2</v>
      </c>
      <c r="Q15" s="23">
        <f t="shared" si="3"/>
        <v>2.4576814270409381E-2</v>
      </c>
      <c r="R15" s="24">
        <f t="shared" si="4"/>
        <v>0.66158707965288477</v>
      </c>
    </row>
    <row r="16" spans="1:23" x14ac:dyDescent="0.35">
      <c r="A16" s="2">
        <v>80.954589050000195</v>
      </c>
      <c r="B16" s="2">
        <v>1131</v>
      </c>
      <c r="D16" s="2">
        <v>3.9866307040525899</v>
      </c>
      <c r="E16" s="2">
        <v>11.021084427317</v>
      </c>
      <c r="F16" s="2">
        <v>48.293250221166502</v>
      </c>
      <c r="G16" s="2">
        <v>36.192273031522397</v>
      </c>
      <c r="H16" s="2">
        <v>3414</v>
      </c>
      <c r="I16" s="2">
        <v>1747.8402664180001</v>
      </c>
      <c r="J16" s="2">
        <v>1425.3965484001401</v>
      </c>
      <c r="K16" s="2">
        <v>81.553296861024293</v>
      </c>
      <c r="L16" s="2">
        <v>7.7320717617277599E-3</v>
      </c>
      <c r="M16" s="2">
        <v>6.3057383997253396E-3</v>
      </c>
      <c r="N16" s="2">
        <f t="shared" si="0"/>
        <v>7.7319426932014288</v>
      </c>
      <c r="O16" s="2">
        <f t="shared" si="1"/>
        <v>0.39712086710688238</v>
      </c>
      <c r="P16" s="23">
        <f t="shared" si="2"/>
        <v>8.0856107455568385E-2</v>
      </c>
      <c r="Q16" s="23">
        <f t="shared" si="3"/>
        <v>2.4586004582587712E-2</v>
      </c>
      <c r="R16" s="24">
        <f t="shared" si="4"/>
        <v>0.66125091915295664</v>
      </c>
    </row>
    <row r="17" spans="1:18" x14ac:dyDescent="0.35">
      <c r="A17" s="2">
        <v>87.407084450000198</v>
      </c>
      <c r="B17" s="2">
        <v>1138</v>
      </c>
      <c r="D17" s="2">
        <v>4.6745782453778801</v>
      </c>
      <c r="E17" s="2">
        <v>12.847960617659799</v>
      </c>
      <c r="F17" s="2">
        <v>47.859591683103602</v>
      </c>
      <c r="G17" s="2">
        <v>45.8759157890293</v>
      </c>
      <c r="H17" s="2">
        <v>3657</v>
      </c>
      <c r="I17" s="2">
        <v>2195.59752998985</v>
      </c>
      <c r="J17" s="2">
        <v>1790.3938176459601</v>
      </c>
      <c r="K17" s="2">
        <v>81.5475851063471</v>
      </c>
      <c r="L17" s="2">
        <v>7.1760575369953497E-3</v>
      </c>
      <c r="M17" s="2">
        <v>5.8518843499096602E-3</v>
      </c>
      <c r="N17" s="2">
        <f t="shared" si="0"/>
        <v>7.1760528276133764</v>
      </c>
      <c r="O17" s="2">
        <f t="shared" si="1"/>
        <v>0.42538693937020178</v>
      </c>
      <c r="P17" s="23">
        <f t="shared" si="2"/>
        <v>8.2148532596894142E-2</v>
      </c>
      <c r="Q17" s="23">
        <f t="shared" si="3"/>
        <v>2.5125603052363603E-2</v>
      </c>
      <c r="R17" s="24">
        <f t="shared" si="4"/>
        <v>0.66262561921446805</v>
      </c>
    </row>
    <row r="18" spans="1:18" x14ac:dyDescent="0.35">
      <c r="A18" s="2">
        <v>93.861158950000103</v>
      </c>
      <c r="B18" s="2">
        <v>1144</v>
      </c>
      <c r="D18" s="2">
        <v>5.2405959252659198</v>
      </c>
      <c r="E18" s="2">
        <v>14.3048070573477</v>
      </c>
      <c r="F18" s="2">
        <v>47.451852714414002</v>
      </c>
      <c r="G18" s="2">
        <v>54.985034446914298</v>
      </c>
      <c r="H18" s="2">
        <v>3851</v>
      </c>
      <c r="I18" s="2">
        <v>2609.1376132027299</v>
      </c>
      <c r="J18" s="2">
        <v>2113.5230778089699</v>
      </c>
      <c r="K18" s="2">
        <v>81.005107650174097</v>
      </c>
      <c r="L18" s="2">
        <v>6.7682844871831604E-3</v>
      </c>
      <c r="M18" s="2">
        <v>5.4826472921262496E-3</v>
      </c>
      <c r="N18" s="2">
        <f t="shared" si="0"/>
        <v>6.7682284653248699</v>
      </c>
      <c r="O18" s="2">
        <f t="shared" si="1"/>
        <v>0.44795326866684354</v>
      </c>
      <c r="P18" s="23">
        <f t="shared" si="2"/>
        <v>8.2480351158053522E-2</v>
      </c>
      <c r="Q18" s="23">
        <f t="shared" si="3"/>
        <v>2.5399738428208789E-2</v>
      </c>
      <c r="R18" s="24">
        <f t="shared" si="4"/>
        <v>0.65944944926667992</v>
      </c>
    </row>
    <row r="19" spans="1:18" x14ac:dyDescent="0.35">
      <c r="A19" s="2">
        <v>100.28752485</v>
      </c>
      <c r="B19" s="2">
        <v>1150</v>
      </c>
      <c r="D19" s="2">
        <v>5.7882058726891197</v>
      </c>
      <c r="E19" s="2">
        <v>15.7416725605375</v>
      </c>
      <c r="F19" s="2">
        <v>47.0022645932697</v>
      </c>
      <c r="G19" s="2">
        <v>64.116155926019502</v>
      </c>
      <c r="H19" s="2">
        <v>4017</v>
      </c>
      <c r="I19" s="2">
        <v>3013.6006392391901</v>
      </c>
      <c r="J19" s="2">
        <v>2435.00499446602</v>
      </c>
      <c r="K19" s="2">
        <v>80.801205192550299</v>
      </c>
      <c r="L19" s="2">
        <v>6.4647642913511702E-3</v>
      </c>
      <c r="M19" s="2">
        <v>5.2235883940813703E-3</v>
      </c>
      <c r="N19" s="2">
        <f t="shared" si="0"/>
        <v>6.464739331670053</v>
      </c>
      <c r="O19" s="2">
        <f t="shared" si="1"/>
        <v>0.46726260198252678</v>
      </c>
      <c r="P19" s="23">
        <f t="shared" si="2"/>
        <v>8.3418570846874096E-2</v>
      </c>
      <c r="Q19" s="23">
        <f t="shared" si="3"/>
        <v>2.5783220746280925E-2</v>
      </c>
      <c r="R19" s="24">
        <f t="shared" si="4"/>
        <v>0.66075727420249641</v>
      </c>
    </row>
    <row r="20" spans="1:18" x14ac:dyDescent="0.35">
      <c r="A20" s="2">
        <v>106.75937725</v>
      </c>
      <c r="B20" s="2">
        <v>1156</v>
      </c>
      <c r="D20" s="2">
        <v>6.2362618591244097</v>
      </c>
      <c r="E20" s="2">
        <v>16.891934980401398</v>
      </c>
      <c r="F20" s="2">
        <v>46.647749382343001</v>
      </c>
      <c r="G20" s="2">
        <v>71.839271150991806</v>
      </c>
      <c r="H20" s="2">
        <v>4143</v>
      </c>
      <c r="I20" s="2">
        <v>3351.1315953359499</v>
      </c>
      <c r="J20" s="2">
        <v>2705.4971176823701</v>
      </c>
      <c r="K20" s="2">
        <v>80.735163591211105</v>
      </c>
      <c r="L20" s="2">
        <v>6.2435030054212304E-3</v>
      </c>
      <c r="M20" s="2">
        <v>5.0406799287782498E-3</v>
      </c>
      <c r="N20" s="2">
        <f t="shared" si="0"/>
        <v>6.24356051610643</v>
      </c>
      <c r="O20" s="2">
        <f t="shared" si="1"/>
        <v>0.48191908389684052</v>
      </c>
      <c r="P20" s="23">
        <f t="shared" si="2"/>
        <v>8.4152121391518064E-2</v>
      </c>
      <c r="Q20" s="23">
        <f t="shared" si="3"/>
        <v>2.6112297282703336E-2</v>
      </c>
      <c r="R20" s="24">
        <f t="shared" si="4"/>
        <v>0.66105489216807389</v>
      </c>
    </row>
    <row r="21" spans="1:18" x14ac:dyDescent="0.35">
      <c r="A21" s="2">
        <v>113.57199540000001</v>
      </c>
      <c r="B21" s="2">
        <v>1163</v>
      </c>
      <c r="D21" s="2">
        <v>6.8035635277742097</v>
      </c>
      <c r="E21" s="2">
        <v>18.379005056536801</v>
      </c>
      <c r="F21" s="2">
        <v>46.2345561034154</v>
      </c>
      <c r="G21" s="2">
        <v>82.374652413017401</v>
      </c>
      <c r="H21" s="2">
        <v>4291</v>
      </c>
      <c r="I21" s="2">
        <v>3808.5482960806999</v>
      </c>
      <c r="J21" s="2">
        <v>3057.2647765142501</v>
      </c>
      <c r="K21" s="2">
        <v>80.274328169837801</v>
      </c>
      <c r="L21" s="2">
        <v>6.0116189078709397E-3</v>
      </c>
      <c r="M21" s="2">
        <v>4.8257625326675801E-3</v>
      </c>
      <c r="N21" s="2">
        <f t="shared" si="0"/>
        <v>6.0115843409191658</v>
      </c>
      <c r="O21" s="2">
        <f t="shared" si="1"/>
        <v>0.49913463408190756</v>
      </c>
      <c r="P21" s="23">
        <f t="shared" si="2"/>
        <v>8.5353336445742195E-2</v>
      </c>
      <c r="Q21" s="23">
        <f t="shared" si="3"/>
        <v>2.6558302601295686E-2</v>
      </c>
      <c r="R21" s="24">
        <f t="shared" si="4"/>
        <v>0.66391952474034244</v>
      </c>
    </row>
    <row r="22" spans="1:18" x14ac:dyDescent="0.35">
      <c r="A22" s="2">
        <v>120.42217530000001</v>
      </c>
      <c r="B22" s="2">
        <v>1169</v>
      </c>
      <c r="D22" s="2">
        <v>7.2357959661428701</v>
      </c>
      <c r="E22" s="2">
        <v>19.5324772303399</v>
      </c>
      <c r="F22" s="2">
        <v>45.898026564560297</v>
      </c>
      <c r="G22" s="2">
        <v>91.352010631644703</v>
      </c>
      <c r="H22" s="2">
        <v>4414</v>
      </c>
      <c r="I22" s="2">
        <v>4192.8667243832097</v>
      </c>
      <c r="J22" s="2">
        <v>3344.7932927525299</v>
      </c>
      <c r="K22" s="2">
        <v>79.773686178026495</v>
      </c>
      <c r="L22" s="2">
        <v>5.8395766445655996E-3</v>
      </c>
      <c r="M22" s="2">
        <v>4.6584307826976904E-3</v>
      </c>
      <c r="N22" s="2">
        <f t="shared" si="0"/>
        <v>5.8396664668823357</v>
      </c>
      <c r="O22" s="2">
        <f t="shared" si="1"/>
        <v>0.51344215214111866</v>
      </c>
      <c r="P22" s="23">
        <f t="shared" si="2"/>
        <v>8.5725140020125629E-2</v>
      </c>
      <c r="Q22" s="23">
        <f t="shared" si="3"/>
        <v>2.6694088928311526E-2</v>
      </c>
      <c r="R22" s="24">
        <f t="shared" si="4"/>
        <v>0.66486305979834992</v>
      </c>
    </row>
    <row r="23" spans="1:18" x14ac:dyDescent="0.35">
      <c r="A23" s="2">
        <v>127.05401019999999</v>
      </c>
      <c r="B23" s="2">
        <v>1175</v>
      </c>
      <c r="D23" s="2">
        <v>7.69459270193338</v>
      </c>
      <c r="E23" s="2">
        <v>20.8134227410413</v>
      </c>
      <c r="F23" s="2">
        <v>45.561740450791298</v>
      </c>
      <c r="G23" s="2">
        <v>100.65467541232</v>
      </c>
      <c r="H23" s="2">
        <v>4524</v>
      </c>
      <c r="I23" s="2">
        <v>4585.9954654141202</v>
      </c>
      <c r="J23" s="2">
        <v>3645.4527528143499</v>
      </c>
      <c r="K23" s="2">
        <v>79.491170255106994</v>
      </c>
      <c r="L23" s="2">
        <v>5.70946395007487E-3</v>
      </c>
      <c r="M23" s="2">
        <v>4.5385088299940198E-3</v>
      </c>
      <c r="N23" s="2">
        <f t="shared" si="0"/>
        <v>5.7094205171012007</v>
      </c>
      <c r="O23" s="2">
        <f t="shared" si="1"/>
        <v>0.52623749349488458</v>
      </c>
      <c r="P23" s="23">
        <f t="shared" si="2"/>
        <v>8.695886183737124E-2</v>
      </c>
      <c r="Q23" s="23">
        <f t="shared" si="3"/>
        <v>2.7022560067366783E-2</v>
      </c>
      <c r="R23" s="24">
        <f t="shared" si="4"/>
        <v>0.67101044663853748</v>
      </c>
    </row>
    <row r="24" spans="1:18" x14ac:dyDescent="0.35">
      <c r="A24" s="2">
        <v>133.83184109999999</v>
      </c>
      <c r="B24" s="2">
        <v>1181</v>
      </c>
      <c r="D24" s="2">
        <v>8.1127332527086597</v>
      </c>
      <c r="E24" s="2">
        <v>21.7736689300237</v>
      </c>
      <c r="F24" s="2">
        <v>45.207670116969801</v>
      </c>
      <c r="G24" s="2">
        <v>110.33264756425601</v>
      </c>
      <c r="H24" s="2">
        <v>4640</v>
      </c>
      <c r="I24" s="2">
        <v>4987.8785767285299</v>
      </c>
      <c r="J24" s="2">
        <v>3941.71896807136</v>
      </c>
      <c r="K24" s="2">
        <v>79.026142993386401</v>
      </c>
      <c r="L24" s="2">
        <v>5.5239155305675403E-3</v>
      </c>
      <c r="M24" s="2">
        <v>4.3652936466451204E-3</v>
      </c>
      <c r="N24" s="2">
        <f t="shared" si="0"/>
        <v>5.5239019083791554</v>
      </c>
      <c r="O24" s="2">
        <f t="shared" si="1"/>
        <v>0.53973076255885599</v>
      </c>
      <c r="P24" s="23">
        <f t="shared" si="2"/>
        <v>8.6479105363005071E-2</v>
      </c>
      <c r="Q24" s="23">
        <f t="shared" si="3"/>
        <v>2.7081612604699178E-2</v>
      </c>
      <c r="R24" s="24">
        <f t="shared" si="4"/>
        <v>0.66401404122461105</v>
      </c>
    </row>
    <row r="25" spans="1:18" x14ac:dyDescent="0.35">
      <c r="A25" s="2">
        <v>140.93262695000001</v>
      </c>
      <c r="B25" s="2">
        <v>1188</v>
      </c>
      <c r="D25" s="2">
        <v>8.6803212227794599</v>
      </c>
      <c r="E25" s="2">
        <v>23.239074432687801</v>
      </c>
      <c r="F25" s="2">
        <v>44.751116941171801</v>
      </c>
      <c r="G25" s="2">
        <v>123.054152543388</v>
      </c>
      <c r="H25" s="2">
        <v>4746</v>
      </c>
      <c r="I25" s="2">
        <v>5506.8074769676396</v>
      </c>
      <c r="J25" s="2">
        <v>4314.1928878139797</v>
      </c>
      <c r="K25" s="2">
        <v>78.343003602507807</v>
      </c>
      <c r="L25" s="2">
        <v>5.3866398792393397E-3</v>
      </c>
      <c r="M25" s="2">
        <v>4.2200567693403803E-3</v>
      </c>
      <c r="N25" s="2">
        <f t="shared" si="0"/>
        <v>5.3866563310902729</v>
      </c>
      <c r="O25" s="2">
        <f t="shared" si="1"/>
        <v>0.55206081877248503</v>
      </c>
      <c r="P25" s="23">
        <f t="shared" si="2"/>
        <v>8.8222405107143353E-2</v>
      </c>
      <c r="Q25" s="23">
        <f t="shared" si="3"/>
        <v>2.7698685720343431E-2</v>
      </c>
      <c r="R25" s="24">
        <f t="shared" si="4"/>
        <v>0.66895080308184918</v>
      </c>
    </row>
    <row r="26" spans="1:18" x14ac:dyDescent="0.35">
      <c r="A26" s="2">
        <v>148.05624044999999</v>
      </c>
      <c r="B26" s="2">
        <v>1194</v>
      </c>
      <c r="D26" s="2">
        <v>8.9507335482448305</v>
      </c>
      <c r="E26" s="2">
        <v>23.826932920671599</v>
      </c>
      <c r="F26" s="2">
        <v>44.505230172652197</v>
      </c>
      <c r="G26" s="2">
        <v>129.841862193011</v>
      </c>
      <c r="H26" s="2">
        <v>4814</v>
      </c>
      <c r="I26" s="2">
        <v>5778.6044716577499</v>
      </c>
      <c r="J26" s="2">
        <v>4512.05117928647</v>
      </c>
      <c r="K26" s="2">
        <v>78.083704214250403</v>
      </c>
      <c r="L26" s="2">
        <v>5.2809753895633098E-3</v>
      </c>
      <c r="M26" s="2">
        <v>4.1235089555210396E-3</v>
      </c>
      <c r="N26" s="2">
        <f t="shared" si="0"/>
        <v>5.280731971759141</v>
      </c>
      <c r="O26" s="2">
        <f t="shared" si="1"/>
        <v>0.55997066615481295</v>
      </c>
      <c r="P26" s="23">
        <f t="shared" si="2"/>
        <v>8.7916725532507539E-2</v>
      </c>
      <c r="Q26" s="23">
        <f t="shared" si="3"/>
        <v>2.7758664318152087E-2</v>
      </c>
      <c r="R26" s="24">
        <f t="shared" si="4"/>
        <v>0.66403916329256552</v>
      </c>
    </row>
    <row r="27" spans="1:18" x14ac:dyDescent="0.35">
      <c r="P27" s="23"/>
      <c r="Q27" s="23"/>
      <c r="R27" s="24"/>
    </row>
    <row r="28" spans="1:18" x14ac:dyDescent="0.35">
      <c r="Q28" s="21"/>
      <c r="R28" s="24"/>
    </row>
    <row r="40" spans="3:4" x14ac:dyDescent="0.35">
      <c r="C40" s="22"/>
      <c r="D40" s="22"/>
    </row>
  </sheetData>
  <sheetProtection algorithmName="SHA-512" hashValue="yBUTI8IKmk7zJWCDZ25GEHZdZh94Y7SypfsLhDcD5Y8MWRKGcGXlkp9Irl4zJJVs+bs/fBeSpi9L+qJckO6nDA==" saltValue="9j02/zcQo3Kvl5liDozNiQ==" spinCount="100000" sheet="1" objects="1" scenarios="1" selectLockedCells="1"/>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3B56-5269-4A02-B805-D0F89064BCFD}">
  <sheetPr codeName="Sheet7"/>
  <dimension ref="A1:W30"/>
  <sheetViews>
    <sheetView showGridLines="0" showRowColHeaders="0" topLeftCell="A441"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1.85972895000006</v>
      </c>
      <c r="B2" s="2">
        <v>1000</v>
      </c>
      <c r="D2" s="2">
        <v>-4.9968907939397202E-5</v>
      </c>
      <c r="E2" s="2">
        <v>-3.5993879191720902E-4</v>
      </c>
      <c r="F2" s="2">
        <v>25.147733909976498</v>
      </c>
      <c r="G2" s="2">
        <v>1.2634606766191599E-3</v>
      </c>
      <c r="H2" s="2">
        <v>0</v>
      </c>
      <c r="I2" s="2">
        <v>0.77730692539295199</v>
      </c>
      <c r="J2" s="2">
        <v>0</v>
      </c>
      <c r="K2" s="2">
        <v>0</v>
      </c>
      <c r="L2" s="2">
        <v>0</v>
      </c>
      <c r="M2" s="2">
        <v>0</v>
      </c>
      <c r="N2" s="2" t="e">
        <f t="shared" ref="N2:N30" si="0">E2*1000/J2</f>
        <v>#DIV/0!</v>
      </c>
      <c r="O2" s="2">
        <f t="shared" ref="O2:O30" si="1">+PI()*$V$1*H2/60*0.00291545</f>
        <v>0</v>
      </c>
      <c r="P2" s="23" t="e">
        <f t="shared" ref="P2:P30" si="2">(E2*9.81)/($T$2*(H2/60)^2*($V$1)^4)</f>
        <v>#DIV/0!</v>
      </c>
      <c r="Q2" s="23" t="e">
        <f t="shared" ref="Q2:Q30" si="3">J2/($T$2*((H2/60)^3)*($V$1)^5)</f>
        <v>#DIV/0!</v>
      </c>
      <c r="R2" s="24" t="e">
        <f t="shared" ref="R2:R30" si="4">(P2^(3/2))/(Q2*SQRT(2))</f>
        <v>#DIV/0!</v>
      </c>
      <c r="S2" s="2" t="s">
        <v>22</v>
      </c>
      <c r="T2" s="2">
        <v>1.2250000000000001</v>
      </c>
    </row>
    <row r="3" spans="1:23" x14ac:dyDescent="0.35">
      <c r="A3" s="2">
        <v>2.0714998499999502</v>
      </c>
      <c r="B3" s="2">
        <v>1150</v>
      </c>
      <c r="D3" s="2">
        <v>7.0054033291763199E-2</v>
      </c>
      <c r="E3" s="2">
        <v>0.152992791091283</v>
      </c>
      <c r="F3" s="2">
        <v>25.1359531746225</v>
      </c>
      <c r="G3" s="2">
        <v>0.29949712721881899</v>
      </c>
      <c r="H3" s="2">
        <v>469</v>
      </c>
      <c r="I3" s="2">
        <v>7.5281453402616698</v>
      </c>
      <c r="J3" s="2">
        <v>3.4376897158781698</v>
      </c>
      <c r="K3" s="2">
        <v>45.672239184092199</v>
      </c>
      <c r="L3" s="2">
        <v>4.4521375950627697E-2</v>
      </c>
      <c r="M3" s="2">
        <v>2.03321320542709E-2</v>
      </c>
      <c r="N3" s="2">
        <f t="shared" si="0"/>
        <v>44.504537563303749</v>
      </c>
      <c r="O3" s="2">
        <f t="shared" si="1"/>
        <v>5.0917703835652993E-2</v>
      </c>
      <c r="P3" s="23">
        <f t="shared" si="2"/>
        <v>7.8377915646621624E-2</v>
      </c>
      <c r="Q3" s="23">
        <f t="shared" si="3"/>
        <v>3.229290161284025E-2</v>
      </c>
      <c r="R3" s="24">
        <f t="shared" si="4"/>
        <v>0.48047245769963026</v>
      </c>
    </row>
    <row r="4" spans="1:23" x14ac:dyDescent="0.35">
      <c r="A4" s="2">
        <v>9.2002522999999403</v>
      </c>
      <c r="B4" s="2">
        <v>1195</v>
      </c>
      <c r="D4" s="2">
        <v>0.154452537851196</v>
      </c>
      <c r="E4" s="2">
        <v>0.37012138241769699</v>
      </c>
      <c r="F4" s="2">
        <v>25.112330614748402</v>
      </c>
      <c r="G4" s="2">
        <v>0.78181445213196998</v>
      </c>
      <c r="H4" s="2">
        <v>712</v>
      </c>
      <c r="I4" s="2">
        <v>19.633181339802999</v>
      </c>
      <c r="J4" s="2">
        <v>11.5218518076079</v>
      </c>
      <c r="K4" s="2">
        <v>58.686038545382999</v>
      </c>
      <c r="L4" s="2">
        <v>3.2124549985972799E-2</v>
      </c>
      <c r="M4" s="2">
        <v>1.8852147715026898E-2</v>
      </c>
      <c r="N4" s="2">
        <f t="shared" si="0"/>
        <v>32.123428472956505</v>
      </c>
      <c r="O4" s="2">
        <f t="shared" si="1"/>
        <v>7.7299371281417756E-2</v>
      </c>
      <c r="P4" s="23">
        <f t="shared" si="2"/>
        <v>8.2272106268643411E-2</v>
      </c>
      <c r="Q4" s="23">
        <f t="shared" si="3"/>
        <v>3.093436651592351E-2</v>
      </c>
      <c r="R4" s="24">
        <f t="shared" si="4"/>
        <v>0.53941460271344277</v>
      </c>
    </row>
    <row r="5" spans="1:23" x14ac:dyDescent="0.35">
      <c r="A5" s="2">
        <v>2.0519349500002502</v>
      </c>
      <c r="B5" s="2">
        <v>1150</v>
      </c>
      <c r="D5" s="2">
        <v>0.226777238046353</v>
      </c>
      <c r="E5" s="2">
        <v>0.52728238065873101</v>
      </c>
      <c r="F5" s="2">
        <v>50.212697249872697</v>
      </c>
      <c r="G5" s="2">
        <v>0.905962389814706</v>
      </c>
      <c r="H5" s="2">
        <v>845</v>
      </c>
      <c r="I5" s="2">
        <v>45.490818515529703</v>
      </c>
      <c r="J5" s="2">
        <v>20.0683286800536</v>
      </c>
      <c r="K5" s="2">
        <v>44.109958655611202</v>
      </c>
      <c r="L5" s="2">
        <v>2.6309722319403799E-2</v>
      </c>
      <c r="M5" s="2">
        <v>1.1594733249785501E-2</v>
      </c>
      <c r="N5" s="2">
        <f t="shared" si="0"/>
        <v>26.274354435046192</v>
      </c>
      <c r="O5" s="2">
        <f t="shared" si="1"/>
        <v>9.1738720130334281E-2</v>
      </c>
      <c r="P5" s="23">
        <f t="shared" si="2"/>
        <v>8.3214358424470489E-2</v>
      </c>
      <c r="Q5" s="23">
        <f t="shared" si="3"/>
        <v>3.223294603622355E-2</v>
      </c>
      <c r="R5" s="24">
        <f t="shared" si="4"/>
        <v>0.52660187948303727</v>
      </c>
    </row>
    <row r="6" spans="1:23" x14ac:dyDescent="0.35">
      <c r="A6" s="2">
        <v>16.386973549999901</v>
      </c>
      <c r="B6" s="2">
        <v>1239</v>
      </c>
      <c r="D6" s="2">
        <v>0.246825902549139</v>
      </c>
      <c r="E6" s="2">
        <v>0.60491806359887101</v>
      </c>
      <c r="F6" s="2">
        <v>25.077003027365699</v>
      </c>
      <c r="G6" s="2">
        <v>1.4216533489332399</v>
      </c>
      <c r="H6" s="2">
        <v>897</v>
      </c>
      <c r="I6" s="2">
        <v>35.650808405598497</v>
      </c>
      <c r="J6" s="2">
        <v>23.179475165471501</v>
      </c>
      <c r="K6" s="2">
        <v>65.018696403747995</v>
      </c>
      <c r="L6" s="2">
        <v>2.60976060727585E-2</v>
      </c>
      <c r="M6" s="2">
        <v>1.6968287655734299E-2</v>
      </c>
      <c r="N6" s="2">
        <f t="shared" si="0"/>
        <v>26.097142376198669</v>
      </c>
      <c r="O6" s="2">
        <f t="shared" si="1"/>
        <v>9.738417983066254E-2</v>
      </c>
      <c r="P6" s="23">
        <f t="shared" si="2"/>
        <v>8.4718858366290284E-2</v>
      </c>
      <c r="Q6" s="23">
        <f t="shared" si="3"/>
        <v>3.1123267959415155E-2</v>
      </c>
      <c r="R6" s="24">
        <f t="shared" si="4"/>
        <v>0.56023463251179029</v>
      </c>
    </row>
    <row r="7" spans="1:23" x14ac:dyDescent="0.35">
      <c r="A7" s="2">
        <v>23.7425048499999</v>
      </c>
      <c r="B7" s="2">
        <v>1284</v>
      </c>
      <c r="D7" s="2">
        <v>0.344895045500697</v>
      </c>
      <c r="E7" s="2">
        <v>0.85634777751781599</v>
      </c>
      <c r="F7" s="2">
        <v>25.0288128650784</v>
      </c>
      <c r="G7" s="2">
        <v>2.2249321389364201</v>
      </c>
      <c r="H7" s="2">
        <v>1054</v>
      </c>
      <c r="I7" s="2">
        <v>55.6874065740693</v>
      </c>
      <c r="J7" s="2">
        <v>38.0614488147611</v>
      </c>
      <c r="K7" s="2">
        <v>68.349378459265296</v>
      </c>
      <c r="L7" s="2">
        <v>2.2499500652453399E-2</v>
      </c>
      <c r="M7" s="2">
        <v>1.5378186568207299E-2</v>
      </c>
      <c r="N7" s="2">
        <f t="shared" si="0"/>
        <v>22.49908514217422</v>
      </c>
      <c r="O7" s="2">
        <f t="shared" si="1"/>
        <v>0.11442912546434594</v>
      </c>
      <c r="P7" s="23">
        <f t="shared" si="2"/>
        <v>8.686351126692668E-2</v>
      </c>
      <c r="Q7" s="23">
        <f t="shared" si="3"/>
        <v>3.1500859652117158E-2</v>
      </c>
      <c r="R7" s="24">
        <f t="shared" si="4"/>
        <v>0.57467018751563759</v>
      </c>
    </row>
    <row r="8" spans="1:23" x14ac:dyDescent="0.35">
      <c r="A8" s="2">
        <v>9.0776167500002707</v>
      </c>
      <c r="B8" s="2">
        <v>1187</v>
      </c>
      <c r="D8" s="2">
        <v>0.43045676798412802</v>
      </c>
      <c r="E8" s="2">
        <v>1.0771806289192001</v>
      </c>
      <c r="F8" s="2">
        <v>50.1494263004057</v>
      </c>
      <c r="G8" s="2">
        <v>1.96004378882631</v>
      </c>
      <c r="H8" s="2">
        <v>1177</v>
      </c>
      <c r="I8" s="2">
        <v>98.295060325182504</v>
      </c>
      <c r="J8" s="2">
        <v>53.056753453215102</v>
      </c>
      <c r="K8" s="2">
        <v>53.960886426174497</v>
      </c>
      <c r="L8" s="2">
        <v>2.03247123970858E-2</v>
      </c>
      <c r="M8" s="2">
        <v>1.09629603852179E-2</v>
      </c>
      <c r="N8" s="2">
        <f t="shared" si="0"/>
        <v>20.302422572256457</v>
      </c>
      <c r="O8" s="2">
        <f t="shared" si="1"/>
        <v>0.12778280898627628</v>
      </c>
      <c r="P8" s="23">
        <f t="shared" si="2"/>
        <v>8.762015896174806E-2</v>
      </c>
      <c r="Q8" s="23">
        <f t="shared" si="3"/>
        <v>3.1533356885553213E-2</v>
      </c>
      <c r="R8" s="24">
        <f t="shared" si="4"/>
        <v>0.58159525044451821</v>
      </c>
    </row>
    <row r="9" spans="1:23" x14ac:dyDescent="0.35">
      <c r="A9" s="2">
        <v>31.2017441499999</v>
      </c>
      <c r="B9" s="2">
        <v>1329</v>
      </c>
      <c r="D9" s="2">
        <v>0.44501784524867499</v>
      </c>
      <c r="E9" s="2">
        <v>1.1126205161260001</v>
      </c>
      <c r="F9" s="2">
        <v>24.969636926916401</v>
      </c>
      <c r="G9" s="2">
        <v>3.13767819701902</v>
      </c>
      <c r="H9" s="2">
        <v>1187</v>
      </c>
      <c r="I9" s="2">
        <v>78.346667199867795</v>
      </c>
      <c r="J9" s="2">
        <v>55.294158736961201</v>
      </c>
      <c r="K9" s="2">
        <v>70.577234378952099</v>
      </c>
      <c r="L9" s="2">
        <v>2.0121898777823999E-2</v>
      </c>
      <c r="M9" s="2">
        <v>1.4201448476177801E-2</v>
      </c>
      <c r="N9" s="2">
        <f t="shared" si="0"/>
        <v>20.121845445173083</v>
      </c>
      <c r="O9" s="2">
        <f t="shared" si="1"/>
        <v>0.12886847431326245</v>
      </c>
      <c r="P9" s="23">
        <f t="shared" si="2"/>
        <v>8.8984436282567941E-2</v>
      </c>
      <c r="Q9" s="23">
        <f t="shared" si="3"/>
        <v>3.2039521449571694E-2</v>
      </c>
      <c r="R9" s="24">
        <f t="shared" si="4"/>
        <v>0.58582791437212267</v>
      </c>
    </row>
    <row r="10" spans="1:23" x14ac:dyDescent="0.35">
      <c r="A10" s="2">
        <v>38.761900949999898</v>
      </c>
      <c r="B10" s="2">
        <v>1374</v>
      </c>
      <c r="D10" s="2">
        <v>0.54763909598945903</v>
      </c>
      <c r="E10" s="2">
        <v>1.3719051398861499</v>
      </c>
      <c r="F10" s="2">
        <v>24.900440516190699</v>
      </c>
      <c r="G10" s="2">
        <v>4.1729143300967904</v>
      </c>
      <c r="H10" s="2">
        <v>1306</v>
      </c>
      <c r="I10" s="2">
        <v>103.90735315780201</v>
      </c>
      <c r="J10" s="2">
        <v>74.903392212668393</v>
      </c>
      <c r="K10" s="2">
        <v>72.087620943401106</v>
      </c>
      <c r="L10" s="2">
        <v>1.8315681780652401E-2</v>
      </c>
      <c r="M10" s="2">
        <v>1.32033185789417E-2</v>
      </c>
      <c r="N10" s="2">
        <f t="shared" si="0"/>
        <v>18.315661004924689</v>
      </c>
      <c r="O10" s="2">
        <f t="shared" si="1"/>
        <v>0.14178789170439832</v>
      </c>
      <c r="P10" s="23">
        <f t="shared" si="2"/>
        <v>9.0637132434409684E-2</v>
      </c>
      <c r="Q10" s="23">
        <f t="shared" si="3"/>
        <v>3.2585986873073042E-2</v>
      </c>
      <c r="R10" s="24">
        <f t="shared" si="4"/>
        <v>0.59212494762949575</v>
      </c>
    </row>
    <row r="11" spans="1:23" x14ac:dyDescent="0.35">
      <c r="A11" s="2">
        <v>46.250141899999903</v>
      </c>
      <c r="B11" s="2">
        <v>1418</v>
      </c>
      <c r="D11" s="2">
        <v>0.65928051812368804</v>
      </c>
      <c r="E11" s="2">
        <v>1.66907395704182</v>
      </c>
      <c r="F11" s="2">
        <v>24.820037157909599</v>
      </c>
      <c r="G11" s="2">
        <v>5.3805862641138704</v>
      </c>
      <c r="H11" s="2">
        <v>1411</v>
      </c>
      <c r="I11" s="2">
        <v>133.54632990073401</v>
      </c>
      <c r="J11" s="2">
        <v>97.427697771401895</v>
      </c>
      <c r="K11" s="2">
        <v>72.957522368030098</v>
      </c>
      <c r="L11" s="2">
        <v>1.7131465781208301E-2</v>
      </c>
      <c r="M11" s="2">
        <v>1.2498644858896599E-2</v>
      </c>
      <c r="N11" s="2">
        <f t="shared" si="0"/>
        <v>17.13141124362836</v>
      </c>
      <c r="O11" s="2">
        <f t="shared" si="1"/>
        <v>0.15318737763775342</v>
      </c>
      <c r="P11" s="23">
        <f t="shared" si="2"/>
        <v>9.4469144156311635E-2</v>
      </c>
      <c r="Q11" s="23">
        <f t="shared" si="3"/>
        <v>3.3609366116697341E-2</v>
      </c>
      <c r="R11" s="24">
        <f t="shared" si="4"/>
        <v>0.61088526797785336</v>
      </c>
    </row>
    <row r="12" spans="1:23" x14ac:dyDescent="0.35">
      <c r="A12" s="2">
        <v>54.012419599999902</v>
      </c>
      <c r="B12" s="2">
        <v>1463</v>
      </c>
      <c r="D12" s="2">
        <v>0.79547732798541204</v>
      </c>
      <c r="E12" s="2">
        <v>2.0335027955343201</v>
      </c>
      <c r="F12" s="2">
        <v>24.715110882384501</v>
      </c>
      <c r="G12" s="2">
        <v>7.0556850684486196</v>
      </c>
      <c r="H12" s="2">
        <v>1542</v>
      </c>
      <c r="I12" s="2">
        <v>174.38198915445</v>
      </c>
      <c r="J12" s="2">
        <v>128.42921475223699</v>
      </c>
      <c r="K12" s="2">
        <v>73.650379491210799</v>
      </c>
      <c r="L12" s="2">
        <v>1.5833701417100599E-2</v>
      </c>
      <c r="M12" s="2">
        <v>1.16615470004442E-2</v>
      </c>
      <c r="N12" s="2">
        <f t="shared" si="0"/>
        <v>15.83364656910277</v>
      </c>
      <c r="O12" s="2">
        <f t="shared" si="1"/>
        <v>0.16740959342127273</v>
      </c>
      <c r="P12" s="23">
        <f t="shared" si="2"/>
        <v>9.6370575825133462E-2</v>
      </c>
      <c r="Q12" s="23">
        <f t="shared" si="3"/>
        <v>3.394451662795079E-2</v>
      </c>
      <c r="R12" s="24">
        <f t="shared" si="4"/>
        <v>0.6232066149006904</v>
      </c>
    </row>
    <row r="13" spans="1:23" x14ac:dyDescent="0.35">
      <c r="A13" s="2">
        <v>61.624918399999899</v>
      </c>
      <c r="B13" s="2">
        <v>1508</v>
      </c>
      <c r="D13" s="2">
        <v>0.94646698581444599</v>
      </c>
      <c r="E13" s="2">
        <v>2.4610366523514902</v>
      </c>
      <c r="F13" s="2">
        <v>24.587575072532399</v>
      </c>
      <c r="G13" s="2">
        <v>9.2442776494446104</v>
      </c>
      <c r="H13" s="2">
        <v>1688</v>
      </c>
      <c r="I13" s="2">
        <v>227.294351583306</v>
      </c>
      <c r="J13" s="2">
        <v>167.325674964195</v>
      </c>
      <c r="K13" s="2">
        <v>73.626733374217594</v>
      </c>
      <c r="L13" s="2">
        <v>1.4708179364644599E-2</v>
      </c>
      <c r="M13" s="2">
        <v>1.08291317298962E-2</v>
      </c>
      <c r="N13" s="2">
        <f t="shared" si="0"/>
        <v>14.708063498791279</v>
      </c>
      <c r="O13" s="2">
        <f t="shared" si="1"/>
        <v>0.18326030719527131</v>
      </c>
      <c r="P13" s="23">
        <f t="shared" si="2"/>
        <v>9.7328857348633085E-2</v>
      </c>
      <c r="Q13" s="23">
        <f t="shared" si="3"/>
        <v>3.3713526374495921E-2</v>
      </c>
      <c r="R13" s="24">
        <f t="shared" si="4"/>
        <v>0.6368589521658945</v>
      </c>
    </row>
    <row r="14" spans="1:23" x14ac:dyDescent="0.35">
      <c r="A14" s="2">
        <v>69.245447549999895</v>
      </c>
      <c r="B14" s="2">
        <v>1553</v>
      </c>
      <c r="D14" s="2">
        <v>1.08965489698966</v>
      </c>
      <c r="E14" s="2">
        <v>2.8464868209769398</v>
      </c>
      <c r="F14" s="2">
        <v>24.456892998601202</v>
      </c>
      <c r="G14" s="2">
        <v>11.528479132850499</v>
      </c>
      <c r="H14" s="2">
        <v>1810</v>
      </c>
      <c r="I14" s="2">
        <v>281.950929751861</v>
      </c>
      <c r="J14" s="2">
        <v>206.54903906667201</v>
      </c>
      <c r="K14" s="2">
        <v>73.258444956912498</v>
      </c>
      <c r="L14" s="2">
        <v>1.37810607495285E-2</v>
      </c>
      <c r="M14" s="2">
        <v>1.0095803710153801E-2</v>
      </c>
      <c r="N14" s="2">
        <f t="shared" si="0"/>
        <v>13.781167096391679</v>
      </c>
      <c r="O14" s="2">
        <f t="shared" si="1"/>
        <v>0.19650542418450301</v>
      </c>
      <c r="P14" s="23">
        <f t="shared" si="2"/>
        <v>9.7908513125041702E-2</v>
      </c>
      <c r="Q14" s="23">
        <f t="shared" si="3"/>
        <v>3.3755642357644527E-2</v>
      </c>
      <c r="R14" s="24">
        <f t="shared" si="4"/>
        <v>0.64175506972526553</v>
      </c>
    </row>
    <row r="15" spans="1:23" x14ac:dyDescent="0.35">
      <c r="A15" s="2">
        <v>16.2692617000002</v>
      </c>
      <c r="B15" s="2">
        <v>1224</v>
      </c>
      <c r="D15" s="2">
        <v>1.2306425996155199</v>
      </c>
      <c r="E15" s="2">
        <v>3.1697329458055301</v>
      </c>
      <c r="F15" s="2">
        <v>49.851916239813001</v>
      </c>
      <c r="G15" s="2">
        <v>7.1352878093030903</v>
      </c>
      <c r="H15" s="2">
        <v>1938</v>
      </c>
      <c r="I15" s="2">
        <v>355.705226501288</v>
      </c>
      <c r="J15" s="2">
        <v>249.75535964922599</v>
      </c>
      <c r="K15" s="2">
        <v>70.210896412949793</v>
      </c>
      <c r="L15" s="2">
        <v>1.2693796277290999E-2</v>
      </c>
      <c r="M15" s="2">
        <v>8.9121152032667992E-3</v>
      </c>
      <c r="N15" s="2">
        <f t="shared" si="0"/>
        <v>12.691351049512315</v>
      </c>
      <c r="O15" s="2">
        <f t="shared" si="1"/>
        <v>0.2104019403699264</v>
      </c>
      <c r="P15" s="23">
        <f t="shared" si="2"/>
        <v>9.5100665493011674E-2</v>
      </c>
      <c r="Q15" s="23">
        <f t="shared" si="3"/>
        <v>3.3251590334503318E-2</v>
      </c>
      <c r="R15" s="24">
        <f t="shared" si="4"/>
        <v>0.62366003529380831</v>
      </c>
    </row>
    <row r="16" spans="1:23" x14ac:dyDescent="0.35">
      <c r="A16" s="2">
        <v>76.727760899999893</v>
      </c>
      <c r="B16" s="2">
        <v>1597</v>
      </c>
      <c r="D16" s="2">
        <v>1.26265039486877</v>
      </c>
      <c r="E16" s="2">
        <v>3.2669002807264702</v>
      </c>
      <c r="F16" s="2">
        <v>24.305122510304798</v>
      </c>
      <c r="G16" s="2">
        <v>14.5140458819071</v>
      </c>
      <c r="H16" s="2">
        <v>1941</v>
      </c>
      <c r="I16" s="2">
        <v>352.76545165060099</v>
      </c>
      <c r="J16" s="2">
        <v>256.62564530734397</v>
      </c>
      <c r="K16" s="2">
        <v>72.747532810628897</v>
      </c>
      <c r="L16" s="2">
        <v>1.2730226370188899E-2</v>
      </c>
      <c r="M16" s="2">
        <v>9.2609257673995603E-3</v>
      </c>
      <c r="N16" s="2">
        <f t="shared" si="0"/>
        <v>12.730217499556268</v>
      </c>
      <c r="O16" s="2">
        <f t="shared" si="1"/>
        <v>0.21072763996802232</v>
      </c>
      <c r="P16" s="23">
        <f t="shared" si="2"/>
        <v>9.7713199742403625E-2</v>
      </c>
      <c r="Q16" s="23">
        <f t="shared" si="3"/>
        <v>3.4008100151294483E-2</v>
      </c>
      <c r="R16" s="24">
        <f t="shared" si="4"/>
        <v>0.6350859190706496</v>
      </c>
    </row>
    <row r="17" spans="1:18" x14ac:dyDescent="0.35">
      <c r="A17" s="2">
        <v>84.613813699999895</v>
      </c>
      <c r="B17" s="2">
        <v>1642</v>
      </c>
      <c r="D17" s="2">
        <v>1.4534537276014099</v>
      </c>
      <c r="E17" s="2">
        <v>3.7706134481642501</v>
      </c>
      <c r="F17" s="2">
        <v>24.153601858237799</v>
      </c>
      <c r="G17" s="2">
        <v>17.557416969953</v>
      </c>
      <c r="H17" s="2">
        <v>2077</v>
      </c>
      <c r="I17" s="2">
        <v>424.07461808495202</v>
      </c>
      <c r="J17" s="2">
        <v>316.06073280576999</v>
      </c>
      <c r="K17" s="2">
        <v>74.530643584430607</v>
      </c>
      <c r="L17" s="2">
        <v>1.19301228140002E-2</v>
      </c>
      <c r="M17" s="2">
        <v>8.8915552508954301E-3</v>
      </c>
      <c r="N17" s="2">
        <f t="shared" si="0"/>
        <v>11.930028177468726</v>
      </c>
      <c r="O17" s="2">
        <f t="shared" si="1"/>
        <v>0.22549268841503464</v>
      </c>
      <c r="P17" s="23">
        <f t="shared" si="2"/>
        <v>9.8493471909681732E-2</v>
      </c>
      <c r="Q17" s="23">
        <f t="shared" si="3"/>
        <v>3.41837714170578E-2</v>
      </c>
      <c r="R17" s="24">
        <f t="shared" si="4"/>
        <v>0.63940524791993369</v>
      </c>
    </row>
    <row r="18" spans="1:18" x14ac:dyDescent="0.35">
      <c r="A18" s="2">
        <v>92.521605549999904</v>
      </c>
      <c r="B18" s="2">
        <v>1687</v>
      </c>
      <c r="D18" s="2">
        <v>1.62792886837103</v>
      </c>
      <c r="E18" s="2">
        <v>4.2662344077803001</v>
      </c>
      <c r="F18" s="2">
        <v>24.007093281875999</v>
      </c>
      <c r="G18" s="2">
        <v>20.826084459475901</v>
      </c>
      <c r="H18" s="2">
        <v>2213</v>
      </c>
      <c r="I18" s="2">
        <v>499.97336555584201</v>
      </c>
      <c r="J18" s="2">
        <v>377.33712105337997</v>
      </c>
      <c r="K18" s="2">
        <v>75.472335691245902</v>
      </c>
      <c r="L18" s="2">
        <v>1.13061623863519E-2</v>
      </c>
      <c r="M18" s="2">
        <v>8.53296929915205E-3</v>
      </c>
      <c r="N18" s="2">
        <f t="shared" si="0"/>
        <v>11.306161439591779</v>
      </c>
      <c r="O18" s="2">
        <f t="shared" si="1"/>
        <v>0.24025773686204704</v>
      </c>
      <c r="P18" s="23">
        <f t="shared" si="2"/>
        <v>9.8163563084260816E-2</v>
      </c>
      <c r="Q18" s="23">
        <f t="shared" si="3"/>
        <v>3.3739932738194728E-2</v>
      </c>
      <c r="R18" s="24">
        <f t="shared" si="4"/>
        <v>0.64456431849189377</v>
      </c>
    </row>
    <row r="19" spans="1:18" x14ac:dyDescent="0.35">
      <c r="A19" s="2">
        <v>23.710517350000199</v>
      </c>
      <c r="B19" s="2">
        <v>1261</v>
      </c>
      <c r="D19" s="2">
        <v>1.7314832969446601</v>
      </c>
      <c r="E19" s="2">
        <v>4.4510669868757304</v>
      </c>
      <c r="F19" s="2">
        <v>49.549370410470097</v>
      </c>
      <c r="G19" s="2">
        <v>11.0391523987801</v>
      </c>
      <c r="H19" s="2">
        <v>2266</v>
      </c>
      <c r="I19" s="2">
        <v>546.97460954911503</v>
      </c>
      <c r="J19" s="2">
        <v>410.85279775287398</v>
      </c>
      <c r="K19" s="2">
        <v>75.125930986122299</v>
      </c>
      <c r="L19" s="2">
        <v>1.08363197204117E-2</v>
      </c>
      <c r="M19" s="2">
        <v>8.1400434334664602E-3</v>
      </c>
      <c r="N19" s="2">
        <f t="shared" si="0"/>
        <v>10.833726851126437</v>
      </c>
      <c r="O19" s="2">
        <f t="shared" si="1"/>
        <v>0.24601176309507394</v>
      </c>
      <c r="P19" s="23">
        <f t="shared" si="2"/>
        <v>9.7681595999458928E-2</v>
      </c>
      <c r="Q19" s="23">
        <f t="shared" si="3"/>
        <v>3.4218853524643433E-2</v>
      </c>
      <c r="R19" s="24">
        <f t="shared" si="4"/>
        <v>0.6308682451448101</v>
      </c>
    </row>
    <row r="20" spans="1:18" x14ac:dyDescent="0.35">
      <c r="A20" s="2">
        <v>100.87228504999899</v>
      </c>
      <c r="B20" s="2">
        <v>1732</v>
      </c>
      <c r="D20" s="2">
        <v>1.8357869395974</v>
      </c>
      <c r="E20" s="2">
        <v>4.8105737871961702</v>
      </c>
      <c r="F20" s="2">
        <v>23.8418996785364</v>
      </c>
      <c r="G20" s="2">
        <v>24.9657960403066</v>
      </c>
      <c r="H20" s="2">
        <v>2337</v>
      </c>
      <c r="I20" s="2">
        <v>595.23155944941095</v>
      </c>
      <c r="J20" s="2">
        <v>449.295648138187</v>
      </c>
      <c r="K20" s="2">
        <v>75.483010648745406</v>
      </c>
      <c r="L20" s="2">
        <v>1.0706926097988E-2</v>
      </c>
      <c r="M20" s="2">
        <v>8.0818974989779104E-3</v>
      </c>
      <c r="N20" s="2">
        <f t="shared" si="0"/>
        <v>10.706922729232874</v>
      </c>
      <c r="O20" s="2">
        <f t="shared" si="1"/>
        <v>0.25371998691667597</v>
      </c>
      <c r="P20" s="23">
        <f t="shared" si="2"/>
        <v>9.9253969183353496E-2</v>
      </c>
      <c r="Q20" s="23">
        <f t="shared" si="3"/>
        <v>3.4112613801918497E-2</v>
      </c>
      <c r="R20" s="24">
        <f t="shared" si="4"/>
        <v>0.64817433321888884</v>
      </c>
    </row>
    <row r="21" spans="1:18" x14ac:dyDescent="0.35">
      <c r="A21" s="2">
        <v>31.184761000000201</v>
      </c>
      <c r="B21" s="2">
        <v>1298</v>
      </c>
      <c r="D21" s="2">
        <v>2.2849386628644099</v>
      </c>
      <c r="E21" s="2">
        <v>5.9554995483616802</v>
      </c>
      <c r="F21" s="2">
        <v>49.165535968786003</v>
      </c>
      <c r="G21" s="2">
        <v>16.240669773187101</v>
      </c>
      <c r="H21" s="2">
        <v>2591</v>
      </c>
      <c r="I21" s="2">
        <v>798.47895402448796</v>
      </c>
      <c r="J21" s="2">
        <v>619.97239009711302</v>
      </c>
      <c r="K21" s="2">
        <v>77.644602808998897</v>
      </c>
      <c r="L21" s="2">
        <v>9.6064980865563001E-3</v>
      </c>
      <c r="M21" s="2">
        <v>7.45887414420049E-3</v>
      </c>
      <c r="N21" s="2">
        <f t="shared" si="0"/>
        <v>9.6060722114234895</v>
      </c>
      <c r="O21" s="2">
        <f t="shared" si="1"/>
        <v>0.28129588622212554</v>
      </c>
      <c r="P21" s="23">
        <f t="shared" si="2"/>
        <v>9.9965880974633117E-2</v>
      </c>
      <c r="Q21" s="23">
        <f t="shared" si="3"/>
        <v>3.4540532821784015E-2</v>
      </c>
      <c r="R21" s="24">
        <f t="shared" si="4"/>
        <v>0.6470437788986676</v>
      </c>
    </row>
    <row r="22" spans="1:18" x14ac:dyDescent="0.35">
      <c r="A22" s="2">
        <v>38.581648800000202</v>
      </c>
      <c r="B22" s="2">
        <v>1335</v>
      </c>
      <c r="D22" s="2">
        <v>2.86339325947338</v>
      </c>
      <c r="E22" s="2">
        <v>7.4815918679366504</v>
      </c>
      <c r="F22" s="2">
        <v>48.743272652219702</v>
      </c>
      <c r="G22" s="2">
        <v>22.301863609102199</v>
      </c>
      <c r="H22" s="2">
        <v>2879</v>
      </c>
      <c r="I22" s="2">
        <v>1087.06106966231</v>
      </c>
      <c r="J22" s="2">
        <v>863.21370062135804</v>
      </c>
      <c r="K22" s="2">
        <v>79.407994384386797</v>
      </c>
      <c r="L22" s="2">
        <v>8.6672369390084804E-3</v>
      </c>
      <c r="M22" s="2">
        <v>6.8824690646788296E-3</v>
      </c>
      <c r="N22" s="2">
        <f t="shared" si="0"/>
        <v>8.6671375379598992</v>
      </c>
      <c r="O22" s="2">
        <f t="shared" si="1"/>
        <v>0.31256304763932824</v>
      </c>
      <c r="P22" s="23">
        <f t="shared" si="2"/>
        <v>0.10171361994244396</v>
      </c>
      <c r="Q22" s="23">
        <f t="shared" si="3"/>
        <v>3.505518413680276E-2</v>
      </c>
      <c r="R22" s="24">
        <f t="shared" si="4"/>
        <v>0.65433690560972391</v>
      </c>
    </row>
    <row r="23" spans="1:18" x14ac:dyDescent="0.35">
      <c r="A23" s="2">
        <v>46.065390150000297</v>
      </c>
      <c r="B23" s="2">
        <v>1372</v>
      </c>
      <c r="D23" s="2">
        <v>3.5232340139869098</v>
      </c>
      <c r="E23" s="2">
        <v>9.1543831774089899</v>
      </c>
      <c r="F23" s="2">
        <v>48.2354954691831</v>
      </c>
      <c r="G23" s="2">
        <v>30.196483043759599</v>
      </c>
      <c r="H23" s="2">
        <v>3179</v>
      </c>
      <c r="I23" s="2">
        <v>1456.53611220069</v>
      </c>
      <c r="J23" s="2">
        <v>1172.9485469117101</v>
      </c>
      <c r="K23" s="2">
        <v>80.530202831521507</v>
      </c>
      <c r="L23" s="2">
        <v>7.8046929848556096E-3</v>
      </c>
      <c r="M23" s="2">
        <v>6.2851315151511503E-3</v>
      </c>
      <c r="N23" s="2">
        <f t="shared" si="0"/>
        <v>7.8045905777468487</v>
      </c>
      <c r="O23" s="2">
        <f t="shared" si="1"/>
        <v>0.3451330074489144</v>
      </c>
      <c r="P23" s="23">
        <f t="shared" si="2"/>
        <v>0.102074311351117</v>
      </c>
      <c r="Q23" s="23">
        <f t="shared" si="3"/>
        <v>3.5380690173799773E-2</v>
      </c>
      <c r="R23" s="24">
        <f t="shared" si="4"/>
        <v>0.6517685337040221</v>
      </c>
    </row>
    <row r="24" spans="1:18" x14ac:dyDescent="0.35">
      <c r="A24" s="2">
        <v>53.351576400000198</v>
      </c>
      <c r="B24" s="2">
        <v>1408</v>
      </c>
      <c r="D24" s="2">
        <v>4.0870030511797903</v>
      </c>
      <c r="E24" s="2">
        <v>10.651232541850501</v>
      </c>
      <c r="F24" s="2">
        <v>47.749311229398799</v>
      </c>
      <c r="G24" s="2">
        <v>37.908084261088597</v>
      </c>
      <c r="H24" s="2">
        <v>3424</v>
      </c>
      <c r="I24" s="2">
        <v>1810.0596122064101</v>
      </c>
      <c r="J24" s="2">
        <v>1465.7112797474001</v>
      </c>
      <c r="K24" s="2">
        <v>80.977815540270598</v>
      </c>
      <c r="L24" s="2">
        <v>7.2677089301082399E-3</v>
      </c>
      <c r="M24" s="2">
        <v>5.8852565170350504E-3</v>
      </c>
      <c r="N24" s="2">
        <f t="shared" si="0"/>
        <v>7.2669376902701659</v>
      </c>
      <c r="O24" s="2">
        <f t="shared" si="1"/>
        <v>0.37173180796007638</v>
      </c>
      <c r="P24" s="23">
        <f t="shared" si="2"/>
        <v>0.1023766188203928</v>
      </c>
      <c r="Q24" s="23">
        <f t="shared" si="3"/>
        <v>3.5383931426786655E-2</v>
      </c>
      <c r="R24" s="24">
        <f t="shared" si="4"/>
        <v>0.65460616413842421</v>
      </c>
    </row>
    <row r="25" spans="1:18" x14ac:dyDescent="0.35">
      <c r="A25" s="2">
        <v>60.651954450000297</v>
      </c>
      <c r="B25" s="2">
        <v>1445</v>
      </c>
      <c r="D25" s="2">
        <v>4.7823830121684701</v>
      </c>
      <c r="E25" s="2">
        <v>12.3604866817904</v>
      </c>
      <c r="F25" s="2">
        <v>47.267343589719999</v>
      </c>
      <c r="G25" s="2">
        <v>47.990617451295897</v>
      </c>
      <c r="H25" s="2">
        <v>3681</v>
      </c>
      <c r="I25" s="2">
        <v>2268.3675687025998</v>
      </c>
      <c r="J25" s="2">
        <v>1843.6092358704</v>
      </c>
      <c r="K25" s="2">
        <v>81.275446954195502</v>
      </c>
      <c r="L25" s="2">
        <v>6.7048028217527797E-3</v>
      </c>
      <c r="M25" s="2">
        <v>5.4493799680613696E-3</v>
      </c>
      <c r="N25" s="2">
        <f t="shared" si="0"/>
        <v>6.704504643010643</v>
      </c>
      <c r="O25" s="2">
        <f t="shared" si="1"/>
        <v>0.39963340686362181</v>
      </c>
      <c r="P25" s="23">
        <f t="shared" si="2"/>
        <v>0.10279508824712798</v>
      </c>
      <c r="Q25" s="23">
        <f t="shared" si="3"/>
        <v>3.5820392923245611E-2</v>
      </c>
      <c r="R25" s="24">
        <f t="shared" si="4"/>
        <v>0.65059871668723834</v>
      </c>
    </row>
    <row r="26" spans="1:18" x14ac:dyDescent="0.35">
      <c r="A26" s="2">
        <v>67.773070850000195</v>
      </c>
      <c r="B26" s="2">
        <v>1482</v>
      </c>
      <c r="D26" s="2">
        <v>5.6187968570967701</v>
      </c>
      <c r="E26" s="2">
        <v>14.515461869260299</v>
      </c>
      <c r="F26" s="2">
        <v>46.708737515071</v>
      </c>
      <c r="G26" s="2">
        <v>60.732293307502502</v>
      </c>
      <c r="H26" s="2">
        <v>3937</v>
      </c>
      <c r="I26" s="2">
        <v>2836.7267307925199</v>
      </c>
      <c r="J26" s="2">
        <v>2316.5878729698802</v>
      </c>
      <c r="K26" s="2">
        <v>81.664217149977802</v>
      </c>
      <c r="L26" s="2">
        <v>6.2658390039436402E-3</v>
      </c>
      <c r="M26" s="2">
        <v>5.1169617939771598E-3</v>
      </c>
      <c r="N26" s="2">
        <f t="shared" si="0"/>
        <v>6.2658801069572148</v>
      </c>
      <c r="O26" s="2">
        <f t="shared" si="1"/>
        <v>0.42742643923446866</v>
      </c>
      <c r="P26" s="23">
        <f t="shared" si="2"/>
        <v>0.10552818222675116</v>
      </c>
      <c r="Q26" s="23">
        <f t="shared" si="3"/>
        <v>3.6788447173253025E-2</v>
      </c>
      <c r="R26" s="24">
        <f t="shared" si="4"/>
        <v>0.65891020113308685</v>
      </c>
    </row>
    <row r="27" spans="1:18" x14ac:dyDescent="0.35">
      <c r="A27" s="2">
        <v>75.088783500000304</v>
      </c>
      <c r="B27" s="2">
        <v>1519</v>
      </c>
      <c r="D27" s="2">
        <v>6.3024191775357199</v>
      </c>
      <c r="E27" s="2">
        <v>16.179016023976601</v>
      </c>
      <c r="F27" s="2">
        <v>46.243727342331098</v>
      </c>
      <c r="G27" s="2">
        <v>72.729195610273905</v>
      </c>
      <c r="H27" s="2">
        <v>4159</v>
      </c>
      <c r="I27" s="2">
        <v>3363.2665205666299</v>
      </c>
      <c r="J27" s="2">
        <v>2744.8436338053102</v>
      </c>
      <c r="K27" s="2">
        <v>81.612489974312695</v>
      </c>
      <c r="L27" s="2">
        <v>5.8943261229645397E-3</v>
      </c>
      <c r="M27" s="2">
        <v>4.8104964934364896E-3</v>
      </c>
      <c r="N27" s="2">
        <f t="shared" si="0"/>
        <v>5.8943306732365093</v>
      </c>
      <c r="O27" s="2">
        <f t="shared" si="1"/>
        <v>0.45152820949356243</v>
      </c>
      <c r="P27" s="23">
        <f t="shared" si="2"/>
        <v>0.10540050507638137</v>
      </c>
      <c r="Q27" s="23">
        <f t="shared" si="3"/>
        <v>3.6975135182848604E-2</v>
      </c>
      <c r="R27" s="24">
        <f t="shared" si="4"/>
        <v>0.65439394120627892</v>
      </c>
    </row>
    <row r="28" spans="1:18" x14ac:dyDescent="0.35">
      <c r="A28" s="2">
        <v>82.426398000000304</v>
      </c>
      <c r="B28" s="2">
        <v>1556</v>
      </c>
      <c r="D28" s="2">
        <v>7.0828999239555799</v>
      </c>
      <c r="E28" s="2">
        <v>18.106411185210501</v>
      </c>
      <c r="F28" s="2">
        <v>45.682824529117603</v>
      </c>
      <c r="G28" s="2">
        <v>86.486982979552806</v>
      </c>
      <c r="H28" s="2">
        <v>4330</v>
      </c>
      <c r="I28" s="2">
        <v>3950.95887359875</v>
      </c>
      <c r="J28" s="2">
        <v>3211.3979898994799</v>
      </c>
      <c r="K28" s="2">
        <v>81.281880055322503</v>
      </c>
      <c r="L28" s="2">
        <v>5.6382325771017804E-3</v>
      </c>
      <c r="M28" s="2">
        <v>4.58286178179415E-3</v>
      </c>
      <c r="N28" s="2">
        <f t="shared" si="0"/>
        <v>5.638171052656495</v>
      </c>
      <c r="O28" s="2">
        <f t="shared" si="1"/>
        <v>0.47009308658502658</v>
      </c>
      <c r="P28" s="23">
        <f t="shared" si="2"/>
        <v>0.10882408232480793</v>
      </c>
      <c r="Q28" s="23">
        <f t="shared" si="3"/>
        <v>3.833446131087067E-2</v>
      </c>
      <c r="R28" s="24">
        <f t="shared" si="4"/>
        <v>0.66219082301353926</v>
      </c>
    </row>
    <row r="29" spans="1:18" x14ac:dyDescent="0.35">
      <c r="A29" s="2">
        <v>89.980406850000193</v>
      </c>
      <c r="B29" s="2">
        <v>1593</v>
      </c>
      <c r="D29" s="2">
        <v>7.8286023949111998</v>
      </c>
      <c r="E29" s="2">
        <v>19.961943677844399</v>
      </c>
      <c r="F29" s="2">
        <v>45.151274064103198</v>
      </c>
      <c r="G29" s="2">
        <v>101.611332118231</v>
      </c>
      <c r="H29" s="2">
        <v>4533</v>
      </c>
      <c r="I29" s="2">
        <v>4587.8311392695796</v>
      </c>
      <c r="J29" s="2">
        <v>3716.0046110543299</v>
      </c>
      <c r="K29" s="2">
        <v>80.998018918887595</v>
      </c>
      <c r="L29" s="2">
        <v>5.3719531323676703E-3</v>
      </c>
      <c r="M29" s="2">
        <v>4.3511866831575097E-3</v>
      </c>
      <c r="N29" s="2">
        <f t="shared" si="0"/>
        <v>5.3718834520446581</v>
      </c>
      <c r="O29" s="2">
        <f t="shared" si="1"/>
        <v>0.49213209272284647</v>
      </c>
      <c r="P29" s="23">
        <f t="shared" si="2"/>
        <v>0.10947118402630061</v>
      </c>
      <c r="Q29" s="23">
        <f t="shared" si="3"/>
        <v>3.8661438556054063E-2</v>
      </c>
      <c r="R29" s="24">
        <f t="shared" si="4"/>
        <v>0.66245550824685229</v>
      </c>
    </row>
    <row r="30" spans="1:18" x14ac:dyDescent="0.35">
      <c r="A30" s="2">
        <v>97.775691100000302</v>
      </c>
      <c r="B30" s="2">
        <v>1630</v>
      </c>
      <c r="D30" s="2">
        <v>8.4458161561193101</v>
      </c>
      <c r="E30" s="2">
        <v>21.3763387657465</v>
      </c>
      <c r="F30" s="2">
        <v>44.595792118734202</v>
      </c>
      <c r="G30" s="2">
        <v>116.567880859391</v>
      </c>
      <c r="H30" s="2">
        <v>4730</v>
      </c>
      <c r="I30" s="2">
        <v>5198.4257876563997</v>
      </c>
      <c r="J30" s="2">
        <v>4183.6849448611501</v>
      </c>
      <c r="K30" s="2">
        <v>80.479817176257598</v>
      </c>
      <c r="L30" s="2">
        <v>5.1094480857666203E-3</v>
      </c>
      <c r="M30" s="2">
        <v>4.1120554310071396E-3</v>
      </c>
      <c r="N30" s="2">
        <f t="shared" si="0"/>
        <v>5.1094523243207419</v>
      </c>
      <c r="O30" s="2">
        <f t="shared" si="1"/>
        <v>0.51351969966447464</v>
      </c>
      <c r="P30" s="23">
        <f t="shared" si="2"/>
        <v>0.10766622090469015</v>
      </c>
      <c r="Q30" s="23">
        <f t="shared" si="3"/>
        <v>3.8311969005217744E-2</v>
      </c>
      <c r="R30" s="24">
        <f t="shared" si="4"/>
        <v>0.6520332363951985</v>
      </c>
    </row>
  </sheetData>
  <sheetProtection algorithmName="SHA-512" hashValue="wvGSTE18wJ/8knJlF1y62ZsX5G8oa2r8ZWZeJVc9BKFCi018dJ7Ad6yxGeD4bkz30O3/TgxZ7oeXvjQdKzMlig==" saltValue="S4ADzz72C4o31O1ckmKQUg==" spinCount="100000" sheet="1" objects="1" scenarios="1" selectLockedCells="1"/>
  <sortState xmlns:xlrd2="http://schemas.microsoft.com/office/spreadsheetml/2017/richdata2" ref="A2:W30">
    <sortCondition ref="H2:H3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7B18-128D-455C-9C59-6B1BF34581C9}">
  <sheetPr codeName="Sheet6"/>
  <dimension ref="A1:W33"/>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1.5584340000000001</v>
      </c>
      <c r="B2" s="2">
        <v>1000</v>
      </c>
      <c r="D2" s="2">
        <v>2.2781E-4</v>
      </c>
      <c r="E2" s="2">
        <v>-2.9333199999999999E-4</v>
      </c>
      <c r="F2" s="2">
        <v>25.233202819999999</v>
      </c>
      <c r="G2" s="2">
        <v>-3.4593332999999997E-2</v>
      </c>
      <c r="H2" s="2">
        <v>0</v>
      </c>
      <c r="I2" s="2">
        <v>0.87290053899999998</v>
      </c>
      <c r="J2" s="2">
        <v>0</v>
      </c>
      <c r="K2" s="2">
        <v>0</v>
      </c>
      <c r="L2" s="2">
        <v>0</v>
      </c>
      <c r="M2" s="2">
        <v>0</v>
      </c>
      <c r="N2" s="2" t="e">
        <f t="shared" ref="N2:N32" si="0">E2*1000/J2</f>
        <v>#DIV/0!</v>
      </c>
      <c r="O2" s="2">
        <f t="shared" ref="O2:O32" si="1">+PI()*$V$1*H2/60*0.00291545</f>
        <v>0</v>
      </c>
      <c r="P2" s="23" t="e">
        <f t="shared" ref="P2:P32" si="2">(E2*9.81)/($T$2*(H2/60)^2*($V$1)^4)</f>
        <v>#DIV/0!</v>
      </c>
      <c r="Q2" s="23" t="e">
        <f t="shared" ref="Q2:Q32" si="3">J2/($T$2*((H2/60)^3)*($V$1)^5)</f>
        <v>#DIV/0!</v>
      </c>
      <c r="R2" s="24" t="e">
        <f t="shared" ref="R2:R32" si="4">(P2^(3/2))/(Q2*SQRT(2))</f>
        <v>#DIV/0!</v>
      </c>
      <c r="S2" s="2" t="s">
        <v>22</v>
      </c>
      <c r="T2" s="2">
        <v>1.2250000000000001</v>
      </c>
    </row>
    <row r="3" spans="1:23" x14ac:dyDescent="0.35">
      <c r="A3" s="2">
        <v>1.5640897</v>
      </c>
      <c r="B3" s="2">
        <v>1150</v>
      </c>
      <c r="D3" s="2">
        <v>5.8738166000000001E-2</v>
      </c>
      <c r="E3" s="2">
        <v>0.14652836699999999</v>
      </c>
      <c r="F3" s="2">
        <v>25.219556359999999</v>
      </c>
      <c r="G3" s="2">
        <v>0.27909530599999999</v>
      </c>
      <c r="H3" s="2">
        <v>519</v>
      </c>
      <c r="I3" s="2">
        <v>7.038659408</v>
      </c>
      <c r="J3" s="2">
        <v>3.18911832</v>
      </c>
      <c r="K3" s="2">
        <v>45.311714070000001</v>
      </c>
      <c r="L3" s="2">
        <v>4.5952195000000001E-2</v>
      </c>
      <c r="M3" s="2">
        <v>2.0819020000000001E-2</v>
      </c>
      <c r="N3" s="2">
        <f t="shared" si="0"/>
        <v>45.946356421169099</v>
      </c>
      <c r="O3" s="2">
        <f t="shared" si="1"/>
        <v>5.6346030470584008E-2</v>
      </c>
      <c r="P3" s="23">
        <f t="shared" si="2"/>
        <v>6.1299286778214467E-2</v>
      </c>
      <c r="Q3" s="23">
        <f t="shared" si="3"/>
        <v>2.2106881407160561E-2</v>
      </c>
      <c r="R3" s="24">
        <f t="shared" si="4"/>
        <v>0.48544569376285301</v>
      </c>
    </row>
    <row r="4" spans="1:23" x14ac:dyDescent="0.35">
      <c r="A4" s="2">
        <v>7.8219338499999997</v>
      </c>
      <c r="B4" s="2">
        <v>1195</v>
      </c>
      <c r="D4" s="2">
        <v>0.134386016</v>
      </c>
      <c r="E4" s="2">
        <v>0.36285369699999998</v>
      </c>
      <c r="F4" s="2">
        <v>25.195252790000001</v>
      </c>
      <c r="G4" s="2">
        <v>0.74637740299999999</v>
      </c>
      <c r="H4" s="2">
        <v>787</v>
      </c>
      <c r="I4" s="2">
        <v>18.805167019999999</v>
      </c>
      <c r="J4" s="2">
        <v>11.080642539999999</v>
      </c>
      <c r="K4" s="2">
        <v>58.923609290000002</v>
      </c>
      <c r="L4" s="2">
        <v>3.2748158999999999E-2</v>
      </c>
      <c r="M4" s="2">
        <v>1.9295538000000001E-2</v>
      </c>
      <c r="N4" s="2">
        <f t="shared" si="0"/>
        <v>32.746629601138636</v>
      </c>
      <c r="O4" s="2">
        <f t="shared" si="1"/>
        <v>8.5441861233814281E-2</v>
      </c>
      <c r="P4" s="23">
        <f t="shared" si="2"/>
        <v>6.6016198965023656E-2</v>
      </c>
      <c r="Q4" s="23">
        <f t="shared" si="3"/>
        <v>2.2029247911060475E-2</v>
      </c>
      <c r="R4" s="24">
        <f t="shared" si="4"/>
        <v>0.54445388937830796</v>
      </c>
    </row>
    <row r="5" spans="1:23" x14ac:dyDescent="0.35">
      <c r="A5" s="2">
        <v>2.06707704999998</v>
      </c>
      <c r="B5" s="2">
        <v>1150</v>
      </c>
      <c r="D5" s="2">
        <v>0.19076946349524199</v>
      </c>
      <c r="E5" s="2">
        <v>0.52224977619406299</v>
      </c>
      <c r="F5" s="2">
        <v>50.053599388233401</v>
      </c>
      <c r="G5" s="2">
        <v>1.22656874096521</v>
      </c>
      <c r="H5" s="2">
        <v>920</v>
      </c>
      <c r="I5" s="2">
        <v>61.394180457535398</v>
      </c>
      <c r="J5" s="2">
        <v>18.3873652876492</v>
      </c>
      <c r="K5" s="2">
        <v>29.9497141476702</v>
      </c>
      <c r="L5" s="2">
        <v>2.8403421005935701E-2</v>
      </c>
      <c r="M5" s="2">
        <v>8.5065063680529896E-3</v>
      </c>
      <c r="N5" s="2">
        <f t="shared" si="0"/>
        <v>28.402643229416796</v>
      </c>
      <c r="O5" s="2">
        <f t="shared" si="1"/>
        <v>9.988121008273082E-2</v>
      </c>
      <c r="P5" s="23">
        <f t="shared" si="2"/>
        <v>6.9529808852021174E-2</v>
      </c>
      <c r="Q5" s="23">
        <f t="shared" si="3"/>
        <v>2.2883104535217809E-2</v>
      </c>
      <c r="R5" s="24">
        <f t="shared" si="4"/>
        <v>0.56653482447847436</v>
      </c>
    </row>
    <row r="6" spans="1:23" x14ac:dyDescent="0.35">
      <c r="A6" s="2">
        <v>13.7734074</v>
      </c>
      <c r="B6" s="2">
        <v>1239</v>
      </c>
      <c r="D6" s="2">
        <v>0.216879928</v>
      </c>
      <c r="E6" s="2">
        <v>0.60270420800000002</v>
      </c>
      <c r="F6" s="2">
        <v>25.160331039999999</v>
      </c>
      <c r="G6" s="2">
        <v>1.3671517580000001</v>
      </c>
      <c r="H6" s="2">
        <v>994</v>
      </c>
      <c r="I6" s="2">
        <v>34.397991009999998</v>
      </c>
      <c r="J6" s="2">
        <v>22.57725623</v>
      </c>
      <c r="K6" s="2">
        <v>65.635737180000007</v>
      </c>
      <c r="L6" s="2">
        <v>2.6695298999999999E-2</v>
      </c>
      <c r="M6" s="2">
        <v>1.7521623E-2</v>
      </c>
      <c r="N6" s="2">
        <f t="shared" si="0"/>
        <v>26.695192801999749</v>
      </c>
      <c r="O6" s="2">
        <f t="shared" si="1"/>
        <v>0.10791513350242872</v>
      </c>
      <c r="P6" s="23">
        <f t="shared" si="2"/>
        <v>6.873847335648009E-2</v>
      </c>
      <c r="Q6" s="23">
        <f t="shared" si="3"/>
        <v>2.2277729752196388E-2</v>
      </c>
      <c r="R6" s="24">
        <f t="shared" si="4"/>
        <v>0.57202353114320914</v>
      </c>
    </row>
    <row r="7" spans="1:23" x14ac:dyDescent="0.35">
      <c r="A7" s="2">
        <v>19.769307049999998</v>
      </c>
      <c r="B7" s="2">
        <v>1284</v>
      </c>
      <c r="D7" s="2">
        <v>0.30108921599999999</v>
      </c>
      <c r="E7" s="2">
        <v>0.85886268399999999</v>
      </c>
      <c r="F7" s="2">
        <v>25.11411034</v>
      </c>
      <c r="G7" s="2">
        <v>2.129012645</v>
      </c>
      <c r="H7" s="2">
        <v>1172</v>
      </c>
      <c r="I7" s="2">
        <v>53.468247589999997</v>
      </c>
      <c r="J7" s="2">
        <v>36.93848491</v>
      </c>
      <c r="K7" s="2">
        <v>69.085623420000005</v>
      </c>
      <c r="L7" s="2">
        <v>2.3251232E-2</v>
      </c>
      <c r="M7" s="2">
        <v>1.6063290000000001E-2</v>
      </c>
      <c r="N7" s="2">
        <f t="shared" si="0"/>
        <v>23.251161656808733</v>
      </c>
      <c r="O7" s="2">
        <f t="shared" si="1"/>
        <v>0.12723997632278317</v>
      </c>
      <c r="P7" s="23">
        <f t="shared" si="2"/>
        <v>7.0459075114812558E-2</v>
      </c>
      <c r="Q7" s="23">
        <f t="shared" si="3"/>
        <v>2.2235923221510731E-2</v>
      </c>
      <c r="R7" s="24">
        <f t="shared" si="4"/>
        <v>0.59475108571400237</v>
      </c>
    </row>
    <row r="8" spans="1:23" x14ac:dyDescent="0.35">
      <c r="A8" s="2">
        <v>26.371728300000001</v>
      </c>
      <c r="B8" s="2">
        <v>1329</v>
      </c>
      <c r="D8" s="2">
        <v>0.38521227899999999</v>
      </c>
      <c r="E8" s="2">
        <v>1.112642175</v>
      </c>
      <c r="F8" s="2">
        <v>25.0568262</v>
      </c>
      <c r="G8" s="2">
        <v>2.967518755</v>
      </c>
      <c r="H8" s="2">
        <v>1323</v>
      </c>
      <c r="I8" s="2">
        <v>74.356605200000004</v>
      </c>
      <c r="J8" s="2">
        <v>53.376674960000003</v>
      </c>
      <c r="K8" s="2">
        <v>71.784936000000002</v>
      </c>
      <c r="L8" s="2">
        <v>2.0845162E-2</v>
      </c>
      <c r="M8" s="2">
        <v>1.4963651E-2</v>
      </c>
      <c r="N8" s="2">
        <f t="shared" si="0"/>
        <v>20.84510089535933</v>
      </c>
      <c r="O8" s="2">
        <f t="shared" si="1"/>
        <v>0.14363352276027486</v>
      </c>
      <c r="P8" s="23">
        <f t="shared" si="2"/>
        <v>7.1631534898787597E-2</v>
      </c>
      <c r="Q8" s="23">
        <f t="shared" si="3"/>
        <v>2.2337311802297404E-2</v>
      </c>
      <c r="R8" s="24">
        <f t="shared" si="4"/>
        <v>0.60689069868472345</v>
      </c>
    </row>
    <row r="9" spans="1:23" x14ac:dyDescent="0.35">
      <c r="A9" s="2">
        <v>33.496442700000003</v>
      </c>
      <c r="B9" s="2">
        <v>1374</v>
      </c>
      <c r="D9" s="2">
        <v>0.46766690399999999</v>
      </c>
      <c r="E9" s="2">
        <v>1.3644956909999999</v>
      </c>
      <c r="F9" s="2">
        <v>24.988988030000002</v>
      </c>
      <c r="G9" s="2">
        <v>3.9153589499999999</v>
      </c>
      <c r="H9" s="2">
        <v>1463</v>
      </c>
      <c r="I9" s="2">
        <v>97.840847789999998</v>
      </c>
      <c r="J9" s="2">
        <v>71.63777125</v>
      </c>
      <c r="K9" s="2">
        <v>73.220303540000003</v>
      </c>
      <c r="L9" s="2">
        <v>1.9047267E-2</v>
      </c>
      <c r="M9" s="2">
        <v>1.3946485999999999E-2</v>
      </c>
      <c r="N9" s="2">
        <f t="shared" si="0"/>
        <v>19.047154415764993</v>
      </c>
      <c r="O9" s="2">
        <f t="shared" si="1"/>
        <v>0.15883283733808171</v>
      </c>
      <c r="P9" s="23">
        <f t="shared" si="2"/>
        <v>7.1837621368879293E-2</v>
      </c>
      <c r="Q9" s="23">
        <f t="shared" si="3"/>
        <v>2.2170118281051327E-2</v>
      </c>
      <c r="R9" s="24">
        <f t="shared" si="4"/>
        <v>0.61410821613777244</v>
      </c>
    </row>
    <row r="10" spans="1:23" x14ac:dyDescent="0.35">
      <c r="A10" s="2">
        <v>40.838916050000002</v>
      </c>
      <c r="B10" s="2">
        <v>1418</v>
      </c>
      <c r="D10" s="2">
        <v>0.548495968</v>
      </c>
      <c r="E10" s="2">
        <v>1.6088772170000001</v>
      </c>
      <c r="F10" s="2">
        <v>24.91558405</v>
      </c>
      <c r="G10" s="2">
        <v>4.8888398999999998</v>
      </c>
      <c r="H10" s="2">
        <v>1586</v>
      </c>
      <c r="I10" s="2">
        <v>121.8083585</v>
      </c>
      <c r="J10" s="2">
        <v>91.114118379999994</v>
      </c>
      <c r="K10" s="2">
        <v>74.801729980000005</v>
      </c>
      <c r="L10" s="2">
        <v>1.7657880000000001E-2</v>
      </c>
      <c r="M10" s="2">
        <v>1.3208417E-2</v>
      </c>
      <c r="N10" s="2">
        <f t="shared" si="0"/>
        <v>17.657825654307782</v>
      </c>
      <c r="O10" s="2">
        <f t="shared" si="1"/>
        <v>0.17218652086001202</v>
      </c>
      <c r="P10" s="23">
        <f t="shared" si="2"/>
        <v>7.2075051835681192E-2</v>
      </c>
      <c r="Q10" s="23">
        <f t="shared" si="3"/>
        <v>2.2132733310173784E-2</v>
      </c>
      <c r="R10" s="24">
        <f t="shared" si="4"/>
        <v>0.61819771613786589</v>
      </c>
    </row>
    <row r="11" spans="1:23" x14ac:dyDescent="0.35">
      <c r="A11" s="2">
        <v>47.904115150000003</v>
      </c>
      <c r="B11" s="2">
        <v>1463</v>
      </c>
      <c r="D11" s="2">
        <v>0.64139600299999999</v>
      </c>
      <c r="E11" s="2">
        <v>1.888670565</v>
      </c>
      <c r="F11" s="2">
        <v>24.83454742</v>
      </c>
      <c r="G11" s="2">
        <v>6.0501988579999999</v>
      </c>
      <c r="H11" s="2">
        <v>1694</v>
      </c>
      <c r="I11" s="2">
        <v>150.25393009999999</v>
      </c>
      <c r="J11" s="2">
        <v>113.80117730000001</v>
      </c>
      <c r="K11" s="2">
        <v>75.741680079999995</v>
      </c>
      <c r="L11" s="2">
        <v>1.6596296999999999E-2</v>
      </c>
      <c r="M11" s="2">
        <v>1.2570336999999999E-2</v>
      </c>
      <c r="N11" s="2">
        <f t="shared" si="0"/>
        <v>16.596230459208087</v>
      </c>
      <c r="O11" s="2">
        <f t="shared" si="1"/>
        <v>0.18391170639146301</v>
      </c>
      <c r="P11" s="23">
        <f t="shared" si="2"/>
        <v>7.4164799587273553E-2</v>
      </c>
      <c r="Q11" s="23">
        <f t="shared" si="3"/>
        <v>2.2686393441549397E-2</v>
      </c>
      <c r="R11" s="24">
        <f t="shared" si="4"/>
        <v>0.62952978649999292</v>
      </c>
    </row>
    <row r="12" spans="1:23" x14ac:dyDescent="0.35">
      <c r="A12" s="2">
        <v>9.4782341000000301</v>
      </c>
      <c r="B12" s="2">
        <v>1200</v>
      </c>
      <c r="D12" s="2">
        <v>0.70990397495343105</v>
      </c>
      <c r="E12" s="2">
        <v>2.0673189304071999</v>
      </c>
      <c r="F12" s="2">
        <v>49.867803704989399</v>
      </c>
      <c r="G12" s="2">
        <v>4.4588686577512204</v>
      </c>
      <c r="H12" s="2">
        <v>1779</v>
      </c>
      <c r="I12" s="2">
        <v>222.35396758916099</v>
      </c>
      <c r="J12" s="2">
        <v>132.2748541167</v>
      </c>
      <c r="K12" s="2">
        <v>59.489236067596899</v>
      </c>
      <c r="L12" s="2">
        <v>1.5628990247785701E-2</v>
      </c>
      <c r="M12" s="2">
        <v>9.2975829227985099E-3</v>
      </c>
      <c r="N12" s="2">
        <f t="shared" si="0"/>
        <v>15.628963979679007</v>
      </c>
      <c r="O12" s="2">
        <f t="shared" si="1"/>
        <v>0.19313986167084579</v>
      </c>
      <c r="P12" s="23">
        <f t="shared" si="2"/>
        <v>7.3607829700759214E-2</v>
      </c>
      <c r="Q12" s="23">
        <f t="shared" si="3"/>
        <v>2.276713431174697E-2</v>
      </c>
      <c r="R12" s="24">
        <f t="shared" si="4"/>
        <v>0.62024411446495376</v>
      </c>
    </row>
    <row r="13" spans="1:23" x14ac:dyDescent="0.35">
      <c r="A13" s="2">
        <v>55.382336850000002</v>
      </c>
      <c r="B13" s="2">
        <v>1508</v>
      </c>
      <c r="D13" s="2">
        <v>0.72488832199999997</v>
      </c>
      <c r="E13" s="2">
        <v>2.1504935430000001</v>
      </c>
      <c r="F13" s="2">
        <v>24.746010569999999</v>
      </c>
      <c r="G13" s="2">
        <v>7.3147085939999998</v>
      </c>
      <c r="H13" s="2">
        <v>1808</v>
      </c>
      <c r="I13" s="2">
        <v>181.0098065</v>
      </c>
      <c r="J13" s="2">
        <v>137.22261259999999</v>
      </c>
      <c r="K13" s="2">
        <v>75.81019019</v>
      </c>
      <c r="L13" s="2">
        <v>1.5671625000000002E-2</v>
      </c>
      <c r="M13" s="2">
        <v>1.1880666E-2</v>
      </c>
      <c r="N13" s="2">
        <f t="shared" si="0"/>
        <v>15.671568280576523</v>
      </c>
      <c r="O13" s="2">
        <f t="shared" si="1"/>
        <v>0.19628829111910576</v>
      </c>
      <c r="P13" s="23">
        <f t="shared" si="2"/>
        <v>7.4132682979555872E-2</v>
      </c>
      <c r="Q13" s="23">
        <f t="shared" si="3"/>
        <v>2.2500352804505956E-2</v>
      </c>
      <c r="R13" s="24">
        <f t="shared" si="4"/>
        <v>0.63432269734199886</v>
      </c>
    </row>
    <row r="14" spans="1:23" x14ac:dyDescent="0.35">
      <c r="A14" s="2">
        <v>62.972794450000002</v>
      </c>
      <c r="B14" s="2">
        <v>1553</v>
      </c>
      <c r="D14" s="2">
        <v>0.83351832800000003</v>
      </c>
      <c r="E14" s="2">
        <v>2.4801203580000002</v>
      </c>
      <c r="F14" s="2">
        <v>24.642133810000001</v>
      </c>
      <c r="G14" s="2">
        <v>8.9952274330000002</v>
      </c>
      <c r="H14" s="2">
        <v>1939</v>
      </c>
      <c r="I14" s="2">
        <v>221.66180259999999</v>
      </c>
      <c r="J14" s="2">
        <v>169.23996339999999</v>
      </c>
      <c r="K14" s="2">
        <v>76.350470079999994</v>
      </c>
      <c r="L14" s="2">
        <v>1.4654268999999999E-2</v>
      </c>
      <c r="M14" s="2">
        <v>1.1188649E-2</v>
      </c>
      <c r="N14" s="2">
        <f t="shared" si="0"/>
        <v>14.654460496060354</v>
      </c>
      <c r="O14" s="2">
        <f t="shared" si="1"/>
        <v>0.21051050690262502</v>
      </c>
      <c r="P14" s="23">
        <f t="shared" si="2"/>
        <v>7.4333668526152266E-2</v>
      </c>
      <c r="Q14" s="23">
        <f t="shared" si="3"/>
        <v>2.2497197354438295E-2</v>
      </c>
      <c r="R14" s="24">
        <f t="shared" si="4"/>
        <v>0.6369934022209478</v>
      </c>
    </row>
    <row r="15" spans="1:23" x14ac:dyDescent="0.35">
      <c r="A15" s="2">
        <v>70.809680900000004</v>
      </c>
      <c r="B15" s="2">
        <v>1597</v>
      </c>
      <c r="D15" s="2">
        <v>0.94613374100000003</v>
      </c>
      <c r="E15" s="2">
        <v>2.8107909050000002</v>
      </c>
      <c r="F15" s="2">
        <v>24.532830969999999</v>
      </c>
      <c r="G15" s="2">
        <v>10.80076201</v>
      </c>
      <c r="H15" s="2">
        <v>2076</v>
      </c>
      <c r="I15" s="2">
        <v>264.97318139999999</v>
      </c>
      <c r="J15" s="2">
        <v>205.70124910000001</v>
      </c>
      <c r="K15" s="2">
        <v>77.631473729999996</v>
      </c>
      <c r="L15" s="2">
        <v>1.3664495E-2</v>
      </c>
      <c r="M15" s="2">
        <v>1.0607940999999999E-2</v>
      </c>
      <c r="N15" s="2">
        <f t="shared" si="0"/>
        <v>13.664432847627273</v>
      </c>
      <c r="O15" s="2">
        <f t="shared" si="1"/>
        <v>0.22538412188233603</v>
      </c>
      <c r="P15" s="23">
        <f t="shared" si="2"/>
        <v>7.3492372708620302E-2</v>
      </c>
      <c r="Q15" s="23">
        <f t="shared" si="3"/>
        <v>2.2279929076714677E-2</v>
      </c>
      <c r="R15" s="24">
        <f t="shared" si="4"/>
        <v>0.63231662629869045</v>
      </c>
    </row>
    <row r="16" spans="1:23" x14ac:dyDescent="0.35">
      <c r="A16" s="2">
        <v>78.310975150000004</v>
      </c>
      <c r="B16" s="2">
        <v>1642</v>
      </c>
      <c r="D16" s="2">
        <v>1.0946679829999999</v>
      </c>
      <c r="E16" s="2">
        <v>3.2602096729999999</v>
      </c>
      <c r="F16" s="2">
        <v>24.403818579999999</v>
      </c>
      <c r="G16" s="2">
        <v>13.29588161</v>
      </c>
      <c r="H16" s="2">
        <v>2226</v>
      </c>
      <c r="I16" s="2">
        <v>324.47020700000002</v>
      </c>
      <c r="J16" s="2">
        <v>255.1747637</v>
      </c>
      <c r="K16" s="2">
        <v>78.643984770000003</v>
      </c>
      <c r="L16" s="2">
        <v>1.2776358999999999E-2</v>
      </c>
      <c r="M16" s="2">
        <v>1.0047876000000001E-2</v>
      </c>
      <c r="N16" s="2">
        <f t="shared" si="0"/>
        <v>12.776379708272852</v>
      </c>
      <c r="O16" s="2">
        <f t="shared" si="1"/>
        <v>0.24166910178712914</v>
      </c>
      <c r="P16" s="23">
        <f t="shared" si="2"/>
        <v>7.4141887696985667E-2</v>
      </c>
      <c r="Q16" s="23">
        <f t="shared" si="3"/>
        <v>2.2419254338254174E-2</v>
      </c>
      <c r="R16" s="24">
        <f t="shared" si="4"/>
        <v>0.6367358420255681</v>
      </c>
    </row>
    <row r="17" spans="1:18" x14ac:dyDescent="0.35">
      <c r="A17" s="2">
        <v>17.167697700000002</v>
      </c>
      <c r="B17" s="2">
        <v>1250</v>
      </c>
      <c r="D17" s="2">
        <v>1.15302165706369</v>
      </c>
      <c r="E17" s="2">
        <v>3.3529719694954498</v>
      </c>
      <c r="F17" s="2">
        <v>49.609286607212098</v>
      </c>
      <c r="G17" s="2">
        <v>8.0055833674017904</v>
      </c>
      <c r="H17" s="2">
        <v>2265</v>
      </c>
      <c r="I17" s="2">
        <v>397.14984880502601</v>
      </c>
      <c r="J17" s="2">
        <v>273.46250521130702</v>
      </c>
      <c r="K17" s="2">
        <v>68.854995846158204</v>
      </c>
      <c r="L17" s="2">
        <v>1.2262037730952101E-2</v>
      </c>
      <c r="M17" s="2">
        <v>8.4427438177430807E-3</v>
      </c>
      <c r="N17" s="2">
        <f t="shared" si="0"/>
        <v>12.261176232933934</v>
      </c>
      <c r="O17" s="2">
        <f t="shared" si="1"/>
        <v>0.24590319656237528</v>
      </c>
      <c r="P17" s="23">
        <f t="shared" si="2"/>
        <v>7.3648166212551533E-2</v>
      </c>
      <c r="Q17" s="23">
        <f t="shared" si="3"/>
        <v>2.2806156052371577E-2</v>
      </c>
      <c r="R17" s="24">
        <f t="shared" si="4"/>
        <v>0.61969189643097133</v>
      </c>
    </row>
    <row r="18" spans="1:18" x14ac:dyDescent="0.35">
      <c r="A18" s="2">
        <v>85.684912499999996</v>
      </c>
      <c r="B18" s="2">
        <v>1687</v>
      </c>
      <c r="D18" s="2">
        <v>1.249336097</v>
      </c>
      <c r="E18" s="2">
        <v>3.732134007</v>
      </c>
      <c r="F18" s="2">
        <v>24.26877859</v>
      </c>
      <c r="G18" s="2">
        <v>16.089497980000001</v>
      </c>
      <c r="H18" s="2">
        <v>2378</v>
      </c>
      <c r="I18" s="2">
        <v>390.47237489999998</v>
      </c>
      <c r="J18" s="2">
        <v>311.1561317</v>
      </c>
      <c r="K18" s="2">
        <v>79.68777833</v>
      </c>
      <c r="L18" s="2">
        <v>1.1994433000000001E-2</v>
      </c>
      <c r="M18" s="2">
        <v>9.5580779999999994E-3</v>
      </c>
      <c r="N18" s="2">
        <f t="shared" si="0"/>
        <v>11.994409323092894</v>
      </c>
      <c r="O18" s="2">
        <f t="shared" si="1"/>
        <v>0.25817121475731941</v>
      </c>
      <c r="P18" s="23">
        <f t="shared" si="2"/>
        <v>7.4370714908616534E-2</v>
      </c>
      <c r="Q18" s="23">
        <f t="shared" si="3"/>
        <v>2.2423414008950371E-2</v>
      </c>
      <c r="R18" s="24">
        <f t="shared" si="4"/>
        <v>0.6395672266764979</v>
      </c>
    </row>
    <row r="19" spans="1:18" x14ac:dyDescent="0.35">
      <c r="A19" s="2">
        <v>93.527973349999996</v>
      </c>
      <c r="B19" s="2">
        <v>1732</v>
      </c>
      <c r="D19" s="2">
        <v>1.4036933659999999</v>
      </c>
      <c r="E19" s="2">
        <v>4.2021228959999997</v>
      </c>
      <c r="F19" s="2">
        <v>24.127740790000001</v>
      </c>
      <c r="G19" s="2">
        <v>19.240606199999998</v>
      </c>
      <c r="H19" s="2">
        <v>2527</v>
      </c>
      <c r="I19" s="2">
        <v>464.23068130000001</v>
      </c>
      <c r="J19" s="2">
        <v>371.37950319999999</v>
      </c>
      <c r="K19" s="2">
        <v>79.999493090000001</v>
      </c>
      <c r="L19" s="2">
        <v>1.1314919999999999E-2</v>
      </c>
      <c r="M19" s="2">
        <v>9.0518609999999996E-3</v>
      </c>
      <c r="N19" s="2">
        <f t="shared" si="0"/>
        <v>11.314902572146044</v>
      </c>
      <c r="O19" s="2">
        <f t="shared" si="1"/>
        <v>0.27434762812941388</v>
      </c>
      <c r="P19" s="23">
        <f t="shared" si="2"/>
        <v>7.4152652971084379E-2</v>
      </c>
      <c r="Q19" s="23">
        <f t="shared" si="3"/>
        <v>2.2302889250083165E-2</v>
      </c>
      <c r="R19" s="24">
        <f t="shared" si="4"/>
        <v>0.64019741256571838</v>
      </c>
    </row>
    <row r="20" spans="1:18" x14ac:dyDescent="0.35">
      <c r="A20" s="2">
        <v>101.0874457</v>
      </c>
      <c r="B20" s="2">
        <v>1776</v>
      </c>
      <c r="D20" s="2">
        <v>1.545370492</v>
      </c>
      <c r="E20" s="2">
        <v>4.5965142849999996</v>
      </c>
      <c r="F20" s="2">
        <v>23.992416810000002</v>
      </c>
      <c r="G20" s="2">
        <v>22.522036629999999</v>
      </c>
      <c r="H20" s="2">
        <v>2667</v>
      </c>
      <c r="I20" s="2">
        <v>540.35756660000004</v>
      </c>
      <c r="J20" s="2">
        <v>431.52749369999998</v>
      </c>
      <c r="K20" s="2">
        <v>79.861772650000006</v>
      </c>
      <c r="L20" s="2">
        <v>1.0651773E-2</v>
      </c>
      <c r="M20" s="2">
        <v>8.5066940000000004E-3</v>
      </c>
      <c r="N20" s="2">
        <f t="shared" si="0"/>
        <v>10.651729848285214</v>
      </c>
      <c r="O20" s="2">
        <f t="shared" si="1"/>
        <v>0.2895469427072207</v>
      </c>
      <c r="P20" s="23">
        <f t="shared" si="2"/>
        <v>7.2820056300195155E-2</v>
      </c>
      <c r="Q20" s="23">
        <f t="shared" si="3"/>
        <v>2.2044403233874063E-2</v>
      </c>
      <c r="R20" s="24">
        <f t="shared" si="4"/>
        <v>0.63032302429859222</v>
      </c>
    </row>
    <row r="21" spans="1:18" x14ac:dyDescent="0.35">
      <c r="A21" s="2">
        <v>25.1310114999999</v>
      </c>
      <c r="B21" s="2">
        <v>1300</v>
      </c>
      <c r="D21" s="2">
        <v>1.6725410282011499</v>
      </c>
      <c r="E21" s="2">
        <v>4.8653634436309501</v>
      </c>
      <c r="F21" s="2">
        <v>49.230672625702297</v>
      </c>
      <c r="G21" s="2">
        <v>13.115047559530501</v>
      </c>
      <c r="H21" s="2">
        <v>2726</v>
      </c>
      <c r="I21" s="2">
        <v>645.66389959902006</v>
      </c>
      <c r="J21" s="2">
        <v>477.53437719988102</v>
      </c>
      <c r="K21" s="2">
        <v>73.969254380162894</v>
      </c>
      <c r="L21" s="2">
        <v>1.01885380633252E-2</v>
      </c>
      <c r="M21" s="2">
        <v>7.5364330765485899E-3</v>
      </c>
      <c r="N21" s="2">
        <f t="shared" si="0"/>
        <v>10.188509300963814</v>
      </c>
      <c r="O21" s="2">
        <f t="shared" si="1"/>
        <v>0.29595236813643933</v>
      </c>
      <c r="P21" s="23">
        <f t="shared" si="2"/>
        <v>7.3778872213821761E-2</v>
      </c>
      <c r="Q21" s="23">
        <f t="shared" si="3"/>
        <v>2.2844728951268566E-2</v>
      </c>
      <c r="R21" s="24">
        <f t="shared" si="4"/>
        <v>0.62029318688106083</v>
      </c>
    </row>
    <row r="22" spans="1:18" x14ac:dyDescent="0.35">
      <c r="A22" s="2">
        <v>109.09984609999999</v>
      </c>
      <c r="B22" s="2">
        <v>1821</v>
      </c>
      <c r="D22" s="2">
        <v>1.691453936</v>
      </c>
      <c r="E22" s="2">
        <v>5.0499639270000003</v>
      </c>
      <c r="F22" s="2">
        <v>23.842508980000002</v>
      </c>
      <c r="G22" s="2">
        <v>26.08584978</v>
      </c>
      <c r="H22" s="2">
        <v>2781</v>
      </c>
      <c r="I22" s="2">
        <v>621.94947009999998</v>
      </c>
      <c r="J22" s="2">
        <v>492.51199200000002</v>
      </c>
      <c r="K22" s="2">
        <v>79.189618060000001</v>
      </c>
      <c r="L22" s="2">
        <v>1.0253484E-2</v>
      </c>
      <c r="M22" s="2">
        <v>8.1197109999999999E-3</v>
      </c>
      <c r="N22" s="2">
        <f t="shared" si="0"/>
        <v>10.253484197395951</v>
      </c>
      <c r="O22" s="2">
        <f t="shared" si="1"/>
        <v>0.30192352743486345</v>
      </c>
      <c r="P22" s="23">
        <f t="shared" si="2"/>
        <v>7.3579143098605956E-2</v>
      </c>
      <c r="Q22" s="23">
        <f t="shared" si="3"/>
        <v>2.219079009948614E-2</v>
      </c>
      <c r="R22" s="24">
        <f t="shared" si="4"/>
        <v>0.63598126950209466</v>
      </c>
    </row>
    <row r="23" spans="1:18" x14ac:dyDescent="0.35">
      <c r="A23" s="2">
        <v>33.023166349999997</v>
      </c>
      <c r="B23" s="2">
        <v>1350</v>
      </c>
      <c r="D23" s="2">
        <v>2.2275554396797999</v>
      </c>
      <c r="E23" s="2">
        <v>6.5085366089419097</v>
      </c>
      <c r="F23" s="2">
        <v>48.7752420642937</v>
      </c>
      <c r="G23" s="2">
        <v>19.425813701280099</v>
      </c>
      <c r="H23" s="2">
        <v>3144</v>
      </c>
      <c r="I23" s="2">
        <v>947.49200808309695</v>
      </c>
      <c r="J23" s="2">
        <v>733.35266551127495</v>
      </c>
      <c r="K23" s="2">
        <v>77.399436056775798</v>
      </c>
      <c r="L23" s="2">
        <v>8.8749900280856997E-3</v>
      </c>
      <c r="M23" s="2">
        <v>6.86929005048175E-3</v>
      </c>
      <c r="N23" s="2">
        <f t="shared" si="0"/>
        <v>8.8750432295822126</v>
      </c>
      <c r="O23" s="2">
        <f t="shared" si="1"/>
        <v>0.34133317880446268</v>
      </c>
      <c r="P23" s="23">
        <f t="shared" si="2"/>
        <v>7.4197061334778505E-2</v>
      </c>
      <c r="Q23" s="23">
        <f t="shared" si="3"/>
        <v>2.2867789476025135E-2</v>
      </c>
      <c r="R23" s="24">
        <f t="shared" si="4"/>
        <v>0.62494367083295466</v>
      </c>
    </row>
    <row r="24" spans="1:18" x14ac:dyDescent="0.35">
      <c r="A24" s="2">
        <v>41.013078749999998</v>
      </c>
      <c r="B24" s="2">
        <v>1400</v>
      </c>
      <c r="D24" s="2">
        <v>2.8777914323211902</v>
      </c>
      <c r="E24" s="2">
        <v>8.3459989253894609</v>
      </c>
      <c r="F24" s="2">
        <v>48.228592503691402</v>
      </c>
      <c r="G24" s="2">
        <v>27.762339496912102</v>
      </c>
      <c r="H24" s="2">
        <v>3529</v>
      </c>
      <c r="I24" s="2">
        <v>1338.9285249572699</v>
      </c>
      <c r="J24" s="2">
        <v>1063.4637057416601</v>
      </c>
      <c r="K24" s="2">
        <v>79.4262955968413</v>
      </c>
      <c r="L24" s="2">
        <v>7.8486138460590292E-3</v>
      </c>
      <c r="M24" s="2">
        <v>6.2337336435426896E-3</v>
      </c>
      <c r="N24" s="2">
        <f t="shared" si="0"/>
        <v>7.8479395961792191</v>
      </c>
      <c r="O24" s="2">
        <f t="shared" si="1"/>
        <v>0.38313129389343148</v>
      </c>
      <c r="P24" s="23">
        <f t="shared" si="2"/>
        <v>7.5516775090018487E-2</v>
      </c>
      <c r="Q24" s="23">
        <f t="shared" si="3"/>
        <v>2.3449123842798392E-2</v>
      </c>
      <c r="R24" s="24">
        <f t="shared" si="4"/>
        <v>0.62578267425305933</v>
      </c>
    </row>
    <row r="25" spans="1:18" x14ac:dyDescent="0.35">
      <c r="A25" s="2">
        <v>49.13083185</v>
      </c>
      <c r="B25" s="2">
        <v>1450</v>
      </c>
      <c r="D25" s="2">
        <v>3.5602089586972299</v>
      </c>
      <c r="E25" s="2">
        <v>10.341854808035199</v>
      </c>
      <c r="F25" s="2">
        <v>47.639329302250303</v>
      </c>
      <c r="G25" s="2">
        <v>37.607020040423997</v>
      </c>
      <c r="H25" s="2">
        <v>3892</v>
      </c>
      <c r="I25" s="2">
        <v>1791.5494061515601</v>
      </c>
      <c r="J25" s="2">
        <v>1451.0900041438199</v>
      </c>
      <c r="K25" s="2">
        <v>80.995602219266402</v>
      </c>
      <c r="L25" s="2">
        <v>7.1278211982914999E-3</v>
      </c>
      <c r="M25" s="2">
        <v>5.7731602091130197E-3</v>
      </c>
      <c r="N25" s="2">
        <f t="shared" si="0"/>
        <v>7.126956135389519</v>
      </c>
      <c r="O25" s="2">
        <f t="shared" si="1"/>
        <v>0.42254094526303071</v>
      </c>
      <c r="P25" s="23">
        <f t="shared" si="2"/>
        <v>7.693451152818985E-2</v>
      </c>
      <c r="Q25" s="23">
        <f t="shared" si="3"/>
        <v>2.3852547991458327E-2</v>
      </c>
      <c r="R25" s="24">
        <f t="shared" si="4"/>
        <v>0.6326041329144243</v>
      </c>
    </row>
    <row r="26" spans="1:18" x14ac:dyDescent="0.35">
      <c r="A26" s="2">
        <v>57.065975000000002</v>
      </c>
      <c r="B26" s="2">
        <v>1500</v>
      </c>
      <c r="D26" s="2">
        <v>4.3806335371121996</v>
      </c>
      <c r="E26" s="2">
        <v>12.608944867004199</v>
      </c>
      <c r="F26" s="2">
        <v>46.940467913264101</v>
      </c>
      <c r="G26" s="2">
        <v>50.8855087533857</v>
      </c>
      <c r="H26" s="2">
        <v>4256</v>
      </c>
      <c r="I26" s="2">
        <v>2388.5733032888202</v>
      </c>
      <c r="J26" s="2">
        <v>1952.5918492932401</v>
      </c>
      <c r="K26" s="2">
        <v>81.754607946658496</v>
      </c>
      <c r="L26" s="2">
        <v>6.4578128335716798E-3</v>
      </c>
      <c r="M26" s="2">
        <v>5.2795768684961598E-3</v>
      </c>
      <c r="N26" s="2">
        <f t="shared" si="0"/>
        <v>6.4575425077023292</v>
      </c>
      <c r="O26" s="2">
        <f t="shared" si="1"/>
        <v>0.46205916316532858</v>
      </c>
      <c r="P26" s="23">
        <f t="shared" si="2"/>
        <v>7.8441146874584214E-2</v>
      </c>
      <c r="Q26" s="23">
        <f t="shared" si="3"/>
        <v>2.4545141317960907E-2</v>
      </c>
      <c r="R26" s="24">
        <f t="shared" si="4"/>
        <v>0.63290039608616289</v>
      </c>
    </row>
    <row r="27" spans="1:18" x14ac:dyDescent="0.35">
      <c r="A27" s="2">
        <v>65.021940700000002</v>
      </c>
      <c r="B27" s="2">
        <v>1550</v>
      </c>
      <c r="D27" s="2">
        <v>5.1872475264214</v>
      </c>
      <c r="E27" s="2">
        <v>14.8348850428061</v>
      </c>
      <c r="F27" s="2">
        <v>46.299640586105099</v>
      </c>
      <c r="G27" s="2">
        <v>65.391301264079203</v>
      </c>
      <c r="H27" s="2">
        <v>4576</v>
      </c>
      <c r="I27" s="2">
        <v>3027.59196046017</v>
      </c>
      <c r="J27" s="2">
        <v>2485.5518802963202</v>
      </c>
      <c r="K27" s="2">
        <v>82.096664193792705</v>
      </c>
      <c r="L27" s="2">
        <v>5.9684179307219302E-3</v>
      </c>
      <c r="M27" s="2">
        <v>4.8998708185606201E-3</v>
      </c>
      <c r="N27" s="2">
        <f t="shared" si="0"/>
        <v>5.9684471526852736</v>
      </c>
      <c r="O27" s="2">
        <f t="shared" si="1"/>
        <v>0.49680045362888714</v>
      </c>
      <c r="P27" s="23">
        <f t="shared" si="2"/>
        <v>7.9832656548705014E-2</v>
      </c>
      <c r="Q27" s="23">
        <f t="shared" si="3"/>
        <v>2.5137594009050464E-2</v>
      </c>
      <c r="R27" s="24">
        <f t="shared" si="4"/>
        <v>0.63450078880342653</v>
      </c>
    </row>
    <row r="28" spans="1:18" x14ac:dyDescent="0.35">
      <c r="A28" s="2">
        <v>72.710849499999995</v>
      </c>
      <c r="B28" s="2">
        <v>1600</v>
      </c>
      <c r="D28" s="2">
        <v>5.8874822149582799</v>
      </c>
      <c r="E28" s="2">
        <v>16.8704417521874</v>
      </c>
      <c r="F28" s="2">
        <v>45.6910534962444</v>
      </c>
      <c r="G28" s="2">
        <v>79.771287160418296</v>
      </c>
      <c r="H28" s="2">
        <v>4845</v>
      </c>
      <c r="I28" s="2">
        <v>3644.8240095311799</v>
      </c>
      <c r="J28" s="2">
        <v>2986.9209302039899</v>
      </c>
      <c r="K28" s="2">
        <v>81.950406016946303</v>
      </c>
      <c r="L28" s="2">
        <v>5.6481534763909401E-3</v>
      </c>
      <c r="M28" s="2">
        <v>4.6286908949501699E-3</v>
      </c>
      <c r="N28" s="2">
        <f t="shared" si="0"/>
        <v>5.6481045686854667</v>
      </c>
      <c r="O28" s="2">
        <f t="shared" si="1"/>
        <v>0.52600485092481597</v>
      </c>
      <c r="P28" s="23">
        <f t="shared" si="2"/>
        <v>8.0985509642618025E-2</v>
      </c>
      <c r="Q28" s="23">
        <f t="shared" si="3"/>
        <v>2.545079217286892E-2</v>
      </c>
      <c r="R28" s="24">
        <f t="shared" si="4"/>
        <v>0.64031647614974474</v>
      </c>
    </row>
    <row r="29" spans="1:18" x14ac:dyDescent="0.35">
      <c r="A29" s="2">
        <v>80.478178700000001</v>
      </c>
      <c r="B29" s="2">
        <v>1650</v>
      </c>
      <c r="D29" s="2">
        <v>6.7378443860530499</v>
      </c>
      <c r="E29" s="2">
        <v>19.0357365349441</v>
      </c>
      <c r="F29" s="2">
        <v>44.939724245100997</v>
      </c>
      <c r="G29" s="2">
        <v>98.8281845552155</v>
      </c>
      <c r="H29" s="2">
        <v>5144</v>
      </c>
      <c r="I29" s="2">
        <v>4441.3078509510397</v>
      </c>
      <c r="J29" s="2">
        <v>3629.6728619878199</v>
      </c>
      <c r="K29" s="2">
        <v>81.725351229947805</v>
      </c>
      <c r="L29" s="2">
        <v>5.2444419887921201E-3</v>
      </c>
      <c r="M29" s="2">
        <v>4.2860468832771796E-3</v>
      </c>
      <c r="N29" s="2">
        <f t="shared" si="0"/>
        <v>5.2444771908504784</v>
      </c>
      <c r="O29" s="2">
        <f t="shared" si="1"/>
        <v>0.55846624420170354</v>
      </c>
      <c r="P29" s="23">
        <f t="shared" si="2"/>
        <v>8.1065523771150907E-2</v>
      </c>
      <c r="Q29" s="23">
        <f t="shared" si="3"/>
        <v>2.5841845595670002E-2</v>
      </c>
      <c r="R29" s="24">
        <f t="shared" si="4"/>
        <v>0.63156167008226594</v>
      </c>
    </row>
    <row r="30" spans="1:18" x14ac:dyDescent="0.35">
      <c r="A30" s="2">
        <v>88.142336200000003</v>
      </c>
      <c r="B30" s="2">
        <v>1700</v>
      </c>
      <c r="D30" s="2">
        <v>7.5118551864540102</v>
      </c>
      <c r="E30" s="2">
        <v>21.092648512653501</v>
      </c>
      <c r="F30" s="2">
        <v>44.292848053431399</v>
      </c>
      <c r="G30" s="2">
        <v>117.322667982295</v>
      </c>
      <c r="H30" s="2">
        <v>5385</v>
      </c>
      <c r="I30" s="2">
        <v>5196.5545725657203</v>
      </c>
      <c r="J30" s="2">
        <v>4235.7289023798403</v>
      </c>
      <c r="K30" s="2">
        <v>81.510282268596399</v>
      </c>
      <c r="L30" s="2">
        <v>4.9797020803974898E-3</v>
      </c>
      <c r="M30" s="2">
        <v>4.0589666064659597E-3</v>
      </c>
      <c r="N30" s="2">
        <f t="shared" si="0"/>
        <v>4.9796974732737533</v>
      </c>
      <c r="O30" s="2">
        <f t="shared" si="1"/>
        <v>0.58463077858207113</v>
      </c>
      <c r="P30" s="23">
        <f t="shared" si="2"/>
        <v>8.1964940503862757E-2</v>
      </c>
      <c r="Q30" s="23">
        <f t="shared" si="3"/>
        <v>2.6286330020490706E-2</v>
      </c>
      <c r="R30" s="24">
        <f t="shared" si="4"/>
        <v>0.63124396348494616</v>
      </c>
    </row>
    <row r="31" spans="1:18" x14ac:dyDescent="0.35">
      <c r="A31" s="2">
        <v>95.784962149999998</v>
      </c>
      <c r="B31" s="2">
        <v>1750</v>
      </c>
      <c r="D31" s="2">
        <v>7.6113245489383097</v>
      </c>
      <c r="E31" s="2">
        <v>21.506136034868</v>
      </c>
      <c r="F31" s="2">
        <v>44.131642579258397</v>
      </c>
      <c r="G31" s="2">
        <v>120.88461184619899</v>
      </c>
      <c r="H31" s="2">
        <v>5423</v>
      </c>
      <c r="I31" s="2">
        <v>5334.82634076656</v>
      </c>
      <c r="J31" s="2">
        <v>4322.2675608045101</v>
      </c>
      <c r="K31" s="2">
        <v>81.020271871205694</v>
      </c>
      <c r="L31" s="2">
        <v>4.9756275186645998E-3</v>
      </c>
      <c r="M31" s="2">
        <v>4.0312547056780001E-3</v>
      </c>
      <c r="N31" s="2">
        <f t="shared" si="0"/>
        <v>4.9756605143770942</v>
      </c>
      <c r="O31" s="2">
        <f t="shared" si="1"/>
        <v>0.58875630682461866</v>
      </c>
      <c r="P31" s="23">
        <f t="shared" si="2"/>
        <v>8.2404628779057354E-2</v>
      </c>
      <c r="Q31" s="23">
        <f t="shared" si="3"/>
        <v>2.6263448900471564E-2</v>
      </c>
      <c r="R31" s="24">
        <f t="shared" si="4"/>
        <v>0.63688446600268223</v>
      </c>
    </row>
    <row r="32" spans="1:18" x14ac:dyDescent="0.35">
      <c r="A32" s="2">
        <v>103.632649149999</v>
      </c>
      <c r="B32" s="2">
        <v>1800</v>
      </c>
      <c r="D32" s="2">
        <v>8.32332406855204</v>
      </c>
      <c r="E32" s="2">
        <v>23.415739350944801</v>
      </c>
      <c r="F32" s="2">
        <v>43.409494934382401</v>
      </c>
      <c r="G32" s="2">
        <v>140.28938123939301</v>
      </c>
      <c r="H32" s="2">
        <v>5630</v>
      </c>
      <c r="I32" s="2">
        <v>6089.8835672037803</v>
      </c>
      <c r="J32" s="2">
        <v>4907.5227645427703</v>
      </c>
      <c r="K32" s="2">
        <v>80.584904854776696</v>
      </c>
      <c r="L32" s="2">
        <v>4.77137344802178E-3</v>
      </c>
      <c r="M32" s="2">
        <v>3.8450060158269298E-3</v>
      </c>
      <c r="N32" s="2">
        <f t="shared" si="0"/>
        <v>4.7713969907842957</v>
      </c>
      <c r="O32" s="2">
        <f t="shared" si="1"/>
        <v>0.61122957909323317</v>
      </c>
      <c r="P32" s="23">
        <f t="shared" si="2"/>
        <v>8.3245259804938992E-2</v>
      </c>
      <c r="Q32" s="23">
        <f t="shared" si="3"/>
        <v>2.6649929282072819E-2</v>
      </c>
      <c r="R32" s="24">
        <f t="shared" si="4"/>
        <v>0.63727695042452182</v>
      </c>
    </row>
    <row r="33" ht="13.5" customHeight="1" x14ac:dyDescent="0.35"/>
  </sheetData>
  <sheetProtection algorithmName="SHA-512" hashValue="hOnpYNq+Za7OMkG8DDSEqook9pRZR1r03kxfdXIC396Y7LvleA4+n31XPbCZXRrh1cXsNPUaCWalgngc3PaZkg==" saltValue="0Bgr9pV7SDvOA6SzHZy+qg==" spinCount="100000" sheet="1" objects="1" scenarios="1" selectLockedCells="1"/>
  <sortState xmlns:xlrd2="http://schemas.microsoft.com/office/spreadsheetml/2017/richdata2" ref="A2:W32">
    <sortCondition ref="H2:H32"/>
  </sortState>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3890-AF53-4846-AF1D-D24D2C42AB4E}">
  <sheetPr codeName="Sheet8"/>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26</v>
      </c>
      <c r="U1" s="2" t="s">
        <v>58</v>
      </c>
      <c r="V1" s="2">
        <f>T1*0.0254</f>
        <v>0.66039999999999999</v>
      </c>
      <c r="W1" s="2" t="s">
        <v>59</v>
      </c>
    </row>
    <row r="2" spans="1:23" x14ac:dyDescent="0.35">
      <c r="A2" s="2">
        <v>1.92958265</v>
      </c>
      <c r="B2" s="2">
        <v>1000</v>
      </c>
      <c r="D2" s="25">
        <v>-6.1148200000000005E-5</v>
      </c>
      <c r="E2" s="2">
        <v>-3.58088E-4</v>
      </c>
      <c r="F2" s="2">
        <v>24.93841042</v>
      </c>
      <c r="G2" s="2">
        <v>9.8054918000000005E-2</v>
      </c>
      <c r="H2" s="2">
        <v>0</v>
      </c>
      <c r="I2" s="2">
        <v>2.4451839190000002</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2.1130889499999999</v>
      </c>
      <c r="B3" s="2">
        <v>1150</v>
      </c>
      <c r="D3" s="2">
        <v>4.9819279000000001E-2</v>
      </c>
      <c r="E3" s="2">
        <v>0.131949489</v>
      </c>
      <c r="F3" s="2">
        <v>24.955109140000001</v>
      </c>
      <c r="G3" s="2">
        <v>0.383479022</v>
      </c>
      <c r="H3" s="2">
        <v>575</v>
      </c>
      <c r="I3" s="2">
        <v>9.5697653410000001</v>
      </c>
      <c r="J3" s="2">
        <v>2.9971894849999998</v>
      </c>
      <c r="K3" s="2">
        <v>31.321582429999999</v>
      </c>
      <c r="L3" s="2">
        <v>4.4037695000000002E-2</v>
      </c>
      <c r="M3" s="2">
        <v>1.3788636999999999E-2</v>
      </c>
      <c r="N3" s="2">
        <f t="shared" si="0"/>
        <v>44.024406751847394</v>
      </c>
      <c r="O3" s="2">
        <f t="shared" si="1"/>
        <v>5.7966773708727715E-2</v>
      </c>
      <c r="P3" s="23">
        <f t="shared" si="2"/>
        <v>6.0489387137703111E-2</v>
      </c>
      <c r="Q3" s="23">
        <f t="shared" si="3"/>
        <v>2.2130590682037359E-2</v>
      </c>
      <c r="R3" s="24">
        <f t="shared" si="4"/>
        <v>0.47534701713789052</v>
      </c>
    </row>
    <row r="4" spans="1:23" x14ac:dyDescent="0.35">
      <c r="A4" s="2">
        <v>9.2725624999999994</v>
      </c>
      <c r="B4" s="2">
        <v>1195</v>
      </c>
      <c r="D4" s="2">
        <v>0.114816723</v>
      </c>
      <c r="E4" s="2">
        <v>0.33356263000000003</v>
      </c>
      <c r="F4" s="2">
        <v>24.957695739999998</v>
      </c>
      <c r="G4" s="2">
        <v>0.82927304999999996</v>
      </c>
      <c r="H4" s="2">
        <v>876</v>
      </c>
      <c r="I4" s="2">
        <v>20.696742839999999</v>
      </c>
      <c r="J4" s="2">
        <v>10.53390619</v>
      </c>
      <c r="K4" s="2">
        <v>50.89759823</v>
      </c>
      <c r="L4" s="2">
        <v>3.1666386999999997E-2</v>
      </c>
      <c r="M4" s="2">
        <v>1.6117156000000001E-2</v>
      </c>
      <c r="N4" s="2">
        <f t="shared" si="0"/>
        <v>31.665616152596478</v>
      </c>
      <c r="O4" s="2">
        <f t="shared" si="1"/>
        <v>8.8311119597992122E-2</v>
      </c>
      <c r="P4" s="23">
        <f t="shared" si="2"/>
        <v>6.5883450780244796E-2</v>
      </c>
      <c r="Q4" s="23">
        <f t="shared" si="3"/>
        <v>2.1996798039262383E-2</v>
      </c>
      <c r="R4" s="24">
        <f t="shared" si="4"/>
        <v>0.54361326042614699</v>
      </c>
    </row>
    <row r="5" spans="1:23" x14ac:dyDescent="0.35">
      <c r="A5" s="2">
        <v>2.2279114000001901</v>
      </c>
      <c r="B5" s="2">
        <v>1150</v>
      </c>
      <c r="D5" s="2">
        <v>0.14855960921365699</v>
      </c>
      <c r="E5" s="2">
        <v>0.44092527236510198</v>
      </c>
      <c r="F5" s="2">
        <v>50.1749613447911</v>
      </c>
      <c r="G5" s="2">
        <v>1.18299145290347</v>
      </c>
      <c r="H5" s="2">
        <v>999</v>
      </c>
      <c r="I5" s="2">
        <v>59.356534204330302</v>
      </c>
      <c r="J5" s="2">
        <v>15.5486677836188</v>
      </c>
      <c r="K5" s="2">
        <v>26.1890012784324</v>
      </c>
      <c r="L5" s="2">
        <v>2.8383347764167299E-2</v>
      </c>
      <c r="M5" s="2">
        <v>7.4290336215136398E-3</v>
      </c>
      <c r="N5" s="2">
        <f t="shared" si="0"/>
        <v>28.357752477651879</v>
      </c>
      <c r="O5" s="2">
        <f t="shared" si="1"/>
        <v>0.10071096858264171</v>
      </c>
      <c r="P5" s="23">
        <f t="shared" si="2"/>
        <v>6.6963967427916479E-2</v>
      </c>
      <c r="Q5" s="23">
        <f t="shared" si="3"/>
        <v>2.1891678386577882E-2</v>
      </c>
      <c r="R5" s="24">
        <f t="shared" si="4"/>
        <v>0.55971598176948845</v>
      </c>
    </row>
    <row r="6" spans="1:23" x14ac:dyDescent="0.35">
      <c r="A6" s="2">
        <v>16.734826550000001</v>
      </c>
      <c r="B6" s="2">
        <v>1239</v>
      </c>
      <c r="D6" s="2">
        <v>0.18231914499999999</v>
      </c>
      <c r="E6" s="2">
        <v>0.54775277600000005</v>
      </c>
      <c r="F6" s="2">
        <v>24.945192649999999</v>
      </c>
      <c r="G6" s="2">
        <v>1.4130098520000001</v>
      </c>
      <c r="H6" s="2">
        <v>1108</v>
      </c>
      <c r="I6" s="2">
        <v>35.247801950000003</v>
      </c>
      <c r="J6" s="2">
        <v>21.156529200000001</v>
      </c>
      <c r="K6" s="2">
        <v>60.022468480000001</v>
      </c>
      <c r="L6" s="2">
        <v>2.5890659999999999E-2</v>
      </c>
      <c r="M6" s="2">
        <v>1.5540111000000001E-2</v>
      </c>
      <c r="N6" s="2">
        <f t="shared" si="0"/>
        <v>25.89048377557128</v>
      </c>
      <c r="O6" s="2">
        <f t="shared" si="1"/>
        <v>0.11169945264220922</v>
      </c>
      <c r="P6" s="23">
        <f t="shared" si="2"/>
        <v>6.7625770689765483E-2</v>
      </c>
      <c r="Q6" s="23">
        <f t="shared" si="3"/>
        <v>2.1832701649752262E-2</v>
      </c>
      <c r="R6" s="24">
        <f t="shared" si="4"/>
        <v>0.56956836988862936</v>
      </c>
    </row>
    <row r="7" spans="1:23" x14ac:dyDescent="0.35">
      <c r="A7" s="2">
        <v>23.963719999999999</v>
      </c>
      <c r="B7" s="2">
        <v>1284</v>
      </c>
      <c r="D7" s="2">
        <v>0.25198342000000001</v>
      </c>
      <c r="E7" s="2">
        <v>0.77337546000000001</v>
      </c>
      <c r="F7" s="2">
        <v>24.919675869999999</v>
      </c>
      <c r="G7" s="2">
        <v>2.1037290450000001</v>
      </c>
      <c r="H7" s="2">
        <v>1298</v>
      </c>
      <c r="I7" s="2">
        <v>52.424242769999999</v>
      </c>
      <c r="J7" s="2">
        <v>34.256152069999999</v>
      </c>
      <c r="K7" s="2">
        <v>65.344558789999994</v>
      </c>
      <c r="L7" s="2">
        <v>2.2576415999999998E-2</v>
      </c>
      <c r="M7" s="2">
        <v>1.4752449000000001E-2</v>
      </c>
      <c r="N7" s="2">
        <f t="shared" si="0"/>
        <v>22.576250199370392</v>
      </c>
      <c r="O7" s="2">
        <f t="shared" si="1"/>
        <v>0.13085369091118013</v>
      </c>
      <c r="P7" s="23">
        <f t="shared" si="2"/>
        <v>6.9574190741419253E-2</v>
      </c>
      <c r="Q7" s="23">
        <f t="shared" si="3"/>
        <v>2.1988562583410448E-2</v>
      </c>
      <c r="R7" s="24">
        <f t="shared" si="4"/>
        <v>0.59014727679899059</v>
      </c>
    </row>
    <row r="8" spans="1:23" x14ac:dyDescent="0.35">
      <c r="A8" s="2">
        <v>31.295742000000001</v>
      </c>
      <c r="B8" s="2">
        <v>1329</v>
      </c>
      <c r="D8" s="2">
        <v>0.32466879300000001</v>
      </c>
      <c r="E8" s="2">
        <v>1.0043773300000001</v>
      </c>
      <c r="F8" s="2">
        <v>24.882061100000001</v>
      </c>
      <c r="G8" s="2">
        <v>2.8906790949999999</v>
      </c>
      <c r="H8" s="2">
        <v>1461</v>
      </c>
      <c r="I8" s="2">
        <v>71.926050160000003</v>
      </c>
      <c r="J8" s="2">
        <v>49.680423570000002</v>
      </c>
      <c r="K8" s="2">
        <v>69.072121240000001</v>
      </c>
      <c r="L8" s="2">
        <v>2.0216857000000001E-2</v>
      </c>
      <c r="M8" s="2">
        <v>1.3964157E-2</v>
      </c>
      <c r="N8" s="2">
        <f t="shared" si="0"/>
        <v>20.216762616462532</v>
      </c>
      <c r="O8" s="2">
        <f t="shared" si="1"/>
        <v>0.14728601111034986</v>
      </c>
      <c r="P8" s="23">
        <f t="shared" si="2"/>
        <v>7.131873490944815E-2</v>
      </c>
      <c r="Q8" s="23">
        <f t="shared" si="3"/>
        <v>2.2362326373767057E-2</v>
      </c>
      <c r="R8" s="24">
        <f t="shared" si="4"/>
        <v>0.60224536569941534</v>
      </c>
    </row>
    <row r="9" spans="1:23" x14ac:dyDescent="0.35">
      <c r="A9" s="2">
        <v>10.0071583000001</v>
      </c>
      <c r="B9" s="2">
        <v>1200</v>
      </c>
      <c r="D9" s="2">
        <v>0.32664772816988102</v>
      </c>
      <c r="E9" s="2">
        <v>1.0150743560578099</v>
      </c>
      <c r="F9" s="2">
        <v>50.092288890120997</v>
      </c>
      <c r="G9" s="2">
        <v>2.3709633730550501</v>
      </c>
      <c r="H9" s="2">
        <v>1468</v>
      </c>
      <c r="I9" s="2">
        <v>118.766990196655</v>
      </c>
      <c r="J9" s="2">
        <v>50.215222464846597</v>
      </c>
      <c r="K9" s="2">
        <v>42.280396491401603</v>
      </c>
      <c r="L9" s="2">
        <v>2.0214956377084901E-2</v>
      </c>
      <c r="M9" s="2">
        <v>8.5467952170874498E-3</v>
      </c>
      <c r="N9" s="2">
        <f t="shared" si="0"/>
        <v>20.214474938718386</v>
      </c>
      <c r="O9" s="2">
        <f t="shared" si="1"/>
        <v>0.14799169357289091</v>
      </c>
      <c r="P9" s="23">
        <f t="shared" si="2"/>
        <v>7.1392551945316657E-2</v>
      </c>
      <c r="Q9" s="23">
        <f t="shared" si="3"/>
        <v>2.2281250630046393E-2</v>
      </c>
      <c r="R9" s="24">
        <f t="shared" si="4"/>
        <v>0.60537543993568732</v>
      </c>
    </row>
    <row r="10" spans="1:23" x14ac:dyDescent="0.35">
      <c r="A10" s="2">
        <v>38.552726800000002</v>
      </c>
      <c r="B10" s="2">
        <v>1374</v>
      </c>
      <c r="D10" s="2">
        <v>0.39255326899999998</v>
      </c>
      <c r="E10" s="2">
        <v>1.2270532919999999</v>
      </c>
      <c r="F10" s="2">
        <v>24.83600753</v>
      </c>
      <c r="G10" s="2">
        <v>3.7336624939999998</v>
      </c>
      <c r="H10" s="2">
        <v>1611</v>
      </c>
      <c r="I10" s="2">
        <v>92.729265249999997</v>
      </c>
      <c r="J10" s="2">
        <v>66.2434102</v>
      </c>
      <c r="K10" s="2">
        <v>71.437834820000006</v>
      </c>
      <c r="L10" s="2">
        <v>1.8523399999999999E-2</v>
      </c>
      <c r="M10" s="2">
        <v>1.3232697999999999E-2</v>
      </c>
      <c r="N10" s="2">
        <f t="shared" si="0"/>
        <v>18.523401622822853</v>
      </c>
      <c r="O10" s="2">
        <f t="shared" si="1"/>
        <v>0.16240777816480059</v>
      </c>
      <c r="P10" s="23">
        <f t="shared" si="2"/>
        <v>7.1660445731549061E-2</v>
      </c>
      <c r="Q10" s="23">
        <f t="shared" si="3"/>
        <v>2.2240185230147817E-2</v>
      </c>
      <c r="R10" s="24">
        <f t="shared" si="4"/>
        <v>0.6099101486901517</v>
      </c>
    </row>
    <row r="11" spans="1:23" x14ac:dyDescent="0.35">
      <c r="A11" s="2">
        <v>46.037378750000002</v>
      </c>
      <c r="B11" s="2">
        <v>1418</v>
      </c>
      <c r="D11" s="2">
        <v>0.458465487</v>
      </c>
      <c r="E11" s="2">
        <v>1.4398354289999999</v>
      </c>
      <c r="F11" s="2">
        <v>24.78355389</v>
      </c>
      <c r="G11" s="2">
        <v>4.6092061470000001</v>
      </c>
      <c r="H11" s="2">
        <v>1740</v>
      </c>
      <c r="I11" s="2">
        <v>114.2325056</v>
      </c>
      <c r="J11" s="2">
        <v>83.520053610000005</v>
      </c>
      <c r="K11" s="2">
        <v>73.114263840000007</v>
      </c>
      <c r="L11" s="2">
        <v>1.7239484999999999E-2</v>
      </c>
      <c r="M11" s="2">
        <v>1.2604462E-2</v>
      </c>
      <c r="N11" s="2">
        <f t="shared" si="0"/>
        <v>17.239397806464122</v>
      </c>
      <c r="O11" s="2">
        <f t="shared" si="1"/>
        <v>0.17541249783162818</v>
      </c>
      <c r="P11" s="23">
        <f t="shared" si="2"/>
        <v>7.2081119027224999E-2</v>
      </c>
      <c r="Q11" s="23">
        <f t="shared" si="3"/>
        <v>2.2254885236943359E-2</v>
      </c>
      <c r="R11" s="24">
        <f t="shared" si="4"/>
        <v>0.61488220350839218</v>
      </c>
    </row>
    <row r="12" spans="1:23" x14ac:dyDescent="0.35">
      <c r="A12" s="2">
        <v>53.622014</v>
      </c>
      <c r="B12" s="2">
        <v>1463</v>
      </c>
      <c r="D12" s="2">
        <v>0.51774709600000002</v>
      </c>
      <c r="E12" s="2">
        <v>1.642676818</v>
      </c>
      <c r="F12" s="2">
        <v>24.72780685</v>
      </c>
      <c r="G12" s="2">
        <v>5.511302444</v>
      </c>
      <c r="H12" s="2">
        <v>1861</v>
      </c>
      <c r="I12" s="2">
        <v>136.2823928</v>
      </c>
      <c r="J12" s="2">
        <v>100.9161343</v>
      </c>
      <c r="K12" s="2">
        <v>74.050927009999995</v>
      </c>
      <c r="L12" s="2">
        <v>1.6277575999999998E-2</v>
      </c>
      <c r="M12" s="2">
        <v>1.2053751999999999E-2</v>
      </c>
      <c r="N12" s="2">
        <f t="shared" si="0"/>
        <v>16.277643108253702</v>
      </c>
      <c r="O12" s="2">
        <f t="shared" si="1"/>
        <v>0.18761072325555175</v>
      </c>
      <c r="P12" s="23">
        <f t="shared" si="2"/>
        <v>7.1889678782126584E-2</v>
      </c>
      <c r="Q12" s="23">
        <f t="shared" si="3"/>
        <v>2.1978792361240066E-2</v>
      </c>
      <c r="R12" s="24">
        <f t="shared" si="4"/>
        <v>0.62012749969333303</v>
      </c>
    </row>
    <row r="13" spans="1:23" x14ac:dyDescent="0.35">
      <c r="A13" s="2">
        <v>61.076590500000002</v>
      </c>
      <c r="B13" s="2">
        <v>1508</v>
      </c>
      <c r="D13" s="2">
        <v>0.58334134999999998</v>
      </c>
      <c r="E13" s="2">
        <v>1.8480139980000001</v>
      </c>
      <c r="F13" s="2">
        <v>24.669660100000002</v>
      </c>
      <c r="G13" s="2">
        <v>6.4617056909999997</v>
      </c>
      <c r="H13" s="2">
        <v>1970</v>
      </c>
      <c r="I13" s="2">
        <v>159.4080696</v>
      </c>
      <c r="J13" s="2">
        <v>120.3261892</v>
      </c>
      <c r="K13" s="2">
        <v>75.483269309999997</v>
      </c>
      <c r="L13" s="2">
        <v>1.5358409E-2</v>
      </c>
      <c r="M13" s="2">
        <v>1.1592995E-2</v>
      </c>
      <c r="N13" s="2">
        <f t="shared" si="0"/>
        <v>15.358368866218528</v>
      </c>
      <c r="O13" s="2">
        <f t="shared" si="1"/>
        <v>0.19859920731511932</v>
      </c>
      <c r="P13" s="23">
        <f t="shared" si="2"/>
        <v>7.2173865389383071E-2</v>
      </c>
      <c r="Q13" s="23">
        <f t="shared" si="3"/>
        <v>2.2092447090728239E-2</v>
      </c>
      <c r="R13" s="24">
        <f t="shared" si="4"/>
        <v>0.62059907866882191</v>
      </c>
    </row>
    <row r="14" spans="1:23" x14ac:dyDescent="0.35">
      <c r="A14" s="2">
        <v>68.648665300000005</v>
      </c>
      <c r="B14" s="2">
        <v>1553</v>
      </c>
      <c r="D14" s="2">
        <v>0.64389872500000001</v>
      </c>
      <c r="E14" s="2">
        <v>2.0439240509999999</v>
      </c>
      <c r="F14" s="2">
        <v>24.611160399999999</v>
      </c>
      <c r="G14" s="2">
        <v>7.3989755739999996</v>
      </c>
      <c r="H14" s="2">
        <v>2072</v>
      </c>
      <c r="I14" s="2">
        <v>182.0973185</v>
      </c>
      <c r="J14" s="2">
        <v>139.74137339999999</v>
      </c>
      <c r="K14" s="2">
        <v>76.740047689999997</v>
      </c>
      <c r="L14" s="2">
        <v>1.4626457000000001E-2</v>
      </c>
      <c r="M14" s="2">
        <v>1.1224354000000001E-2</v>
      </c>
      <c r="N14" s="2">
        <f t="shared" si="0"/>
        <v>14.626477479575138</v>
      </c>
      <c r="O14" s="2">
        <f t="shared" si="1"/>
        <v>0.20888200891214578</v>
      </c>
      <c r="P14" s="23">
        <f t="shared" si="2"/>
        <v>7.2159316853297822E-2</v>
      </c>
      <c r="Q14" s="23">
        <f t="shared" si="3"/>
        <v>2.2051497811012344E-2</v>
      </c>
      <c r="R14" s="24">
        <f t="shared" si="4"/>
        <v>0.62156353523700258</v>
      </c>
    </row>
    <row r="15" spans="1:23" x14ac:dyDescent="0.35">
      <c r="A15" s="2">
        <v>76.072062500000001</v>
      </c>
      <c r="B15" s="2">
        <v>1597</v>
      </c>
      <c r="D15" s="2">
        <v>0.73216027400000006</v>
      </c>
      <c r="E15" s="2">
        <v>2.3305254720000002</v>
      </c>
      <c r="F15" s="2">
        <v>24.537646840000001</v>
      </c>
      <c r="G15" s="2">
        <v>8.767262788</v>
      </c>
      <c r="H15" s="2">
        <v>2191</v>
      </c>
      <c r="I15" s="2">
        <v>215.12802919999999</v>
      </c>
      <c r="J15" s="2">
        <v>167.95292140000001</v>
      </c>
      <c r="K15" s="2">
        <v>78.071159820000005</v>
      </c>
      <c r="L15" s="2">
        <v>1.387623E-2</v>
      </c>
      <c r="M15" s="2">
        <v>1.0833272999999999E-2</v>
      </c>
      <c r="N15" s="2">
        <f t="shared" si="0"/>
        <v>13.87606391465841</v>
      </c>
      <c r="O15" s="2">
        <f t="shared" si="1"/>
        <v>0.22087861077534335</v>
      </c>
      <c r="P15" s="23">
        <f t="shared" si="2"/>
        <v>7.358279156766033E-2</v>
      </c>
      <c r="Q15" s="23">
        <f t="shared" si="3"/>
        <v>2.2415207794926496E-2</v>
      </c>
      <c r="R15" s="24">
        <f t="shared" si="4"/>
        <v>0.62966075080252371</v>
      </c>
    </row>
    <row r="16" spans="1:23" x14ac:dyDescent="0.35">
      <c r="A16" s="2">
        <v>17.889690100000202</v>
      </c>
      <c r="B16" s="2">
        <v>1250</v>
      </c>
      <c r="D16" s="2">
        <v>0.78698194293528401</v>
      </c>
      <c r="E16" s="2">
        <v>2.5337012930249698</v>
      </c>
      <c r="F16" s="2">
        <v>49.8378810284634</v>
      </c>
      <c r="G16" s="2">
        <v>6.0824486418327304</v>
      </c>
      <c r="H16" s="2">
        <v>2280</v>
      </c>
      <c r="I16" s="2">
        <v>303.13286414001999</v>
      </c>
      <c r="J16" s="2">
        <v>187.96730269518201</v>
      </c>
      <c r="K16" s="2">
        <v>61.998219281217096</v>
      </c>
      <c r="L16" s="2">
        <v>1.34862131531782E-2</v>
      </c>
      <c r="M16" s="2">
        <v>8.36014879539306E-3</v>
      </c>
      <c r="N16" s="2">
        <f t="shared" si="0"/>
        <v>13.479478913062648</v>
      </c>
      <c r="O16" s="2">
        <f t="shared" si="1"/>
        <v>0.22985085922765072</v>
      </c>
      <c r="P16" s="23">
        <f t="shared" si="2"/>
        <v>7.3874215189549564E-2</v>
      </c>
      <c r="Q16" s="23">
        <f t="shared" si="3"/>
        <v>2.2261791345612767E-2</v>
      </c>
      <c r="R16" s="24">
        <f t="shared" si="4"/>
        <v>0.63777018772152172</v>
      </c>
    </row>
    <row r="17" spans="1:18" x14ac:dyDescent="0.35">
      <c r="A17" s="2">
        <v>83.762408500000006</v>
      </c>
      <c r="B17" s="2">
        <v>1642</v>
      </c>
      <c r="D17" s="2">
        <v>0.82494168800000001</v>
      </c>
      <c r="E17" s="2">
        <v>2.6247727369999998</v>
      </c>
      <c r="F17" s="2">
        <v>24.455759759999999</v>
      </c>
      <c r="G17" s="2">
        <v>10.35107786</v>
      </c>
      <c r="H17" s="2">
        <v>2331</v>
      </c>
      <c r="I17" s="2">
        <v>253.14347609999999</v>
      </c>
      <c r="J17" s="2">
        <v>201.35934470000001</v>
      </c>
      <c r="K17" s="2">
        <v>79.544197190000006</v>
      </c>
      <c r="L17" s="2">
        <v>1.3035243E-2</v>
      </c>
      <c r="M17" s="2">
        <v>1.0368765E-2</v>
      </c>
      <c r="N17" s="2">
        <f t="shared" si="0"/>
        <v>13.035266582291374</v>
      </c>
      <c r="O17" s="2">
        <f t="shared" si="1"/>
        <v>0.23499226002616397</v>
      </c>
      <c r="P17" s="23">
        <f t="shared" si="2"/>
        <v>7.321740299874932E-2</v>
      </c>
      <c r="Q17" s="23">
        <f t="shared" si="3"/>
        <v>2.2316562943676409E-2</v>
      </c>
      <c r="R17" s="24">
        <f t="shared" si="4"/>
        <v>0.62773909192705346</v>
      </c>
    </row>
    <row r="18" spans="1:18" x14ac:dyDescent="0.35">
      <c r="A18" s="2">
        <v>91.685232499999998</v>
      </c>
      <c r="B18" s="2">
        <v>1687</v>
      </c>
      <c r="D18" s="2">
        <v>0.94209142700000004</v>
      </c>
      <c r="E18" s="2">
        <v>3.0159708580000002</v>
      </c>
      <c r="F18" s="2">
        <v>24.351742829999999</v>
      </c>
      <c r="G18" s="2">
        <v>12.52879482</v>
      </c>
      <c r="H18" s="2">
        <v>2495</v>
      </c>
      <c r="I18" s="2">
        <v>305.09796069999999</v>
      </c>
      <c r="J18" s="2">
        <v>246.1228673</v>
      </c>
      <c r="K18" s="2">
        <v>80.670649179999998</v>
      </c>
      <c r="L18" s="2">
        <v>1.2253784E-2</v>
      </c>
      <c r="M18" s="2">
        <v>9.8851900000000003E-3</v>
      </c>
      <c r="N18" s="2">
        <f t="shared" si="0"/>
        <v>12.253923786463218</v>
      </c>
      <c r="O18" s="2">
        <f t="shared" si="1"/>
        <v>0.25152539200569679</v>
      </c>
      <c r="P18" s="23">
        <f t="shared" si="2"/>
        <v>7.3433326494658765E-2</v>
      </c>
      <c r="Q18" s="23">
        <f t="shared" si="3"/>
        <v>2.2244500368012725E-2</v>
      </c>
      <c r="R18" s="24">
        <f t="shared" si="4"/>
        <v>0.6325606173022843</v>
      </c>
    </row>
    <row r="19" spans="1:18" x14ac:dyDescent="0.35">
      <c r="A19" s="2">
        <v>99.539376050000001</v>
      </c>
      <c r="B19" s="2">
        <v>1732</v>
      </c>
      <c r="D19" s="2">
        <v>1.075792659</v>
      </c>
      <c r="E19" s="2">
        <v>3.4432346460000001</v>
      </c>
      <c r="F19" s="2">
        <v>24.234717069999999</v>
      </c>
      <c r="G19" s="2">
        <v>15.12914507</v>
      </c>
      <c r="H19" s="2">
        <v>2648</v>
      </c>
      <c r="I19" s="2">
        <v>366.65035999999998</v>
      </c>
      <c r="J19" s="2">
        <v>298.33212759999998</v>
      </c>
      <c r="K19" s="2">
        <v>81.36812458</v>
      </c>
      <c r="L19" s="2">
        <v>1.1541664E-2</v>
      </c>
      <c r="M19" s="2">
        <v>9.3912000000000006E-3</v>
      </c>
      <c r="N19" s="2">
        <f t="shared" si="0"/>
        <v>11.541615291989759</v>
      </c>
      <c r="O19" s="2">
        <f t="shared" si="1"/>
        <v>0.2669495944012365</v>
      </c>
      <c r="P19" s="23">
        <f t="shared" si="2"/>
        <v>7.4428251951004873E-2</v>
      </c>
      <c r="Q19" s="23">
        <f t="shared" si="3"/>
        <v>2.2554251690198663E-2</v>
      </c>
      <c r="R19" s="24">
        <f t="shared" si="4"/>
        <v>0.63659512467662738</v>
      </c>
    </row>
    <row r="20" spans="1:18" x14ac:dyDescent="0.35">
      <c r="A20" s="2">
        <v>25.661256650000201</v>
      </c>
      <c r="B20" s="2">
        <v>1300</v>
      </c>
      <c r="D20" s="2">
        <v>1.1552209583078901</v>
      </c>
      <c r="E20" s="2">
        <v>3.7121305889692202</v>
      </c>
      <c r="F20" s="2">
        <v>49.533923169695299</v>
      </c>
      <c r="G20" s="2">
        <v>9.7913579894069507</v>
      </c>
      <c r="H20" s="2">
        <v>2776</v>
      </c>
      <c r="I20" s="2">
        <v>484.99912582224698</v>
      </c>
      <c r="J20" s="2">
        <v>335.83975595076902</v>
      </c>
      <c r="K20" s="2">
        <v>69.240892709328094</v>
      </c>
      <c r="L20" s="2">
        <v>1.1056522387328399E-2</v>
      </c>
      <c r="M20" s="2">
        <v>7.6551692106404104E-3</v>
      </c>
      <c r="N20" s="2">
        <f t="shared" si="0"/>
        <v>11.053279199956851</v>
      </c>
      <c r="O20" s="2">
        <f t="shared" si="1"/>
        <v>0.27985350228770106</v>
      </c>
      <c r="P20" s="23">
        <f t="shared" si="2"/>
        <v>7.3011535705084105E-2</v>
      </c>
      <c r="Q20" s="23">
        <f t="shared" si="3"/>
        <v>2.2037182069870671E-2</v>
      </c>
      <c r="R20" s="24">
        <f t="shared" si="4"/>
        <v>0.63301815739535627</v>
      </c>
    </row>
    <row r="21" spans="1:18" x14ac:dyDescent="0.35">
      <c r="A21" s="2">
        <v>107.6864089</v>
      </c>
      <c r="B21" s="2">
        <v>1776</v>
      </c>
      <c r="D21" s="2">
        <v>1.1781143140000001</v>
      </c>
      <c r="E21" s="2">
        <v>3.7778400360000002</v>
      </c>
      <c r="F21" s="2">
        <v>24.12395179</v>
      </c>
      <c r="G21" s="2">
        <v>17.594029939999999</v>
      </c>
      <c r="H21" s="2">
        <v>2796</v>
      </c>
      <c r="I21" s="2">
        <v>424.4369428</v>
      </c>
      <c r="J21" s="2">
        <v>345.0008899</v>
      </c>
      <c r="K21" s="2">
        <v>81.286652320000002</v>
      </c>
      <c r="L21" s="2">
        <v>1.0950188E-2</v>
      </c>
      <c r="M21" s="2">
        <v>8.9010740000000001E-3</v>
      </c>
      <c r="N21" s="2">
        <f t="shared" si="0"/>
        <v>10.950232728660565</v>
      </c>
      <c r="O21" s="2">
        <f t="shared" si="1"/>
        <v>0.28186973789496123</v>
      </c>
      <c r="P21" s="23">
        <f t="shared" si="2"/>
        <v>7.3244731566666471E-2</v>
      </c>
      <c r="Q21" s="23">
        <f t="shared" si="3"/>
        <v>2.2155984547279527E-2</v>
      </c>
      <c r="R21" s="24">
        <f t="shared" si="4"/>
        <v>0.63264275102078094</v>
      </c>
    </row>
    <row r="22" spans="1:18" x14ac:dyDescent="0.35">
      <c r="A22" s="2">
        <v>115.85585759999999</v>
      </c>
      <c r="B22" s="2">
        <v>1821</v>
      </c>
      <c r="D22" s="2">
        <v>1.315162414</v>
      </c>
      <c r="E22" s="2">
        <v>4.186184667</v>
      </c>
      <c r="F22" s="2">
        <v>24.004832109999999</v>
      </c>
      <c r="G22" s="2">
        <v>20.467339750000001</v>
      </c>
      <c r="H22" s="2">
        <v>2929</v>
      </c>
      <c r="I22" s="2">
        <v>491.31506789999997</v>
      </c>
      <c r="J22" s="2">
        <v>403.32737479999997</v>
      </c>
      <c r="K22" s="2">
        <v>82.091522879999999</v>
      </c>
      <c r="L22" s="2">
        <v>1.0379094E-2</v>
      </c>
      <c r="M22" s="2">
        <v>8.5203740000000007E-3</v>
      </c>
      <c r="N22" s="2">
        <f t="shared" si="0"/>
        <v>10.37912358186901</v>
      </c>
      <c r="O22" s="2">
        <f t="shared" si="1"/>
        <v>0.29527770468324083</v>
      </c>
      <c r="P22" s="23">
        <f t="shared" si="2"/>
        <v>7.3958279637377194E-2</v>
      </c>
      <c r="Q22" s="23">
        <f t="shared" si="3"/>
        <v>2.2531075562713877E-2</v>
      </c>
      <c r="R22" s="24">
        <f t="shared" si="4"/>
        <v>0.63122367393881995</v>
      </c>
    </row>
    <row r="23" spans="1:18" x14ac:dyDescent="0.35">
      <c r="A23" s="2">
        <v>123.7419496</v>
      </c>
      <c r="B23" s="2">
        <v>1866</v>
      </c>
      <c r="D23" s="2">
        <v>1.438145443</v>
      </c>
      <c r="E23" s="2">
        <v>4.6108223659999998</v>
      </c>
      <c r="F23" s="2">
        <v>23.884386540000001</v>
      </c>
      <c r="G23" s="2">
        <v>23.48274451</v>
      </c>
      <c r="H23" s="2">
        <v>3059</v>
      </c>
      <c r="I23" s="2">
        <v>560.87085160000004</v>
      </c>
      <c r="J23" s="2">
        <v>460.6330395</v>
      </c>
      <c r="K23" s="2">
        <v>82.128875949999994</v>
      </c>
      <c r="L23" s="2">
        <v>1.0009789999999999E-2</v>
      </c>
      <c r="M23" s="2">
        <v>8.2208939999999994E-3</v>
      </c>
      <c r="N23" s="2">
        <f t="shared" si="0"/>
        <v>10.009751734276106</v>
      </c>
      <c r="O23" s="2">
        <f t="shared" si="1"/>
        <v>0.30838323613043139</v>
      </c>
      <c r="P23" s="23">
        <f t="shared" si="2"/>
        <v>7.4683832847293949E-2</v>
      </c>
      <c r="Q23" s="23">
        <f t="shared" si="3"/>
        <v>2.25891034128139E-2</v>
      </c>
      <c r="R23" s="24">
        <f t="shared" si="4"/>
        <v>0.63888972843834968</v>
      </c>
    </row>
    <row r="24" spans="1:18" x14ac:dyDescent="0.35">
      <c r="A24" s="2">
        <v>140.31294489999999</v>
      </c>
      <c r="B24" s="2">
        <v>1955</v>
      </c>
      <c r="D24" s="2">
        <v>1.5089480049999999</v>
      </c>
      <c r="E24" s="2">
        <v>4.8204563729999999</v>
      </c>
      <c r="F24" s="2">
        <v>23.806849580000002</v>
      </c>
      <c r="G24" s="2">
        <v>25.245431180000001</v>
      </c>
      <c r="H24" s="2">
        <v>3134</v>
      </c>
      <c r="I24" s="2">
        <v>601.01402240000004</v>
      </c>
      <c r="J24" s="2">
        <v>495.28666290000001</v>
      </c>
      <c r="K24" s="2">
        <v>82.408484360000003</v>
      </c>
      <c r="L24" s="2">
        <v>9.7326649999999997E-3</v>
      </c>
      <c r="M24" s="2">
        <v>8.0205299999999997E-3</v>
      </c>
      <c r="N24" s="2">
        <f t="shared" si="0"/>
        <v>9.7326593548376366</v>
      </c>
      <c r="O24" s="2">
        <f t="shared" si="1"/>
        <v>0.31594411965765679</v>
      </c>
      <c r="P24" s="23">
        <f t="shared" si="2"/>
        <v>7.4387049564522703E-2</v>
      </c>
      <c r="Q24" s="23">
        <f t="shared" si="3"/>
        <v>2.2586138999145092E-2</v>
      </c>
      <c r="R24" s="24">
        <f t="shared" si="4"/>
        <v>0.63516857890755618</v>
      </c>
    </row>
    <row r="25" spans="1:18" x14ac:dyDescent="0.35">
      <c r="A25" s="2">
        <v>148.3671879</v>
      </c>
      <c r="B25" s="2">
        <v>2000</v>
      </c>
      <c r="D25" s="2">
        <v>1.4999598730000001</v>
      </c>
      <c r="E25" s="2">
        <v>4.7894368419999997</v>
      </c>
      <c r="F25" s="2">
        <v>23.809398550000001</v>
      </c>
      <c r="G25" s="2">
        <v>25.121762669999999</v>
      </c>
      <c r="H25" s="2">
        <v>3136</v>
      </c>
      <c r="I25" s="2">
        <v>598.13361629999997</v>
      </c>
      <c r="J25" s="2">
        <v>492.55352570000002</v>
      </c>
      <c r="K25" s="2">
        <v>82.348484229999997</v>
      </c>
      <c r="L25" s="2">
        <v>9.7235819999999997E-3</v>
      </c>
      <c r="M25" s="2">
        <v>8.0072549999999996E-3</v>
      </c>
      <c r="N25" s="2">
        <f t="shared" si="0"/>
        <v>9.7236880706384508</v>
      </c>
      <c r="O25" s="2">
        <f t="shared" si="1"/>
        <v>0.31614574321838279</v>
      </c>
      <c r="P25" s="23">
        <f t="shared" si="2"/>
        <v>7.3814129712704471E-2</v>
      </c>
      <c r="Q25" s="23">
        <f t="shared" si="3"/>
        <v>2.2418554642839303E-2</v>
      </c>
      <c r="R25" s="24">
        <f t="shared" si="4"/>
        <v>0.63253803941543463</v>
      </c>
    </row>
    <row r="26" spans="1:18" x14ac:dyDescent="0.35">
      <c r="A26" s="2">
        <v>131.97553149999999</v>
      </c>
      <c r="B26" s="2">
        <v>1911</v>
      </c>
      <c r="D26" s="2">
        <v>1.5027731769999999</v>
      </c>
      <c r="E26" s="2">
        <v>4.8277835749999998</v>
      </c>
      <c r="F26" s="2">
        <v>23.814150919999999</v>
      </c>
      <c r="G26" s="2">
        <v>25.173430759999999</v>
      </c>
      <c r="H26" s="2">
        <v>3138</v>
      </c>
      <c r="I26" s="2">
        <v>599.48371569999995</v>
      </c>
      <c r="J26" s="2">
        <v>493.84648220000003</v>
      </c>
      <c r="K26" s="2">
        <v>82.378948969999996</v>
      </c>
      <c r="L26" s="2">
        <v>9.7758259999999996E-3</v>
      </c>
      <c r="M26" s="2">
        <v>8.0532329999999999E-3</v>
      </c>
      <c r="N26" s="2">
        <f t="shared" si="0"/>
        <v>9.7758792438756767</v>
      </c>
      <c r="O26" s="2">
        <f t="shared" si="1"/>
        <v>0.3163473667791088</v>
      </c>
      <c r="P26" s="23">
        <f t="shared" si="2"/>
        <v>7.4310310406613747E-2</v>
      </c>
      <c r="Q26" s="23">
        <f t="shared" si="3"/>
        <v>2.2434453066918141E-2</v>
      </c>
      <c r="R26" s="24">
        <f t="shared" si="4"/>
        <v>0.63847387132048594</v>
      </c>
    </row>
    <row r="27" spans="1:18" x14ac:dyDescent="0.35">
      <c r="A27" s="2">
        <v>33.195029700000198</v>
      </c>
      <c r="B27" s="2">
        <v>1350</v>
      </c>
      <c r="D27" s="2">
        <v>1.60473683846946</v>
      </c>
      <c r="E27" s="2">
        <v>5.2029920728094998</v>
      </c>
      <c r="F27" s="2">
        <v>49.132860252823498</v>
      </c>
      <c r="G27" s="2">
        <v>14.9436965268952</v>
      </c>
      <c r="H27" s="2">
        <v>3248</v>
      </c>
      <c r="I27" s="2">
        <v>734.22667767168798</v>
      </c>
      <c r="J27" s="2">
        <v>545.786207823989</v>
      </c>
      <c r="K27" s="2">
        <v>74.337338593087196</v>
      </c>
      <c r="L27" s="2">
        <v>9.5331981335061294E-3</v>
      </c>
      <c r="M27" s="2">
        <v>7.0866686549843202E-3</v>
      </c>
      <c r="N27" s="2">
        <f t="shared" si="0"/>
        <v>9.5330222681028545</v>
      </c>
      <c r="O27" s="2">
        <f t="shared" si="1"/>
        <v>0.32743666261903931</v>
      </c>
      <c r="P27" s="23">
        <f t="shared" si="2"/>
        <v>7.4752941069990808E-2</v>
      </c>
      <c r="Q27" s="23">
        <f t="shared" si="3"/>
        <v>2.2359229543663803E-2</v>
      </c>
      <c r="R27" s="24">
        <f t="shared" si="4"/>
        <v>0.64635422782945207</v>
      </c>
    </row>
    <row r="28" spans="1:18" x14ac:dyDescent="0.35">
      <c r="A28" s="2">
        <v>40.769019750000197</v>
      </c>
      <c r="B28" s="2">
        <v>1400</v>
      </c>
      <c r="D28" s="2">
        <v>2.0621644688978198</v>
      </c>
      <c r="E28" s="2">
        <v>6.7051066031043698</v>
      </c>
      <c r="F28" s="2">
        <v>48.681814482794103</v>
      </c>
      <c r="G28" s="2">
        <v>20.977236081675802</v>
      </c>
      <c r="H28" s="2">
        <v>3658</v>
      </c>
      <c r="I28" s="2">
        <v>1021.20730876068</v>
      </c>
      <c r="J28" s="2">
        <v>790.04217844985101</v>
      </c>
      <c r="K28" s="2">
        <v>77.364770172353005</v>
      </c>
      <c r="L28" s="2">
        <v>8.4870214499014295E-3</v>
      </c>
      <c r="M28" s="2">
        <v>6.565983903734E-3</v>
      </c>
      <c r="N28" s="2">
        <f t="shared" si="0"/>
        <v>8.4870235868425681</v>
      </c>
      <c r="O28" s="2">
        <f t="shared" si="1"/>
        <v>0.36876949256787123</v>
      </c>
      <c r="P28" s="23">
        <f t="shared" si="2"/>
        <v>7.5949592108701239E-2</v>
      </c>
      <c r="Q28" s="23">
        <f t="shared" si="3"/>
        <v>2.2656953530620329E-2</v>
      </c>
      <c r="R28" s="24">
        <f t="shared" si="4"/>
        <v>0.65323832561655559</v>
      </c>
    </row>
    <row r="29" spans="1:18" x14ac:dyDescent="0.35">
      <c r="A29" s="2">
        <v>48.303361700000202</v>
      </c>
      <c r="B29" s="2">
        <v>1450</v>
      </c>
      <c r="D29" s="2">
        <v>2.60310321780719</v>
      </c>
      <c r="E29" s="2">
        <v>8.4551556554437504</v>
      </c>
      <c r="F29" s="2">
        <v>48.161483435469698</v>
      </c>
      <c r="G29" s="2">
        <v>28.867853119617902</v>
      </c>
      <c r="H29" s="2">
        <v>4070</v>
      </c>
      <c r="I29" s="2">
        <v>1390.3193029405199</v>
      </c>
      <c r="J29" s="2">
        <v>1109.3649446576001</v>
      </c>
      <c r="K29" s="2">
        <v>79.792108680489406</v>
      </c>
      <c r="L29" s="2">
        <v>7.62160567805185E-3</v>
      </c>
      <c r="M29" s="2">
        <v>6.08143588596301E-3</v>
      </c>
      <c r="N29" s="2">
        <f t="shared" si="0"/>
        <v>7.6216178419567706</v>
      </c>
      <c r="O29" s="2">
        <f t="shared" si="1"/>
        <v>0.41030394607742915</v>
      </c>
      <c r="P29" s="23">
        <f t="shared" si="2"/>
        <v>7.7364184111998968E-2</v>
      </c>
      <c r="Q29" s="23">
        <f t="shared" si="3"/>
        <v>2.3097956021030416E-2</v>
      </c>
      <c r="R29" s="24">
        <f t="shared" si="4"/>
        <v>0.65875113540508545</v>
      </c>
    </row>
    <row r="30" spans="1:18" x14ac:dyDescent="0.35">
      <c r="A30" s="2">
        <v>55.875778100000097</v>
      </c>
      <c r="B30" s="2">
        <v>1500</v>
      </c>
      <c r="D30" s="2">
        <v>3.1411252037382398</v>
      </c>
      <c r="E30" s="2">
        <v>10.0923013882535</v>
      </c>
      <c r="F30" s="2">
        <v>47.631306332097701</v>
      </c>
      <c r="G30" s="2">
        <v>37.9638529299053</v>
      </c>
      <c r="H30" s="2">
        <v>4460</v>
      </c>
      <c r="I30" s="2">
        <v>1808.2591146653499</v>
      </c>
      <c r="J30" s="2">
        <v>1467.1034456439099</v>
      </c>
      <c r="K30" s="2">
        <v>81.133643617270593</v>
      </c>
      <c r="L30" s="2">
        <v>6.8788442370229597E-3</v>
      </c>
      <c r="M30" s="2">
        <v>5.58108039992014E-3</v>
      </c>
      <c r="N30" s="2">
        <f t="shared" si="0"/>
        <v>6.8790659705825998</v>
      </c>
      <c r="O30" s="2">
        <f t="shared" si="1"/>
        <v>0.44962054041900101</v>
      </c>
      <c r="P30" s="23">
        <f t="shared" si="2"/>
        <v>7.6900232901269086E-2</v>
      </c>
      <c r="Q30" s="23">
        <f t="shared" si="3"/>
        <v>2.3213386394662534E-2</v>
      </c>
      <c r="R30" s="24">
        <f t="shared" si="4"/>
        <v>0.64958798642163906</v>
      </c>
    </row>
    <row r="31" spans="1:18" x14ac:dyDescent="0.35">
      <c r="A31" s="2">
        <v>63.661281200000197</v>
      </c>
      <c r="B31" s="2">
        <v>1550</v>
      </c>
      <c r="D31" s="2">
        <v>3.76812998653245</v>
      </c>
      <c r="E31" s="2">
        <v>12.1212433900498</v>
      </c>
      <c r="F31" s="2">
        <v>47.047453468160803</v>
      </c>
      <c r="G31" s="2">
        <v>49.227453095825297</v>
      </c>
      <c r="H31" s="2">
        <v>4826</v>
      </c>
      <c r="I31" s="2">
        <v>2316.0253955071898</v>
      </c>
      <c r="J31" s="2">
        <v>1904.44008668371</v>
      </c>
      <c r="K31" s="2">
        <v>82.228677686538006</v>
      </c>
      <c r="L31" s="2">
        <v>6.3646945234376098E-3</v>
      </c>
      <c r="M31" s="2">
        <v>5.2336059333720902E-3</v>
      </c>
      <c r="N31" s="2">
        <f t="shared" si="0"/>
        <v>6.3647281291778963</v>
      </c>
      <c r="O31" s="2">
        <f t="shared" si="1"/>
        <v>0.4865176520318607</v>
      </c>
      <c r="P31" s="23">
        <f t="shared" si="2"/>
        <v>7.8882324107586818E-2</v>
      </c>
      <c r="Q31" s="23">
        <f t="shared" si="3"/>
        <v>2.3784153613955764E-2</v>
      </c>
      <c r="R31" s="24">
        <f t="shared" si="4"/>
        <v>0.65866842908643275</v>
      </c>
    </row>
    <row r="32" spans="1:18" x14ac:dyDescent="0.35">
      <c r="A32" s="2">
        <v>71.532210850000197</v>
      </c>
      <c r="B32" s="2">
        <v>1600</v>
      </c>
      <c r="D32" s="2">
        <v>4.3207005508148502</v>
      </c>
      <c r="E32" s="2">
        <v>13.749228046037301</v>
      </c>
      <c r="F32" s="2">
        <v>46.579130596109501</v>
      </c>
      <c r="G32" s="2">
        <v>60.187286706018</v>
      </c>
      <c r="H32" s="2">
        <v>5132</v>
      </c>
      <c r="I32" s="2">
        <v>2803.4609980529099</v>
      </c>
      <c r="J32" s="2">
        <v>2322.2857780314898</v>
      </c>
      <c r="K32" s="2">
        <v>82.836380747503597</v>
      </c>
      <c r="L32" s="2">
        <v>5.9207395906027598E-3</v>
      </c>
      <c r="M32" s="2">
        <v>4.9045224394796902E-3</v>
      </c>
      <c r="N32" s="2">
        <f t="shared" si="0"/>
        <v>5.9205581742364108</v>
      </c>
      <c r="O32" s="2">
        <f t="shared" si="1"/>
        <v>0.51736605682294023</v>
      </c>
      <c r="P32" s="23">
        <f t="shared" si="2"/>
        <v>7.9124719047116793E-2</v>
      </c>
      <c r="Q32" s="23">
        <f t="shared" si="3"/>
        <v>2.4117820519747014E-2</v>
      </c>
      <c r="R32" s="24">
        <f t="shared" si="4"/>
        <v>0.65255213466755757</v>
      </c>
    </row>
    <row r="33" spans="1:18" x14ac:dyDescent="0.35">
      <c r="A33" s="2">
        <v>79.675418850000099</v>
      </c>
      <c r="B33" s="2">
        <v>1650</v>
      </c>
      <c r="D33" s="2">
        <v>5.0097166086929699</v>
      </c>
      <c r="E33" s="2">
        <v>15.8842960263488</v>
      </c>
      <c r="F33" s="2">
        <v>45.977247660805602</v>
      </c>
      <c r="G33" s="2">
        <v>74.907685021290703</v>
      </c>
      <c r="H33" s="2">
        <v>5464</v>
      </c>
      <c r="I33" s="2">
        <v>3444.04600836486</v>
      </c>
      <c r="J33" s="2">
        <v>2866.3039614948998</v>
      </c>
      <c r="K33" s="2">
        <v>83.224735204871394</v>
      </c>
      <c r="L33" s="2">
        <v>5.5416781302476403E-3</v>
      </c>
      <c r="M33" s="2">
        <v>4.6120464195463897E-3</v>
      </c>
      <c r="N33" s="2">
        <f t="shared" si="0"/>
        <v>5.5417346658741877</v>
      </c>
      <c r="O33" s="2">
        <f t="shared" si="1"/>
        <v>0.55083556790345778</v>
      </c>
      <c r="P33" s="23">
        <f t="shared" si="2"/>
        <v>8.064060026913257E-2</v>
      </c>
      <c r="Q33" s="23">
        <f t="shared" si="3"/>
        <v>2.4664511105169897E-2</v>
      </c>
      <c r="R33" s="24">
        <f t="shared" si="4"/>
        <v>0.65651268011957731</v>
      </c>
    </row>
    <row r="34" spans="1:18" x14ac:dyDescent="0.35">
      <c r="A34" s="2">
        <v>87.945262050000196</v>
      </c>
      <c r="B34" s="2">
        <v>1700</v>
      </c>
      <c r="D34" s="2">
        <v>5.6456465177436099</v>
      </c>
      <c r="E34" s="2">
        <v>17.745339966441701</v>
      </c>
      <c r="F34" s="2">
        <v>45.381066163095198</v>
      </c>
      <c r="G34" s="2">
        <v>89.744132227318502</v>
      </c>
      <c r="H34" s="2">
        <v>5739</v>
      </c>
      <c r="I34" s="2">
        <v>4072.6703430482598</v>
      </c>
      <c r="J34" s="2">
        <v>3393.1189384483901</v>
      </c>
      <c r="K34" s="2">
        <v>83.314168167545503</v>
      </c>
      <c r="L34" s="2">
        <v>5.2297407707436799E-3</v>
      </c>
      <c r="M34" s="2">
        <v>4.3571232305917897E-3</v>
      </c>
      <c r="N34" s="2">
        <f t="shared" si="0"/>
        <v>5.2298019280621837</v>
      </c>
      <c r="O34" s="2">
        <f t="shared" si="1"/>
        <v>0.57855880750328403</v>
      </c>
      <c r="P34" s="23">
        <f t="shared" si="2"/>
        <v>8.1661816383096761E-2</v>
      </c>
      <c r="Q34" s="23">
        <f t="shared" si="3"/>
        <v>2.5198387395911525E-2</v>
      </c>
      <c r="R34" s="24">
        <f t="shared" si="4"/>
        <v>0.65484845489626731</v>
      </c>
    </row>
    <row r="35" spans="1:18" x14ac:dyDescent="0.35">
      <c r="A35" s="2">
        <v>96.280999200000096</v>
      </c>
      <c r="B35" s="2">
        <v>1750</v>
      </c>
      <c r="D35" s="2">
        <v>5.8204688696815001</v>
      </c>
      <c r="E35" s="2">
        <v>18.264368653162499</v>
      </c>
      <c r="F35" s="2">
        <v>45.177034542286798</v>
      </c>
      <c r="G35" s="2">
        <v>94.414948796022401</v>
      </c>
      <c r="H35" s="2">
        <v>5822</v>
      </c>
      <c r="I35" s="2">
        <v>4265.37904410994</v>
      </c>
      <c r="J35" s="2">
        <v>3548.8541134674101</v>
      </c>
      <c r="K35" s="2">
        <v>83.201391952879803</v>
      </c>
      <c r="L35" s="2">
        <v>5.1466090793035203E-3</v>
      </c>
      <c r="M35" s="2">
        <v>4.2820474606201798E-3</v>
      </c>
      <c r="N35" s="2">
        <f t="shared" si="0"/>
        <v>5.146553808411495</v>
      </c>
      <c r="O35" s="2">
        <f t="shared" si="1"/>
        <v>0.58692618527341345</v>
      </c>
      <c r="P35" s="23">
        <f t="shared" si="2"/>
        <v>8.1670915401951746E-2</v>
      </c>
      <c r="Q35" s="23">
        <f t="shared" si="3"/>
        <v>2.524375071971725E-2</v>
      </c>
      <c r="R35" s="24">
        <f t="shared" si="4"/>
        <v>0.65378093864782238</v>
      </c>
    </row>
    <row r="36" spans="1:18" x14ac:dyDescent="0.35">
      <c r="A36" s="2">
        <v>104.58831355</v>
      </c>
      <c r="B36" s="2">
        <v>1800</v>
      </c>
      <c r="D36" s="2">
        <v>6.4811463538094696</v>
      </c>
      <c r="E36" s="2">
        <v>20.242006163827099</v>
      </c>
      <c r="F36" s="2">
        <v>44.5764355822431</v>
      </c>
      <c r="G36" s="2">
        <v>111.74548960302801</v>
      </c>
      <c r="H36" s="2">
        <v>6093</v>
      </c>
      <c r="I36" s="2">
        <v>4981.2014353417499</v>
      </c>
      <c r="J36" s="2">
        <v>4135.6339633772504</v>
      </c>
      <c r="K36" s="2">
        <v>83.024968488361594</v>
      </c>
      <c r="L36" s="2">
        <v>4.8945277157734198E-3</v>
      </c>
      <c r="M36" s="2">
        <v>4.0636759702881303E-3</v>
      </c>
      <c r="N36" s="2">
        <f t="shared" si="0"/>
        <v>4.8945352376633036</v>
      </c>
      <c r="O36" s="2">
        <f t="shared" si="1"/>
        <v>0.61424617775178769</v>
      </c>
      <c r="P36" s="23">
        <f t="shared" si="2"/>
        <v>8.2641531640540708E-2</v>
      </c>
      <c r="Q36" s="23">
        <f t="shared" si="3"/>
        <v>2.5664387170648312E-2</v>
      </c>
      <c r="R36" s="24">
        <f t="shared" si="4"/>
        <v>0.6545632827010569</v>
      </c>
    </row>
  </sheetData>
  <sheetProtection algorithmName="SHA-512" hashValue="4/FEIttv74biv+902pLkoVmktyH8UDrvTyex3eFlnZOn4nezgt+iDUzlf4XQwr+eIDIaUMdHigzqaOuyokRZBw==" saltValue="wgMtGOxIU7M5NimU+r/nBA==" spinCount="100000" sheet="1" objects="1" scenarios="1" selectLockedCells="1"/>
  <sortState xmlns:xlrd2="http://schemas.microsoft.com/office/spreadsheetml/2017/richdata2" ref="A2:R36">
    <sortCondition ref="H2:H36"/>
  </sortState>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8FE6-1792-4241-9C54-EC936C9F4B57}">
  <sheetPr codeName="Sheet9"/>
  <dimension ref="A1:W27"/>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24</v>
      </c>
      <c r="U1" s="2" t="s">
        <v>58</v>
      </c>
      <c r="V1" s="2">
        <f>T1*0.0254</f>
        <v>0.60959999999999992</v>
      </c>
      <c r="W1" s="2" t="s">
        <v>59</v>
      </c>
    </row>
    <row r="2" spans="1:23" x14ac:dyDescent="0.35">
      <c r="A2" s="2">
        <v>1.7743131000000401</v>
      </c>
      <c r="B2" s="2">
        <v>1000</v>
      </c>
      <c r="D2" s="2">
        <v>4.0197408667382403E-4</v>
      </c>
      <c r="E2" s="2">
        <v>2.81138825256268E-4</v>
      </c>
      <c r="F2" s="2">
        <v>50.661731704675901</v>
      </c>
      <c r="G2" s="2">
        <v>8.16668880792151E-2</v>
      </c>
      <c r="H2" s="2">
        <v>0</v>
      </c>
      <c r="I2" s="2">
        <v>4.13738629514524</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1.86723345000009</v>
      </c>
      <c r="B3" s="2">
        <v>1050</v>
      </c>
      <c r="D3" s="2">
        <v>0.11131351649912199</v>
      </c>
      <c r="E3" s="2">
        <v>0.33997433415878398</v>
      </c>
      <c r="F3" s="2">
        <v>50.627632703883599</v>
      </c>
      <c r="G3" s="2">
        <v>0.98772581111875501</v>
      </c>
      <c r="H3" s="2">
        <v>1035</v>
      </c>
      <c r="I3" s="2">
        <v>50.006218556840601</v>
      </c>
      <c r="J3" s="2">
        <v>12.062606910618101</v>
      </c>
      <c r="K3" s="2">
        <v>24.121636223704702</v>
      </c>
      <c r="L3" s="2">
        <v>2.8188534519682298E-2</v>
      </c>
      <c r="M3" s="2">
        <v>6.7987731566591797E-3</v>
      </c>
      <c r="N3" s="2">
        <f t="shared" ref="N3:N26" si="0">E3*1000/J3</f>
        <v>28.184150961557226</v>
      </c>
      <c r="O3" s="2">
        <f t="shared" ref="O3:O26" si="1">+PI()*$V$1*H3/60*0.00291545</f>
        <v>9.6314024008347571E-2</v>
      </c>
      <c r="P3" s="23">
        <f t="shared" ref="P3:P26" si="2">(E3*9.81)/($T$2*(H3/60)^2*($V$1)^4)</f>
        <v>6.6255360053216528E-2</v>
      </c>
      <c r="Q3" s="23">
        <f t="shared" ref="Q3:Q26" si="3">J3/($T$2*((H3/60)^3)*($V$1)^5)</f>
        <v>2.2788356080457546E-2</v>
      </c>
      <c r="R3" s="24">
        <f t="shared" ref="R3:R26" si="4">(P3^(3/2))/(Q3*SQRT(2))</f>
        <v>0.52918013514261164</v>
      </c>
    </row>
    <row r="4" spans="1:23" x14ac:dyDescent="0.35">
      <c r="A4" s="2">
        <v>7.99158495000008</v>
      </c>
      <c r="B4" s="2">
        <v>1065</v>
      </c>
      <c r="D4" s="2">
        <v>0.26599248863615499</v>
      </c>
      <c r="E4" s="2">
        <v>0.86826036401692297</v>
      </c>
      <c r="F4" s="2">
        <v>50.566780233411698</v>
      </c>
      <c r="G4" s="2">
        <v>2.1879971962900902</v>
      </c>
      <c r="H4" s="2">
        <v>1593</v>
      </c>
      <c r="I4" s="2">
        <v>110.639969755734</v>
      </c>
      <c r="J4" s="2">
        <v>44.380983287129098</v>
      </c>
      <c r="K4" s="2">
        <v>40.112743764729402</v>
      </c>
      <c r="L4" s="2">
        <v>1.95650025837453E-2</v>
      </c>
      <c r="M4" s="2">
        <v>7.8477786076075907E-3</v>
      </c>
      <c r="N4" s="2">
        <f t="shared" si="0"/>
        <v>19.563792861451237</v>
      </c>
      <c r="O4" s="2">
        <f t="shared" si="1"/>
        <v>0.14823984564763057</v>
      </c>
      <c r="P4" s="23">
        <f t="shared" si="2"/>
        <v>7.142890796530936E-2</v>
      </c>
      <c r="Q4" s="23">
        <f t="shared" si="3"/>
        <v>2.2995479159256527E-2</v>
      </c>
      <c r="R4" s="24">
        <f t="shared" si="4"/>
        <v>0.58702088722415957</v>
      </c>
    </row>
    <row r="5" spans="1:23" x14ac:dyDescent="0.35">
      <c r="A5" s="2">
        <v>13.9787628</v>
      </c>
      <c r="B5" s="2">
        <v>1079</v>
      </c>
      <c r="D5" s="2">
        <v>0.43529493643886602</v>
      </c>
      <c r="E5" s="2">
        <v>1.4639524371682999</v>
      </c>
      <c r="F5" s="2">
        <v>50.476923122060299</v>
      </c>
      <c r="G5" s="2">
        <v>3.7069024492526599</v>
      </c>
      <c r="H5" s="2">
        <v>2033</v>
      </c>
      <c r="I5" s="2">
        <v>187.11302277588899</v>
      </c>
      <c r="J5" s="2">
        <v>92.656016382580404</v>
      </c>
      <c r="K5" s="2">
        <v>49.518766598809599</v>
      </c>
      <c r="L5" s="2">
        <v>1.5799971187141999E-2</v>
      </c>
      <c r="M5" s="2">
        <v>7.8239305079857904E-3</v>
      </c>
      <c r="N5" s="2">
        <f t="shared" si="0"/>
        <v>15.799863779202223</v>
      </c>
      <c r="O5" s="2">
        <f t="shared" si="1"/>
        <v>0.18918493797968175</v>
      </c>
      <c r="P5" s="23">
        <f t="shared" si="2"/>
        <v>7.3944826769890434E-2</v>
      </c>
      <c r="Q5" s="23">
        <f t="shared" si="3"/>
        <v>2.3096935378042624E-2</v>
      </c>
      <c r="R5" s="24">
        <f t="shared" si="4"/>
        <v>0.6155911062004924</v>
      </c>
    </row>
    <row r="6" spans="1:23" x14ac:dyDescent="0.35">
      <c r="A6" s="2">
        <v>20.013434700000001</v>
      </c>
      <c r="B6" s="2">
        <v>1094</v>
      </c>
      <c r="D6" s="2">
        <v>0.64579509296453197</v>
      </c>
      <c r="E6" s="2">
        <v>2.2097523365946099</v>
      </c>
      <c r="F6" s="2">
        <v>50.340955110960799</v>
      </c>
      <c r="G6" s="2">
        <v>5.8135638497695101</v>
      </c>
      <c r="H6" s="2">
        <v>2480</v>
      </c>
      <c r="I6" s="2">
        <v>292.66035466288298</v>
      </c>
      <c r="J6" s="2">
        <v>167.73070129235899</v>
      </c>
      <c r="K6" s="2">
        <v>57.312609029738098</v>
      </c>
      <c r="L6" s="2">
        <v>1.3174648729389799E-2</v>
      </c>
      <c r="M6" s="2">
        <v>7.5506766674797799E-3</v>
      </c>
      <c r="N6" s="2">
        <f t="shared" si="0"/>
        <v>13.174405875421423</v>
      </c>
      <c r="O6" s="2">
        <f t="shared" si="1"/>
        <v>0.2307814295079246</v>
      </c>
      <c r="P6" s="23">
        <f t="shared" si="2"/>
        <v>7.5005969033913628E-2</v>
      </c>
      <c r="Q6" s="23">
        <f t="shared" si="3"/>
        <v>2.3032993822070996E-2</v>
      </c>
      <c r="R6" s="24">
        <f t="shared" si="4"/>
        <v>0.63063540687129971</v>
      </c>
    </row>
    <row r="7" spans="1:23" x14ac:dyDescent="0.35">
      <c r="A7" s="2">
        <v>26.20666305</v>
      </c>
      <c r="B7" s="2">
        <v>1108</v>
      </c>
      <c r="D7" s="2">
        <v>0.91290499889728405</v>
      </c>
      <c r="E7" s="2">
        <v>3.1380311139191801</v>
      </c>
      <c r="F7" s="2">
        <v>50.143994019197798</v>
      </c>
      <c r="G7" s="2">
        <v>8.7498033504246902</v>
      </c>
      <c r="H7" s="2">
        <v>2940</v>
      </c>
      <c r="I7" s="2">
        <v>438.75016525489701</v>
      </c>
      <c r="J7" s="2">
        <v>281.06335796665002</v>
      </c>
      <c r="K7" s="2">
        <v>64.060665878119707</v>
      </c>
      <c r="L7" s="2">
        <v>1.1165096140990399E-2</v>
      </c>
      <c r="M7" s="2">
        <v>7.1523736710042097E-3</v>
      </c>
      <c r="N7" s="2">
        <f t="shared" si="0"/>
        <v>11.164853137104865</v>
      </c>
      <c r="O7" s="2">
        <f t="shared" si="1"/>
        <v>0.27358766240052351</v>
      </c>
      <c r="P7" s="23">
        <f t="shared" si="2"/>
        <v>7.5791093083465044E-2</v>
      </c>
      <c r="Q7" s="23">
        <f t="shared" si="3"/>
        <v>2.3166216471095926E-2</v>
      </c>
      <c r="R7" s="24">
        <f t="shared" si="4"/>
        <v>0.636879321081529</v>
      </c>
    </row>
    <row r="8" spans="1:23" x14ac:dyDescent="0.35">
      <c r="A8" s="2">
        <v>32.312026800000098</v>
      </c>
      <c r="B8" s="2">
        <v>1123</v>
      </c>
      <c r="D8" s="2">
        <v>1.26876355096608</v>
      </c>
      <c r="E8" s="2">
        <v>4.3700424650317302</v>
      </c>
      <c r="F8" s="2">
        <v>49.859092275537201</v>
      </c>
      <c r="G8" s="2">
        <v>13.137175716281799</v>
      </c>
      <c r="H8" s="2">
        <v>3453</v>
      </c>
      <c r="I8" s="2">
        <v>655.007418401716</v>
      </c>
      <c r="J8" s="2">
        <v>458.726568244595</v>
      </c>
      <c r="K8" s="2">
        <v>70.037916378263304</v>
      </c>
      <c r="L8" s="2">
        <v>9.5266510142462697E-3</v>
      </c>
      <c r="M8" s="2">
        <v>6.6721557375592298E-3</v>
      </c>
      <c r="N8" s="2">
        <f t="shared" si="0"/>
        <v>9.5264647124201538</v>
      </c>
      <c r="O8" s="2">
        <f t="shared" si="1"/>
        <v>0.32132591777857406</v>
      </c>
      <c r="P8" s="23">
        <f t="shared" si="2"/>
        <v>7.6515264978146591E-2</v>
      </c>
      <c r="Q8" s="23">
        <f t="shared" si="3"/>
        <v>2.3337645027394303E-2</v>
      </c>
      <c r="R8" s="24">
        <f t="shared" si="4"/>
        <v>0.64128355378032476</v>
      </c>
    </row>
    <row r="9" spans="1:23" x14ac:dyDescent="0.35">
      <c r="A9" s="2">
        <v>38.599049200000103</v>
      </c>
      <c r="B9" s="2">
        <v>1138</v>
      </c>
      <c r="D9" s="2">
        <v>1.65304309943674</v>
      </c>
      <c r="E9" s="2">
        <v>5.6720538036621901</v>
      </c>
      <c r="F9" s="2">
        <v>49.499847506508601</v>
      </c>
      <c r="G9" s="2">
        <v>18.648736356140301</v>
      </c>
      <c r="H9" s="2">
        <v>3957</v>
      </c>
      <c r="I9" s="2">
        <v>923.10882970507498</v>
      </c>
      <c r="J9" s="2">
        <v>685.06160815057501</v>
      </c>
      <c r="K9" s="2">
        <v>74.214975417496802</v>
      </c>
      <c r="L9" s="2">
        <v>8.2796694241143807E-3</v>
      </c>
      <c r="M9" s="2">
        <v>6.1447929325179496E-3</v>
      </c>
      <c r="N9" s="2">
        <f t="shared" si="0"/>
        <v>8.2796258558040314</v>
      </c>
      <c r="O9" s="2">
        <f t="shared" si="1"/>
        <v>0.36822665990437803</v>
      </c>
      <c r="P9" s="23">
        <f t="shared" si="2"/>
        <v>7.5624728305936625E-2</v>
      </c>
      <c r="Q9" s="23">
        <f t="shared" si="3"/>
        <v>2.3159242471094434E-2</v>
      </c>
      <c r="R9" s="24">
        <f t="shared" si="4"/>
        <v>0.63497465904895967</v>
      </c>
    </row>
    <row r="10" spans="1:23" x14ac:dyDescent="0.35">
      <c r="A10" s="2">
        <v>44.720428650000102</v>
      </c>
      <c r="B10" s="2">
        <v>1152</v>
      </c>
      <c r="D10" s="2">
        <v>2.0547265522234799</v>
      </c>
      <c r="E10" s="2">
        <v>7.0290566553428802</v>
      </c>
      <c r="F10" s="2">
        <v>49.119069450653598</v>
      </c>
      <c r="G10" s="2">
        <v>24.560157483613299</v>
      </c>
      <c r="H10" s="2">
        <v>4376</v>
      </c>
      <c r="I10" s="2">
        <v>1206.3699503504399</v>
      </c>
      <c r="J10" s="2">
        <v>941.50459344607498</v>
      </c>
      <c r="K10" s="2">
        <v>78.045162732770606</v>
      </c>
      <c r="L10" s="2">
        <v>7.4657133539253601E-3</v>
      </c>
      <c r="M10" s="2">
        <v>5.8266156435179701E-3</v>
      </c>
      <c r="N10" s="2">
        <f t="shared" si="0"/>
        <v>7.4657699009361993</v>
      </c>
      <c r="O10" s="2">
        <f t="shared" si="1"/>
        <v>0.40721755464785409</v>
      </c>
      <c r="P10" s="23">
        <f t="shared" si="2"/>
        <v>7.6629854912657724E-2</v>
      </c>
      <c r="Q10" s="23">
        <f t="shared" si="3"/>
        <v>2.3533329415230536E-2</v>
      </c>
      <c r="R10" s="24">
        <f t="shared" si="4"/>
        <v>0.63738029529744633</v>
      </c>
    </row>
    <row r="11" spans="1:23" x14ac:dyDescent="0.35">
      <c r="A11" s="2">
        <v>50.954905650000001</v>
      </c>
      <c r="B11" s="2">
        <v>1167</v>
      </c>
      <c r="D11" s="2">
        <v>2.5929770527263298</v>
      </c>
      <c r="E11" s="2">
        <v>8.86815644458318</v>
      </c>
      <c r="F11" s="2">
        <v>48.619048926475301</v>
      </c>
      <c r="G11" s="2">
        <v>33.5179762456643</v>
      </c>
      <c r="H11" s="2">
        <v>4845</v>
      </c>
      <c r="I11" s="2">
        <v>1629.6124029904599</v>
      </c>
      <c r="J11" s="2">
        <v>1315.49679323444</v>
      </c>
      <c r="K11" s="2">
        <v>80.724836543747898</v>
      </c>
      <c r="L11" s="2">
        <v>6.74131995686308E-3</v>
      </c>
      <c r="M11" s="2">
        <v>5.4419038593407302E-3</v>
      </c>
      <c r="N11" s="2">
        <f t="shared" si="0"/>
        <v>6.7412984130344045</v>
      </c>
      <c r="O11" s="2">
        <f t="shared" si="1"/>
        <v>0.45086130079269948</v>
      </c>
      <c r="P11" s="23">
        <f t="shared" si="2"/>
        <v>7.8868098345578105E-2</v>
      </c>
      <c r="Q11" s="23">
        <f t="shared" si="3"/>
        <v>2.4227093778450257E-2</v>
      </c>
      <c r="R11" s="24">
        <f t="shared" si="4"/>
        <v>0.64645118480617181</v>
      </c>
    </row>
    <row r="12" spans="1:23" x14ac:dyDescent="0.35">
      <c r="A12" s="2">
        <v>57.302355300000102</v>
      </c>
      <c r="B12" s="2">
        <v>1181</v>
      </c>
      <c r="D12" s="2">
        <v>3.0986069086211301</v>
      </c>
      <c r="E12" s="2">
        <v>10.566951458142499</v>
      </c>
      <c r="F12" s="2">
        <v>48.123341160947597</v>
      </c>
      <c r="G12" s="2">
        <v>43.032310710809902</v>
      </c>
      <c r="H12" s="2">
        <v>5249</v>
      </c>
      <c r="I12" s="2">
        <v>2070.8612637248398</v>
      </c>
      <c r="J12" s="2">
        <v>1703.3094282833299</v>
      </c>
      <c r="K12" s="2">
        <v>82.250755037483998</v>
      </c>
      <c r="L12" s="2">
        <v>6.2037684420468298E-3</v>
      </c>
      <c r="M12" s="2">
        <v>5.1026438352194201E-3</v>
      </c>
      <c r="N12" s="2">
        <f t="shared" si="0"/>
        <v>6.2037767669684873</v>
      </c>
      <c r="O12" s="2">
        <f t="shared" si="1"/>
        <v>0.48845634011576461</v>
      </c>
      <c r="P12" s="23">
        <f t="shared" si="2"/>
        <v>8.0066741264011171E-2</v>
      </c>
      <c r="Q12" s="23">
        <f t="shared" si="3"/>
        <v>2.4669292981680378E-2</v>
      </c>
      <c r="R12" s="24">
        <f t="shared" si="4"/>
        <v>0.64939139384805411</v>
      </c>
    </row>
    <row r="13" spans="1:23" x14ac:dyDescent="0.35">
      <c r="A13" s="2">
        <v>63.846037850000101</v>
      </c>
      <c r="B13" s="2">
        <v>1196</v>
      </c>
      <c r="D13" s="2">
        <v>3.7205252791014001</v>
      </c>
      <c r="E13" s="2">
        <v>12.5488919606656</v>
      </c>
      <c r="F13" s="2">
        <v>47.530360798350699</v>
      </c>
      <c r="G13" s="2">
        <v>55.979593533557399</v>
      </c>
      <c r="H13" s="2">
        <v>5702</v>
      </c>
      <c r="I13" s="2">
        <v>2660.7315604381301</v>
      </c>
      <c r="J13" s="2">
        <v>2221.6530160378202</v>
      </c>
      <c r="K13" s="2">
        <v>83.498273969733702</v>
      </c>
      <c r="L13" s="2">
        <v>5.6485132757432997E-3</v>
      </c>
      <c r="M13" s="2">
        <v>4.7164111275673597E-3</v>
      </c>
      <c r="N13" s="2">
        <f t="shared" si="0"/>
        <v>5.648448191538824</v>
      </c>
      <c r="O13" s="2">
        <f t="shared" si="1"/>
        <v>0.53061117381217182</v>
      </c>
      <c r="P13" s="23">
        <f t="shared" si="2"/>
        <v>8.0576155171138253E-2</v>
      </c>
      <c r="Q13" s="23">
        <f t="shared" si="3"/>
        <v>2.5100794170324351E-2</v>
      </c>
      <c r="R13" s="24">
        <f t="shared" si="4"/>
        <v>0.64432851314024364</v>
      </c>
    </row>
    <row r="14" spans="1:23" x14ac:dyDescent="0.35">
      <c r="A14" s="2">
        <v>70.204594049999997</v>
      </c>
      <c r="B14" s="2">
        <v>1210</v>
      </c>
      <c r="D14" s="2">
        <v>4.0538919367477302</v>
      </c>
      <c r="E14" s="2">
        <v>13.687652629537</v>
      </c>
      <c r="F14" s="2">
        <v>47.169451563644003</v>
      </c>
      <c r="G14" s="2">
        <v>63.607041061752803</v>
      </c>
      <c r="H14" s="2">
        <v>5933</v>
      </c>
      <c r="I14" s="2">
        <v>3000.3040803060499</v>
      </c>
      <c r="J14" s="2">
        <v>2518.7945282144101</v>
      </c>
      <c r="K14" s="2">
        <v>83.951099951532399</v>
      </c>
      <c r="L14" s="2">
        <v>5.4341743803232598E-3</v>
      </c>
      <c r="M14" s="2">
        <v>4.5620574121706904E-3</v>
      </c>
      <c r="N14" s="2">
        <f t="shared" si="0"/>
        <v>5.4342077038099124</v>
      </c>
      <c r="O14" s="2">
        <f t="shared" si="1"/>
        <v>0.55210734728649868</v>
      </c>
      <c r="P14" s="23">
        <f t="shared" si="2"/>
        <v>8.1177535903625767E-2</v>
      </c>
      <c r="Q14" s="23">
        <f t="shared" si="3"/>
        <v>2.5261699631725424E-2</v>
      </c>
      <c r="R14" s="24">
        <f t="shared" si="4"/>
        <v>0.6474052722848509</v>
      </c>
    </row>
    <row r="15" spans="1:23" x14ac:dyDescent="0.35">
      <c r="A15" s="2">
        <v>76.624693750000006</v>
      </c>
      <c r="B15" s="2">
        <v>1225</v>
      </c>
      <c r="D15" s="2">
        <v>4.3339194818534503</v>
      </c>
      <c r="E15" s="2">
        <v>14.6619407006947</v>
      </c>
      <c r="F15" s="2">
        <v>46.796679533240201</v>
      </c>
      <c r="G15" s="2">
        <v>69.706268961994297</v>
      </c>
      <c r="H15" s="2">
        <v>6058</v>
      </c>
      <c r="I15" s="2">
        <v>3262.01360042529</v>
      </c>
      <c r="J15" s="2">
        <v>2749.3155587299402</v>
      </c>
      <c r="K15" s="2">
        <v>84.282711806224796</v>
      </c>
      <c r="L15" s="2">
        <v>5.3329734469211498E-3</v>
      </c>
      <c r="M15" s="2">
        <v>4.49475409940018E-3</v>
      </c>
      <c r="N15" s="2">
        <f t="shared" si="0"/>
        <v>5.3329421041314937</v>
      </c>
      <c r="O15" s="2">
        <f t="shared" si="1"/>
        <v>0.56373947578992234</v>
      </c>
      <c r="P15" s="23">
        <f t="shared" si="2"/>
        <v>8.3404312498524591E-2</v>
      </c>
      <c r="Q15" s="23">
        <f t="shared" si="3"/>
        <v>2.5901782581743422E-2</v>
      </c>
      <c r="R15" s="24">
        <f t="shared" si="4"/>
        <v>0.65756412136728071</v>
      </c>
    </row>
    <row r="16" spans="1:23" x14ac:dyDescent="0.35">
      <c r="A16" s="2">
        <v>83.110598899999999</v>
      </c>
      <c r="B16" s="2">
        <v>1240</v>
      </c>
      <c r="D16" s="2">
        <v>4.5117001283183997</v>
      </c>
      <c r="E16" s="2">
        <v>15.139440839137</v>
      </c>
      <c r="F16" s="2">
        <v>46.594508799708002</v>
      </c>
      <c r="G16" s="2">
        <v>74.654651846817103</v>
      </c>
      <c r="H16" s="2">
        <v>6210</v>
      </c>
      <c r="I16" s="2">
        <v>3478.4914724575201</v>
      </c>
      <c r="J16" s="2">
        <v>2934.1750068513702</v>
      </c>
      <c r="K16" s="2">
        <v>84.353641751408006</v>
      </c>
      <c r="L16" s="2">
        <v>5.1596873040871301E-3</v>
      </c>
      <c r="M16" s="2">
        <v>4.3523938598866996E-3</v>
      </c>
      <c r="N16" s="2">
        <f t="shared" si="0"/>
        <v>5.1596925213342884</v>
      </c>
      <c r="O16" s="2">
        <f t="shared" si="1"/>
        <v>0.57788414405008548</v>
      </c>
      <c r="P16" s="23">
        <f t="shared" si="2"/>
        <v>8.1956276876290479E-2</v>
      </c>
      <c r="Q16" s="23">
        <f t="shared" si="3"/>
        <v>2.5662802623401419E-2</v>
      </c>
      <c r="R16" s="24">
        <f t="shared" si="4"/>
        <v>0.64647874384022919</v>
      </c>
    </row>
    <row r="17" spans="1:18" x14ac:dyDescent="0.35">
      <c r="A17" s="2">
        <v>89.607623400000094</v>
      </c>
      <c r="B17" s="2">
        <v>1254</v>
      </c>
      <c r="D17" s="2">
        <v>4.7752561402575298</v>
      </c>
      <c r="E17" s="2">
        <v>16.047535382572399</v>
      </c>
      <c r="F17" s="2">
        <v>46.358107705726198</v>
      </c>
      <c r="G17" s="2">
        <v>81.032771612053693</v>
      </c>
      <c r="H17" s="2">
        <v>6341</v>
      </c>
      <c r="I17" s="2">
        <v>3756.5220990858402</v>
      </c>
      <c r="J17" s="2">
        <v>3171.0088356214001</v>
      </c>
      <c r="K17" s="2">
        <v>84.413349489504398</v>
      </c>
      <c r="L17" s="2">
        <v>5.0606777749552497E-3</v>
      </c>
      <c r="M17" s="2">
        <v>4.2718867930094002E-3</v>
      </c>
      <c r="N17" s="2">
        <f t="shared" si="0"/>
        <v>5.0607034588813047</v>
      </c>
      <c r="O17" s="2">
        <f t="shared" si="1"/>
        <v>0.59007461472167322</v>
      </c>
      <c r="P17" s="23">
        <f t="shared" si="2"/>
        <v>8.3319838919210701E-2</v>
      </c>
      <c r="Q17" s="23">
        <f t="shared" si="3"/>
        <v>2.6050559985116559E-2</v>
      </c>
      <c r="R17" s="24">
        <f t="shared" si="4"/>
        <v>0.65281567111653171</v>
      </c>
    </row>
    <row r="18" spans="1:18" x14ac:dyDescent="0.35">
      <c r="A18" s="2">
        <v>95.973525050000006</v>
      </c>
      <c r="B18" s="2">
        <v>1269</v>
      </c>
      <c r="D18" s="2">
        <v>4.9970808015636896</v>
      </c>
      <c r="E18" s="2">
        <v>16.673843504416499</v>
      </c>
      <c r="F18" s="2">
        <v>46.117687990236497</v>
      </c>
      <c r="G18" s="2">
        <v>87.198477661593202</v>
      </c>
      <c r="H18" s="2">
        <v>6487</v>
      </c>
      <c r="I18" s="2">
        <v>4021.3899053667601</v>
      </c>
      <c r="J18" s="2">
        <v>3394.3391214358999</v>
      </c>
      <c r="K18" s="2">
        <v>84.407147114983403</v>
      </c>
      <c r="L18" s="2">
        <v>4.9122244341283901E-3</v>
      </c>
      <c r="M18" s="2">
        <v>4.146264417053E-3</v>
      </c>
      <c r="N18" s="2">
        <f t="shared" si="0"/>
        <v>4.9122503403145528</v>
      </c>
      <c r="O18" s="2">
        <f t="shared" si="1"/>
        <v>0.60366094081367216</v>
      </c>
      <c r="P18" s="23">
        <f t="shared" si="2"/>
        <v>8.2718663966859451E-2</v>
      </c>
      <c r="Q18" s="23">
        <f t="shared" si="3"/>
        <v>2.604452292745673E-2</v>
      </c>
      <c r="R18" s="24">
        <f t="shared" si="4"/>
        <v>0.64591275756965172</v>
      </c>
    </row>
    <row r="19" spans="1:18" x14ac:dyDescent="0.35">
      <c r="A19" s="2">
        <v>102.53650405</v>
      </c>
      <c r="B19" s="2">
        <v>1283</v>
      </c>
      <c r="D19" s="2">
        <v>5.2857008995083499</v>
      </c>
      <c r="E19" s="2">
        <v>17.6008311525617</v>
      </c>
      <c r="F19" s="2">
        <v>45.823829556374598</v>
      </c>
      <c r="G19" s="2">
        <v>95.05276448171</v>
      </c>
      <c r="H19" s="2">
        <v>6635</v>
      </c>
      <c r="I19" s="2">
        <v>4355.6417387783504</v>
      </c>
      <c r="J19" s="2">
        <v>3672.7507372427499</v>
      </c>
      <c r="K19" s="2">
        <v>84.321778613215301</v>
      </c>
      <c r="L19" s="2">
        <v>4.7923396183114104E-3</v>
      </c>
      <c r="M19" s="2">
        <v>4.0409825067607803E-3</v>
      </c>
      <c r="N19" s="2">
        <f t="shared" si="0"/>
        <v>4.7922748946951952</v>
      </c>
      <c r="O19" s="2">
        <f t="shared" si="1"/>
        <v>0.61743338096172562</v>
      </c>
      <c r="P19" s="23">
        <f t="shared" si="2"/>
        <v>8.3465482521923332E-2</v>
      </c>
      <c r="Q19" s="23">
        <f t="shared" si="3"/>
        <v>2.6336711342078992E-2</v>
      </c>
      <c r="R19" s="24">
        <f t="shared" si="4"/>
        <v>0.64741658560555138</v>
      </c>
    </row>
    <row r="20" spans="1:18" x14ac:dyDescent="0.35">
      <c r="A20" s="2">
        <v>109.5108924</v>
      </c>
      <c r="B20" s="2">
        <v>1298</v>
      </c>
      <c r="D20" s="2">
        <v>5.5044535167005799</v>
      </c>
      <c r="E20" s="2">
        <v>18.202472010124001</v>
      </c>
      <c r="F20" s="2">
        <v>45.59022968307</v>
      </c>
      <c r="G20" s="2">
        <v>101.61241197849</v>
      </c>
      <c r="H20" s="2">
        <v>6777</v>
      </c>
      <c r="I20" s="2">
        <v>4632.5231078266897</v>
      </c>
      <c r="J20" s="2">
        <v>3906.2833057848102</v>
      </c>
      <c r="K20" s="2">
        <v>84.322667225233204</v>
      </c>
      <c r="L20" s="2">
        <v>4.6597429722816204E-3</v>
      </c>
      <c r="M20" s="2">
        <v>3.9292157026743803E-3</v>
      </c>
      <c r="N20" s="2">
        <f t="shared" si="0"/>
        <v>4.6597931038867513</v>
      </c>
      <c r="O20" s="2">
        <f t="shared" si="1"/>
        <v>0.63064747894161488</v>
      </c>
      <c r="P20" s="23">
        <f t="shared" si="2"/>
        <v>8.2739137004103555E-2</v>
      </c>
      <c r="Q20" s="23">
        <f t="shared" si="3"/>
        <v>2.6287189230811369E-2</v>
      </c>
      <c r="R20" s="24">
        <f t="shared" si="4"/>
        <v>0.64018770751081966</v>
      </c>
    </row>
    <row r="21" spans="1:18" x14ac:dyDescent="0.35">
      <c r="A21" s="2">
        <v>116.21724395</v>
      </c>
      <c r="B21" s="2">
        <v>1313</v>
      </c>
      <c r="D21" s="2">
        <v>5.7903510893789498</v>
      </c>
      <c r="E21" s="2">
        <v>19.180442835353301</v>
      </c>
      <c r="F21" s="2">
        <v>45.3360689310365</v>
      </c>
      <c r="G21" s="2">
        <v>109.274088925925</v>
      </c>
      <c r="H21" s="2">
        <v>6886</v>
      </c>
      <c r="I21" s="2">
        <v>4954.0520890407897</v>
      </c>
      <c r="J21" s="2">
        <v>4175.69459363033</v>
      </c>
      <c r="K21" s="2">
        <v>84.288669555128905</v>
      </c>
      <c r="L21" s="2">
        <v>4.59335236314599E-3</v>
      </c>
      <c r="M21" s="2">
        <v>3.8716742422589502E-3</v>
      </c>
      <c r="N21" s="2">
        <f t="shared" si="0"/>
        <v>4.5933538493479498</v>
      </c>
      <c r="O21" s="2">
        <f t="shared" si="1"/>
        <v>0.64079069499660035</v>
      </c>
      <c r="P21" s="23">
        <f t="shared" si="2"/>
        <v>8.4446213175932691E-2</v>
      </c>
      <c r="Q21" s="23">
        <f t="shared" si="3"/>
        <v>2.6786781980972372E-2</v>
      </c>
      <c r="R21" s="24">
        <f t="shared" si="4"/>
        <v>0.64779072883959032</v>
      </c>
    </row>
    <row r="22" spans="1:18" x14ac:dyDescent="0.35">
      <c r="A22" s="2">
        <v>123.25289979999999</v>
      </c>
      <c r="B22" s="2">
        <v>1327</v>
      </c>
      <c r="D22" s="2">
        <v>5.9334204040530301</v>
      </c>
      <c r="E22" s="2">
        <v>19.565030410821201</v>
      </c>
      <c r="F22" s="2">
        <v>45.164826497510397</v>
      </c>
      <c r="G22" s="2">
        <v>114.055086177787</v>
      </c>
      <c r="H22" s="2">
        <v>6991</v>
      </c>
      <c r="I22" s="2">
        <v>5151.27021580574</v>
      </c>
      <c r="J22" s="2">
        <v>4343.8840563500298</v>
      </c>
      <c r="K22" s="2">
        <v>84.326555632695801</v>
      </c>
      <c r="L22" s="2">
        <v>4.5040096087717099E-3</v>
      </c>
      <c r="M22" s="2">
        <v>3.7980732774846801E-3</v>
      </c>
      <c r="N22" s="2">
        <f t="shared" si="0"/>
        <v>4.5040406596995624</v>
      </c>
      <c r="O22" s="2">
        <f t="shared" si="1"/>
        <v>0.65056168293947614</v>
      </c>
      <c r="P22" s="23">
        <f t="shared" si="2"/>
        <v>8.3571367585577608E-2</v>
      </c>
      <c r="Q22" s="23">
        <f t="shared" si="3"/>
        <v>2.6628897702428423E-2</v>
      </c>
      <c r="R22" s="24">
        <f t="shared" si="4"/>
        <v>0.64153163436848237</v>
      </c>
    </row>
    <row r="23" spans="1:18" x14ac:dyDescent="0.35">
      <c r="A23" s="2">
        <v>130.12915864999999</v>
      </c>
      <c r="B23" s="2">
        <v>1342</v>
      </c>
      <c r="D23" s="2">
        <v>6.1833302794284002</v>
      </c>
      <c r="E23" s="2">
        <v>20.397834482163798</v>
      </c>
      <c r="F23" s="2">
        <v>44.912105353901197</v>
      </c>
      <c r="G23" s="2">
        <v>121.114209481199</v>
      </c>
      <c r="H23" s="2">
        <v>7077</v>
      </c>
      <c r="I23" s="2">
        <v>5439.4850280069904</v>
      </c>
      <c r="J23" s="2">
        <v>4582.4690680227704</v>
      </c>
      <c r="K23" s="2">
        <v>84.244449674045498</v>
      </c>
      <c r="L23" s="2">
        <v>4.4512441698328501E-3</v>
      </c>
      <c r="M23" s="2">
        <v>3.7499156714522002E-3</v>
      </c>
      <c r="N23" s="2">
        <f t="shared" si="0"/>
        <v>4.4512759779445696</v>
      </c>
      <c r="O23" s="2">
        <f t="shared" si="1"/>
        <v>0.65856458734983159</v>
      </c>
      <c r="P23" s="23">
        <f t="shared" si="2"/>
        <v>8.5023946273113438E-2</v>
      </c>
      <c r="Q23" s="23">
        <f t="shared" si="3"/>
        <v>2.7079760941458024E-2</v>
      </c>
      <c r="R23" s="24">
        <f t="shared" si="4"/>
        <v>0.64736924540386065</v>
      </c>
    </row>
    <row r="24" spans="1:18" x14ac:dyDescent="0.35">
      <c r="A24" s="2">
        <v>136.98842930000001</v>
      </c>
      <c r="B24" s="2">
        <v>1356</v>
      </c>
      <c r="D24" s="2">
        <v>6.3650215787945097</v>
      </c>
      <c r="E24" s="2">
        <v>20.837024112598201</v>
      </c>
      <c r="F24" s="2">
        <v>44.7090749613483</v>
      </c>
      <c r="G24" s="2">
        <v>126.85642632032901</v>
      </c>
      <c r="H24" s="2">
        <v>7171</v>
      </c>
      <c r="I24" s="2">
        <v>5671.6243690802803</v>
      </c>
      <c r="J24" s="2">
        <v>4779.7640645806296</v>
      </c>
      <c r="K24" s="2">
        <v>84.274987109988302</v>
      </c>
      <c r="L24" s="2">
        <v>4.3594026055839797E-3</v>
      </c>
      <c r="M24" s="2">
        <v>3.6738806411746E-3</v>
      </c>
      <c r="N24" s="2">
        <f t="shared" si="0"/>
        <v>4.3594252417198369</v>
      </c>
      <c r="O24" s="2">
        <f t="shared" si="1"/>
        <v>0.66731194798440618</v>
      </c>
      <c r="P24" s="23">
        <f t="shared" si="2"/>
        <v>8.4592495200980292E-2</v>
      </c>
      <c r="Q24" s="23">
        <f t="shared" si="3"/>
        <v>2.7149395432310947E-2</v>
      </c>
      <c r="R24" s="24">
        <f t="shared" si="4"/>
        <v>0.64080013150176662</v>
      </c>
    </row>
    <row r="25" spans="1:18" x14ac:dyDescent="0.35">
      <c r="A25" s="2">
        <v>144.05916145</v>
      </c>
      <c r="B25" s="2">
        <v>1371</v>
      </c>
      <c r="D25" s="2">
        <v>6.6434234779212797</v>
      </c>
      <c r="E25" s="2">
        <v>21.7868215009014</v>
      </c>
      <c r="F25" s="2">
        <v>44.420369947590899</v>
      </c>
      <c r="G25" s="2">
        <v>135.05202655337399</v>
      </c>
      <c r="H25" s="2">
        <v>7253</v>
      </c>
      <c r="I25" s="2">
        <v>5999.0515314162403</v>
      </c>
      <c r="J25" s="2">
        <v>5046.0153637600997</v>
      </c>
      <c r="K25" s="2">
        <v>84.113520222979503</v>
      </c>
      <c r="L25" s="2">
        <v>4.3176321072526998E-3</v>
      </c>
      <c r="M25" s="2">
        <v>3.63170914247449E-3</v>
      </c>
      <c r="N25" s="2">
        <f t="shared" si="0"/>
        <v>4.317628847777959</v>
      </c>
      <c r="O25" s="2">
        <f t="shared" si="1"/>
        <v>0.67494262428265217</v>
      </c>
      <c r="P25" s="23">
        <f t="shared" si="2"/>
        <v>8.6459776083788353E-2</v>
      </c>
      <c r="Q25" s="23">
        <f t="shared" si="3"/>
        <v>2.7700550940570796E-2</v>
      </c>
      <c r="R25" s="24">
        <f t="shared" si="4"/>
        <v>0.64895973993536649</v>
      </c>
    </row>
    <row r="26" spans="1:18" x14ac:dyDescent="0.35">
      <c r="A26" s="2">
        <v>151.35417275</v>
      </c>
      <c r="B26" s="2">
        <v>1385</v>
      </c>
      <c r="D26" s="2">
        <v>6.8056848254869102</v>
      </c>
      <c r="E26" s="2">
        <v>22.212695620194602</v>
      </c>
      <c r="F26" s="2">
        <v>44.2056642349485</v>
      </c>
      <c r="G26" s="2">
        <v>140.98584628970701</v>
      </c>
      <c r="H26" s="2">
        <v>7359</v>
      </c>
      <c r="I26" s="2">
        <v>6232.3570510920599</v>
      </c>
      <c r="J26" s="2">
        <v>5244.6900367195503</v>
      </c>
      <c r="K26" s="2">
        <v>84.152453804849003</v>
      </c>
      <c r="L26" s="2">
        <v>4.2352300087734303E-3</v>
      </c>
      <c r="M26" s="2">
        <v>3.56405146611443E-3</v>
      </c>
      <c r="N26" s="2">
        <f t="shared" si="0"/>
        <v>4.235273288731511</v>
      </c>
      <c r="O26" s="2">
        <f t="shared" si="1"/>
        <v>0.68480666925355527</v>
      </c>
      <c r="P26" s="23">
        <f t="shared" si="2"/>
        <v>8.5628679317983236E-2</v>
      </c>
      <c r="Q26" s="23">
        <f t="shared" si="3"/>
        <v>2.7564891561027583E-2</v>
      </c>
      <c r="R26" s="24">
        <f t="shared" si="4"/>
        <v>0.64277293608328934</v>
      </c>
    </row>
    <row r="27" spans="1:18" x14ac:dyDescent="0.35">
      <c r="P27" s="23"/>
      <c r="Q27" s="23"/>
      <c r="R27" s="24"/>
    </row>
  </sheetData>
  <sheetProtection algorithmName="SHA-512" hashValue="DU5hV+usguoUz4h5+vnTxtYPFZ6hqo84naqFZr+Z8V8dgTa+dIYywofsACcBKQD6WL35xZL4ip/LuNyaoM0jBw==" saltValue="sCuAXVgcAjqjmuWS8q/Afg==" spinCount="100000" sheet="1" objects="1" scenarios="1" selectLockedCells="1"/>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75F6-D93B-4CAA-8C4D-6FCAFDA264F3}">
  <sheetPr codeName="Sheet10"/>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22</v>
      </c>
      <c r="U1" s="2" t="s">
        <v>58</v>
      </c>
      <c r="V1" s="2">
        <f>T1*0.0254</f>
        <v>0.55879999999999996</v>
      </c>
      <c r="W1" s="2" t="s">
        <v>59</v>
      </c>
    </row>
    <row r="2" spans="1:23" x14ac:dyDescent="0.35">
      <c r="A2" s="2">
        <v>1.9427555999999799</v>
      </c>
      <c r="B2" s="2">
        <v>1000</v>
      </c>
      <c r="D2" s="2">
        <v>-2.8911596923123999E-5</v>
      </c>
      <c r="E2" s="2">
        <v>1.3844060355892401E-4</v>
      </c>
      <c r="F2" s="2">
        <v>25.150411746997399</v>
      </c>
      <c r="G2" s="2">
        <v>6.8487957148597997E-2</v>
      </c>
      <c r="H2" s="2">
        <v>0</v>
      </c>
      <c r="I2" s="2">
        <v>1.72246441617503</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2.1458181999998498</v>
      </c>
      <c r="B3" s="2">
        <v>1150</v>
      </c>
      <c r="D3" s="2">
        <v>3.0825891076310299E-2</v>
      </c>
      <c r="E3" s="2">
        <v>9.7338932601650094E-2</v>
      </c>
      <c r="F3" s="2">
        <v>25.144653342835799</v>
      </c>
      <c r="G3" s="2">
        <v>0.34505032548074299</v>
      </c>
      <c r="H3" s="2">
        <v>706</v>
      </c>
      <c r="I3" s="2">
        <v>8.6761708252724805</v>
      </c>
      <c r="J3" s="2">
        <v>2.2777271092419098</v>
      </c>
      <c r="K3" s="2">
        <v>26.253003360363799</v>
      </c>
      <c r="L3" s="2">
        <v>4.27543746383688E-2</v>
      </c>
      <c r="M3" s="2">
        <v>1.12207786282229E-2</v>
      </c>
      <c r="N3" s="2">
        <f t="shared" si="0"/>
        <v>42.73511616325591</v>
      </c>
      <c r="O3" s="2">
        <f t="shared" si="1"/>
        <v>6.0223406638391888E-2</v>
      </c>
      <c r="P3" s="23">
        <f t="shared" si="2"/>
        <v>5.7741359785833446E-2</v>
      </c>
      <c r="Q3" s="23">
        <f t="shared" si="3"/>
        <v>2.0947068978222325E-2</v>
      </c>
      <c r="R3" s="24">
        <f t="shared" si="4"/>
        <v>0.46837342966145268</v>
      </c>
    </row>
    <row r="4" spans="1:23" x14ac:dyDescent="0.35">
      <c r="A4" s="2">
        <v>9.3640746999998701</v>
      </c>
      <c r="B4" s="2">
        <v>1195</v>
      </c>
      <c r="D4" s="2">
        <v>7.5064693551383899E-2</v>
      </c>
      <c r="E4" s="2">
        <v>0.25632448697945998</v>
      </c>
      <c r="F4" s="2">
        <v>25.128841259303002</v>
      </c>
      <c r="G4" s="2">
        <v>0.75108801892565202</v>
      </c>
      <c r="H4" s="2">
        <v>1098</v>
      </c>
      <c r="I4" s="2">
        <v>18.873970121385899</v>
      </c>
      <c r="J4" s="2">
        <v>8.6322389848340393</v>
      </c>
      <c r="K4" s="2">
        <v>45.736982352601302</v>
      </c>
      <c r="L4" s="2">
        <v>2.96939833387725E-2</v>
      </c>
      <c r="M4" s="2">
        <v>1.35810976004007E-2</v>
      </c>
      <c r="N4" s="2">
        <f t="shared" si="0"/>
        <v>29.69385896634649</v>
      </c>
      <c r="O4" s="2">
        <f t="shared" si="1"/>
        <v>9.3661898709566968E-2</v>
      </c>
      <c r="P4" s="23">
        <f t="shared" si="2"/>
        <v>6.2863020748420512E-2</v>
      </c>
      <c r="Q4" s="23">
        <f t="shared" si="3"/>
        <v>2.1103384425440096E-2</v>
      </c>
      <c r="R4" s="24">
        <f t="shared" si="4"/>
        <v>0.52811166620450178</v>
      </c>
    </row>
    <row r="5" spans="1:23" x14ac:dyDescent="0.35">
      <c r="A5" s="2">
        <v>2.1513716000002301</v>
      </c>
      <c r="B5" s="2">
        <v>1150</v>
      </c>
      <c r="D5" s="2">
        <v>9.3944458053323701E-2</v>
      </c>
      <c r="E5" s="2">
        <v>0.314716035807457</v>
      </c>
      <c r="F5" s="2">
        <v>50.286801824408002</v>
      </c>
      <c r="G5" s="2">
        <v>1.16588038807904</v>
      </c>
      <c r="H5" s="2">
        <v>1209</v>
      </c>
      <c r="I5" s="2">
        <v>58.628398127729803</v>
      </c>
      <c r="J5" s="2">
        <v>11.8906481341507</v>
      </c>
      <c r="K5" s="2">
        <v>20.2810583229877</v>
      </c>
      <c r="L5" s="2">
        <v>2.6484094525587198E-2</v>
      </c>
      <c r="M5" s="2">
        <v>5.3680672909890799E-3</v>
      </c>
      <c r="N5" s="2">
        <f t="shared" si="0"/>
        <v>26.467525761154469</v>
      </c>
      <c r="O5" s="2">
        <f t="shared" si="1"/>
        <v>0.10313045131135379</v>
      </c>
      <c r="P5" s="23">
        <f t="shared" si="2"/>
        <v>6.3661387546277107E-2</v>
      </c>
      <c r="Q5" s="23">
        <f t="shared" si="3"/>
        <v>2.1775207411011726E-2</v>
      </c>
      <c r="R5" s="24">
        <f t="shared" si="4"/>
        <v>0.52159912237976647</v>
      </c>
    </row>
    <row r="6" spans="1:23" x14ac:dyDescent="0.35">
      <c r="A6" s="2">
        <v>16.301406599999801</v>
      </c>
      <c r="B6" s="2">
        <v>1239</v>
      </c>
      <c r="D6" s="2">
        <v>0.121713820852105</v>
      </c>
      <c r="E6" s="2">
        <v>0.42834281985740502</v>
      </c>
      <c r="F6" s="2">
        <v>25.104332270030898</v>
      </c>
      <c r="G6" s="2">
        <v>1.24952099882051</v>
      </c>
      <c r="H6" s="2">
        <v>1379</v>
      </c>
      <c r="I6" s="2">
        <v>31.368389841644799</v>
      </c>
      <c r="J6" s="2">
        <v>17.574329682634001</v>
      </c>
      <c r="K6" s="2">
        <v>56.027039946358897</v>
      </c>
      <c r="L6" s="2">
        <v>2.43733746716519E-2</v>
      </c>
      <c r="M6" s="2">
        <v>1.3655665473147701E-2</v>
      </c>
      <c r="N6" s="2">
        <f t="shared" si="0"/>
        <v>24.373209538721134</v>
      </c>
      <c r="O6" s="2">
        <f t="shared" si="1"/>
        <v>0.11763183817895527</v>
      </c>
      <c r="P6" s="23">
        <f t="shared" si="2"/>
        <v>6.6599779103626217E-2</v>
      </c>
      <c r="Q6" s="23">
        <f t="shared" si="3"/>
        <v>2.1688106936218785E-2</v>
      </c>
      <c r="R6" s="24">
        <f t="shared" si="4"/>
        <v>0.56036698392434692</v>
      </c>
    </row>
    <row r="7" spans="1:23" x14ac:dyDescent="0.35">
      <c r="A7" s="2">
        <v>23.636175749999801</v>
      </c>
      <c r="B7" s="2">
        <v>1284</v>
      </c>
      <c r="D7" s="2">
        <v>0.16839379548532099</v>
      </c>
      <c r="E7" s="2">
        <v>0.60623537874222799</v>
      </c>
      <c r="F7" s="2">
        <v>25.071369963123601</v>
      </c>
      <c r="G7" s="2">
        <v>1.8143544147361801</v>
      </c>
      <c r="H7" s="2">
        <v>1615</v>
      </c>
      <c r="I7" s="2">
        <v>45.488353375764397</v>
      </c>
      <c r="J7" s="2">
        <v>28.487794337301601</v>
      </c>
      <c r="K7" s="2">
        <v>62.627373529106002</v>
      </c>
      <c r="L7" s="2">
        <v>2.1280677587031799E-2</v>
      </c>
      <c r="M7" s="2">
        <v>1.33274784204065E-2</v>
      </c>
      <c r="N7" s="2">
        <f t="shared" si="0"/>
        <v>21.280530586688144</v>
      </c>
      <c r="O7" s="2">
        <f t="shared" si="1"/>
        <v>0.13776317524221374</v>
      </c>
      <c r="P7" s="23">
        <f t="shared" si="2"/>
        <v>6.8723624103505104E-2</v>
      </c>
      <c r="Q7" s="23">
        <f t="shared" si="3"/>
        <v>2.1886530443327872E-2</v>
      </c>
      <c r="R7" s="24">
        <f t="shared" si="4"/>
        <v>0.58205920546146839</v>
      </c>
    </row>
    <row r="8" spans="1:23" x14ac:dyDescent="0.35">
      <c r="A8" s="2">
        <v>9.2110083500002204</v>
      </c>
      <c r="B8" s="2">
        <v>1187</v>
      </c>
      <c r="D8" s="2">
        <v>0.172175154040134</v>
      </c>
      <c r="E8" s="2">
        <v>0.61543289528623202</v>
      </c>
      <c r="F8" s="2">
        <v>50.232289529680401</v>
      </c>
      <c r="G8" s="2">
        <v>1.89815429633391</v>
      </c>
      <c r="H8" s="2">
        <v>1639</v>
      </c>
      <c r="I8" s="2">
        <v>95.348438264894</v>
      </c>
      <c r="J8" s="2">
        <v>29.555621107603599</v>
      </c>
      <c r="K8" s="2">
        <v>30.971191733215498</v>
      </c>
      <c r="L8" s="2">
        <v>2.08815928900732E-2</v>
      </c>
      <c r="M8" s="2">
        <v>6.4570084596819099E-3</v>
      </c>
      <c r="N8" s="2">
        <f t="shared" si="0"/>
        <v>20.822871326087721</v>
      </c>
      <c r="O8" s="2">
        <f t="shared" si="1"/>
        <v>0.13981042985881628</v>
      </c>
      <c r="P8" s="23">
        <f t="shared" si="2"/>
        <v>6.7738040344555453E-2</v>
      </c>
      <c r="Q8" s="23">
        <f t="shared" si="3"/>
        <v>2.1723955522627084E-2</v>
      </c>
      <c r="R8" s="24">
        <f t="shared" si="4"/>
        <v>0.57384557858566554</v>
      </c>
    </row>
    <row r="9" spans="1:23" x14ac:dyDescent="0.35">
      <c r="A9" s="2">
        <v>31.300822299999801</v>
      </c>
      <c r="B9" s="2">
        <v>1329</v>
      </c>
      <c r="D9" s="2">
        <v>0.213387243330114</v>
      </c>
      <c r="E9" s="2">
        <v>0.77665991438348403</v>
      </c>
      <c r="F9" s="2">
        <v>25.0319800171428</v>
      </c>
      <c r="G9" s="2">
        <v>2.40530581072532</v>
      </c>
      <c r="H9" s="2">
        <v>1809</v>
      </c>
      <c r="I9" s="2">
        <v>60.209568105558503</v>
      </c>
      <c r="J9" s="2">
        <v>40.428076876134497</v>
      </c>
      <c r="K9" s="2">
        <v>67.145914432502295</v>
      </c>
      <c r="L9" s="2">
        <v>1.9211010206144599E-2</v>
      </c>
      <c r="M9" s="2">
        <v>1.28993317053507E-2</v>
      </c>
      <c r="N9" s="2">
        <f t="shared" si="0"/>
        <v>19.210904262477101</v>
      </c>
      <c r="O9" s="2">
        <f t="shared" si="1"/>
        <v>0.15431181672641772</v>
      </c>
      <c r="P9" s="23">
        <f t="shared" si="2"/>
        <v>7.0171956668212215E-2</v>
      </c>
      <c r="Q9" s="23">
        <f t="shared" si="3"/>
        <v>2.2100548765418386E-2</v>
      </c>
      <c r="R9" s="24">
        <f t="shared" si="4"/>
        <v>0.59474024090818622</v>
      </c>
    </row>
    <row r="10" spans="1:23" x14ac:dyDescent="0.35">
      <c r="A10" s="2">
        <v>39.154653599999797</v>
      </c>
      <c r="B10" s="2">
        <v>1374</v>
      </c>
      <c r="D10" s="2">
        <v>0.257134276472052</v>
      </c>
      <c r="E10" s="2">
        <v>0.94707808636019297</v>
      </c>
      <c r="F10" s="2">
        <v>24.985666206728201</v>
      </c>
      <c r="G10" s="2">
        <v>3.0650164891060099</v>
      </c>
      <c r="H10" s="2">
        <v>1995</v>
      </c>
      <c r="I10" s="2">
        <v>76.581483059364601</v>
      </c>
      <c r="J10" s="2">
        <v>53.720152314681201</v>
      </c>
      <c r="K10" s="2">
        <v>70.147914576642293</v>
      </c>
      <c r="L10" s="2">
        <v>1.7629979888927099E-2</v>
      </c>
      <c r="M10" s="2">
        <v>1.23670524387744E-2</v>
      </c>
      <c r="N10" s="2">
        <f t="shared" si="0"/>
        <v>17.629847376686712</v>
      </c>
      <c r="O10" s="2">
        <f t="shared" si="1"/>
        <v>0.17017804000508757</v>
      </c>
      <c r="P10" s="23">
        <f t="shared" si="2"/>
        <v>7.0357405751448041E-2</v>
      </c>
      <c r="Q10" s="23">
        <f t="shared" si="3"/>
        <v>2.1894962743898037E-2</v>
      </c>
      <c r="R10" s="24">
        <f t="shared" si="4"/>
        <v>0.60270600426503884</v>
      </c>
    </row>
    <row r="11" spans="1:23" x14ac:dyDescent="0.35">
      <c r="A11" s="2">
        <v>46.457918299999797</v>
      </c>
      <c r="B11" s="2">
        <v>1418</v>
      </c>
      <c r="D11" s="2">
        <v>0.29894661645779302</v>
      </c>
      <c r="E11" s="2">
        <v>1.10555666875723</v>
      </c>
      <c r="F11" s="2">
        <v>24.9397938976579</v>
      </c>
      <c r="G11" s="2">
        <v>3.6967112268170799</v>
      </c>
      <c r="H11" s="2">
        <v>2137</v>
      </c>
      <c r="I11" s="2">
        <v>92.195218347141306</v>
      </c>
      <c r="J11" s="2">
        <v>66.897817225207106</v>
      </c>
      <c r="K11" s="2">
        <v>72.561173716682603</v>
      </c>
      <c r="L11" s="2">
        <v>1.6526068702004099E-2</v>
      </c>
      <c r="M11" s="2">
        <v>1.19915028331563E-2</v>
      </c>
      <c r="N11" s="2">
        <f t="shared" si="0"/>
        <v>16.526049946225392</v>
      </c>
      <c r="O11" s="2">
        <f t="shared" si="1"/>
        <v>0.18229096315331936</v>
      </c>
      <c r="P11" s="23">
        <f t="shared" si="2"/>
        <v>7.1578368293654257E-2</v>
      </c>
      <c r="Q11" s="23">
        <f t="shared" si="3"/>
        <v>2.2183703724752733E-2</v>
      </c>
      <c r="R11" s="24">
        <f t="shared" si="4"/>
        <v>0.61041280672164688</v>
      </c>
    </row>
    <row r="12" spans="1:23" x14ac:dyDescent="0.35">
      <c r="A12" s="2">
        <v>54.004762299999797</v>
      </c>
      <c r="B12" s="2">
        <v>1463</v>
      </c>
      <c r="D12" s="2">
        <v>0.33748344317787599</v>
      </c>
      <c r="E12" s="2">
        <v>1.2551360704149499</v>
      </c>
      <c r="F12" s="2">
        <v>24.892583445075999</v>
      </c>
      <c r="G12" s="2">
        <v>4.3303623438570096</v>
      </c>
      <c r="H12" s="2">
        <v>2263</v>
      </c>
      <c r="I12" s="2">
        <v>107.793923451315</v>
      </c>
      <c r="J12" s="2">
        <v>79.981457076854298</v>
      </c>
      <c r="K12" s="2">
        <v>74.198458468960496</v>
      </c>
      <c r="L12" s="2">
        <v>1.5692829752523701E-2</v>
      </c>
      <c r="M12" s="2">
        <v>1.1643826840806599E-2</v>
      </c>
      <c r="N12" s="2">
        <f t="shared" si="0"/>
        <v>15.692838268861342</v>
      </c>
      <c r="O12" s="2">
        <f t="shared" si="1"/>
        <v>0.19303904989048276</v>
      </c>
      <c r="P12" s="23">
        <f t="shared" si="2"/>
        <v>7.2465539924995687E-2</v>
      </c>
      <c r="Q12" s="23">
        <f t="shared" si="3"/>
        <v>2.2334247528917169E-2</v>
      </c>
      <c r="R12" s="24">
        <f t="shared" si="4"/>
        <v>0.61760524512140769</v>
      </c>
    </row>
    <row r="13" spans="1:23" x14ac:dyDescent="0.35">
      <c r="A13" s="2">
        <v>16.311146250000199</v>
      </c>
      <c r="B13" s="2">
        <v>1224</v>
      </c>
      <c r="D13" s="2">
        <v>0.34884417756904501</v>
      </c>
      <c r="E13" s="2">
        <v>1.28376053002408</v>
      </c>
      <c r="F13" s="2">
        <v>50.102122798838302</v>
      </c>
      <c r="G13" s="2">
        <v>3.8337092736887701</v>
      </c>
      <c r="H13" s="2">
        <v>2319</v>
      </c>
      <c r="I13" s="2">
        <v>192.07681358326499</v>
      </c>
      <c r="J13" s="2">
        <v>84.727109544408904</v>
      </c>
      <c r="K13" s="2">
        <v>44.110580244224899</v>
      </c>
      <c r="L13" s="2">
        <v>1.5152615331972701E-2</v>
      </c>
      <c r="M13" s="2">
        <v>6.6837455667910798E-3</v>
      </c>
      <c r="N13" s="2">
        <f t="shared" si="0"/>
        <v>15.151709257250292</v>
      </c>
      <c r="O13" s="2">
        <f t="shared" si="1"/>
        <v>0.19781597732922204</v>
      </c>
      <c r="P13" s="23">
        <f t="shared" si="2"/>
        <v>7.058173850727778E-2</v>
      </c>
      <c r="Q13" s="23">
        <f t="shared" si="3"/>
        <v>2.1986485821929493E-2</v>
      </c>
      <c r="R13" s="24">
        <f t="shared" si="4"/>
        <v>0.60306997811012619</v>
      </c>
    </row>
    <row r="14" spans="1:23" x14ac:dyDescent="0.35">
      <c r="A14" s="2">
        <v>61.740782399999802</v>
      </c>
      <c r="B14" s="2">
        <v>1508</v>
      </c>
      <c r="D14" s="2">
        <v>0.370435397116119</v>
      </c>
      <c r="E14" s="2">
        <v>1.38090421590666</v>
      </c>
      <c r="F14" s="2">
        <v>24.845905477994801</v>
      </c>
      <c r="G14" s="2">
        <v>4.94603583093767</v>
      </c>
      <c r="H14" s="2">
        <v>2379</v>
      </c>
      <c r="I14" s="2">
        <v>122.888724787562</v>
      </c>
      <c r="J14" s="2">
        <v>92.281596341255394</v>
      </c>
      <c r="K14" s="2">
        <v>75.093701118857496</v>
      </c>
      <c r="L14" s="2">
        <v>1.4964076179144701E-2</v>
      </c>
      <c r="M14" s="2">
        <v>1.12370603715337E-2</v>
      </c>
      <c r="N14" s="2">
        <f t="shared" si="0"/>
        <v>14.964026096818975</v>
      </c>
      <c r="O14" s="2">
        <f t="shared" si="1"/>
        <v>0.20293411387072846</v>
      </c>
      <c r="P14" s="23">
        <f t="shared" si="2"/>
        <v>7.2141389201897874E-2</v>
      </c>
      <c r="Q14" s="23">
        <f t="shared" si="3"/>
        <v>2.2180301624762012E-2</v>
      </c>
      <c r="R14" s="24">
        <f t="shared" si="4"/>
        <v>0.61772375979454364</v>
      </c>
    </row>
    <row r="15" spans="1:23" x14ac:dyDescent="0.35">
      <c r="A15" s="2">
        <v>69.199290449999793</v>
      </c>
      <c r="B15" s="2">
        <v>1553</v>
      </c>
      <c r="D15" s="2">
        <v>0.40095129321175399</v>
      </c>
      <c r="E15" s="2">
        <v>1.5038907323047499</v>
      </c>
      <c r="F15" s="2">
        <v>24.801595194384198</v>
      </c>
      <c r="G15" s="2">
        <v>5.5379042292303504</v>
      </c>
      <c r="H15" s="2">
        <v>2490</v>
      </c>
      <c r="I15" s="2">
        <v>137.348865516437</v>
      </c>
      <c r="J15" s="2">
        <v>104.545124311341</v>
      </c>
      <c r="K15" s="2">
        <v>76.116768292789303</v>
      </c>
      <c r="L15" s="2">
        <v>1.43851196741028E-2</v>
      </c>
      <c r="M15" s="2">
        <v>1.09494628826214E-2</v>
      </c>
      <c r="N15" s="2">
        <f t="shared" si="0"/>
        <v>14.385087226316577</v>
      </c>
      <c r="O15" s="2">
        <f t="shared" si="1"/>
        <v>0.21240266647251529</v>
      </c>
      <c r="P15" s="23">
        <f t="shared" si="2"/>
        <v>7.1717875917792356E-2</v>
      </c>
      <c r="Q15" s="23">
        <f t="shared" si="3"/>
        <v>2.1914997089561489E-2</v>
      </c>
      <c r="R15" s="24">
        <f t="shared" si="4"/>
        <v>0.61970458960881947</v>
      </c>
    </row>
    <row r="16" spans="1:23" x14ac:dyDescent="0.35">
      <c r="A16" s="2">
        <v>76.687670849999805</v>
      </c>
      <c r="B16" s="2">
        <v>1597</v>
      </c>
      <c r="D16" s="2">
        <v>0.42730833003810897</v>
      </c>
      <c r="E16" s="2">
        <v>1.61131252884652</v>
      </c>
      <c r="F16" s="2">
        <v>24.759343917004198</v>
      </c>
      <c r="G16" s="2">
        <v>6.09636076256389</v>
      </c>
      <c r="H16" s="2">
        <v>2592</v>
      </c>
      <c r="I16" s="2">
        <v>150.94193623997</v>
      </c>
      <c r="J16" s="2">
        <v>116.005450147853</v>
      </c>
      <c r="K16" s="2">
        <v>76.852648254063396</v>
      </c>
      <c r="L16" s="2">
        <v>1.3890566127839499E-2</v>
      </c>
      <c r="M16" s="2">
        <v>1.06749631499308E-2</v>
      </c>
      <c r="N16" s="2">
        <f t="shared" si="0"/>
        <v>13.889972641740936</v>
      </c>
      <c r="O16" s="2">
        <f t="shared" si="1"/>
        <v>0.22110349859307615</v>
      </c>
      <c r="P16" s="23">
        <f t="shared" si="2"/>
        <v>7.0911981205209862E-2</v>
      </c>
      <c r="Q16" s="23">
        <f t="shared" si="3"/>
        <v>2.1558030265477087E-2</v>
      </c>
      <c r="R16" s="24">
        <f t="shared" si="4"/>
        <v>0.61937739873276687</v>
      </c>
    </row>
    <row r="17" spans="1:18" x14ac:dyDescent="0.35">
      <c r="A17" s="2">
        <v>23.323281350000201</v>
      </c>
      <c r="B17" s="2">
        <v>1261</v>
      </c>
      <c r="D17" s="2">
        <v>0.456754804160866</v>
      </c>
      <c r="E17" s="2">
        <v>1.68998303985691</v>
      </c>
      <c r="F17" s="2">
        <v>49.989921873407802</v>
      </c>
      <c r="G17" s="2">
        <v>5.0192169951711296</v>
      </c>
      <c r="H17" s="2">
        <v>2639</v>
      </c>
      <c r="I17" s="2">
        <v>250.90977091150199</v>
      </c>
      <c r="J17" s="2">
        <v>126.244997583315</v>
      </c>
      <c r="K17" s="2">
        <v>50.312419549973299</v>
      </c>
      <c r="L17" s="2">
        <v>1.3387793767174999E-2</v>
      </c>
      <c r="M17" s="2">
        <v>6.7354600092157301E-3</v>
      </c>
      <c r="N17" s="2">
        <f t="shared" si="0"/>
        <v>13.386534692129967</v>
      </c>
      <c r="O17" s="2">
        <f t="shared" si="1"/>
        <v>0.22511270555058951</v>
      </c>
      <c r="P17" s="23">
        <f t="shared" si="2"/>
        <v>7.1748594076460809E-2</v>
      </c>
      <c r="Q17" s="23">
        <f t="shared" si="3"/>
        <v>2.2229601784912775E-2</v>
      </c>
      <c r="R17" s="24">
        <f t="shared" si="4"/>
        <v>0.61132676776979045</v>
      </c>
    </row>
    <row r="18" spans="1:18" x14ac:dyDescent="0.35">
      <c r="A18" s="2">
        <v>84.541044049999797</v>
      </c>
      <c r="B18" s="2">
        <v>1642</v>
      </c>
      <c r="D18" s="2">
        <v>0.46457515059592902</v>
      </c>
      <c r="E18" s="2">
        <v>1.7395623833384199</v>
      </c>
      <c r="F18" s="2">
        <v>24.7143004763841</v>
      </c>
      <c r="G18" s="2">
        <v>6.7483510496902399</v>
      </c>
      <c r="H18" s="2">
        <v>2686</v>
      </c>
      <c r="I18" s="2">
        <v>166.780773943122</v>
      </c>
      <c r="J18" s="2">
        <v>130.68564060781199</v>
      </c>
      <c r="K18" s="2">
        <v>78.358031050860006</v>
      </c>
      <c r="L18" s="2">
        <v>1.3311075251099499E-2</v>
      </c>
      <c r="M18" s="2">
        <v>1.04302751662601E-2</v>
      </c>
      <c r="N18" s="2">
        <f t="shared" si="0"/>
        <v>13.311044543591841</v>
      </c>
      <c r="O18" s="2">
        <f t="shared" si="1"/>
        <v>0.22912191250810282</v>
      </c>
      <c r="P18" s="23">
        <f t="shared" si="2"/>
        <v>7.1291511212446812E-2</v>
      </c>
      <c r="Q18" s="23">
        <f t="shared" si="3"/>
        <v>2.1824561234327342E-2</v>
      </c>
      <c r="R18" s="24">
        <f t="shared" si="4"/>
        <v>0.6167316153229172</v>
      </c>
    </row>
    <row r="19" spans="1:18" x14ac:dyDescent="0.35">
      <c r="A19" s="2">
        <v>92.378348949999804</v>
      </c>
      <c r="B19" s="2">
        <v>1687</v>
      </c>
      <c r="D19" s="2">
        <v>0.51289456881992801</v>
      </c>
      <c r="E19" s="2">
        <v>1.92652353605608</v>
      </c>
      <c r="F19" s="2">
        <v>24.6546147222104</v>
      </c>
      <c r="G19" s="2">
        <v>7.8117518162707</v>
      </c>
      <c r="H19" s="2">
        <v>2822</v>
      </c>
      <c r="I19" s="2">
        <v>192.595752960309</v>
      </c>
      <c r="J19" s="2">
        <v>151.54986488780199</v>
      </c>
      <c r="K19" s="2">
        <v>78.688108180646395</v>
      </c>
      <c r="L19" s="2">
        <v>1.2712238554600901E-2</v>
      </c>
      <c r="M19" s="2">
        <v>1.00029914454207E-2</v>
      </c>
      <c r="N19" s="2">
        <f t="shared" si="0"/>
        <v>12.712142881040226</v>
      </c>
      <c r="O19" s="2">
        <f t="shared" si="1"/>
        <v>0.24072302200218396</v>
      </c>
      <c r="P19" s="23">
        <f t="shared" si="2"/>
        <v>7.1527019726782312E-2</v>
      </c>
      <c r="Q19" s="23">
        <f t="shared" si="3"/>
        <v>2.1823288826724175E-2</v>
      </c>
      <c r="R19" s="24">
        <f t="shared" si="4"/>
        <v>0.6198262951797997</v>
      </c>
    </row>
    <row r="20" spans="1:18" x14ac:dyDescent="0.35">
      <c r="A20" s="2">
        <v>100.049228549999</v>
      </c>
      <c r="B20" s="2">
        <v>1732</v>
      </c>
      <c r="D20" s="2">
        <v>0.53853033448226995</v>
      </c>
      <c r="E20" s="2">
        <v>2.0324429732055198</v>
      </c>
      <c r="F20" s="2">
        <v>24.617597347835499</v>
      </c>
      <c r="G20" s="2">
        <v>8.2873359477194892</v>
      </c>
      <c r="H20" s="2">
        <v>2881</v>
      </c>
      <c r="I20" s="2">
        <v>204.01432820518599</v>
      </c>
      <c r="J20" s="2">
        <v>162.488752572875</v>
      </c>
      <c r="K20" s="2">
        <v>79.645377328669298</v>
      </c>
      <c r="L20" s="2">
        <v>1.2508400726156501E-2</v>
      </c>
      <c r="M20" s="2">
        <v>9.9623171164305198E-3</v>
      </c>
      <c r="N20" s="2">
        <f t="shared" si="0"/>
        <v>12.508207128330216</v>
      </c>
      <c r="O20" s="2">
        <f t="shared" si="1"/>
        <v>0.24575585626799862</v>
      </c>
      <c r="P20" s="23">
        <f t="shared" si="2"/>
        <v>7.2400519430324939E-2</v>
      </c>
      <c r="Q20" s="23">
        <f t="shared" si="3"/>
        <v>2.1990201303237759E-2</v>
      </c>
      <c r="R20" s="24">
        <f t="shared" si="4"/>
        <v>0.62642390164275841</v>
      </c>
    </row>
    <row r="21" spans="1:18" x14ac:dyDescent="0.35">
      <c r="A21" s="2">
        <v>30.315191150000199</v>
      </c>
      <c r="B21" s="2">
        <v>1298</v>
      </c>
      <c r="D21" s="2">
        <v>0.57051035813749995</v>
      </c>
      <c r="E21" s="2">
        <v>2.12542079238687</v>
      </c>
      <c r="F21" s="2">
        <v>49.860676665103398</v>
      </c>
      <c r="G21" s="2">
        <v>6.4113977079805498</v>
      </c>
      <c r="H21" s="2">
        <v>2956</v>
      </c>
      <c r="I21" s="2">
        <v>319.67598356023598</v>
      </c>
      <c r="J21" s="2">
        <v>176.586200933378</v>
      </c>
      <c r="K21" s="2">
        <v>55.237707974436603</v>
      </c>
      <c r="L21" s="2">
        <v>1.20368415189525E-2</v>
      </c>
      <c r="M21" s="2">
        <v>6.6487787472324696E-3</v>
      </c>
      <c r="N21" s="2">
        <f t="shared" si="0"/>
        <v>12.036165799776979</v>
      </c>
      <c r="O21" s="2">
        <f t="shared" si="1"/>
        <v>0.25215352694488158</v>
      </c>
      <c r="P21" s="23">
        <f t="shared" si="2"/>
        <v>7.1919373423065494E-2</v>
      </c>
      <c r="Q21" s="23">
        <f t="shared" si="3"/>
        <v>2.2124789597936845E-2</v>
      </c>
      <c r="R21" s="24">
        <f t="shared" si="4"/>
        <v>0.61641712481357969</v>
      </c>
    </row>
    <row r="22" spans="1:18" x14ac:dyDescent="0.35">
      <c r="A22" s="2">
        <v>107.66083174999901</v>
      </c>
      <c r="B22" s="2">
        <v>1776</v>
      </c>
      <c r="D22" s="2">
        <v>0.59364776490086602</v>
      </c>
      <c r="E22" s="2">
        <v>2.2433140952342998</v>
      </c>
      <c r="F22" s="2">
        <v>24.557630083796699</v>
      </c>
      <c r="G22" s="2">
        <v>9.4687594992461008</v>
      </c>
      <c r="H22" s="2">
        <v>3042</v>
      </c>
      <c r="I22" s="2">
        <v>232.530174932666</v>
      </c>
      <c r="J22" s="2">
        <v>189.08064812529099</v>
      </c>
      <c r="K22" s="2">
        <v>81.316665308220493</v>
      </c>
      <c r="L22" s="2">
        <v>1.18643830873362E-2</v>
      </c>
      <c r="M22" s="2">
        <v>9.6476674067757107E-3</v>
      </c>
      <c r="N22" s="2">
        <f t="shared" si="0"/>
        <v>11.864324125585854</v>
      </c>
      <c r="O22" s="2">
        <f t="shared" si="1"/>
        <v>0.25948952265437408</v>
      </c>
      <c r="P22" s="23">
        <f t="shared" si="2"/>
        <v>7.1677276525354647E-2</v>
      </c>
      <c r="Q22" s="23">
        <f t="shared" si="3"/>
        <v>2.1737276435589543E-2</v>
      </c>
      <c r="R22" s="24">
        <f t="shared" si="4"/>
        <v>0.62424075163043502</v>
      </c>
    </row>
    <row r="23" spans="1:18" x14ac:dyDescent="0.35">
      <c r="A23" s="2">
        <v>115.38459214999899</v>
      </c>
      <c r="B23" s="2">
        <v>1821</v>
      </c>
      <c r="D23" s="2">
        <v>0.66148799684787396</v>
      </c>
      <c r="E23" s="2">
        <v>2.5070584105516001</v>
      </c>
      <c r="F23" s="2">
        <v>24.4843342547729</v>
      </c>
      <c r="G23" s="2">
        <v>11.0267665141386</v>
      </c>
      <c r="H23" s="2">
        <v>3209</v>
      </c>
      <c r="I23" s="2">
        <v>269.98291763772897</v>
      </c>
      <c r="J23" s="2">
        <v>222.25965765375199</v>
      </c>
      <c r="K23" s="2">
        <v>82.324303449294902</v>
      </c>
      <c r="L23" s="2">
        <v>1.12798940201766E-2</v>
      </c>
      <c r="M23" s="2">
        <v>9.2860763801330508E-3</v>
      </c>
      <c r="N23" s="2">
        <f t="shared" si="0"/>
        <v>11.279862648115971</v>
      </c>
      <c r="O23" s="2">
        <f t="shared" si="1"/>
        <v>0.27373500269490025</v>
      </c>
      <c r="P23" s="23">
        <f t="shared" si="2"/>
        <v>7.1983813055918611E-2</v>
      </c>
      <c r="Q23" s="23">
        <f t="shared" si="3"/>
        <v>2.1766428021824422E-2</v>
      </c>
      <c r="R23" s="24">
        <f t="shared" si="4"/>
        <v>0.62740808239752432</v>
      </c>
    </row>
    <row r="24" spans="1:18" x14ac:dyDescent="0.35">
      <c r="A24" s="2">
        <v>37.2350211500002</v>
      </c>
      <c r="B24" s="2">
        <v>1335</v>
      </c>
      <c r="D24" s="2">
        <v>0.71309356424757198</v>
      </c>
      <c r="E24" s="2">
        <v>2.6610287969135</v>
      </c>
      <c r="F24" s="2">
        <v>49.699855319397201</v>
      </c>
      <c r="G24" s="2">
        <v>8.2579604464500207</v>
      </c>
      <c r="H24" s="2">
        <v>3290</v>
      </c>
      <c r="I24" s="2">
        <v>410.41941935715897</v>
      </c>
      <c r="J24" s="2">
        <v>245.716411846049</v>
      </c>
      <c r="K24" s="2">
        <v>59.869657530545297</v>
      </c>
      <c r="L24" s="2">
        <v>1.08296634003292E-2</v>
      </c>
      <c r="M24" s="2">
        <v>6.48369131373979E-3</v>
      </c>
      <c r="N24" s="2">
        <f t="shared" si="0"/>
        <v>10.82967465185329</v>
      </c>
      <c r="O24" s="2">
        <f t="shared" si="1"/>
        <v>0.28064448702593386</v>
      </c>
      <c r="P24" s="23">
        <f t="shared" si="2"/>
        <v>7.2688818227567967E-2</v>
      </c>
      <c r="Q24" s="23">
        <f t="shared" si="3"/>
        <v>2.2329661839154261E-2</v>
      </c>
      <c r="R24" s="24">
        <f t="shared" si="4"/>
        <v>0.6205892784469933</v>
      </c>
    </row>
    <row r="25" spans="1:18" x14ac:dyDescent="0.35">
      <c r="A25" s="2">
        <v>123.039362099999</v>
      </c>
      <c r="B25" s="2">
        <v>1866</v>
      </c>
      <c r="D25" s="2">
        <v>0.73690834859003396</v>
      </c>
      <c r="E25" s="2">
        <v>2.7951313462465102</v>
      </c>
      <c r="F25" s="2">
        <v>24.406615572279399</v>
      </c>
      <c r="G25" s="2">
        <v>12.7303457482088</v>
      </c>
      <c r="H25" s="2">
        <v>3375</v>
      </c>
      <c r="I25" s="2">
        <v>310.70432760435801</v>
      </c>
      <c r="J25" s="2">
        <v>260.41353085627799</v>
      </c>
      <c r="K25" s="2">
        <v>83.814328190540195</v>
      </c>
      <c r="L25" s="2">
        <v>1.0733390853648699E-2</v>
      </c>
      <c r="M25" s="2">
        <v>8.9961173010126103E-3</v>
      </c>
      <c r="N25" s="2">
        <f t="shared" si="0"/>
        <v>10.733433616355137</v>
      </c>
      <c r="O25" s="2">
        <f t="shared" si="1"/>
        <v>0.28789518045973461</v>
      </c>
      <c r="P25" s="23">
        <f t="shared" si="2"/>
        <v>7.2554523797063619E-2</v>
      </c>
      <c r="Q25" s="23">
        <f t="shared" si="3"/>
        <v>2.1921884728575817E-2</v>
      </c>
      <c r="R25" s="24">
        <f t="shared" si="4"/>
        <v>0.63038207641762645</v>
      </c>
    </row>
    <row r="26" spans="1:18" x14ac:dyDescent="0.35">
      <c r="A26" s="2">
        <v>139.38981164999899</v>
      </c>
      <c r="B26" s="2">
        <v>1955</v>
      </c>
      <c r="D26" s="2">
        <v>0.78956260193299999</v>
      </c>
      <c r="E26" s="2">
        <v>2.9717220193326801</v>
      </c>
      <c r="F26" s="2">
        <v>24.3344907749104</v>
      </c>
      <c r="G26" s="2">
        <v>13.9290481344065</v>
      </c>
      <c r="H26" s="2">
        <v>3475</v>
      </c>
      <c r="I26" s="2">
        <v>338.95607497611098</v>
      </c>
      <c r="J26" s="2">
        <v>287.34302544768201</v>
      </c>
      <c r="K26" s="2">
        <v>84.773629141283905</v>
      </c>
      <c r="L26" s="2">
        <v>1.0342031426661701E-2</v>
      </c>
      <c r="M26" s="2">
        <v>8.7673149489235404E-3</v>
      </c>
      <c r="N26" s="2">
        <f t="shared" si="0"/>
        <v>10.34207116982471</v>
      </c>
      <c r="O26" s="2">
        <f t="shared" si="1"/>
        <v>0.29642540802891187</v>
      </c>
      <c r="P26" s="23">
        <f t="shared" si="2"/>
        <v>7.276263097921376E-2</v>
      </c>
      <c r="Q26" s="23">
        <f t="shared" si="3"/>
        <v>2.2160109835332092E-2</v>
      </c>
      <c r="R26" s="24">
        <f t="shared" si="4"/>
        <v>0.62629029892464227</v>
      </c>
    </row>
    <row r="27" spans="1:18" x14ac:dyDescent="0.35">
      <c r="A27" s="2">
        <v>147.28874939999901</v>
      </c>
      <c r="B27" s="2">
        <v>2000</v>
      </c>
      <c r="D27" s="2">
        <v>0.78599807320913495</v>
      </c>
      <c r="E27" s="2">
        <v>2.9682234609828799</v>
      </c>
      <c r="F27" s="2">
        <v>24.329713697529002</v>
      </c>
      <c r="G27" s="2">
        <v>13.886830368051401</v>
      </c>
      <c r="H27" s="2">
        <v>3475</v>
      </c>
      <c r="I27" s="2">
        <v>337.862450497682</v>
      </c>
      <c r="J27" s="2">
        <v>286.05837589178799</v>
      </c>
      <c r="K27" s="2">
        <v>84.666416562311994</v>
      </c>
      <c r="L27" s="2">
        <v>1.0376331509715999E-2</v>
      </c>
      <c r="M27" s="2">
        <v>8.7852522674299102E-3</v>
      </c>
      <c r="N27" s="2">
        <f t="shared" si="0"/>
        <v>10.376285790372098</v>
      </c>
      <c r="O27" s="2">
        <f t="shared" si="1"/>
        <v>0.29642540802891187</v>
      </c>
      <c r="P27" s="23">
        <f t="shared" si="2"/>
        <v>7.2676968757609692E-2</v>
      </c>
      <c r="Q27" s="23">
        <f t="shared" si="3"/>
        <v>2.2061036697175466E-2</v>
      </c>
      <c r="R27" s="24">
        <f t="shared" si="4"/>
        <v>0.62799226279784182</v>
      </c>
    </row>
    <row r="28" spans="1:18" x14ac:dyDescent="0.35">
      <c r="A28" s="2">
        <v>131.28619254999899</v>
      </c>
      <c r="B28" s="2">
        <v>1911</v>
      </c>
      <c r="D28" s="2">
        <v>0.79360772055123996</v>
      </c>
      <c r="E28" s="2">
        <v>2.9909638933934</v>
      </c>
      <c r="F28" s="2">
        <v>24.345380053791001</v>
      </c>
      <c r="G28" s="2">
        <v>13.990425871258701</v>
      </c>
      <c r="H28" s="2">
        <v>3476</v>
      </c>
      <c r="I28" s="2">
        <v>340.60228076694301</v>
      </c>
      <c r="J28" s="2">
        <v>288.85592538037002</v>
      </c>
      <c r="K28" s="2">
        <v>84.807099515070206</v>
      </c>
      <c r="L28" s="2">
        <v>1.0354519543294E-2</v>
      </c>
      <c r="M28" s="2">
        <v>8.7813617092495702E-3</v>
      </c>
      <c r="N28" s="2">
        <f t="shared" si="0"/>
        <v>10.354518050667824</v>
      </c>
      <c r="O28" s="2">
        <f t="shared" si="1"/>
        <v>0.29651071030460369</v>
      </c>
      <c r="P28" s="23">
        <f t="shared" si="2"/>
        <v>7.319163763320452E-2</v>
      </c>
      <c r="Q28" s="23">
        <f t="shared" si="3"/>
        <v>2.2257565119691972E-2</v>
      </c>
      <c r="R28" s="24">
        <f t="shared" si="4"/>
        <v>0.62907082812600401</v>
      </c>
    </row>
    <row r="29" spans="1:18" x14ac:dyDescent="0.35">
      <c r="A29" s="2">
        <v>44.153901650000201</v>
      </c>
      <c r="B29" s="2">
        <v>1372</v>
      </c>
      <c r="D29" s="2">
        <v>0.87094931445729895</v>
      </c>
      <c r="E29" s="2">
        <v>3.26781643202095</v>
      </c>
      <c r="F29" s="2">
        <v>49.512606136332799</v>
      </c>
      <c r="G29" s="2">
        <v>10.4547572350048</v>
      </c>
      <c r="H29" s="2">
        <v>3633</v>
      </c>
      <c r="I29" s="2">
        <v>517.64229301363105</v>
      </c>
      <c r="J29" s="2">
        <v>331.37830115387402</v>
      </c>
      <c r="K29" s="2">
        <v>64.017041541916896</v>
      </c>
      <c r="L29" s="2">
        <v>9.8612757066778908E-3</v>
      </c>
      <c r="M29" s="2">
        <v>6.31289900057429E-3</v>
      </c>
      <c r="N29" s="2">
        <f t="shared" si="0"/>
        <v>9.8612866945188244</v>
      </c>
      <c r="O29" s="2">
        <f t="shared" si="1"/>
        <v>0.30990316758821207</v>
      </c>
      <c r="P29" s="23">
        <f t="shared" si="2"/>
        <v>7.3204315857396673E-2</v>
      </c>
      <c r="Q29" s="23">
        <f t="shared" si="3"/>
        <v>2.2364724300468628E-2</v>
      </c>
      <c r="R29" s="24">
        <f t="shared" si="4"/>
        <v>0.62621934945981428</v>
      </c>
    </row>
    <row r="30" spans="1:18" x14ac:dyDescent="0.35">
      <c r="A30" s="2">
        <v>51.198766300000102</v>
      </c>
      <c r="B30" s="2">
        <v>1408</v>
      </c>
      <c r="D30" s="2">
        <v>1.05811117869323</v>
      </c>
      <c r="E30" s="2">
        <v>3.98070664981709</v>
      </c>
      <c r="F30" s="2">
        <v>49.290970423426501</v>
      </c>
      <c r="G30" s="2">
        <v>13.199824215953001</v>
      </c>
      <c r="H30" s="2">
        <v>3986</v>
      </c>
      <c r="I30" s="2">
        <v>650.632137272401</v>
      </c>
      <c r="J30" s="2">
        <v>441.63913023801803</v>
      </c>
      <c r="K30" s="2">
        <v>67.8903850133498</v>
      </c>
      <c r="L30" s="2">
        <v>9.0136180523794004E-3</v>
      </c>
      <c r="M30" s="2">
        <v>6.1194407696189401E-3</v>
      </c>
      <c r="N30" s="2">
        <f t="shared" si="0"/>
        <v>9.0134826768445961</v>
      </c>
      <c r="O30" s="2">
        <f t="shared" si="1"/>
        <v>0.34001487090740801</v>
      </c>
      <c r="P30" s="23">
        <f t="shared" si="2"/>
        <v>7.4079051875579366E-2</v>
      </c>
      <c r="Q30" s="23">
        <f t="shared" si="3"/>
        <v>2.2567909836690752E-2</v>
      </c>
      <c r="R30" s="24">
        <f t="shared" si="4"/>
        <v>0.63173768847190592</v>
      </c>
    </row>
    <row r="31" spans="1:18" x14ac:dyDescent="0.35">
      <c r="A31" s="2">
        <v>58.342341200000199</v>
      </c>
      <c r="B31" s="2">
        <v>1445</v>
      </c>
      <c r="D31" s="2">
        <v>1.2318844833978899</v>
      </c>
      <c r="E31" s="2">
        <v>4.6338846174553998</v>
      </c>
      <c r="F31" s="2">
        <v>49.066731128820699</v>
      </c>
      <c r="G31" s="2">
        <v>15.955848530794</v>
      </c>
      <c r="H31" s="2">
        <v>4275</v>
      </c>
      <c r="I31" s="2">
        <v>782.90034207873498</v>
      </c>
      <c r="J31" s="2">
        <v>551.44903797023005</v>
      </c>
      <c r="K31" s="2">
        <v>70.436662644448703</v>
      </c>
      <c r="L31" s="2">
        <v>8.4031589813972508E-3</v>
      </c>
      <c r="M31" s="2">
        <v>5.9188995114698604E-3</v>
      </c>
      <c r="N31" s="2">
        <f t="shared" si="0"/>
        <v>8.4031058146583621</v>
      </c>
      <c r="O31" s="2">
        <f t="shared" si="1"/>
        <v>0.36466722858233042</v>
      </c>
      <c r="P31" s="23">
        <f t="shared" si="2"/>
        <v>7.4969188058521541E-2</v>
      </c>
      <c r="Q31" s="23">
        <f t="shared" si="3"/>
        <v>2.2841925012401298E-2</v>
      </c>
      <c r="R31" s="24">
        <f t="shared" si="4"/>
        <v>0.63544287092588647</v>
      </c>
    </row>
    <row r="32" spans="1:18" x14ac:dyDescent="0.35">
      <c r="A32" s="2">
        <v>65.683134900000098</v>
      </c>
      <c r="B32" s="2">
        <v>1482</v>
      </c>
      <c r="D32" s="2">
        <v>1.45505925541762</v>
      </c>
      <c r="E32" s="2">
        <v>5.4639423639059901</v>
      </c>
      <c r="F32" s="2">
        <v>48.798952226846403</v>
      </c>
      <c r="G32" s="2">
        <v>19.673446738037899</v>
      </c>
      <c r="H32" s="2">
        <v>4625</v>
      </c>
      <c r="I32" s="2">
        <v>960.04261813989206</v>
      </c>
      <c r="J32" s="2">
        <v>704.80016261884305</v>
      </c>
      <c r="K32" s="2">
        <v>73.414674987294504</v>
      </c>
      <c r="L32" s="2">
        <v>7.7524652489218502E-3</v>
      </c>
      <c r="M32" s="2">
        <v>5.6914201837036096E-3</v>
      </c>
      <c r="N32" s="2">
        <f t="shared" si="0"/>
        <v>7.7524703507494772</v>
      </c>
      <c r="O32" s="2">
        <f t="shared" si="1"/>
        <v>0.39452302507445114</v>
      </c>
      <c r="P32" s="23">
        <f t="shared" si="2"/>
        <v>7.5525301052150814E-2</v>
      </c>
      <c r="Q32" s="23">
        <f t="shared" si="3"/>
        <v>2.3055070767490578E-2</v>
      </c>
      <c r="R32" s="24">
        <f t="shared" si="4"/>
        <v>0.63658623003750103</v>
      </c>
    </row>
    <row r="33" spans="1:18" x14ac:dyDescent="0.35">
      <c r="A33" s="2">
        <v>73.080152000000098</v>
      </c>
      <c r="B33" s="2">
        <v>1519</v>
      </c>
      <c r="D33" s="2">
        <v>1.7305436215240899</v>
      </c>
      <c r="E33" s="2">
        <v>6.4600169975844501</v>
      </c>
      <c r="F33" s="2">
        <v>48.487194552969001</v>
      </c>
      <c r="G33" s="2">
        <v>24.5905512885505</v>
      </c>
      <c r="H33" s="2">
        <v>4991</v>
      </c>
      <c r="I33" s="2">
        <v>1192.32492446533</v>
      </c>
      <c r="J33" s="2">
        <v>904.412443631207</v>
      </c>
      <c r="K33" s="2">
        <v>75.865783303748302</v>
      </c>
      <c r="L33" s="2">
        <v>7.1427724913510097E-3</v>
      </c>
      <c r="M33" s="2">
        <v>5.4189258240930497E-3</v>
      </c>
      <c r="N33" s="2">
        <f t="shared" si="0"/>
        <v>7.1427776597672032</v>
      </c>
      <c r="O33" s="2">
        <f t="shared" si="1"/>
        <v>0.42574365797764013</v>
      </c>
      <c r="P33" s="23">
        <f t="shared" si="2"/>
        <v>7.6677571681281434E-2</v>
      </c>
      <c r="Q33" s="23">
        <f t="shared" si="3"/>
        <v>2.3541790725478597E-2</v>
      </c>
      <c r="R33" s="24">
        <f t="shared" si="4"/>
        <v>0.63774642595784481</v>
      </c>
    </row>
    <row r="34" spans="1:18" x14ac:dyDescent="0.35">
      <c r="A34" s="2">
        <v>80.753382750000199</v>
      </c>
      <c r="B34" s="2">
        <v>1556</v>
      </c>
      <c r="D34" s="2">
        <v>1.9286331744664</v>
      </c>
      <c r="E34" s="2">
        <v>7.18436251764291</v>
      </c>
      <c r="F34" s="2">
        <v>48.2294554673161</v>
      </c>
      <c r="G34" s="2">
        <v>28.5651125915387</v>
      </c>
      <c r="H34" s="2">
        <v>5277</v>
      </c>
      <c r="I34" s="2">
        <v>1377.6729961364599</v>
      </c>
      <c r="J34" s="2">
        <v>1065.7066719193699</v>
      </c>
      <c r="K34" s="2">
        <v>77.359834828409106</v>
      </c>
      <c r="L34" s="2">
        <v>6.7417478100928099E-3</v>
      </c>
      <c r="M34" s="2">
        <v>5.21547094677937E-3</v>
      </c>
      <c r="N34" s="2">
        <f t="shared" si="0"/>
        <v>6.7414070934769104</v>
      </c>
      <c r="O34" s="2">
        <f t="shared" si="1"/>
        <v>0.45014010882548727</v>
      </c>
      <c r="P34" s="23">
        <f t="shared" si="2"/>
        <v>7.6282317680764031E-2</v>
      </c>
      <c r="Q34" s="23">
        <f t="shared" si="3"/>
        <v>2.3469945300268101E-2</v>
      </c>
      <c r="R34" s="24">
        <f t="shared" si="4"/>
        <v>0.63475882028320596</v>
      </c>
    </row>
    <row r="35" spans="1:18" x14ac:dyDescent="0.35">
      <c r="A35" s="2">
        <v>88.507600900000199</v>
      </c>
      <c r="B35" s="2">
        <v>1593</v>
      </c>
      <c r="D35" s="2">
        <v>2.1959957391706499</v>
      </c>
      <c r="E35" s="2">
        <v>8.1070003401962794</v>
      </c>
      <c r="F35" s="2">
        <v>47.9345196208087</v>
      </c>
      <c r="G35" s="2">
        <v>33.7568171629866</v>
      </c>
      <c r="H35" s="2">
        <v>5571</v>
      </c>
      <c r="I35" s="2">
        <v>1618.11640027516</v>
      </c>
      <c r="J35" s="2">
        <v>1281.1728865627899</v>
      </c>
      <c r="K35" s="2">
        <v>79.176378270590405</v>
      </c>
      <c r="L35" s="2">
        <v>6.32778250768949E-3</v>
      </c>
      <c r="M35" s="2">
        <v>5.0101163505838799E-3</v>
      </c>
      <c r="N35" s="2">
        <f t="shared" si="0"/>
        <v>6.3277957449960116</v>
      </c>
      <c r="O35" s="2">
        <f t="shared" si="1"/>
        <v>0.47521897787886852</v>
      </c>
      <c r="P35" s="23">
        <f t="shared" si="2"/>
        <v>7.7233142147182687E-2</v>
      </c>
      <c r="Q35" s="23">
        <f t="shared" si="3"/>
        <v>2.3979710682199156E-2</v>
      </c>
      <c r="R35" s="24">
        <f t="shared" si="4"/>
        <v>0.63291679350465069</v>
      </c>
    </row>
    <row r="36" spans="1:18" x14ac:dyDescent="0.35">
      <c r="A36" s="2">
        <v>96.195109050000198</v>
      </c>
      <c r="B36" s="2">
        <v>1630</v>
      </c>
      <c r="D36" s="2">
        <v>2.5326885929214198</v>
      </c>
      <c r="E36" s="2">
        <v>9.2961276289248396</v>
      </c>
      <c r="F36" s="2">
        <v>47.5739522593096</v>
      </c>
      <c r="G36" s="2">
        <v>40.875365250597099</v>
      </c>
      <c r="H36" s="2">
        <v>5898</v>
      </c>
      <c r="I36" s="2">
        <v>1944.5989374323799</v>
      </c>
      <c r="J36" s="2">
        <v>1564.38044024693</v>
      </c>
      <c r="K36" s="2">
        <v>80.446923384343606</v>
      </c>
      <c r="L36" s="2">
        <v>5.9425392552927003E-3</v>
      </c>
      <c r="M36" s="2">
        <v>4.78055378454519E-3</v>
      </c>
      <c r="N36" s="2">
        <f t="shared" si="0"/>
        <v>5.9423701484387585</v>
      </c>
      <c r="O36" s="2">
        <f t="shared" si="1"/>
        <v>0.50311282203007834</v>
      </c>
      <c r="P36" s="23">
        <f t="shared" si="2"/>
        <v>7.9013694861037875E-2</v>
      </c>
      <c r="Q36" s="23">
        <f t="shared" si="3"/>
        <v>2.4675374223100982E-2</v>
      </c>
      <c r="R36" s="24">
        <f t="shared" si="4"/>
        <v>0.63646541677429402</v>
      </c>
    </row>
  </sheetData>
  <sheetProtection algorithmName="SHA-512" hashValue="WSkG4UmqADezo0fvb7m5qzR3qvjY2ma95C1T2lwgWdbDHjPckggZmuhR/as85fQO0tisoDwVtATGoZxPywCXPQ==" saltValue="7fI4FFFClX0ehXve5E05FA==" spinCount="100000" sheet="1" objects="1" scenarios="1" selectLockedCells="1"/>
  <sortState xmlns:xlrd2="http://schemas.microsoft.com/office/spreadsheetml/2017/richdata2" ref="A2:W36">
    <sortCondition ref="H2:H36"/>
  </sortState>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1D20-ADA1-462A-A0DA-D0FC468BC1FC}">
  <sheetPr codeName="Sheet11"/>
  <dimension ref="A1:W24"/>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20</v>
      </c>
      <c r="U1" s="2" t="s">
        <v>58</v>
      </c>
      <c r="V1" s="2">
        <f>T1*0.0254</f>
        <v>0.50800000000000001</v>
      </c>
      <c r="W1" s="2" t="s">
        <v>59</v>
      </c>
    </row>
    <row r="2" spans="1:23" x14ac:dyDescent="0.35">
      <c r="A2" s="2">
        <v>14.09202335</v>
      </c>
      <c r="B2" s="2">
        <v>1029</v>
      </c>
      <c r="D2" s="2">
        <v>-7.2196999999999995E-4</v>
      </c>
      <c r="E2" s="2">
        <v>-1.186487E-3</v>
      </c>
      <c r="F2" s="2">
        <v>50.90193515</v>
      </c>
      <c r="G2" s="2">
        <v>0.243010434</v>
      </c>
      <c r="H2" s="2">
        <v>0</v>
      </c>
      <c r="I2" s="2">
        <v>12.369702119999999</v>
      </c>
      <c r="J2" s="2">
        <v>0</v>
      </c>
      <c r="K2" s="2">
        <v>0</v>
      </c>
      <c r="L2" s="2">
        <v>0</v>
      </c>
      <c r="M2" s="2">
        <v>0</v>
      </c>
      <c r="N2" s="2" t="e">
        <f t="shared" ref="N2:N13" si="0">E2*1000/J2</f>
        <v>#DIV/0!</v>
      </c>
      <c r="O2" s="2">
        <f t="shared" ref="O2:O13" si="1">+PI()*$V$1*H2/60*0.00291545</f>
        <v>0</v>
      </c>
      <c r="P2" s="23" t="e">
        <f t="shared" ref="P2:P13" si="2">(E2*9.81)/($T$2*(H2/60)^2*($V$1)^4)</f>
        <v>#DIV/0!</v>
      </c>
      <c r="Q2" s="23" t="e">
        <f t="shared" ref="Q2:Q13" si="3">J2/($T$2*((H2/60)^3)*($V$1)^5)</f>
        <v>#DIV/0!</v>
      </c>
      <c r="R2" s="24" t="e">
        <f t="shared" ref="R2:R13" si="4">(P2^(3/2))/(Q2*SQRT(2))</f>
        <v>#DIV/0!</v>
      </c>
      <c r="S2" s="2" t="s">
        <v>22</v>
      </c>
      <c r="T2" s="2">
        <v>1.2250000000000001</v>
      </c>
    </row>
    <row r="3" spans="1:23" x14ac:dyDescent="0.35">
      <c r="A3" s="2">
        <v>20.036447200000001</v>
      </c>
      <c r="B3" s="2">
        <v>1043</v>
      </c>
      <c r="D3" s="2">
        <v>1.8744889000000001E-2</v>
      </c>
      <c r="E3" s="2">
        <v>6.2326375000000003E-2</v>
      </c>
      <c r="F3" s="2">
        <v>50.887758849999997</v>
      </c>
      <c r="G3" s="2">
        <v>0.63474481100000002</v>
      </c>
      <c r="H3" s="2">
        <v>698</v>
      </c>
      <c r="I3" s="2">
        <v>32.300740390000001</v>
      </c>
      <c r="J3" s="2">
        <v>1.369139986</v>
      </c>
      <c r="K3" s="2">
        <v>4.2377785010000002</v>
      </c>
      <c r="L3" s="2">
        <v>4.5708101000000001E-2</v>
      </c>
      <c r="M3" s="2">
        <v>1.9295930000000001E-3</v>
      </c>
      <c r="N3" s="2">
        <f t="shared" si="0"/>
        <v>45.522280875083588</v>
      </c>
      <c r="O3" s="2">
        <f t="shared" si="1"/>
        <v>5.4128171302597908E-2</v>
      </c>
      <c r="P3" s="23">
        <f t="shared" si="2"/>
        <v>5.5378551683025905E-2</v>
      </c>
      <c r="Q3" s="23">
        <f t="shared" si="3"/>
        <v>2.0983633267876074E-2</v>
      </c>
      <c r="R3" s="24">
        <f t="shared" si="4"/>
        <v>0.43915386048231381</v>
      </c>
    </row>
    <row r="4" spans="1:23" x14ac:dyDescent="0.35">
      <c r="A4" s="2">
        <v>2.0261439499999798</v>
      </c>
      <c r="B4" s="2">
        <v>1150</v>
      </c>
      <c r="D4" s="2">
        <v>6.7907522736083997E-2</v>
      </c>
      <c r="E4" s="2">
        <v>0.218089473041331</v>
      </c>
      <c r="F4" s="2">
        <v>50.212044643572803</v>
      </c>
      <c r="G4" s="2">
        <v>1.0752167070338801</v>
      </c>
      <c r="H4" s="2">
        <v>1235</v>
      </c>
      <c r="I4" s="2">
        <v>53.988693392212497</v>
      </c>
      <c r="J4" s="2">
        <v>8.7939036536041204</v>
      </c>
      <c r="K4" s="2">
        <v>16.230463460274699</v>
      </c>
      <c r="L4" s="2">
        <v>2.5189216647937301E-2</v>
      </c>
      <c r="M4" s="2">
        <v>4.0387869691193802E-3</v>
      </c>
      <c r="N4" s="2">
        <f>E4*1000/J4</f>
        <v>24.800075328542921</v>
      </c>
      <c r="O4" s="2">
        <f>+PI()*$V$1*H4/60*0.00291545</f>
        <v>9.577119134485447E-2</v>
      </c>
      <c r="P4" s="23">
        <f>(E4*9.81)/($T$2*(H4/60)^2*($V$1)^4)</f>
        <v>6.1898675800267887E-2</v>
      </c>
      <c r="Q4" s="23">
        <f>J4/($T$2*((H4/60)^3)*($V$1)^5)</f>
        <v>2.4332118978902282E-2</v>
      </c>
      <c r="R4" s="24">
        <f>(P4^(3/2))/(Q4*SQRT(2))</f>
        <v>0.44753510577572808</v>
      </c>
    </row>
    <row r="5" spans="1:23" x14ac:dyDescent="0.35">
      <c r="A5" s="2">
        <v>26.094804100000001</v>
      </c>
      <c r="B5" s="2">
        <v>1057</v>
      </c>
      <c r="D5" s="2">
        <v>9.3100925000000001E-2</v>
      </c>
      <c r="E5" s="2">
        <v>0.34800701000000001</v>
      </c>
      <c r="F5" s="2">
        <v>50.846647789999999</v>
      </c>
      <c r="G5" s="2">
        <v>1.4664746280000001</v>
      </c>
      <c r="H5" s="2">
        <v>1523</v>
      </c>
      <c r="I5" s="2">
        <v>74.565318090000005</v>
      </c>
      <c r="J5" s="2">
        <v>14.846516940000001</v>
      </c>
      <c r="K5" s="2">
        <v>19.91026815</v>
      </c>
      <c r="L5" s="2">
        <v>2.3445470999999999E-2</v>
      </c>
      <c r="M5" s="2">
        <v>4.6672420000000003E-3</v>
      </c>
      <c r="N5" s="2">
        <f t="shared" si="0"/>
        <v>23.440313401885355</v>
      </c>
      <c r="O5" s="2">
        <f t="shared" si="1"/>
        <v>0.11810487807142782</v>
      </c>
      <c r="P5" s="23">
        <f t="shared" si="2"/>
        <v>6.4948444724766935E-2</v>
      </c>
      <c r="Q5" s="23">
        <f t="shared" si="3"/>
        <v>2.1904027153993189E-2</v>
      </c>
      <c r="R5" s="24">
        <f t="shared" si="4"/>
        <v>0.53433566981280678</v>
      </c>
    </row>
    <row r="6" spans="1:23" x14ac:dyDescent="0.35">
      <c r="A6" s="2">
        <v>9.2821307500000092</v>
      </c>
      <c r="B6" s="2">
        <v>1200</v>
      </c>
      <c r="D6" s="2">
        <v>0.18178092959793801</v>
      </c>
      <c r="E6" s="2">
        <v>0.64958125115022802</v>
      </c>
      <c r="F6" s="2">
        <v>50.126313424015898</v>
      </c>
      <c r="G6" s="2">
        <v>2.43873332247898</v>
      </c>
      <c r="H6" s="2">
        <v>2039</v>
      </c>
      <c r="I6" s="2">
        <v>122.238943599246</v>
      </c>
      <c r="J6" s="2">
        <v>39.010558070927999</v>
      </c>
      <c r="K6" s="2">
        <v>31.752877758991801</v>
      </c>
      <c r="L6" s="2">
        <v>1.6873213207212402E-2</v>
      </c>
      <c r="M6" s="2">
        <v>5.3334454130253596E-3</v>
      </c>
      <c r="N6" s="2">
        <f t="shared" si="0"/>
        <v>16.651421647677431</v>
      </c>
      <c r="O6" s="2">
        <f t="shared" si="1"/>
        <v>0.15811940012320508</v>
      </c>
      <c r="P6" s="23">
        <f t="shared" si="2"/>
        <v>6.763626236729442E-2</v>
      </c>
      <c r="Q6" s="23">
        <f t="shared" si="3"/>
        <v>2.398444022665374E-2</v>
      </c>
      <c r="R6" s="24">
        <f t="shared" si="4"/>
        <v>0.51859080896715337</v>
      </c>
    </row>
    <row r="7" spans="1:23" x14ac:dyDescent="0.35">
      <c r="A7" s="2">
        <v>16.3481384</v>
      </c>
      <c r="B7" s="2">
        <v>1250</v>
      </c>
      <c r="D7" s="2">
        <v>0.30547298747568602</v>
      </c>
      <c r="E7" s="2">
        <v>1.1711696364163999</v>
      </c>
      <c r="F7" s="2">
        <v>49.998013796635298</v>
      </c>
      <c r="G7" s="2">
        <v>4.1026232882197</v>
      </c>
      <c r="H7" s="2">
        <v>2672</v>
      </c>
      <c r="I7" s="2">
        <v>205.122427455561</v>
      </c>
      <c r="J7" s="2">
        <v>85.490811015668697</v>
      </c>
      <c r="K7" s="2">
        <v>41.657869113939299</v>
      </c>
      <c r="L7" s="2">
        <v>1.3724817384657501E-2</v>
      </c>
      <c r="M7" s="2">
        <v>5.7114229186522297E-3</v>
      </c>
      <c r="N7" s="2">
        <f t="shared" si="0"/>
        <v>13.699362802883561</v>
      </c>
      <c r="O7" s="2">
        <f t="shared" si="1"/>
        <v>0.20720698240765273</v>
      </c>
      <c r="P7" s="23">
        <f t="shared" si="2"/>
        <v>7.1011300617749185E-2</v>
      </c>
      <c r="Q7" s="23">
        <f t="shared" si="3"/>
        <v>2.3356575988138208E-2</v>
      </c>
      <c r="R7" s="24">
        <f t="shared" si="4"/>
        <v>0.57288443935341549</v>
      </c>
    </row>
    <row r="8" spans="1:23" x14ac:dyDescent="0.35">
      <c r="A8" s="2">
        <v>23.621847599999899</v>
      </c>
      <c r="B8" s="2">
        <v>1300</v>
      </c>
      <c r="D8" s="2">
        <v>0.432832592697314</v>
      </c>
      <c r="E8" s="2">
        <v>1.6802842596819101</v>
      </c>
      <c r="F8" s="2">
        <v>49.850797999516899</v>
      </c>
      <c r="G8" s="2">
        <v>5.7941811083631398</v>
      </c>
      <c r="H8" s="2">
        <v>3168</v>
      </c>
      <c r="I8" s="2">
        <v>288.844617120409</v>
      </c>
      <c r="J8" s="2">
        <v>143.60575145658601</v>
      </c>
      <c r="K8" s="2">
        <v>49.717251251519201</v>
      </c>
      <c r="L8" s="2">
        <v>1.17008067956709E-2</v>
      </c>
      <c r="M8" s="2">
        <v>5.8172843210640597E-3</v>
      </c>
      <c r="N8" s="2">
        <f t="shared" si="0"/>
        <v>11.700675235071508</v>
      </c>
      <c r="O8" s="2">
        <f t="shared" si="1"/>
        <v>0.24567055399230683</v>
      </c>
      <c r="P8" s="23">
        <f t="shared" si="2"/>
        <v>7.2475794275191074E-2</v>
      </c>
      <c r="Q8" s="23">
        <f t="shared" si="3"/>
        <v>2.3540485535705976E-2</v>
      </c>
      <c r="R8" s="24">
        <f t="shared" si="4"/>
        <v>0.5860829149612754</v>
      </c>
    </row>
    <row r="9" spans="1:23" x14ac:dyDescent="0.35">
      <c r="A9" s="2">
        <v>31.117351750000001</v>
      </c>
      <c r="B9" s="2">
        <v>1350</v>
      </c>
      <c r="D9" s="2">
        <v>0.56838388684105801</v>
      </c>
      <c r="E9" s="2">
        <v>2.2270263034486999</v>
      </c>
      <c r="F9" s="2">
        <v>49.674224303425198</v>
      </c>
      <c r="G9" s="2">
        <v>7.7515841854216498</v>
      </c>
      <c r="H9" s="2">
        <v>3623</v>
      </c>
      <c r="I9" s="2">
        <v>385.05409787535501</v>
      </c>
      <c r="J9" s="2">
        <v>215.661878879272</v>
      </c>
      <c r="K9" s="2">
        <v>56.008238144600199</v>
      </c>
      <c r="L9" s="2">
        <v>1.03265977344511E-2</v>
      </c>
      <c r="M9" s="2">
        <v>5.7836749097848299E-3</v>
      </c>
      <c r="N9" s="2">
        <f t="shared" si="0"/>
        <v>10.326471766924529</v>
      </c>
      <c r="O9" s="2">
        <f t="shared" si="1"/>
        <v>0.28095467711935851</v>
      </c>
      <c r="P9" s="23">
        <f t="shared" si="2"/>
        <v>7.344618610309861E-2</v>
      </c>
      <c r="Q9" s="23">
        <f t="shared" si="3"/>
        <v>2.3635646364268674E-2</v>
      </c>
      <c r="R9" s="24">
        <f t="shared" si="4"/>
        <v>0.59548577550802828</v>
      </c>
    </row>
    <row r="10" spans="1:23" x14ac:dyDescent="0.35">
      <c r="A10" s="2">
        <v>38.619148600000003</v>
      </c>
      <c r="B10" s="2">
        <v>1400</v>
      </c>
      <c r="D10" s="2">
        <v>0.69674645481146003</v>
      </c>
      <c r="E10" s="2">
        <v>2.7247069173885698</v>
      </c>
      <c r="F10" s="2">
        <v>49.481599581817001</v>
      </c>
      <c r="G10" s="2">
        <v>9.8784166013072205</v>
      </c>
      <c r="H10" s="2">
        <v>4043</v>
      </c>
      <c r="I10" s="2">
        <v>488.79839157425198</v>
      </c>
      <c r="J10" s="2">
        <v>295.027106887022</v>
      </c>
      <c r="K10" s="2">
        <v>60.3594810713615</v>
      </c>
      <c r="L10" s="2">
        <v>9.2366236783574009E-3</v>
      </c>
      <c r="M10" s="2">
        <v>5.5750618374519299E-3</v>
      </c>
      <c r="N10" s="2">
        <f t="shared" si="0"/>
        <v>9.2354460108371406</v>
      </c>
      <c r="O10" s="2">
        <f t="shared" si="1"/>
        <v>0.31352463692894467</v>
      </c>
      <c r="P10" s="23">
        <f t="shared" si="2"/>
        <v>7.2159394772420768E-2</v>
      </c>
      <c r="Q10" s="23">
        <f t="shared" si="3"/>
        <v>2.3267504014598036E-2</v>
      </c>
      <c r="R10" s="24">
        <f t="shared" si="4"/>
        <v>0.58908033834583295</v>
      </c>
    </row>
    <row r="11" spans="1:23" x14ac:dyDescent="0.35">
      <c r="A11" s="2">
        <v>46.406480449999997</v>
      </c>
      <c r="B11" s="2">
        <v>1450</v>
      </c>
      <c r="D11" s="2">
        <v>0.85813342554851502</v>
      </c>
      <c r="E11" s="2">
        <v>3.3655006236343699</v>
      </c>
      <c r="F11" s="2">
        <v>49.248793832215398</v>
      </c>
      <c r="G11" s="2">
        <v>12.657165090776299</v>
      </c>
      <c r="H11" s="2">
        <v>4489</v>
      </c>
      <c r="I11" s="2">
        <v>623.35019018079902</v>
      </c>
      <c r="J11" s="2">
        <v>403.35305228858698</v>
      </c>
      <c r="K11" s="2">
        <v>64.707285459736994</v>
      </c>
      <c r="L11" s="2">
        <v>8.3438150072594405E-3</v>
      </c>
      <c r="M11" s="2">
        <v>5.3990526071187204E-3</v>
      </c>
      <c r="N11" s="2">
        <f t="shared" si="0"/>
        <v>8.343808493672821</v>
      </c>
      <c r="O11" s="2">
        <f t="shared" si="1"/>
        <v>0.34811083234579088</v>
      </c>
      <c r="P11" s="23">
        <f t="shared" si="2"/>
        <v>7.2298790985195469E-2</v>
      </c>
      <c r="Q11" s="23">
        <f t="shared" si="3"/>
        <v>2.3239973716500335E-2</v>
      </c>
      <c r="R11" s="24">
        <f t="shared" si="4"/>
        <v>0.59148797789163921</v>
      </c>
    </row>
    <row r="12" spans="1:23" x14ac:dyDescent="0.35">
      <c r="A12" s="2">
        <v>54.148383999999901</v>
      </c>
      <c r="B12" s="2">
        <v>1500</v>
      </c>
      <c r="D12" s="2">
        <v>1.05652766646365</v>
      </c>
      <c r="E12" s="2">
        <v>4.1701795223118303</v>
      </c>
      <c r="F12" s="2">
        <v>48.985703244322401</v>
      </c>
      <c r="G12" s="2">
        <v>16.043732540943701</v>
      </c>
      <c r="H12" s="2">
        <v>4904</v>
      </c>
      <c r="I12" s="2">
        <v>785.91439424202895</v>
      </c>
      <c r="J12" s="2">
        <v>542.53534105267602</v>
      </c>
      <c r="K12" s="2">
        <v>69.031413671701998</v>
      </c>
      <c r="L12" s="2">
        <v>7.6868917308020503E-3</v>
      </c>
      <c r="M12" s="2">
        <v>5.3062615693811399E-3</v>
      </c>
      <c r="N12" s="2">
        <f t="shared" si="0"/>
        <v>7.6864661281244313</v>
      </c>
      <c r="O12" s="2">
        <f t="shared" si="1"/>
        <v>0.38029305453859619</v>
      </c>
      <c r="P12" s="23">
        <f t="shared" si="2"/>
        <v>7.5064465863631247E-2</v>
      </c>
      <c r="Q12" s="23">
        <f t="shared" si="3"/>
        <v>2.3975945907756209E-2</v>
      </c>
      <c r="R12" s="24">
        <f t="shared" si="4"/>
        <v>0.60654195954360202</v>
      </c>
    </row>
    <row r="13" spans="1:23" x14ac:dyDescent="0.35">
      <c r="A13" s="2">
        <v>61.876688950000002</v>
      </c>
      <c r="B13" s="2">
        <v>1550</v>
      </c>
      <c r="D13" s="2">
        <v>1.28646339595945</v>
      </c>
      <c r="E13" s="2">
        <v>5.0405210321873701</v>
      </c>
      <c r="F13" s="2">
        <v>48.685599023665603</v>
      </c>
      <c r="G13" s="2">
        <v>20.4054534763969</v>
      </c>
      <c r="H13" s="2">
        <v>5355</v>
      </c>
      <c r="I13" s="2">
        <v>993.44411122293798</v>
      </c>
      <c r="J13" s="2">
        <v>721.45613151785403</v>
      </c>
      <c r="K13" s="2">
        <v>72.618645456505007</v>
      </c>
      <c r="L13" s="2">
        <v>6.9872622693117198E-3</v>
      </c>
      <c r="M13" s="2">
        <v>5.0739476895474804E-3</v>
      </c>
      <c r="N13" s="2">
        <f t="shared" si="0"/>
        <v>6.9865939341075949</v>
      </c>
      <c r="O13" s="2">
        <f t="shared" si="1"/>
        <v>0.4152669875722233</v>
      </c>
      <c r="P13" s="23">
        <f t="shared" si="2"/>
        <v>7.6091658689658004E-2</v>
      </c>
      <c r="Q13" s="23">
        <f t="shared" si="3"/>
        <v>2.4486719383809304E-2</v>
      </c>
      <c r="R13" s="24">
        <f t="shared" si="4"/>
        <v>0.60612189826803309</v>
      </c>
    </row>
    <row r="14" spans="1:23" x14ac:dyDescent="0.35">
      <c r="A14" s="2">
        <v>69.739791850000003</v>
      </c>
      <c r="B14" s="2">
        <v>1600</v>
      </c>
      <c r="D14" s="2">
        <v>1.5309841997545099</v>
      </c>
      <c r="E14" s="2">
        <v>5.9849969082895997</v>
      </c>
      <c r="F14" s="2">
        <v>48.367750154190503</v>
      </c>
      <c r="G14" s="2">
        <v>25.423847870345501</v>
      </c>
      <c r="H14" s="2">
        <v>5788</v>
      </c>
      <c r="I14" s="2">
        <v>1229.6891028058401</v>
      </c>
      <c r="J14" s="2">
        <v>927.93295738061397</v>
      </c>
      <c r="K14" s="2">
        <v>75.460004076994096</v>
      </c>
      <c r="L14" s="2">
        <v>6.4500813677583002E-3</v>
      </c>
      <c r="M14" s="2">
        <v>4.8672131740901802E-3</v>
      </c>
      <c r="N14" s="2">
        <f t="shared" ref="N14:N18" si="5">E14*1000/J14</f>
        <v>6.4498160785065313</v>
      </c>
      <c r="O14" s="2">
        <f t="shared" ref="O14:O18" si="6">+PI()*$V$1*H14/60*0.00291545</f>
        <v>0.44884506518543943</v>
      </c>
      <c r="P14" s="23">
        <f t="shared" ref="P14:P18" si="7">(E14*9.81)/($T$2*(H14/60)^2*($V$1)^4)</f>
        <v>7.7337023965563037E-2</v>
      </c>
      <c r="Q14" s="23">
        <f t="shared" ref="Q14:Q18" si="8">J14/($T$2*((H14/60)^3)*($V$1)^5)</f>
        <v>2.4941934449813494E-2</v>
      </c>
      <c r="R14" s="24">
        <f t="shared" ref="R14:R18" si="9">(P14^(3/2))/(Q14*SQRT(2))</f>
        <v>0.60972787809372286</v>
      </c>
    </row>
    <row r="15" spans="1:23" x14ac:dyDescent="0.35">
      <c r="A15" s="2">
        <v>77.605171400000003</v>
      </c>
      <c r="B15" s="2">
        <v>1650</v>
      </c>
      <c r="D15" s="2">
        <v>1.7964636516719299</v>
      </c>
      <c r="E15" s="2">
        <v>6.9933035030270396</v>
      </c>
      <c r="F15" s="2">
        <v>48.024024378500101</v>
      </c>
      <c r="G15" s="2">
        <v>31.4594787370212</v>
      </c>
      <c r="H15" s="2">
        <v>6229</v>
      </c>
      <c r="I15" s="2">
        <v>1510.8093634107399</v>
      </c>
      <c r="J15" s="2">
        <v>1171.8041042394</v>
      </c>
      <c r="K15" s="2">
        <v>77.561171518685796</v>
      </c>
      <c r="L15" s="2">
        <v>5.9679702784186496E-3</v>
      </c>
      <c r="M15" s="2">
        <v>4.6288277045610704E-3</v>
      </c>
      <c r="N15" s="2">
        <f t="shared" si="5"/>
        <v>5.967980038409479</v>
      </c>
      <c r="O15" s="2">
        <f t="shared" si="6"/>
        <v>0.48304352298550496</v>
      </c>
      <c r="P15" s="23">
        <f t="shared" si="7"/>
        <v>7.8023653979911609E-2</v>
      </c>
      <c r="Q15" s="23">
        <f t="shared" si="8"/>
        <v>2.5269643976522732E-2</v>
      </c>
      <c r="R15" s="24">
        <f t="shared" si="9"/>
        <v>0.60985319971170349</v>
      </c>
    </row>
    <row r="16" spans="1:23" x14ac:dyDescent="0.35">
      <c r="A16" s="2">
        <v>85.267431299999998</v>
      </c>
      <c r="B16" s="2">
        <v>1700</v>
      </c>
      <c r="D16" s="2">
        <v>2.06333082189912</v>
      </c>
      <c r="E16" s="2">
        <v>7.9842435863335899</v>
      </c>
      <c r="F16" s="2">
        <v>47.681267408091799</v>
      </c>
      <c r="G16" s="2">
        <v>37.889426989801201</v>
      </c>
      <c r="H16" s="2">
        <v>6632</v>
      </c>
      <c r="I16" s="2">
        <v>1806.61325418825</v>
      </c>
      <c r="J16" s="2">
        <v>1433.0708840700099</v>
      </c>
      <c r="K16" s="2">
        <v>79.326372190159702</v>
      </c>
      <c r="L16" s="2">
        <v>5.5714266668633102E-3</v>
      </c>
      <c r="M16" s="2">
        <v>4.4196133954778E-3</v>
      </c>
      <c r="N16" s="2">
        <f t="shared" si="5"/>
        <v>5.5714226526310018</v>
      </c>
      <c r="O16" s="2">
        <f t="shared" si="6"/>
        <v>0.51429517489803633</v>
      </c>
      <c r="P16" s="23">
        <f t="shared" si="7"/>
        <v>7.8582404483815302E-2</v>
      </c>
      <c r="Q16" s="23">
        <f t="shared" si="8"/>
        <v>2.5605497648786876E-2</v>
      </c>
      <c r="R16" s="24">
        <f t="shared" si="9"/>
        <v>0.60833072407273092</v>
      </c>
    </row>
    <row r="17" spans="1:18" x14ac:dyDescent="0.35">
      <c r="A17" s="2">
        <v>92.970747399999993</v>
      </c>
      <c r="B17" s="2">
        <v>1750</v>
      </c>
      <c r="D17" s="2">
        <v>2.13885087430479</v>
      </c>
      <c r="E17" s="2">
        <v>8.2728938885429208</v>
      </c>
      <c r="F17" s="2">
        <v>47.555222761402902</v>
      </c>
      <c r="G17" s="2">
        <v>39.9181750185816</v>
      </c>
      <c r="H17" s="2">
        <v>6742</v>
      </c>
      <c r="I17" s="2">
        <v>1898.3123187004801</v>
      </c>
      <c r="J17" s="2">
        <v>1509.9923023705301</v>
      </c>
      <c r="K17" s="2">
        <v>79.542540770106996</v>
      </c>
      <c r="L17" s="2">
        <v>5.4789417091916197E-3</v>
      </c>
      <c r="M17" s="2">
        <v>4.3580382894874599E-3</v>
      </c>
      <c r="N17" s="2">
        <f t="shared" si="5"/>
        <v>5.4787656040069495</v>
      </c>
      <c r="O17" s="2">
        <f t="shared" si="6"/>
        <v>0.52282540246721365</v>
      </c>
      <c r="P17" s="23">
        <f t="shared" si="7"/>
        <v>7.8788081933185913E-2</v>
      </c>
      <c r="Q17" s="23">
        <f t="shared" si="8"/>
        <v>2.5680743305372452E-2</v>
      </c>
      <c r="R17" s="24">
        <f t="shared" si="9"/>
        <v>0.60893116835753602</v>
      </c>
    </row>
    <row r="18" spans="1:18" x14ac:dyDescent="0.35">
      <c r="A18" s="2">
        <v>100.48663245</v>
      </c>
      <c r="B18" s="2">
        <v>1800</v>
      </c>
      <c r="D18" s="2">
        <v>2.4655315588195199</v>
      </c>
      <c r="E18" s="2">
        <v>9.4872578663996503</v>
      </c>
      <c r="F18" s="2">
        <v>47.171717565352402</v>
      </c>
      <c r="G18" s="2">
        <v>47.885877389835699</v>
      </c>
      <c r="H18" s="2">
        <v>7118</v>
      </c>
      <c r="I18" s="2">
        <v>2258.84742934529</v>
      </c>
      <c r="J18" s="2">
        <v>1837.9235913913899</v>
      </c>
      <c r="K18" s="2">
        <v>81.366224800415793</v>
      </c>
      <c r="L18" s="2">
        <v>5.1620462345149396E-3</v>
      </c>
      <c r="M18" s="2">
        <v>4.2001354633855901E-3</v>
      </c>
      <c r="N18" s="2">
        <f t="shared" si="5"/>
        <v>5.1619435709062174</v>
      </c>
      <c r="O18" s="2">
        <f t="shared" si="6"/>
        <v>0.55198327124912883</v>
      </c>
      <c r="P18" s="23">
        <f t="shared" si="7"/>
        <v>8.1059758956214437E-2</v>
      </c>
      <c r="Q18" s="23">
        <f t="shared" si="8"/>
        <v>2.6561500318465124E-2</v>
      </c>
      <c r="R18" s="24">
        <f t="shared" si="9"/>
        <v>0.61438465726858593</v>
      </c>
    </row>
    <row r="19" spans="1:18" x14ac:dyDescent="0.35">
      <c r="P19" s="23"/>
      <c r="Q19" s="23"/>
      <c r="R19" s="24"/>
    </row>
    <row r="20" spans="1:18" x14ac:dyDescent="0.35">
      <c r="P20" s="23"/>
      <c r="Q20" s="23"/>
      <c r="R20" s="24"/>
    </row>
    <row r="21" spans="1:18" x14ac:dyDescent="0.35">
      <c r="P21" s="23"/>
      <c r="Q21" s="23"/>
      <c r="R21" s="24"/>
    </row>
    <row r="22" spans="1:18" x14ac:dyDescent="0.35">
      <c r="P22" s="23"/>
      <c r="Q22" s="23"/>
      <c r="R22" s="24"/>
    </row>
    <row r="23" spans="1:18" x14ac:dyDescent="0.35">
      <c r="P23" s="23"/>
      <c r="Q23" s="23"/>
      <c r="R23" s="24"/>
    </row>
    <row r="24" spans="1:18" x14ac:dyDescent="0.35">
      <c r="P24" s="23"/>
      <c r="Q24" s="23"/>
      <c r="R24" s="24"/>
    </row>
  </sheetData>
  <sheetProtection algorithmName="SHA-512" hashValue="YGjPUp++7IMktbV7WYTrZZx9PR64Wd35Tz+tswSnVnZwcF1WVY3NvdZHiOpDtxUtzu1HfKxQFvtEvWEtQch9Yg==" saltValue="07oRLiiet+arJbZj9tKyCw==" spinCount="100000" sheet="1" objects="1" scenarios="1" selectLockedCells="1"/>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B0F9-3111-4E8C-81B4-0C171F41CAB9}">
  <dimension ref="A1:W40"/>
  <sheetViews>
    <sheetView showGridLines="0" workbookViewId="0">
      <selection activeCell="E17" sqref="E17"/>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14</v>
      </c>
      <c r="U1" s="2" t="s">
        <v>58</v>
      </c>
      <c r="V1" s="2">
        <f>T1*0.0254</f>
        <v>0.35559999999999997</v>
      </c>
      <c r="W1" s="2" t="s">
        <v>59</v>
      </c>
    </row>
    <row r="2" spans="1:23" x14ac:dyDescent="0.35">
      <c r="D2" s="2">
        <v>1.34126998194286E-4</v>
      </c>
      <c r="E2" s="2">
        <v>-5.3620975345488404E-4</v>
      </c>
      <c r="H2" s="2">
        <v>0</v>
      </c>
      <c r="J2" s="2">
        <f>D2*H2*2*PI()/60</f>
        <v>0</v>
      </c>
      <c r="N2" s="2" t="e">
        <f>E2*1000/J2</f>
        <v>#DIV/0!</v>
      </c>
      <c r="O2" s="2">
        <f t="shared" ref="O2:O16" si="0">+PI()*$V$1*H2/60*0.00291545</f>
        <v>0</v>
      </c>
      <c r="P2" s="23" t="e">
        <f t="shared" ref="P2:P16" si="1">(E2*9.81)/($T$2*(H2/60)^2*($V$1)^4)</f>
        <v>#DIV/0!</v>
      </c>
      <c r="Q2" s="23" t="e">
        <f t="shared" ref="Q2:Q16" si="2">J2/($T$2*((H2/60)^3)*($V$1)^5)</f>
        <v>#DIV/0!</v>
      </c>
      <c r="R2" s="24" t="e">
        <f>(P2^(3/2))/(Q2*SQRT(2))</f>
        <v>#DIV/0!</v>
      </c>
      <c r="S2" s="2" t="s">
        <v>22</v>
      </c>
      <c r="T2" s="2">
        <v>1.1538999999999999</v>
      </c>
    </row>
    <row r="3" spans="1:23" x14ac:dyDescent="0.35">
      <c r="D3" s="2">
        <v>7.3441638382338798E-3</v>
      </c>
      <c r="E3" s="2">
        <v>2.2777964806101701E-2</v>
      </c>
      <c r="H3" s="2">
        <v>1040</v>
      </c>
      <c r="J3" s="2">
        <f t="shared" ref="J3:J16" si="3">D3*H3*2*PI()/60</f>
        <v>0.79984220024645292</v>
      </c>
      <c r="N3" s="2">
        <f t="shared" ref="N3:N15" si="4">E3*1000/J3</f>
        <v>28.478073298812184</v>
      </c>
      <c r="O3" s="2">
        <f t="shared" si="0"/>
        <v>5.6454597003282633E-2</v>
      </c>
      <c r="P3" s="23">
        <f t="shared" si="1"/>
        <v>4.0309235791749477E-2</v>
      </c>
      <c r="Q3" s="23">
        <f t="shared" si="2"/>
        <v>2.3408905719751343E-2</v>
      </c>
      <c r="R3" s="24">
        <f t="shared" ref="R3:R15" si="5">(P3^(3/2))/(Q3*SQRT(2))</f>
        <v>0.2444616487888667</v>
      </c>
      <c r="S3" s="2" t="s">
        <v>361</v>
      </c>
      <c r="U3" s="2">
        <v>26.3</v>
      </c>
      <c r="V3" s="69" t="s">
        <v>362</v>
      </c>
    </row>
    <row r="4" spans="1:23" x14ac:dyDescent="0.35">
      <c r="D4" s="2">
        <v>1.7100248462511802E-2</v>
      </c>
      <c r="E4" s="2">
        <v>6.9199444704482999E-2</v>
      </c>
      <c r="H4" s="2">
        <v>1635</v>
      </c>
      <c r="J4" s="2">
        <f t="shared" si="3"/>
        <v>2.9278498144691043</v>
      </c>
      <c r="N4" s="2">
        <f t="shared" si="4"/>
        <v>23.634902433351304</v>
      </c>
      <c r="O4" s="2">
        <f t="shared" si="0"/>
        <v>8.875314048112222E-2</v>
      </c>
      <c r="P4" s="23">
        <f t="shared" si="1"/>
        <v>4.954769106460559E-2</v>
      </c>
      <c r="Q4" s="23">
        <f t="shared" si="2"/>
        <v>2.2053236806357575E-2</v>
      </c>
      <c r="R4" s="24">
        <f t="shared" si="5"/>
        <v>0.3536289347824832</v>
      </c>
      <c r="S4" s="2" t="s">
        <v>363</v>
      </c>
      <c r="U4" s="2">
        <v>995</v>
      </c>
      <c r="V4" s="2" t="s">
        <v>364</v>
      </c>
    </row>
    <row r="5" spans="1:23" x14ac:dyDescent="0.35">
      <c r="D5" s="2">
        <v>2.8238759358005999E-2</v>
      </c>
      <c r="E5" s="2">
        <v>0.12930019549434801</v>
      </c>
      <c r="H5" s="2">
        <v>2182</v>
      </c>
      <c r="J5" s="2">
        <f t="shared" si="3"/>
        <v>6.4525143153100943</v>
      </c>
      <c r="N5" s="2">
        <f t="shared" si="4"/>
        <v>20.03873051277905</v>
      </c>
      <c r="O5" s="2">
        <f t="shared" si="0"/>
        <v>0.11844608717419491</v>
      </c>
      <c r="P5" s="23">
        <f t="shared" si="1"/>
        <v>5.1981165711027844E-2</v>
      </c>
      <c r="Q5" s="23">
        <f t="shared" si="2"/>
        <v>2.0447562968419271E-2</v>
      </c>
      <c r="R5" s="24">
        <f t="shared" si="5"/>
        <v>0.40983823240559525</v>
      </c>
      <c r="S5" s="2" t="s">
        <v>365</v>
      </c>
      <c r="U5" s="2">
        <v>24</v>
      </c>
      <c r="V5" s="2" t="s">
        <v>366</v>
      </c>
    </row>
    <row r="6" spans="1:23" x14ac:dyDescent="0.35">
      <c r="D6" s="2">
        <v>4.4337482732748998E-2</v>
      </c>
      <c r="E6" s="2">
        <v>0.221888605980996</v>
      </c>
      <c r="H6" s="2">
        <v>2710</v>
      </c>
      <c r="J6" s="2">
        <f t="shared" si="3"/>
        <v>12.582558006212127</v>
      </c>
      <c r="N6" s="2">
        <f t="shared" si="4"/>
        <v>17.634618165197214</v>
      </c>
      <c r="O6" s="2">
        <f t="shared" si="0"/>
        <v>0.14710765180663068</v>
      </c>
      <c r="P6" s="23">
        <f t="shared" si="1"/>
        <v>5.7829940512373362E-2</v>
      </c>
      <c r="Q6" s="23">
        <f t="shared" si="2"/>
        <v>2.0813153387646392E-2</v>
      </c>
      <c r="R6" s="24">
        <f t="shared" si="5"/>
        <v>0.47247217354006921</v>
      </c>
    </row>
    <row r="7" spans="1:23" x14ac:dyDescent="0.35">
      <c r="D7" s="2">
        <v>6.5185721227027899E-2</v>
      </c>
      <c r="E7" s="2">
        <v>0.33727702985359498</v>
      </c>
      <c r="H7" s="2">
        <v>3234</v>
      </c>
      <c r="J7" s="2">
        <f t="shared" si="3"/>
        <v>22.076036759399415</v>
      </c>
      <c r="N7" s="2">
        <f t="shared" si="4"/>
        <v>15.277970114359</v>
      </c>
      <c r="O7" s="2">
        <f t="shared" si="0"/>
        <v>0.17555208337366926</v>
      </c>
      <c r="P7" s="23">
        <f t="shared" si="1"/>
        <v>6.1725278649947216E-2</v>
      </c>
      <c r="Q7" s="23">
        <f t="shared" si="2"/>
        <v>2.1487103617881004E-2</v>
      </c>
      <c r="R7" s="24">
        <f t="shared" si="5"/>
        <v>0.50466328785562076</v>
      </c>
    </row>
    <row r="8" spans="1:23" x14ac:dyDescent="0.35">
      <c r="D8" s="2">
        <v>8.8795411540665795E-2</v>
      </c>
      <c r="E8" s="2">
        <v>0.47514100618681698</v>
      </c>
      <c r="H8" s="2">
        <v>3736</v>
      </c>
      <c r="J8" s="2">
        <f t="shared" si="3"/>
        <v>34.73969569854772</v>
      </c>
      <c r="N8" s="2">
        <f t="shared" si="4"/>
        <v>13.677178128151539</v>
      </c>
      <c r="O8" s="2">
        <f t="shared" si="0"/>
        <v>0.20280228308102299</v>
      </c>
      <c r="P8" s="23">
        <f t="shared" si="1"/>
        <v>6.5157603645183193E-2</v>
      </c>
      <c r="Q8" s="23">
        <f t="shared" si="2"/>
        <v>2.1932201313248949E-2</v>
      </c>
      <c r="R8" s="24">
        <f t="shared" si="5"/>
        <v>0.53622916836638468</v>
      </c>
    </row>
    <row r="9" spans="1:23" x14ac:dyDescent="0.35">
      <c r="D9" s="2">
        <v>0.116176243201422</v>
      </c>
      <c r="E9" s="2">
        <v>0.63395270946694005</v>
      </c>
      <c r="H9" s="2">
        <v>4225</v>
      </c>
      <c r="J9" s="2">
        <f t="shared" si="3"/>
        <v>51.40112919632417</v>
      </c>
      <c r="N9" s="2">
        <f t="shared" si="4"/>
        <v>12.333439350049836</v>
      </c>
      <c r="O9" s="2">
        <f t="shared" si="0"/>
        <v>0.22934680032583565</v>
      </c>
      <c r="P9" s="23">
        <f t="shared" si="1"/>
        <v>6.7976650519687667E-2</v>
      </c>
      <c r="Q9" s="23">
        <f t="shared" si="2"/>
        <v>2.2437234981919303E-2</v>
      </c>
      <c r="R9" s="24">
        <f t="shared" si="5"/>
        <v>0.55854132112473542</v>
      </c>
    </row>
    <row r="10" spans="1:23" x14ac:dyDescent="0.35">
      <c r="D10" s="2">
        <v>0.14635669261835399</v>
      </c>
      <c r="E10" s="2">
        <v>0.815413436576641</v>
      </c>
      <c r="H10" s="2">
        <v>4700</v>
      </c>
      <c r="J10" s="2">
        <f t="shared" si="3"/>
        <v>72.034253952251532</v>
      </c>
      <c r="N10" s="2">
        <f t="shared" si="4"/>
        <v>11.319801231191263</v>
      </c>
      <c r="O10" s="2">
        <f t="shared" si="0"/>
        <v>0.25513135184175806</v>
      </c>
      <c r="P10" s="23">
        <f t="shared" si="1"/>
        <v>7.0654279711302725E-2</v>
      </c>
      <c r="Q10" s="23">
        <f t="shared" si="2"/>
        <v>2.2841378218136643E-2</v>
      </c>
      <c r="R10" s="24">
        <f t="shared" si="5"/>
        <v>0.58139381458894601</v>
      </c>
    </row>
    <row r="11" spans="1:23" x14ac:dyDescent="0.35">
      <c r="D11" s="2">
        <v>0.186341622226077</v>
      </c>
      <c r="E11" s="2">
        <v>1.0184209285111001</v>
      </c>
      <c r="H11" s="2">
        <v>5159</v>
      </c>
      <c r="J11" s="2">
        <f t="shared" si="3"/>
        <v>100.67091543922494</v>
      </c>
      <c r="N11" s="2">
        <f t="shared" si="4"/>
        <v>10.116337216839169</v>
      </c>
      <c r="O11" s="2">
        <f t="shared" si="0"/>
        <v>0.28004737109609146</v>
      </c>
      <c r="P11" s="23">
        <f t="shared" si="1"/>
        <v>7.3240716678366014E-2</v>
      </c>
      <c r="Q11" s="23">
        <f t="shared" si="2"/>
        <v>2.4137053359471285E-2</v>
      </c>
      <c r="R11" s="24">
        <f t="shared" si="5"/>
        <v>0.58067032170875854</v>
      </c>
    </row>
    <row r="12" spans="1:23" x14ac:dyDescent="0.35">
      <c r="D12" s="2">
        <v>0.221151465478031</v>
      </c>
      <c r="E12" s="2">
        <v>1.2101590348915401</v>
      </c>
      <c r="H12" s="2">
        <v>5595</v>
      </c>
      <c r="J12" s="2">
        <f t="shared" si="3"/>
        <v>129.5741982950484</v>
      </c>
      <c r="N12" s="2">
        <f t="shared" si="4"/>
        <v>9.3395062505880517</v>
      </c>
      <c r="O12" s="2">
        <f t="shared" si="0"/>
        <v>0.30371487522439067</v>
      </c>
      <c r="P12" s="23">
        <f t="shared" si="1"/>
        <v>7.3994355437946011E-2</v>
      </c>
      <c r="Q12" s="23">
        <f t="shared" si="2"/>
        <v>2.435538920851435E-2</v>
      </c>
      <c r="R12" s="24">
        <f t="shared" si="5"/>
        <v>0.58436986923346879</v>
      </c>
    </row>
    <row r="13" spans="1:23" x14ac:dyDescent="0.35">
      <c r="D13" s="2">
        <v>0.25101155061545799</v>
      </c>
      <c r="E13" s="2">
        <v>1.4000331745214001</v>
      </c>
      <c r="H13" s="2">
        <v>6040</v>
      </c>
      <c r="J13" s="2">
        <f t="shared" si="3"/>
        <v>158.76664340044735</v>
      </c>
      <c r="N13" s="2">
        <f t="shared" si="4"/>
        <v>8.8181821101437681</v>
      </c>
      <c r="O13" s="2">
        <f t="shared" si="0"/>
        <v>0.32787092874983376</v>
      </c>
      <c r="P13" s="23">
        <f t="shared" si="1"/>
        <v>7.3454900534779904E-2</v>
      </c>
      <c r="Q13" s="23">
        <f t="shared" si="2"/>
        <v>2.3720577798271407E-2</v>
      </c>
      <c r="R13" s="24">
        <f t="shared" si="5"/>
        <v>0.59345924682078688</v>
      </c>
    </row>
    <row r="14" spans="1:23" x14ac:dyDescent="0.35">
      <c r="D14" s="2">
        <v>0.28556763732076701</v>
      </c>
      <c r="E14" s="2">
        <v>1.61345972840813</v>
      </c>
      <c r="H14" s="2">
        <v>6486</v>
      </c>
      <c r="J14" s="2">
        <f t="shared" si="3"/>
        <v>193.96106080444386</v>
      </c>
      <c r="N14" s="2">
        <f t="shared" si="4"/>
        <v>8.3184723867583834</v>
      </c>
      <c r="O14" s="2">
        <f t="shared" si="0"/>
        <v>0.35208126554162611</v>
      </c>
      <c r="P14" s="23">
        <f t="shared" si="1"/>
        <v>7.3410903120612186E-2</v>
      </c>
      <c r="Q14" s="23">
        <f t="shared" si="2"/>
        <v>2.340240731903688E-2</v>
      </c>
      <c r="R14" s="24">
        <f t="shared" si="5"/>
        <v>0.6009873331097999</v>
      </c>
    </row>
    <row r="15" spans="1:23" x14ac:dyDescent="0.35">
      <c r="D15" s="2">
        <v>0.33076090351065901</v>
      </c>
      <c r="E15" s="2">
        <v>1.8277836374088301</v>
      </c>
      <c r="H15" s="2">
        <v>6890</v>
      </c>
      <c r="J15" s="2">
        <f t="shared" si="3"/>
        <v>238.65031364148808</v>
      </c>
      <c r="N15" s="2">
        <f t="shared" si="4"/>
        <v>7.6588361000631835</v>
      </c>
      <c r="O15" s="2">
        <f t="shared" si="0"/>
        <v>0.37401170514674742</v>
      </c>
      <c r="P15" s="23">
        <f t="shared" si="1"/>
        <v>7.3695787995203321E-2</v>
      </c>
      <c r="Q15" s="23">
        <f t="shared" si="2"/>
        <v>2.4020451151481541E-2</v>
      </c>
      <c r="R15" s="24">
        <f t="shared" si="5"/>
        <v>0.58893564766014039</v>
      </c>
    </row>
    <row r="16" spans="1:23" x14ac:dyDescent="0.35">
      <c r="D16" s="2">
        <v>0.34725836433373602</v>
      </c>
      <c r="E16" s="2">
        <v>1.92414450172456</v>
      </c>
      <c r="H16" s="2">
        <v>7050</v>
      </c>
      <c r="J16" s="2">
        <f t="shared" si="3"/>
        <v>256.37191667779115</v>
      </c>
      <c r="N16" s="2">
        <f t="shared" ref="N16" si="6">E16*1000/J16</f>
        <v>7.5052857842570546</v>
      </c>
      <c r="O16" s="2">
        <f t="shared" si="0"/>
        <v>0.38269702776263709</v>
      </c>
      <c r="P16" s="23">
        <f t="shared" si="1"/>
        <v>7.4099585004833671E-2</v>
      </c>
      <c r="Q16" s="23">
        <f t="shared" si="2"/>
        <v>2.4086844869675314E-2</v>
      </c>
      <c r="R16" s="24">
        <f t="shared" ref="R16" si="7">(P16^(3/2))/(Q16*SQRT(2))</f>
        <v>0.59214593213791089</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uTElbWWITv9befCPnV4+WFDIxHXM9Gs7a0vQa2X22lYthniBEO9WiIyS78YVz/C6qUb2wOORkgFxsXgfC+pZug==" saltValue="VPFRa2rpD7rXyxmB32LfIw==" spinCount="100000" sheet="1" objects="1" scenarios="1" selectLockedCell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5FA5-6780-4C12-854B-563F8BB10F24}">
  <dimension ref="A1:W40"/>
  <sheetViews>
    <sheetView workbookViewId="0">
      <selection activeCell="U21" sqref="U21"/>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15</v>
      </c>
      <c r="U1" s="2" t="s">
        <v>58</v>
      </c>
      <c r="V1" s="2">
        <f>T1*0.0254</f>
        <v>0.38100000000000001</v>
      </c>
      <c r="W1" s="2" t="s">
        <v>59</v>
      </c>
    </row>
    <row r="2" spans="1:23" x14ac:dyDescent="0.35">
      <c r="A2" s="2">
        <v>1.2638847499999999</v>
      </c>
      <c r="B2" s="2">
        <v>1000</v>
      </c>
      <c r="D2" s="2">
        <v>1.8520123777822299E-4</v>
      </c>
      <c r="E2" s="2">
        <v>-3.1940899783440698E-4</v>
      </c>
      <c r="H2" s="2">
        <v>0</v>
      </c>
      <c r="I2" s="2">
        <v>0.109139285</v>
      </c>
      <c r="J2" s="2">
        <f t="shared" ref="J2:J15" si="0">D2*H2*2*PI()/60</f>
        <v>0</v>
      </c>
      <c r="N2" s="2" t="e">
        <f>E2*1000/J2</f>
        <v>#DIV/0!</v>
      </c>
      <c r="O2" s="2">
        <f>+PI()*$V$1*H2/60*0.00291545</f>
        <v>0</v>
      </c>
      <c r="P2" s="23" t="e">
        <f>(E2*9.81)/($T$2*(H2/60)^2*($V$1)^4)</f>
        <v>#DIV/0!</v>
      </c>
      <c r="Q2" s="23" t="e">
        <f>J2/($T$2*((H2/60)^3)*($V$1)^5)</f>
        <v>#DIV/0!</v>
      </c>
      <c r="R2" s="24" t="e">
        <f>(P2^(3/2))/(Q2*SQRT(2))</f>
        <v>#DIV/0!</v>
      </c>
      <c r="S2" s="2" t="s">
        <v>22</v>
      </c>
      <c r="T2" s="2">
        <v>1.1538999999999999</v>
      </c>
    </row>
    <row r="3" spans="1:23" x14ac:dyDescent="0.35">
      <c r="D3" s="2">
        <v>9.8466880509535792E-3</v>
      </c>
      <c r="E3" s="2">
        <v>4.5600866450352502E-2</v>
      </c>
      <c r="H3" s="2">
        <v>1014</v>
      </c>
      <c r="I3" s="2">
        <v>14.40668704</v>
      </c>
      <c r="J3" s="2">
        <f t="shared" si="0"/>
        <v>1.0455787600956363</v>
      </c>
      <c r="N3" s="2">
        <f t="shared" ref="N3:N15" si="1">E3*1000/J3</f>
        <v>43.613038243222839</v>
      </c>
      <c r="O3" s="2">
        <f t="shared" ref="O3:O15" si="2">+PI()*$V$1*H3/60*0.00291545</f>
        <v>5.8974891512357748E-2</v>
      </c>
      <c r="P3" s="23">
        <f t="shared" ref="P3:P15" si="3">(E3*9.81)/($T$2*(H3/60)^2*($V$1)^4)</f>
        <v>6.441701803265544E-2</v>
      </c>
      <c r="Q3" s="23">
        <f t="shared" ref="Q3:Q15" si="4">J3/($T$2*((H3/60)^3)*($V$1)^5)</f>
        <v>2.3383180755030465E-2</v>
      </c>
      <c r="R3" s="24">
        <f t="shared" ref="R3:R15" si="5">(P3^(3/2))/(Q3*SQRT(2))</f>
        <v>0.49440441518283262</v>
      </c>
      <c r="S3" s="2" t="s">
        <v>361</v>
      </c>
      <c r="U3" s="2">
        <v>26.3</v>
      </c>
      <c r="V3" s="69" t="s">
        <v>362</v>
      </c>
    </row>
    <row r="4" spans="1:23" x14ac:dyDescent="0.35">
      <c r="D4" s="2">
        <v>2.31692902003038E-2</v>
      </c>
      <c r="E4" s="2">
        <v>0.106448592265664</v>
      </c>
      <c r="H4" s="2">
        <v>1579</v>
      </c>
      <c r="I4" s="2">
        <v>49.87973057</v>
      </c>
      <c r="J4" s="2">
        <f t="shared" si="0"/>
        <v>3.8310999033979196</v>
      </c>
      <c r="N4" s="2">
        <f t="shared" si="1"/>
        <v>27.785386690451872</v>
      </c>
      <c r="O4" s="2">
        <f t="shared" si="2"/>
        <v>9.1835654534529479E-2</v>
      </c>
      <c r="P4" s="23">
        <f t="shared" si="3"/>
        <v>6.2012479223764759E-2</v>
      </c>
      <c r="Q4" s="23">
        <f t="shared" si="4"/>
        <v>2.2690171926327191E-2</v>
      </c>
      <c r="R4" s="24">
        <f t="shared" si="5"/>
        <v>0.48124458671494791</v>
      </c>
      <c r="S4" s="2" t="s">
        <v>363</v>
      </c>
      <c r="U4" s="2">
        <v>995</v>
      </c>
      <c r="V4" s="2" t="s">
        <v>364</v>
      </c>
    </row>
    <row r="5" spans="1:23" x14ac:dyDescent="0.35">
      <c r="D5" s="2">
        <v>3.89820871925236E-2</v>
      </c>
      <c r="E5" s="2">
        <v>0.18897913153128101</v>
      </c>
      <c r="H5" s="2">
        <v>2100</v>
      </c>
      <c r="I5" s="2">
        <v>123.9822459</v>
      </c>
      <c r="J5" s="2">
        <f t="shared" si="0"/>
        <v>8.5726087121940218</v>
      </c>
      <c r="N5" s="2">
        <f t="shared" si="1"/>
        <v>22.044530186297845</v>
      </c>
      <c r="O5" s="2">
        <f t="shared" si="2"/>
        <v>0.12213734928594801</v>
      </c>
      <c r="P5" s="23">
        <f t="shared" si="3"/>
        <v>6.2241305231086827E-2</v>
      </c>
      <c r="Q5" s="23">
        <f t="shared" si="4"/>
        <v>2.1583199073324386E-2</v>
      </c>
      <c r="R5" s="24">
        <f t="shared" si="5"/>
        <v>0.50872985236413759</v>
      </c>
      <c r="S5" s="2" t="s">
        <v>365</v>
      </c>
      <c r="U5" s="2">
        <v>24</v>
      </c>
      <c r="V5" s="2" t="s">
        <v>366</v>
      </c>
    </row>
    <row r="6" spans="1:23" x14ac:dyDescent="0.35">
      <c r="D6" s="2">
        <v>6.1679632299029903E-2</v>
      </c>
      <c r="E6" s="2">
        <v>0.30971006967645798</v>
      </c>
      <c r="H6" s="2">
        <v>2620</v>
      </c>
      <c r="I6" s="2">
        <v>253.5246468</v>
      </c>
      <c r="J6" s="2">
        <f t="shared" si="0"/>
        <v>16.922779094389679</v>
      </c>
      <c r="N6" s="2">
        <f t="shared" si="1"/>
        <v>18.301371657042701</v>
      </c>
      <c r="O6" s="2">
        <f t="shared" si="2"/>
        <v>0.15238088339484943</v>
      </c>
      <c r="P6" s="23">
        <f>(E6*9.81)/($T$2*(H6/60)^2*($V$1)^4)</f>
        <v>6.5532415375881239E-2</v>
      </c>
      <c r="Q6" s="23">
        <f t="shared" si="4"/>
        <v>2.1939590172585392E-2</v>
      </c>
      <c r="R6" s="24">
        <f t="shared" si="5"/>
        <v>0.54068055937284876</v>
      </c>
    </row>
    <row r="7" spans="1:23" x14ac:dyDescent="0.35">
      <c r="D7" s="2">
        <v>9.1087366895565597E-2</v>
      </c>
      <c r="E7" s="2">
        <v>0.46997567109784</v>
      </c>
      <c r="H7" s="2">
        <v>3141</v>
      </c>
      <c r="I7" s="2">
        <v>415.30257940000001</v>
      </c>
      <c r="J7" s="2">
        <f t="shared" si="0"/>
        <v>29.960889459962253</v>
      </c>
      <c r="N7" s="2">
        <f t="shared" si="1"/>
        <v>15.686305699498153</v>
      </c>
      <c r="O7" s="2">
        <f t="shared" si="2"/>
        <v>0.18268257814626793</v>
      </c>
      <c r="P7" s="23">
        <f t="shared" si="3"/>
        <v>6.9189937132570933E-2</v>
      </c>
      <c r="Q7" s="23">
        <f t="shared" si="4"/>
        <v>2.2542993847503783E-2</v>
      </c>
      <c r="R7" s="24">
        <f t="shared" si="5"/>
        <v>0.57087077924665552</v>
      </c>
    </row>
    <row r="8" spans="1:23" x14ac:dyDescent="0.35">
      <c r="D8" s="2">
        <v>0.12388934329307499</v>
      </c>
      <c r="E8" s="2">
        <v>0.64615828471152503</v>
      </c>
      <c r="H8" s="2">
        <v>3606</v>
      </c>
      <c r="I8" s="2">
        <v>696.92171699999994</v>
      </c>
      <c r="J8" s="2">
        <f t="shared" si="0"/>
        <v>46.783024059860118</v>
      </c>
      <c r="N8" s="2">
        <f t="shared" si="1"/>
        <v>13.811810965549137</v>
      </c>
      <c r="O8" s="2">
        <f t="shared" si="2"/>
        <v>0.20972727691672788</v>
      </c>
      <c r="P8" s="23">
        <f t="shared" si="3"/>
        <v>7.2175683333897067E-2</v>
      </c>
      <c r="Q8" s="23">
        <f t="shared" si="4"/>
        <v>2.3263326898987469E-2</v>
      </c>
      <c r="R8" s="24">
        <f t="shared" si="5"/>
        <v>0.58938561940210599</v>
      </c>
    </row>
    <row r="9" spans="1:23" x14ac:dyDescent="0.35">
      <c r="D9" s="2">
        <v>0.16489980066780499</v>
      </c>
      <c r="E9" s="2">
        <v>0.84031030272141405</v>
      </c>
      <c r="H9" s="2">
        <v>4067</v>
      </c>
      <c r="I9" s="2">
        <v>1040.2226230000001</v>
      </c>
      <c r="J9" s="2">
        <f t="shared" si="0"/>
        <v>70.230040852782267</v>
      </c>
      <c r="N9" s="2">
        <f t="shared" si="1"/>
        <v>11.965111973704966</v>
      </c>
      <c r="O9" s="2">
        <f t="shared" si="2"/>
        <v>0.23653933311711928</v>
      </c>
      <c r="P9" s="23">
        <f t="shared" si="3"/>
        <v>7.3789535343229212E-2</v>
      </c>
      <c r="Q9" s="23">
        <f t="shared" si="4"/>
        <v>2.4342271570694504E-2</v>
      </c>
      <c r="R9" s="24">
        <f t="shared" si="5"/>
        <v>0.58225880173193145</v>
      </c>
    </row>
    <row r="10" spans="1:23" x14ac:dyDescent="0.35">
      <c r="D10" s="2">
        <v>0.204108777537296</v>
      </c>
      <c r="E10" s="2">
        <v>1.06213921686404</v>
      </c>
      <c r="H10" s="2">
        <v>4505</v>
      </c>
      <c r="I10" s="2">
        <v>1521.78784</v>
      </c>
      <c r="J10" s="2">
        <f t="shared" si="0"/>
        <v>96.290866512661779</v>
      </c>
      <c r="N10" s="2">
        <f t="shared" si="1"/>
        <v>11.030529221838229</v>
      </c>
      <c r="O10" s="2">
        <f t="shared" si="2"/>
        <v>0.26201369453961704</v>
      </c>
      <c r="P10" s="23">
        <f t="shared" si="3"/>
        <v>7.6014297430301053E-2</v>
      </c>
      <c r="Q10" s="23">
        <f t="shared" si="4"/>
        <v>2.4556213938092951E-2</v>
      </c>
      <c r="R10" s="24">
        <f>(P10^(3/2))/(Q10*SQRT(2))</f>
        <v>0.60348505927935525</v>
      </c>
    </row>
    <row r="11" spans="1:23" x14ac:dyDescent="0.35">
      <c r="D11" s="2">
        <v>0.24635089739632501</v>
      </c>
      <c r="E11" s="2">
        <v>1.2729658637202299</v>
      </c>
      <c r="H11" s="2">
        <v>4935</v>
      </c>
      <c r="I11" s="2">
        <v>2023.2916379999999</v>
      </c>
      <c r="J11" s="2">
        <f t="shared" si="0"/>
        <v>127.31217087708256</v>
      </c>
      <c r="N11" s="2">
        <f t="shared" si="1"/>
        <v>9.9987758825450701</v>
      </c>
      <c r="O11" s="2">
        <f t="shared" si="2"/>
        <v>0.2870227708219778</v>
      </c>
      <c r="P11" s="23">
        <f t="shared" si="3"/>
        <v>7.5918195309614023E-2</v>
      </c>
      <c r="Q11" s="23">
        <f t="shared" si="4"/>
        <v>2.4698418887424453E-2</v>
      </c>
      <c r="R11" s="24">
        <f t="shared" si="5"/>
        <v>0.5988729037519791</v>
      </c>
    </row>
    <row r="12" spans="1:23" x14ac:dyDescent="0.35">
      <c r="D12" s="2">
        <v>0.28555247724848298</v>
      </c>
      <c r="E12" s="2">
        <v>1.4791914896119001</v>
      </c>
      <c r="H12" s="2">
        <v>5336</v>
      </c>
      <c r="I12" s="2">
        <v>2737.5080560000001</v>
      </c>
      <c r="J12" s="2">
        <f t="shared" si="0"/>
        <v>159.56233058143465</v>
      </c>
      <c r="N12" s="2">
        <f t="shared" si="1"/>
        <v>9.2703051166388928</v>
      </c>
      <c r="O12" s="2">
        <f t="shared" si="2"/>
        <v>0.31034518847134218</v>
      </c>
      <c r="P12" s="23">
        <f t="shared" si="3"/>
        <v>7.5456418842562004E-2</v>
      </c>
      <c r="Q12" s="23">
        <f t="shared" si="4"/>
        <v>2.4487452564867111E-2</v>
      </c>
      <c r="R12" s="24">
        <f t="shared" si="5"/>
        <v>0.59852966337512492</v>
      </c>
    </row>
    <row r="13" spans="1:23" x14ac:dyDescent="0.35">
      <c r="D13" s="2">
        <v>0.32797286681648402</v>
      </c>
      <c r="E13" s="2">
        <v>1.71779308034844</v>
      </c>
      <c r="H13" s="2">
        <v>5735</v>
      </c>
      <c r="I13" s="2">
        <v>3327.2905810000002</v>
      </c>
      <c r="J13" s="2">
        <f t="shared" si="0"/>
        <v>196.96994164427753</v>
      </c>
      <c r="N13" s="2">
        <f t="shared" si="1"/>
        <v>8.7210924977107869</v>
      </c>
      <c r="O13" s="2">
        <f t="shared" si="2"/>
        <v>0.33355128483567231</v>
      </c>
      <c r="P13" s="23">
        <f t="shared" si="3"/>
        <v>7.5859056455809148E-2</v>
      </c>
      <c r="Q13" s="23">
        <f t="shared" si="4"/>
        <v>2.4347837185359891E-2</v>
      </c>
      <c r="R13" s="24">
        <f t="shared" si="5"/>
        <v>0.60678630190785432</v>
      </c>
    </row>
    <row r="14" spans="1:23" x14ac:dyDescent="0.35">
      <c r="D14" s="2">
        <v>0.374726661470827</v>
      </c>
      <c r="E14" s="2">
        <v>1.97211694723141</v>
      </c>
      <c r="H14" s="2">
        <v>6127</v>
      </c>
      <c r="I14" s="2">
        <v>3632.7531709999998</v>
      </c>
      <c r="J14" s="2">
        <f t="shared" si="0"/>
        <v>240.43134845290203</v>
      </c>
      <c r="N14" s="2">
        <f t="shared" si="1"/>
        <v>8.20241187316606</v>
      </c>
      <c r="O14" s="2">
        <f t="shared" si="2"/>
        <v>0.35635025670238257</v>
      </c>
      <c r="P14" s="23">
        <f t="shared" si="3"/>
        <v>7.6302775673350615E-2</v>
      </c>
      <c r="Q14" s="23">
        <f t="shared" si="4"/>
        <v>2.4372952976549841E-2</v>
      </c>
      <c r="R14" s="24">
        <f t="shared" si="5"/>
        <v>0.61148718018790726</v>
      </c>
    </row>
    <row r="15" spans="1:23" x14ac:dyDescent="0.35">
      <c r="D15" s="2">
        <v>0.42411184765543097</v>
      </c>
      <c r="E15" s="2">
        <v>2.2351715634904998</v>
      </c>
      <c r="H15" s="2">
        <v>6478</v>
      </c>
      <c r="I15" s="2">
        <v>4835.7896790000004</v>
      </c>
      <c r="J15" s="2">
        <f t="shared" si="0"/>
        <v>287.70669383959461</v>
      </c>
      <c r="N15" s="2">
        <f t="shared" si="1"/>
        <v>7.7689244336340586</v>
      </c>
      <c r="O15" s="2">
        <f t="shared" si="2"/>
        <v>0.37676464222589107</v>
      </c>
      <c r="P15" s="23">
        <f t="shared" si="3"/>
        <v>7.7362840704151933E-2</v>
      </c>
      <c r="Q15" s="23">
        <f t="shared" si="4"/>
        <v>2.4676742812759549E-2</v>
      </c>
      <c r="R15" s="24">
        <f t="shared" si="5"/>
        <v>0.61658901031406077</v>
      </c>
    </row>
    <row r="16" spans="1:23" x14ac:dyDescent="0.35">
      <c r="D16" s="2">
        <v>0.44793701953513498</v>
      </c>
      <c r="E16" s="2">
        <v>2.3311162445473901</v>
      </c>
      <c r="H16" s="2">
        <v>6612</v>
      </c>
      <c r="J16" s="2">
        <f>D16*H16*2*PI()/60</f>
        <v>310.15473722528429</v>
      </c>
      <c r="N16" s="2">
        <f t="shared" ref="N16" si="6">E16*1000/J16</f>
        <v>7.5159782030159938</v>
      </c>
      <c r="O16" s="2">
        <f t="shared" ref="O16" si="7">+PI()*$V$1*H16/60*0.00291545</f>
        <v>0.38455816832318485</v>
      </c>
      <c r="P16" s="23">
        <f t="shared" ref="P16" si="8">(E16*9.81)/($T$2*(H16/60)^2*($V$1)^4)</f>
        <v>7.7446478136827784E-2</v>
      </c>
      <c r="Q16" s="23">
        <f t="shared" ref="Q16" si="9">J16/($T$2*((H16/60)^3)*($V$1)^5)</f>
        <v>2.5017308471397531E-2</v>
      </c>
      <c r="R16" s="24">
        <f t="shared" ref="R16" si="10">(P16^(3/2))/(Q16*SQRT(2))</f>
        <v>0.60918181179277553</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QQUIDKkDuP+el5i06FLVJS/sC2uf4tslo9AjhjsVCIXWnfG3HTDhNuxqIB9FClUrv3okX7PBc2AoHx/4dN2cWA==" saltValue="7fNLkOFmzf2OyuIMOjRwAg==" spinCount="100000" sheet="1" objects="1" scenarios="1" selectLockedCells="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7998-2AE3-4653-935A-D7548F322815}">
  <dimension ref="A1:W40"/>
  <sheetViews>
    <sheetView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16</v>
      </c>
      <c r="U1" s="2" t="s">
        <v>58</v>
      </c>
      <c r="V1" s="2">
        <f>T1*0.0254</f>
        <v>0.40639999999999998</v>
      </c>
      <c r="W1" s="2" t="s">
        <v>59</v>
      </c>
    </row>
    <row r="2" spans="1:23" x14ac:dyDescent="0.35">
      <c r="D2" s="2">
        <v>-1.73874208079709E-4</v>
      </c>
      <c r="E2" s="2">
        <v>-5.5987666768302199E-4</v>
      </c>
      <c r="H2" s="2">
        <v>0</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1.50500281016451E-2</v>
      </c>
      <c r="E3" s="2">
        <v>5.0904552631765299E-2</v>
      </c>
      <c r="H3" s="2">
        <v>991</v>
      </c>
      <c r="J3" s="2">
        <v>1.5617712064482301</v>
      </c>
      <c r="N3" s="2">
        <f t="shared" si="0"/>
        <v>32.594116488760285</v>
      </c>
      <c r="O3" s="2">
        <f t="shared" ref="O3:O14" si="2">+PI()*$V$1*H3/60*0.00291545</f>
        <v>6.1479676516761644E-2</v>
      </c>
      <c r="P3" s="23">
        <f t="shared" ref="P3:P14" si="3">(E3*9.81)/($T$2*(H3/60)^2*($V$1)^4)</f>
        <v>5.8156445370199622E-2</v>
      </c>
      <c r="Q3" s="23">
        <f t="shared" si="1"/>
        <v>2.7096520721240389E-2</v>
      </c>
      <c r="R3" s="24">
        <f t="shared" ref="R3:R14" si="4">(P3^(3/2))/(Q3*SQRT(2))</f>
        <v>0.36598918584583329</v>
      </c>
      <c r="S3" s="2" t="s">
        <v>361</v>
      </c>
      <c r="U3" s="2">
        <v>26.3</v>
      </c>
      <c r="V3" s="69" t="s">
        <v>362</v>
      </c>
    </row>
    <row r="4" spans="1:23" x14ac:dyDescent="0.35">
      <c r="D4" s="2">
        <v>3.1524699653683999E-2</v>
      </c>
      <c r="E4" s="2">
        <v>0.127911272084477</v>
      </c>
      <c r="H4" s="2">
        <v>1530</v>
      </c>
      <c r="J4" s="2">
        <v>5.0516618851322601</v>
      </c>
      <c r="N4" s="2">
        <f t="shared" si="0"/>
        <v>25.320632099495331</v>
      </c>
      <c r="O4" s="2">
        <f t="shared" si="2"/>
        <v>9.4918168587936752E-2</v>
      </c>
      <c r="P4" s="23">
        <f t="shared" si="3"/>
        <v>6.130762525472843E-2</v>
      </c>
      <c r="Q4" s="23">
        <f t="shared" si="1"/>
        <v>2.3816451995327146E-2</v>
      </c>
      <c r="R4" s="24">
        <f t="shared" si="4"/>
        <v>0.45069182381889805</v>
      </c>
      <c r="S4" s="2" t="s">
        <v>363</v>
      </c>
      <c r="U4" s="2">
        <v>995</v>
      </c>
      <c r="V4" s="2" t="s">
        <v>364</v>
      </c>
    </row>
    <row r="5" spans="1:23" x14ac:dyDescent="0.35">
      <c r="D5" s="2">
        <v>5.47585373331958E-2</v>
      </c>
      <c r="E5" s="2">
        <v>0.23889911887961701</v>
      </c>
      <c r="H5" s="2">
        <v>2044</v>
      </c>
      <c r="J5" s="2">
        <v>11.7202569208656</v>
      </c>
      <c r="N5" s="2">
        <f t="shared" si="0"/>
        <v>20.38343702639354</v>
      </c>
      <c r="O5" s="2">
        <f t="shared" si="2"/>
        <v>0.12680571019198869</v>
      </c>
      <c r="P5" s="23">
        <f t="shared" si="3"/>
        <v>6.4156594449008106E-2</v>
      </c>
      <c r="Q5" s="23">
        <f t="shared" si="1"/>
        <v>2.3174562230255651E-2</v>
      </c>
      <c r="R5" s="24">
        <f t="shared" si="4"/>
        <v>0.49583298803316767</v>
      </c>
      <c r="S5" s="2" t="s">
        <v>365</v>
      </c>
      <c r="U5" s="2">
        <v>24</v>
      </c>
      <c r="V5" s="2" t="s">
        <v>366</v>
      </c>
    </row>
    <row r="6" spans="1:23" x14ac:dyDescent="0.35">
      <c r="D6" s="2">
        <v>8.6092701627114299E-2</v>
      </c>
      <c r="E6" s="2">
        <v>0.39044453299779203</v>
      </c>
      <c r="H6" s="2">
        <v>2546</v>
      </c>
      <c r="J6" s="2">
        <v>22.958177055708902</v>
      </c>
      <c r="N6" s="2">
        <f t="shared" si="0"/>
        <v>17.006774189882904</v>
      </c>
      <c r="O6" s="2">
        <f t="shared" si="2"/>
        <v>0.15794879557182154</v>
      </c>
      <c r="P6" s="23">
        <f t="shared" si="3"/>
        <v>6.7582007045363629E-2</v>
      </c>
      <c r="Q6" s="23">
        <f t="shared" si="1"/>
        <v>2.3489798122342274E-2</v>
      </c>
      <c r="R6" s="24">
        <f t="shared" si="4"/>
        <v>0.52887415655643955</v>
      </c>
    </row>
    <row r="7" spans="1:23" x14ac:dyDescent="0.35">
      <c r="D7" s="2">
        <v>0.12336197150841199</v>
      </c>
      <c r="E7" s="2">
        <v>0.58392273734285904</v>
      </c>
      <c r="H7" s="2">
        <v>3039</v>
      </c>
      <c r="J7" s="2">
        <v>39.259813709931898</v>
      </c>
      <c r="N7" s="2">
        <f t="shared" si="0"/>
        <v>14.873293634481485</v>
      </c>
      <c r="O7" s="2">
        <f t="shared" si="2"/>
        <v>0.18853353878349002</v>
      </c>
      <c r="P7" s="23">
        <f t="shared" si="3"/>
        <v>7.0938585435095486E-2</v>
      </c>
      <c r="Q7" s="23">
        <f t="shared" si="1"/>
        <v>2.3619636828802738E-2</v>
      </c>
      <c r="R7" s="24">
        <f t="shared" si="4"/>
        <v>0.56563408568207307</v>
      </c>
    </row>
    <row r="8" spans="1:23" x14ac:dyDescent="0.35">
      <c r="D8" s="2">
        <v>0.16559659392036899</v>
      </c>
      <c r="E8" s="2">
        <v>0.78036757035959503</v>
      </c>
      <c r="H8" s="2">
        <v>3482</v>
      </c>
      <c r="J8" s="2">
        <v>60.376546681303203</v>
      </c>
      <c r="N8" s="2">
        <f t="shared" si="0"/>
        <v>12.925011668500268</v>
      </c>
      <c r="O8" s="2">
        <f t="shared" si="2"/>
        <v>0.21601638106091225</v>
      </c>
      <c r="P8" s="23">
        <f t="shared" si="3"/>
        <v>7.2215465874827162E-2</v>
      </c>
      <c r="Q8" s="23">
        <f t="shared" si="1"/>
        <v>2.4148994378487908E-2</v>
      </c>
      <c r="R8" s="24">
        <f t="shared" si="4"/>
        <v>0.56823931445308251</v>
      </c>
    </row>
    <row r="9" spans="1:23" x14ac:dyDescent="0.35">
      <c r="D9" s="2">
        <v>0.20686336796958299</v>
      </c>
      <c r="E9" s="2">
        <v>1.0049753974986599</v>
      </c>
      <c r="H9" s="2">
        <v>3915</v>
      </c>
      <c r="J9" s="2">
        <v>84.809820221668005</v>
      </c>
      <c r="N9" s="2">
        <f t="shared" si="0"/>
        <v>11.849752715805185</v>
      </c>
      <c r="O9" s="2">
        <f t="shared" si="2"/>
        <v>0.24287884315148517</v>
      </c>
      <c r="P9" s="23">
        <f t="shared" si="3"/>
        <v>7.3566557664691626E-2</v>
      </c>
      <c r="Q9" s="23">
        <f t="shared" si="1"/>
        <v>2.3865356423585754E-2</v>
      </c>
      <c r="R9" s="24">
        <f t="shared" si="4"/>
        <v>0.59120449823012788</v>
      </c>
    </row>
    <row r="10" spans="1:23" x14ac:dyDescent="0.35">
      <c r="D10" s="2">
        <v>0.25724153854745202</v>
      </c>
      <c r="E10" s="2">
        <v>1.2404053809945601</v>
      </c>
      <c r="H10" s="2">
        <v>4320</v>
      </c>
      <c r="J10" s="2">
        <v>116.380528974244</v>
      </c>
      <c r="N10" s="2">
        <f t="shared" si="0"/>
        <v>10.658186484691717</v>
      </c>
      <c r="O10" s="2">
        <f t="shared" si="2"/>
        <v>0.26800424071888018</v>
      </c>
      <c r="P10" s="23">
        <f t="shared" si="3"/>
        <v>7.4573527316879357E-2</v>
      </c>
      <c r="Q10" s="23">
        <f t="shared" si="1"/>
        <v>2.4375086625791978E-2</v>
      </c>
      <c r="R10" s="24">
        <f t="shared" si="4"/>
        <v>0.59076650352820337</v>
      </c>
    </row>
    <row r="11" spans="1:23" x14ac:dyDescent="0.35">
      <c r="D11" s="2">
        <v>0.30568822812658702</v>
      </c>
      <c r="E11" s="2">
        <v>1.4859699255247101</v>
      </c>
      <c r="H11" s="2">
        <v>4705</v>
      </c>
      <c r="J11" s="2">
        <v>150.621464231034</v>
      </c>
      <c r="N11" s="2">
        <f t="shared" si="0"/>
        <v>9.8655920861678972</v>
      </c>
      <c r="O11" s="2">
        <f t="shared" si="2"/>
        <v>0.29188887791257667</v>
      </c>
      <c r="P11" s="23">
        <f t="shared" si="3"/>
        <v>7.5314622221686819E-2</v>
      </c>
      <c r="Q11" s="23">
        <f t="shared" si="1"/>
        <v>2.441884191537981E-2</v>
      </c>
      <c r="R11" s="24">
        <f t="shared" si="4"/>
        <v>0.59852030955352475</v>
      </c>
    </row>
    <row r="12" spans="1:23" x14ac:dyDescent="0.35">
      <c r="D12" s="2">
        <v>0.35797306135500201</v>
      </c>
      <c r="E12" s="2">
        <v>1.72994047671386</v>
      </c>
      <c r="H12" s="2">
        <v>5078</v>
      </c>
      <c r="J12" s="2">
        <v>190.359417229912</v>
      </c>
      <c r="N12" s="2">
        <f t="shared" si="0"/>
        <v>9.0877588400287816</v>
      </c>
      <c r="O12" s="2">
        <f t="shared" si="2"/>
        <v>0.31502905888205407</v>
      </c>
      <c r="P12" s="23">
        <f t="shared" si="3"/>
        <v>7.5272147218390817E-2</v>
      </c>
      <c r="Q12" s="23">
        <f t="shared" si="1"/>
        <v>2.4547844207504884E-2</v>
      </c>
      <c r="R12" s="24">
        <f t="shared" si="4"/>
        <v>0.5948714158821421</v>
      </c>
    </row>
    <row r="13" spans="1:23" x14ac:dyDescent="0.35">
      <c r="D13" s="2">
        <v>0.412972682339598</v>
      </c>
      <c r="E13" s="2">
        <v>2.0007205481558499</v>
      </c>
      <c r="H13" s="2">
        <v>5416</v>
      </c>
      <c r="J13" s="2">
        <v>234.22121843979599</v>
      </c>
      <c r="N13" s="2">
        <f t="shared" si="0"/>
        <v>8.5420123824951979</v>
      </c>
      <c r="O13" s="2">
        <f t="shared" si="2"/>
        <v>0.33599790919755906</v>
      </c>
      <c r="P13" s="23">
        <f t="shared" si="3"/>
        <v>7.6527523407229653E-2</v>
      </c>
      <c r="Q13" s="23">
        <f t="shared" si="1"/>
        <v>2.4894725978908572E-2</v>
      </c>
      <c r="R13" s="24">
        <f t="shared" si="4"/>
        <v>0.60131791121754186</v>
      </c>
    </row>
    <row r="14" spans="1:23" x14ac:dyDescent="0.35">
      <c r="D14" s="2">
        <v>0.467442653166591</v>
      </c>
      <c r="E14" s="2">
        <v>2.28492520627319</v>
      </c>
      <c r="H14" s="2">
        <v>5775</v>
      </c>
      <c r="J14" s="2">
        <v>282.66808190526598</v>
      </c>
      <c r="N14" s="2">
        <f t="shared" si="0"/>
        <v>8.0834213430540949</v>
      </c>
      <c r="O14" s="2">
        <f t="shared" si="2"/>
        <v>0.35826955790544751</v>
      </c>
      <c r="P14" s="23">
        <f t="shared" si="3"/>
        <v>7.6869941259168045E-2</v>
      </c>
      <c r="Q14" s="23">
        <f t="shared" si="1"/>
        <v>2.4782087592296918E-2</v>
      </c>
      <c r="R14" s="24">
        <f t="shared" si="4"/>
        <v>0.60810971033273875</v>
      </c>
    </row>
    <row r="15" spans="1:23" x14ac:dyDescent="0.35">
      <c r="D15" s="2">
        <v>0.52044626438630504</v>
      </c>
      <c r="E15" s="2">
        <v>2.5558401265717499</v>
      </c>
      <c r="H15" s="2">
        <v>6079</v>
      </c>
      <c r="J15" s="2">
        <v>331.31940594066401</v>
      </c>
      <c r="N15" s="2">
        <f t="shared" ref="N15" si="5">E15*1000/J15</f>
        <v>7.7141274575068968</v>
      </c>
      <c r="O15" s="2">
        <f t="shared" ref="O15" si="6">+PI()*$V$1*H15/60*0.00291545</f>
        <v>0.37712911558566503</v>
      </c>
      <c r="P15" s="23">
        <f t="shared" ref="P15" si="7">(E15*9.81)/($T$2*(H15/60)^2*($V$1)^4)</f>
        <v>7.7599323504727521E-2</v>
      </c>
      <c r="Q15" s="23">
        <f t="shared" ref="Q15" si="8">J15/($T$2*((H15/60)^3)*($V$1)^5)</f>
        <v>2.4903909258817421E-2</v>
      </c>
      <c r="R15" s="24">
        <f t="shared" ref="R15" si="9">(P15^(3/2))/(Q15*SQRT(2))</f>
        <v>0.6137681947358955</v>
      </c>
    </row>
    <row r="16" spans="1:23" x14ac:dyDescent="0.35">
      <c r="D16" s="2">
        <v>0.54284961324591996</v>
      </c>
      <c r="E16" s="2">
        <v>2.6598408845927102</v>
      </c>
      <c r="H16" s="2">
        <v>6182</v>
      </c>
      <c r="J16" s="2">
        <v>351.42088846079702</v>
      </c>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cSC6/Q40Vp8SKBmgKSFDzGxB03ZpK0KoCX1re+gqmtth7Fh38D9HiZXIErXeI6sTF9E4tZStkIeK9sZfpx9m9g==" saltValue="DUoheJrP1vaexdkmo4m7h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686F-99A2-482B-A769-94290841BA65}">
  <dimension ref="A1:W190"/>
  <sheetViews>
    <sheetView showGridLines="0" showRowColHeaders="0" topLeftCell="A14" zoomScale="85" zoomScaleNormal="85" workbookViewId="0">
      <selection activeCell="F92" sqref="F92"/>
    </sheetView>
  </sheetViews>
  <sheetFormatPr defaultColWidth="9.1796875" defaultRowHeight="14.5" x14ac:dyDescent="0.35"/>
  <cols>
    <col min="1" max="16384" width="9.1796875" style="2"/>
  </cols>
  <sheetData>
    <row r="1" spans="1:3" x14ac:dyDescent="0.35">
      <c r="A1" s="48" t="s">
        <v>319</v>
      </c>
    </row>
    <row r="2" spans="1:3" x14ac:dyDescent="0.35">
      <c r="A2" s="27" t="s">
        <v>215</v>
      </c>
      <c r="B2" s="1"/>
      <c r="C2" s="1"/>
    </row>
    <row r="3" spans="1:3" x14ac:dyDescent="0.35">
      <c r="A3" s="27" t="s">
        <v>216</v>
      </c>
      <c r="B3" s="1"/>
      <c r="C3" s="1"/>
    </row>
    <row r="4" spans="1:3" x14ac:dyDescent="0.35">
      <c r="A4" s="27" t="s">
        <v>217</v>
      </c>
    </row>
    <row r="5" spans="1:3" x14ac:dyDescent="0.35">
      <c r="A5" s="27" t="s">
        <v>217</v>
      </c>
    </row>
    <row r="6" spans="1:3" x14ac:dyDescent="0.35">
      <c r="A6" s="27" t="s">
        <v>217</v>
      </c>
    </row>
    <row r="7" spans="1:3" x14ac:dyDescent="0.35">
      <c r="A7" s="27" t="s">
        <v>217</v>
      </c>
    </row>
    <row r="8" spans="1:3" x14ac:dyDescent="0.35">
      <c r="A8" s="27" t="s">
        <v>217</v>
      </c>
    </row>
    <row r="9" spans="1:3" x14ac:dyDescent="0.35">
      <c r="A9" s="27" t="s">
        <v>217</v>
      </c>
    </row>
    <row r="10" spans="1:3" x14ac:dyDescent="0.35">
      <c r="A10" s="27" t="s">
        <v>217</v>
      </c>
    </row>
    <row r="11" spans="1:3" x14ac:dyDescent="0.35">
      <c r="A11" s="27" t="s">
        <v>217</v>
      </c>
    </row>
    <row r="12" spans="1:3" x14ac:dyDescent="0.35">
      <c r="A12" s="27" t="s">
        <v>217</v>
      </c>
    </row>
    <row r="13" spans="1:3" x14ac:dyDescent="0.35">
      <c r="A13" s="27" t="s">
        <v>217</v>
      </c>
    </row>
    <row r="14" spans="1:3" x14ac:dyDescent="0.35">
      <c r="A14" s="27" t="s">
        <v>217</v>
      </c>
    </row>
    <row r="15" spans="1:3" x14ac:dyDescent="0.35">
      <c r="A15" s="27" t="s">
        <v>217</v>
      </c>
    </row>
    <row r="16" spans="1:3" x14ac:dyDescent="0.35">
      <c r="A16" s="27" t="s">
        <v>217</v>
      </c>
    </row>
    <row r="17" spans="1:1" x14ac:dyDescent="0.35">
      <c r="A17" s="48" t="s">
        <v>218</v>
      </c>
    </row>
    <row r="18" spans="1:1" x14ac:dyDescent="0.35">
      <c r="A18" s="27" t="s">
        <v>219</v>
      </c>
    </row>
    <row r="19" spans="1:1" x14ac:dyDescent="0.35">
      <c r="A19" s="27" t="s">
        <v>220</v>
      </c>
    </row>
    <row r="20" spans="1:1" x14ac:dyDescent="0.35">
      <c r="A20" s="27" t="s">
        <v>221</v>
      </c>
    </row>
    <row r="21" spans="1:1" x14ac:dyDescent="0.35">
      <c r="A21" s="27" t="s">
        <v>217</v>
      </c>
    </row>
    <row r="22" spans="1:1" x14ac:dyDescent="0.35">
      <c r="A22" s="48" t="s">
        <v>222</v>
      </c>
    </row>
    <row r="23" spans="1:1" x14ac:dyDescent="0.35">
      <c r="A23" s="48" t="s">
        <v>223</v>
      </c>
    </row>
    <row r="24" spans="1:1" x14ac:dyDescent="0.35">
      <c r="A24" s="48" t="s">
        <v>320</v>
      </c>
    </row>
    <row r="25" spans="1:1" x14ac:dyDescent="0.35">
      <c r="A25" s="48" t="s">
        <v>321</v>
      </c>
    </row>
    <row r="26" spans="1:1" x14ac:dyDescent="0.35">
      <c r="A26" s="48" t="s">
        <v>322</v>
      </c>
    </row>
    <row r="27" spans="1:1" x14ac:dyDescent="0.35">
      <c r="A27" s="27" t="s">
        <v>217</v>
      </c>
    </row>
    <row r="28" spans="1:1" x14ac:dyDescent="0.35">
      <c r="A28" s="48" t="s">
        <v>224</v>
      </c>
    </row>
    <row r="29" spans="1:1" x14ac:dyDescent="0.35">
      <c r="A29" s="48" t="s">
        <v>323</v>
      </c>
    </row>
    <row r="30" spans="1:1" x14ac:dyDescent="0.35">
      <c r="A30" s="48" t="s">
        <v>225</v>
      </c>
    </row>
    <row r="31" spans="1:1" x14ac:dyDescent="0.35">
      <c r="A31" s="27" t="s">
        <v>217</v>
      </c>
    </row>
    <row r="32" spans="1:1" x14ac:dyDescent="0.35">
      <c r="A32" s="27" t="s">
        <v>217</v>
      </c>
    </row>
    <row r="33" spans="1:1" x14ac:dyDescent="0.35">
      <c r="A33" s="27" t="s">
        <v>217</v>
      </c>
    </row>
    <row r="34" spans="1:1" x14ac:dyDescent="0.35">
      <c r="A34" s="27" t="s">
        <v>217</v>
      </c>
    </row>
    <row r="35" spans="1:1" x14ac:dyDescent="0.35">
      <c r="A35" s="27" t="s">
        <v>217</v>
      </c>
    </row>
    <row r="36" spans="1:1" x14ac:dyDescent="0.35">
      <c r="A36" s="27" t="s">
        <v>217</v>
      </c>
    </row>
    <row r="37" spans="1:1" x14ac:dyDescent="0.35">
      <c r="A37" s="27" t="s">
        <v>217</v>
      </c>
    </row>
    <row r="38" spans="1:1" x14ac:dyDescent="0.35">
      <c r="A38" s="27" t="s">
        <v>217</v>
      </c>
    </row>
    <row r="39" spans="1:1" x14ac:dyDescent="0.35">
      <c r="A39" s="48" t="s">
        <v>226</v>
      </c>
    </row>
    <row r="40" spans="1:1" x14ac:dyDescent="0.35">
      <c r="A40" s="48" t="s">
        <v>227</v>
      </c>
    </row>
    <row r="41" spans="1:1" x14ac:dyDescent="0.35">
      <c r="A41" s="48" t="s">
        <v>228</v>
      </c>
    </row>
    <row r="42" spans="1:1" x14ac:dyDescent="0.35">
      <c r="A42" s="48" t="s">
        <v>229</v>
      </c>
    </row>
    <row r="43" spans="1:1" x14ac:dyDescent="0.35">
      <c r="A43" s="48" t="s">
        <v>230</v>
      </c>
    </row>
    <row r="44" spans="1:1" x14ac:dyDescent="0.35">
      <c r="A44" s="48" t="s">
        <v>231</v>
      </c>
    </row>
    <row r="45" spans="1:1" x14ac:dyDescent="0.35">
      <c r="A45" s="48" t="s">
        <v>324</v>
      </c>
    </row>
    <row r="46" spans="1:1" x14ac:dyDescent="0.35">
      <c r="A46" s="48" t="s">
        <v>325</v>
      </c>
    </row>
    <row r="47" spans="1:1" x14ac:dyDescent="0.35">
      <c r="A47" s="48" t="s">
        <v>326</v>
      </c>
    </row>
    <row r="48" spans="1:1" x14ac:dyDescent="0.35">
      <c r="A48" s="48" t="s">
        <v>232</v>
      </c>
    </row>
    <row r="49" spans="1:1" x14ac:dyDescent="0.35">
      <c r="A49" s="27" t="s">
        <v>217</v>
      </c>
    </row>
    <row r="50" spans="1:1" x14ac:dyDescent="0.35">
      <c r="A50" s="27" t="s">
        <v>217</v>
      </c>
    </row>
    <row r="51" spans="1:1" x14ac:dyDescent="0.35">
      <c r="A51" s="27" t="s">
        <v>217</v>
      </c>
    </row>
    <row r="52" spans="1:1" x14ac:dyDescent="0.35">
      <c r="A52" s="27" t="s">
        <v>217</v>
      </c>
    </row>
    <row r="53" spans="1:1" x14ac:dyDescent="0.35">
      <c r="A53" s="32" t="s">
        <v>233</v>
      </c>
    </row>
    <row r="54" spans="1:1" x14ac:dyDescent="0.35">
      <c r="A54" s="48" t="s">
        <v>234</v>
      </c>
    </row>
    <row r="55" spans="1:1" x14ac:dyDescent="0.35">
      <c r="A55" s="48" t="s">
        <v>235</v>
      </c>
    </row>
    <row r="56" spans="1:1" x14ac:dyDescent="0.35">
      <c r="A56" s="48" t="s">
        <v>236</v>
      </c>
    </row>
    <row r="57" spans="1:1" x14ac:dyDescent="0.35">
      <c r="A57" s="48" t="s">
        <v>237</v>
      </c>
    </row>
    <row r="58" spans="1:1" x14ac:dyDescent="0.35">
      <c r="A58" s="48" t="s">
        <v>238</v>
      </c>
    </row>
    <row r="59" spans="1:1" x14ac:dyDescent="0.35">
      <c r="A59" s="48" t="s">
        <v>327</v>
      </c>
    </row>
    <row r="60" spans="1:1" x14ac:dyDescent="0.35">
      <c r="A60" s="27" t="s">
        <v>217</v>
      </c>
    </row>
    <row r="61" spans="1:1" x14ac:dyDescent="0.35">
      <c r="A61" s="27" t="s">
        <v>217</v>
      </c>
    </row>
    <row r="62" spans="1:1" x14ac:dyDescent="0.35">
      <c r="A62" s="27" t="s">
        <v>217</v>
      </c>
    </row>
    <row r="63" spans="1:1" x14ac:dyDescent="0.35">
      <c r="A63" s="27" t="s">
        <v>217</v>
      </c>
    </row>
    <row r="64" spans="1:1" x14ac:dyDescent="0.35">
      <c r="A64" s="27" t="s">
        <v>217</v>
      </c>
    </row>
    <row r="65" spans="1:2" x14ac:dyDescent="0.35">
      <c r="A65" s="27" t="s">
        <v>217</v>
      </c>
    </row>
    <row r="66" spans="1:2" x14ac:dyDescent="0.35">
      <c r="A66" s="48" t="s">
        <v>239</v>
      </c>
      <c r="B66" s="64"/>
    </row>
    <row r="67" spans="1:2" x14ac:dyDescent="0.35">
      <c r="A67" s="48" t="s">
        <v>240</v>
      </c>
      <c r="B67" s="64"/>
    </row>
    <row r="68" spans="1:2" x14ac:dyDescent="0.35">
      <c r="A68" s="48" t="s">
        <v>241</v>
      </c>
      <c r="B68" s="64"/>
    </row>
    <row r="69" spans="1:2" x14ac:dyDescent="0.35">
      <c r="A69" s="48" t="s">
        <v>242</v>
      </c>
      <c r="B69" s="64"/>
    </row>
    <row r="70" spans="1:2" x14ac:dyDescent="0.35">
      <c r="A70" s="27" t="s">
        <v>243</v>
      </c>
      <c r="B70" s="64"/>
    </row>
    <row r="71" spans="1:2" x14ac:dyDescent="0.35">
      <c r="A71" s="48" t="s">
        <v>328</v>
      </c>
      <c r="B71" s="64"/>
    </row>
    <row r="72" spans="1:2" x14ac:dyDescent="0.35">
      <c r="A72" s="48" t="s">
        <v>244</v>
      </c>
      <c r="B72" s="64"/>
    </row>
    <row r="73" spans="1:2" x14ac:dyDescent="0.35">
      <c r="A73" s="48" t="s">
        <v>245</v>
      </c>
      <c r="B73" s="64"/>
    </row>
    <row r="74" spans="1:2" x14ac:dyDescent="0.35">
      <c r="A74" s="27" t="s">
        <v>217</v>
      </c>
    </row>
    <row r="75" spans="1:2" x14ac:dyDescent="0.35">
      <c r="A75" s="27" t="s">
        <v>217</v>
      </c>
    </row>
    <row r="76" spans="1:2" x14ac:dyDescent="0.35">
      <c r="A76" s="27" t="s">
        <v>217</v>
      </c>
    </row>
    <row r="77" spans="1:2" x14ac:dyDescent="0.35">
      <c r="A77" s="27" t="s">
        <v>217</v>
      </c>
    </row>
    <row r="78" spans="1:2" x14ac:dyDescent="0.35">
      <c r="A78" s="27" t="s">
        <v>217</v>
      </c>
    </row>
    <row r="79" spans="1:2" x14ac:dyDescent="0.35">
      <c r="A79" s="27" t="s">
        <v>217</v>
      </c>
    </row>
    <row r="80" spans="1:2" x14ac:dyDescent="0.35">
      <c r="A80" s="27" t="s">
        <v>217</v>
      </c>
    </row>
    <row r="81" spans="1:1" x14ac:dyDescent="0.35">
      <c r="A81" s="27" t="s">
        <v>217</v>
      </c>
    </row>
    <row r="82" spans="1:1" x14ac:dyDescent="0.35">
      <c r="A82" s="27" t="s">
        <v>217</v>
      </c>
    </row>
    <row r="83" spans="1:1" x14ac:dyDescent="0.35">
      <c r="A83" s="27" t="s">
        <v>217</v>
      </c>
    </row>
    <row r="84" spans="1:1" x14ac:dyDescent="0.35">
      <c r="A84" s="48" t="s">
        <v>246</v>
      </c>
    </row>
    <row r="85" spans="1:1" x14ac:dyDescent="0.35">
      <c r="A85" s="48" t="s">
        <v>247</v>
      </c>
    </row>
    <row r="86" spans="1:1" x14ac:dyDescent="0.35">
      <c r="A86" s="48" t="s">
        <v>248</v>
      </c>
    </row>
    <row r="87" spans="1:1" x14ac:dyDescent="0.35">
      <c r="A87" s="27" t="s">
        <v>217</v>
      </c>
    </row>
    <row r="88" spans="1:1" x14ac:dyDescent="0.35">
      <c r="A88" s="48" t="s">
        <v>249</v>
      </c>
    </row>
    <row r="89" spans="1:1" x14ac:dyDescent="0.35">
      <c r="A89" s="48" t="s">
        <v>217</v>
      </c>
    </row>
    <row r="90" spans="1:1" x14ac:dyDescent="0.35">
      <c r="A90" s="48" t="s">
        <v>329</v>
      </c>
    </row>
    <row r="91" spans="1:1" x14ac:dyDescent="0.35">
      <c r="A91" s="48" t="s">
        <v>250</v>
      </c>
    </row>
    <row r="92" spans="1:1" x14ac:dyDescent="0.35">
      <c r="A92" s="48" t="s">
        <v>251</v>
      </c>
    </row>
    <row r="93" spans="1:1" x14ac:dyDescent="0.35">
      <c r="A93" s="27" t="s">
        <v>217</v>
      </c>
    </row>
    <row r="94" spans="1:1" x14ac:dyDescent="0.35">
      <c r="A94" s="48" t="s">
        <v>252</v>
      </c>
    </row>
    <row r="95" spans="1:1" x14ac:dyDescent="0.35">
      <c r="A95" s="48" t="s">
        <v>330</v>
      </c>
    </row>
    <row r="96" spans="1:1" x14ac:dyDescent="0.35">
      <c r="A96" s="48" t="s">
        <v>331</v>
      </c>
    </row>
    <row r="97" spans="1:1" x14ac:dyDescent="0.35">
      <c r="A97" s="27" t="s">
        <v>217</v>
      </c>
    </row>
    <row r="98" spans="1:1" x14ac:dyDescent="0.35">
      <c r="A98" s="48" t="s">
        <v>253</v>
      </c>
    </row>
    <row r="99" spans="1:1" x14ac:dyDescent="0.35">
      <c r="A99" s="48" t="s">
        <v>254</v>
      </c>
    </row>
    <row r="100" spans="1:1" x14ac:dyDescent="0.35">
      <c r="A100" s="48" t="s">
        <v>255</v>
      </c>
    </row>
    <row r="101" spans="1:1" x14ac:dyDescent="0.35">
      <c r="A101" s="27" t="s">
        <v>217</v>
      </c>
    </row>
    <row r="102" spans="1:1" x14ac:dyDescent="0.35">
      <c r="A102" s="27" t="s">
        <v>217</v>
      </c>
    </row>
    <row r="103" spans="1:1" x14ac:dyDescent="0.35">
      <c r="A103" s="27" t="s">
        <v>217</v>
      </c>
    </row>
    <row r="104" spans="1:1" x14ac:dyDescent="0.35">
      <c r="A104" s="27" t="s">
        <v>217</v>
      </c>
    </row>
    <row r="105" spans="1:1" x14ac:dyDescent="0.35">
      <c r="A105" s="27" t="s">
        <v>217</v>
      </c>
    </row>
    <row r="106" spans="1:1" x14ac:dyDescent="0.35">
      <c r="A106" s="27" t="s">
        <v>217</v>
      </c>
    </row>
    <row r="107" spans="1:1" x14ac:dyDescent="0.35">
      <c r="A107" s="27" t="s">
        <v>217</v>
      </c>
    </row>
    <row r="108" spans="1:1" x14ac:dyDescent="0.35">
      <c r="A108" s="27" t="s">
        <v>217</v>
      </c>
    </row>
    <row r="109" spans="1:1" x14ac:dyDescent="0.35">
      <c r="A109" s="27" t="s">
        <v>217</v>
      </c>
    </row>
    <row r="110" spans="1:1" x14ac:dyDescent="0.35">
      <c r="A110" s="27" t="s">
        <v>217</v>
      </c>
    </row>
    <row r="111" spans="1:1" x14ac:dyDescent="0.35">
      <c r="A111" s="27" t="s">
        <v>217</v>
      </c>
    </row>
    <row r="112" spans="1:1" x14ac:dyDescent="0.35">
      <c r="A112" s="27" t="s">
        <v>217</v>
      </c>
    </row>
    <row r="113" spans="1:1" x14ac:dyDescent="0.35">
      <c r="A113" s="48" t="s">
        <v>256</v>
      </c>
    </row>
    <row r="114" spans="1:1" x14ac:dyDescent="0.35">
      <c r="A114" s="48" t="s">
        <v>257</v>
      </c>
    </row>
    <row r="115" spans="1:1" x14ac:dyDescent="0.35">
      <c r="A115" s="48" t="s">
        <v>258</v>
      </c>
    </row>
    <row r="116" spans="1:1" x14ac:dyDescent="0.35">
      <c r="A116" s="27" t="s">
        <v>217</v>
      </c>
    </row>
    <row r="117" spans="1:1" x14ac:dyDescent="0.35">
      <c r="A117" s="27" t="s">
        <v>217</v>
      </c>
    </row>
    <row r="118" spans="1:1" x14ac:dyDescent="0.35">
      <c r="A118" s="27" t="s">
        <v>217</v>
      </c>
    </row>
    <row r="119" spans="1:1" x14ac:dyDescent="0.35">
      <c r="A119" s="27" t="s">
        <v>217</v>
      </c>
    </row>
    <row r="120" spans="1:1" x14ac:dyDescent="0.35">
      <c r="A120" s="27" t="s">
        <v>217</v>
      </c>
    </row>
    <row r="121" spans="1:1" x14ac:dyDescent="0.35">
      <c r="A121" s="27" t="s">
        <v>217</v>
      </c>
    </row>
    <row r="122" spans="1:1" x14ac:dyDescent="0.35">
      <c r="A122" s="27" t="s">
        <v>217</v>
      </c>
    </row>
    <row r="123" spans="1:1" x14ac:dyDescent="0.35">
      <c r="A123" s="27" t="s">
        <v>217</v>
      </c>
    </row>
    <row r="124" spans="1:1" x14ac:dyDescent="0.35">
      <c r="A124" s="27" t="s">
        <v>217</v>
      </c>
    </row>
    <row r="125" spans="1:1" x14ac:dyDescent="0.35">
      <c r="A125" s="27" t="s">
        <v>217</v>
      </c>
    </row>
    <row r="126" spans="1:1" x14ac:dyDescent="0.35">
      <c r="A126" s="27" t="s">
        <v>217</v>
      </c>
    </row>
    <row r="127" spans="1:1" x14ac:dyDescent="0.35">
      <c r="A127" s="48" t="s">
        <v>259</v>
      </c>
    </row>
    <row r="128" spans="1:1" x14ac:dyDescent="0.35">
      <c r="A128" s="48" t="s">
        <v>260</v>
      </c>
    </row>
    <row r="129" spans="1:23" x14ac:dyDescent="0.35">
      <c r="A129" s="48" t="s">
        <v>261</v>
      </c>
    </row>
    <row r="130" spans="1:23" x14ac:dyDescent="0.35">
      <c r="A130" s="48" t="s">
        <v>332</v>
      </c>
    </row>
    <row r="131" spans="1:23" x14ac:dyDescent="0.35">
      <c r="A131" s="48" t="s">
        <v>333</v>
      </c>
    </row>
    <row r="132" spans="1:23" x14ac:dyDescent="0.35">
      <c r="A132" s="48" t="s">
        <v>334</v>
      </c>
    </row>
    <row r="133" spans="1:23" x14ac:dyDescent="0.35">
      <c r="A133" s="27" t="s">
        <v>217</v>
      </c>
    </row>
    <row r="134" spans="1:23" x14ac:dyDescent="0.35">
      <c r="A134" s="48" t="s">
        <v>262</v>
      </c>
    </row>
    <row r="135" spans="1:23" x14ac:dyDescent="0.35">
      <c r="A135" s="48" t="s">
        <v>263</v>
      </c>
    </row>
    <row r="136" spans="1:23" x14ac:dyDescent="0.35">
      <c r="A136" s="48" t="s">
        <v>335</v>
      </c>
    </row>
    <row r="137" spans="1:23" x14ac:dyDescent="0.35">
      <c r="A137" s="48" t="s">
        <v>264</v>
      </c>
    </row>
    <row r="138" spans="1:23" x14ac:dyDescent="0.35">
      <c r="A138" s="48" t="s">
        <v>367</v>
      </c>
      <c r="W138" s="60"/>
    </row>
    <row r="139" spans="1:23" x14ac:dyDescent="0.35">
      <c r="A139" s="48" t="s">
        <v>370</v>
      </c>
      <c r="W139" s="60"/>
    </row>
    <row r="140" spans="1:23" x14ac:dyDescent="0.35">
      <c r="A140" s="48" t="s">
        <v>373</v>
      </c>
      <c r="W140" s="60"/>
    </row>
    <row r="141" spans="1:23" x14ac:dyDescent="0.35">
      <c r="A141" s="48" t="s">
        <v>372</v>
      </c>
      <c r="W141" s="60"/>
    </row>
    <row r="142" spans="1:23" x14ac:dyDescent="0.35">
      <c r="A142" s="27" t="s">
        <v>371</v>
      </c>
    </row>
    <row r="143" spans="1:23" x14ac:dyDescent="0.35">
      <c r="A143" s="32" t="s">
        <v>265</v>
      </c>
    </row>
    <row r="144" spans="1:23" x14ac:dyDescent="0.35">
      <c r="A144" s="48" t="s">
        <v>266</v>
      </c>
    </row>
    <row r="145" spans="1:2" x14ac:dyDescent="0.35">
      <c r="A145" s="48" t="s">
        <v>267</v>
      </c>
    </row>
    <row r="146" spans="1:2" x14ac:dyDescent="0.35">
      <c r="A146" s="65" t="s">
        <v>336</v>
      </c>
    </row>
    <row r="147" spans="1:2" x14ac:dyDescent="0.35">
      <c r="A147" s="48" t="s">
        <v>268</v>
      </c>
    </row>
    <row r="148" spans="1:2" x14ac:dyDescent="0.35">
      <c r="A148" s="48" t="s">
        <v>269</v>
      </c>
    </row>
    <row r="149" spans="1:2" x14ac:dyDescent="0.35">
      <c r="A149" s="48" t="s">
        <v>270</v>
      </c>
    </row>
    <row r="150" spans="1:2" x14ac:dyDescent="0.35">
      <c r="A150" s="27" t="s">
        <v>217</v>
      </c>
    </row>
    <row r="151" spans="1:2" x14ac:dyDescent="0.35">
      <c r="A151" s="32" t="s">
        <v>271</v>
      </c>
    </row>
    <row r="152" spans="1:2" x14ac:dyDescent="0.35">
      <c r="A152" s="48" t="s">
        <v>272</v>
      </c>
    </row>
    <row r="153" spans="1:2" x14ac:dyDescent="0.35">
      <c r="A153" s="48" t="s">
        <v>273</v>
      </c>
    </row>
    <row r="154" spans="1:2" x14ac:dyDescent="0.35">
      <c r="A154" s="48" t="s">
        <v>274</v>
      </c>
    </row>
    <row r="155" spans="1:2" x14ac:dyDescent="0.35">
      <c r="A155" s="48" t="s">
        <v>275</v>
      </c>
    </row>
    <row r="156" spans="1:2" x14ac:dyDescent="0.35">
      <c r="A156" s="48" t="s">
        <v>276</v>
      </c>
    </row>
    <row r="157" spans="1:2" x14ac:dyDescent="0.35">
      <c r="A157" s="48" t="s">
        <v>277</v>
      </c>
    </row>
    <row r="158" spans="1:2" x14ac:dyDescent="0.35">
      <c r="A158" s="27" t="s">
        <v>217</v>
      </c>
    </row>
    <row r="159" spans="1:2" x14ac:dyDescent="0.35">
      <c r="A159" s="32" t="s">
        <v>286</v>
      </c>
      <c r="B159" s="27"/>
    </row>
    <row r="160" spans="1:2" x14ac:dyDescent="0.35">
      <c r="A160" s="48" t="s">
        <v>290</v>
      </c>
      <c r="B160" s="27"/>
    </row>
    <row r="161" spans="1:2" x14ac:dyDescent="0.35">
      <c r="A161" s="48" t="s">
        <v>291</v>
      </c>
      <c r="B161" s="27"/>
    </row>
    <row r="162" spans="1:2" x14ac:dyDescent="0.35">
      <c r="A162" s="48" t="s">
        <v>287</v>
      </c>
      <c r="B162" s="27"/>
    </row>
    <row r="163" spans="1:2" x14ac:dyDescent="0.35">
      <c r="A163" s="48" t="s">
        <v>288</v>
      </c>
      <c r="B163" s="27"/>
    </row>
    <row r="164" spans="1:2" x14ac:dyDescent="0.35">
      <c r="A164" s="48" t="s">
        <v>289</v>
      </c>
      <c r="B164" s="27"/>
    </row>
    <row r="165" spans="1:2" x14ac:dyDescent="0.35">
      <c r="A165" s="27"/>
    </row>
    <row r="166" spans="1:2" x14ac:dyDescent="0.35">
      <c r="A166" s="48" t="s">
        <v>278</v>
      </c>
    </row>
    <row r="167" spans="1:2" x14ac:dyDescent="0.35">
      <c r="A167" s="48" t="s">
        <v>279</v>
      </c>
    </row>
    <row r="168" spans="1:2" x14ac:dyDescent="0.35">
      <c r="A168" s="27" t="s">
        <v>217</v>
      </c>
    </row>
    <row r="169" spans="1:2" x14ac:dyDescent="0.35">
      <c r="A169" s="32" t="s">
        <v>292</v>
      </c>
    </row>
    <row r="170" spans="1:2" x14ac:dyDescent="0.35">
      <c r="A170" s="48" t="s">
        <v>293</v>
      </c>
    </row>
    <row r="171" spans="1:2" x14ac:dyDescent="0.35">
      <c r="A171" s="48" t="s">
        <v>294</v>
      </c>
    </row>
    <row r="172" spans="1:2" x14ac:dyDescent="0.35">
      <c r="A172" s="48" t="s">
        <v>295</v>
      </c>
    </row>
    <row r="175" spans="1:2" x14ac:dyDescent="0.35">
      <c r="A175" s="48" t="s">
        <v>280</v>
      </c>
    </row>
    <row r="176" spans="1:2" x14ac:dyDescent="0.35">
      <c r="A176" s="48" t="s">
        <v>281</v>
      </c>
    </row>
    <row r="177" spans="1:1" x14ac:dyDescent="0.35">
      <c r="A177" s="28" t="s">
        <v>283</v>
      </c>
    </row>
    <row r="178" spans="1:1" x14ac:dyDescent="0.35">
      <c r="A178" s="27" t="s">
        <v>217</v>
      </c>
    </row>
    <row r="179" spans="1:1" x14ac:dyDescent="0.35">
      <c r="A179" s="27" t="s">
        <v>217</v>
      </c>
    </row>
    <row r="180" spans="1:1" x14ac:dyDescent="0.35">
      <c r="A180" s="27" t="s">
        <v>217</v>
      </c>
    </row>
    <row r="181" spans="1:1" x14ac:dyDescent="0.35">
      <c r="A181" s="27" t="s">
        <v>217</v>
      </c>
    </row>
    <row r="182" spans="1:1" x14ac:dyDescent="0.35">
      <c r="A182" s="27" t="s">
        <v>282</v>
      </c>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sheetData>
  <sheetProtection algorithmName="SHA-512" hashValue="qDHXay1eSy6ME6T0UFXhkg42IJVV96BADTE0mujyU3phwqTJtIf6EXut4xGrN/hAu9ylBE9hbIjcliuNd5TnaA==" saltValue="8o0CLyRhMywEFlJlL5iSuQ==" spinCount="100000" sheet="1" objects="1" scenarios="1"/>
  <hyperlinks>
    <hyperlink ref="A177" r:id="rId1" display="mailto:info@mejzlik.eu" xr:uid="{4CD5B07F-9A69-40F4-BC93-8ABBFED1FC01}"/>
    <hyperlink ref="A146" r:id="rId2" display="https://www.mejzlik.eu/articles/8-understanding-power" xr:uid="{C85DD6A8-61CC-4203-9CDB-4C5F53D86134}"/>
  </hyperlinks>
  <pageMargins left="0.7" right="0.7" top="0.75" bottom="0.75" header="0.3" footer="0.3"/>
  <pageSetup orientation="portrait" horizontalDpi="300" verticalDpi="3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A0-71B8-44D9-81D6-EE16EF3C6A5E}">
  <dimension ref="A1:W41"/>
  <sheetViews>
    <sheetView showGridLines="0" showRowColHeaders="0" topLeftCell="B1" workbookViewId="0">
      <selection activeCell="B1"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17</v>
      </c>
      <c r="U1" s="2" t="s">
        <v>58</v>
      </c>
      <c r="V1" s="2">
        <f>T1*0.0254</f>
        <v>0.43179999999999996</v>
      </c>
      <c r="W1" s="2" t="s">
        <v>59</v>
      </c>
    </row>
    <row r="2" spans="1:23" x14ac:dyDescent="0.35">
      <c r="D2" s="2">
        <v>8.9994581984230203E-6</v>
      </c>
      <c r="E2" s="2">
        <v>6.9523441959796402E-5</v>
      </c>
      <c r="H2" s="2">
        <v>0</v>
      </c>
      <c r="J2" s="2">
        <v>0</v>
      </c>
      <c r="N2" s="2" t="e">
        <f t="shared" ref="N2:N15" si="0">E2*1000/J2</f>
        <v>#DIV/0!</v>
      </c>
      <c r="O2" s="2">
        <f>+PI()*$V$1*H2/60*0.00291545</f>
        <v>0</v>
      </c>
      <c r="P2" s="23" t="e">
        <f>(E2*9.81)/($T$2*(H2/60)^2*($V$1)^4)</f>
        <v>#DIV/0!</v>
      </c>
      <c r="Q2" s="23" t="e">
        <f t="shared" ref="Q2:Q15" si="1">J2/($T$2*((H2/60)^3)*($V$1)^5)</f>
        <v>#DIV/0!</v>
      </c>
      <c r="R2" s="24" t="e">
        <f>(P2^(3/2))/(Q2*SQRT(2))</f>
        <v>#DIV/0!</v>
      </c>
      <c r="S2" s="2" t="s">
        <v>22</v>
      </c>
      <c r="T2" s="2">
        <v>1.1538999999999999</v>
      </c>
    </row>
    <row r="3" spans="1:23" x14ac:dyDescent="0.35">
      <c r="D3" s="2">
        <v>1.57969540177458E-2</v>
      </c>
      <c r="E3" s="2">
        <v>5.7720321034160103E-2</v>
      </c>
      <c r="H3" s="2">
        <v>963</v>
      </c>
      <c r="J3" s="2">
        <v>1.59292883523388</v>
      </c>
      <c r="N3" s="2">
        <f t="shared" si="0"/>
        <v>36.235341942118453</v>
      </c>
      <c r="O3" s="2">
        <f t="shared" ref="O3" si="2">+PI()*$V$1*H3/60*0.00291545</f>
        <v>6.3476525243182674E-2</v>
      </c>
      <c r="P3" s="23">
        <f t="shared" ref="P3" si="3">(E3*9.81)/($T$2*(H3/60)^2*($V$1)^4)</f>
        <v>5.4796011289944511E-2</v>
      </c>
      <c r="Q3" s="23">
        <f t="shared" si="1"/>
        <v>2.2242822716791989E-2</v>
      </c>
      <c r="R3" s="24">
        <f t="shared" ref="R3" si="4">(P3^(3/2))/(Q3*SQRT(2))</f>
        <v>0.40777305181917189</v>
      </c>
      <c r="S3" s="2" t="s">
        <v>361</v>
      </c>
      <c r="U3" s="2">
        <v>26.3</v>
      </c>
      <c r="V3" s="69" t="s">
        <v>362</v>
      </c>
    </row>
    <row r="4" spans="1:23" x14ac:dyDescent="0.35">
      <c r="D4" s="2">
        <v>3.7501534544550803E-2</v>
      </c>
      <c r="E4" s="2">
        <v>0.15391909758741101</v>
      </c>
      <c r="H4" s="2">
        <v>1497</v>
      </c>
      <c r="J4" s="2">
        <v>5.8801607125770596</v>
      </c>
      <c r="N4" s="2">
        <f t="shared" si="0"/>
        <v>26.176001832431872</v>
      </c>
      <c r="O4" s="2">
        <f t="shared" ref="O4:O15" si="5">+PI()*$V$1*H4/60*0.00291545</f>
        <v>9.8675346094542551E-2</v>
      </c>
      <c r="P4" s="23">
        <f t="shared" ref="P4:P15" si="6">(E4*9.81)/($T$2*(H4/60)^2*($V$1)^4)</f>
        <v>6.0467455071826423E-2</v>
      </c>
      <c r="Q4" s="23">
        <f t="shared" si="1"/>
        <v>2.1857283376052309E-2</v>
      </c>
      <c r="R4" s="24">
        <f t="shared" ref="R4:R15" si="7">(P4^(3/2))/(Q4*SQRT(2))</f>
        <v>0.48102910581644509</v>
      </c>
      <c r="S4" s="2" t="s">
        <v>363</v>
      </c>
      <c r="U4" s="2">
        <v>995</v>
      </c>
      <c r="V4" s="2" t="s">
        <v>364</v>
      </c>
    </row>
    <row r="5" spans="1:23" x14ac:dyDescent="0.35">
      <c r="D5" s="2">
        <v>6.72527206025859E-2</v>
      </c>
      <c r="E5" s="2">
        <v>0.29177201879452802</v>
      </c>
      <c r="H5" s="2">
        <v>2000</v>
      </c>
      <c r="J5" s="2">
        <v>14.087139531172401</v>
      </c>
      <c r="N5" s="2">
        <f t="shared" si="0"/>
        <v>20.711942133382514</v>
      </c>
      <c r="O5" s="2">
        <f t="shared" si="5"/>
        <v>0.13183078970546769</v>
      </c>
      <c r="P5" s="23">
        <f t="shared" si="6"/>
        <v>6.4217949130349838E-2</v>
      </c>
      <c r="Q5" s="23">
        <f t="shared" si="1"/>
        <v>2.1958628791428923E-2</v>
      </c>
      <c r="R5" s="24">
        <f t="shared" si="7"/>
        <v>0.52403999374321086</v>
      </c>
      <c r="S5" s="2" t="s">
        <v>365</v>
      </c>
      <c r="U5" s="2">
        <v>24</v>
      </c>
      <c r="V5" s="2" t="s">
        <v>366</v>
      </c>
    </row>
    <row r="6" spans="1:23" x14ac:dyDescent="0.35">
      <c r="D6" s="2">
        <v>0.105605240340651</v>
      </c>
      <c r="E6" s="2">
        <v>0.47621457188384803</v>
      </c>
      <c r="H6" s="2">
        <v>2480</v>
      </c>
      <c r="J6" s="2">
        <v>27.426674493958199</v>
      </c>
      <c r="N6" s="2">
        <f t="shared" si="0"/>
        <v>17.36319042211089</v>
      </c>
      <c r="O6" s="2">
        <f t="shared" si="5"/>
        <v>0.16347017923477991</v>
      </c>
      <c r="P6" s="23">
        <f t="shared" si="6"/>
        <v>6.8166673565444647E-2</v>
      </c>
      <c r="Q6" s="23">
        <f t="shared" si="1"/>
        <v>2.2422833782842364E-2</v>
      </c>
      <c r="R6" s="24">
        <f t="shared" si="7"/>
        <v>0.56124522222095863</v>
      </c>
    </row>
    <row r="7" spans="1:23" x14ac:dyDescent="0.35">
      <c r="D7" s="2">
        <v>0.15367938530056599</v>
      </c>
      <c r="E7" s="2">
        <v>0.70703855309978902</v>
      </c>
      <c r="H7" s="2">
        <v>2940</v>
      </c>
      <c r="J7" s="2">
        <v>47.309837137084997</v>
      </c>
      <c r="N7" s="2">
        <f t="shared" si="0"/>
        <v>14.944852823125853</v>
      </c>
      <c r="O7" s="2">
        <f t="shared" si="5"/>
        <v>0.19379126086703749</v>
      </c>
      <c r="P7" s="23">
        <f t="shared" si="6"/>
        <v>7.2014710216069019E-2</v>
      </c>
      <c r="Q7" s="23">
        <f t="shared" si="1"/>
        <v>2.3215703556125233E-2</v>
      </c>
      <c r="R7" s="24">
        <f t="shared" si="7"/>
        <v>0.58861995173275261</v>
      </c>
    </row>
    <row r="8" spans="1:23" x14ac:dyDescent="0.35">
      <c r="D8" s="2">
        <v>0.20543350391378101</v>
      </c>
      <c r="E8" s="2">
        <v>0.93953880871123496</v>
      </c>
      <c r="H8" s="2">
        <v>3352</v>
      </c>
      <c r="J8" s="2">
        <v>72.105289216562298</v>
      </c>
      <c r="N8" s="2">
        <f t="shared" si="0"/>
        <v>13.030095557753157</v>
      </c>
      <c r="O8" s="2">
        <f t="shared" si="5"/>
        <v>0.22094840354636386</v>
      </c>
      <c r="P8" s="23">
        <f t="shared" si="6"/>
        <v>7.361723246195144E-2</v>
      </c>
      <c r="Q8" s="23">
        <f t="shared" si="1"/>
        <v>2.3874125971769841E-2</v>
      </c>
      <c r="R8" s="24">
        <f t="shared" si="7"/>
        <v>0.59159807360600969</v>
      </c>
    </row>
    <row r="9" spans="1:23" x14ac:dyDescent="0.35">
      <c r="D9" s="2">
        <v>0.25888005785074902</v>
      </c>
      <c r="E9" s="2">
        <v>1.19763027741723</v>
      </c>
      <c r="H9" s="2">
        <v>3749</v>
      </c>
      <c r="J9" s="2">
        <v>101.635922002057</v>
      </c>
      <c r="N9" s="2">
        <f t="shared" si="0"/>
        <v>11.783533359327338</v>
      </c>
      <c r="O9" s="2">
        <f t="shared" si="5"/>
        <v>0.24711681530289917</v>
      </c>
      <c r="P9" s="23">
        <f>(E9*9.81)/($T$2*(H9/60)^2*($V$1)^4)</f>
        <v>7.5017859620922556E-2</v>
      </c>
      <c r="Q9" s="23">
        <f t="shared" si="1"/>
        <v>2.4053224114879809E-2</v>
      </c>
      <c r="R9" s="24">
        <f t="shared" si="7"/>
        <v>0.60403027630692818</v>
      </c>
    </row>
    <row r="10" spans="1:23" x14ac:dyDescent="0.35">
      <c r="D10" s="2">
        <v>0.31672106961795599</v>
      </c>
      <c r="E10" s="2">
        <v>1.4682734613876001</v>
      </c>
      <c r="H10" s="2">
        <v>4110</v>
      </c>
      <c r="J10" s="2">
        <v>136.317355195483</v>
      </c>
      <c r="N10" s="2">
        <f t="shared" si="0"/>
        <v>10.77099434097774</v>
      </c>
      <c r="O10" s="2">
        <f t="shared" si="5"/>
        <v>0.27091227284473607</v>
      </c>
      <c r="P10" s="23">
        <f t="shared" si="6"/>
        <v>7.6523722504000885E-2</v>
      </c>
      <c r="Q10" s="23">
        <f t="shared" si="1"/>
        <v>2.4484885282245513E-2</v>
      </c>
      <c r="R10" s="24">
        <f t="shared" si="7"/>
        <v>0.61133753407929248</v>
      </c>
    </row>
    <row r="11" spans="1:23" x14ac:dyDescent="0.35">
      <c r="D11" s="2">
        <v>0.368073474093424</v>
      </c>
      <c r="E11" s="2">
        <v>1.72045190870511</v>
      </c>
      <c r="H11" s="2">
        <v>4473</v>
      </c>
      <c r="J11" s="2">
        <v>172.39349111605199</v>
      </c>
      <c r="N11" s="2">
        <f t="shared" si="0"/>
        <v>9.9797962067311161</v>
      </c>
      <c r="O11" s="2">
        <f t="shared" si="5"/>
        <v>0.29483956117627846</v>
      </c>
      <c r="P11" s="23">
        <f t="shared" si="6"/>
        <v>7.5703772831891863E-2</v>
      </c>
      <c r="Q11" s="23">
        <f t="shared" si="1"/>
        <v>2.4021302807020941E-2</v>
      </c>
      <c r="R11" s="24">
        <f t="shared" si="7"/>
        <v>0.61314717282417408</v>
      </c>
    </row>
    <row r="12" spans="1:23" x14ac:dyDescent="0.35">
      <c r="D12" s="2">
        <v>0.42577268018361297</v>
      </c>
      <c r="E12" s="2">
        <v>1.9875891288820799</v>
      </c>
      <c r="H12" s="2">
        <v>4809</v>
      </c>
      <c r="J12" s="2">
        <v>214.427890826945</v>
      </c>
      <c r="N12" s="2">
        <f t="shared" si="0"/>
        <v>9.2692658647012145</v>
      </c>
      <c r="O12" s="2">
        <f t="shared" si="5"/>
        <v>0.31698713384679705</v>
      </c>
      <c r="P12" s="23">
        <f t="shared" si="6"/>
        <v>7.5664094897500214E-2</v>
      </c>
      <c r="Q12" s="23">
        <f t="shared" si="1"/>
        <v>2.4043037308943638E-2</v>
      </c>
      <c r="R12" s="24">
        <f t="shared" si="7"/>
        <v>0.61211135201829381</v>
      </c>
    </row>
    <row r="13" spans="1:23" x14ac:dyDescent="0.35">
      <c r="D13" s="2">
        <v>0.48925481511656799</v>
      </c>
      <c r="E13" s="2">
        <v>2.2899252395490102</v>
      </c>
      <c r="H13" s="2">
        <v>5099</v>
      </c>
      <c r="J13" s="2">
        <v>261.23158980134002</v>
      </c>
      <c r="N13" s="2">
        <f t="shared" si="0"/>
        <v>8.7658818035385391</v>
      </c>
      <c r="O13" s="2">
        <f t="shared" si="5"/>
        <v>0.33610259835408984</v>
      </c>
      <c r="P13" s="23">
        <f t="shared" si="6"/>
        <v>7.7539690428824262E-2</v>
      </c>
      <c r="Q13" s="23">
        <f t="shared" si="1"/>
        <v>2.4572143638648788E-2</v>
      </c>
      <c r="R13" s="24">
        <f t="shared" si="7"/>
        <v>0.62133819433441762</v>
      </c>
    </row>
    <row r="14" spans="1:23" x14ac:dyDescent="0.35">
      <c r="D14" s="2">
        <v>0.55330345600464803</v>
      </c>
      <c r="E14" s="2">
        <v>2.5894421057197001</v>
      </c>
      <c r="H14" s="2">
        <v>5383</v>
      </c>
      <c r="J14" s="2">
        <v>311.91154164014802</v>
      </c>
      <c r="N14" s="2">
        <f t="shared" si="0"/>
        <v>8.3018476716297229</v>
      </c>
      <c r="O14" s="2">
        <f t="shared" si="5"/>
        <v>0.35482257049226623</v>
      </c>
      <c r="P14" s="23">
        <f t="shared" si="6"/>
        <v>7.8673818359961012E-2</v>
      </c>
      <c r="Q14" s="23">
        <f t="shared" si="1"/>
        <v>2.4936224176022613E-2</v>
      </c>
      <c r="R14" s="24">
        <f t="shared" si="7"/>
        <v>0.6257482615376736</v>
      </c>
    </row>
    <row r="15" spans="1:23" x14ac:dyDescent="0.35">
      <c r="D15" s="2">
        <v>0.61368495589226402</v>
      </c>
      <c r="E15" s="2">
        <v>2.89109157855032</v>
      </c>
      <c r="H15" s="2">
        <v>5639</v>
      </c>
      <c r="J15" s="2">
        <v>362.41600083240797</v>
      </c>
      <c r="N15" s="2">
        <f t="shared" si="0"/>
        <v>7.9772735527956096</v>
      </c>
      <c r="O15" s="2">
        <f t="shared" si="5"/>
        <v>0.37169691157456614</v>
      </c>
      <c r="P15" s="23">
        <f t="shared" si="6"/>
        <v>8.0044305764535278E-2</v>
      </c>
      <c r="Q15" s="23">
        <f t="shared" si="1"/>
        <v>2.5204231954416723E-2</v>
      </c>
      <c r="R15" s="24">
        <f t="shared" si="7"/>
        <v>0.63534146164282723</v>
      </c>
    </row>
    <row r="16" spans="1:23" x14ac:dyDescent="0.35">
      <c r="D16" s="2">
        <v>0.63255485862762795</v>
      </c>
      <c r="E16" s="2">
        <v>2.9631306802848401</v>
      </c>
      <c r="H16" s="2">
        <v>5720</v>
      </c>
      <c r="J16" s="2">
        <v>378.89715938575603</v>
      </c>
      <c r="N16" s="2">
        <f t="shared" ref="N16" si="8">E16*1000/J16</f>
        <v>7.8204088019252476</v>
      </c>
      <c r="O16" s="2">
        <f t="shared" ref="O16" si="9">+PI()*$V$1*H16/60*0.00291545</f>
        <v>0.37703605855763755</v>
      </c>
      <c r="P16" s="23">
        <f t="shared" ref="P16" si="10">(E16*9.81)/($T$2*(H16/60)^2*($V$1)^4)</f>
        <v>7.9731792971852858E-2</v>
      </c>
      <c r="Q16" s="23">
        <f t="shared" ref="Q16" si="11">J16/($T$2*((H16/60)^3)*($V$1)^5)</f>
        <v>2.5246759953373245E-2</v>
      </c>
      <c r="R16" s="24">
        <f t="shared" ref="R16" si="12">(P16^(3/2))/(Q16*SQRT(2))</f>
        <v>0.63056033319755411</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P28" s="23"/>
      <c r="Q28" s="23"/>
      <c r="R28" s="24"/>
    </row>
    <row r="29" spans="16:18" x14ac:dyDescent="0.35">
      <c r="Q29" s="21"/>
      <c r="R29" s="24"/>
    </row>
    <row r="41" spans="3:4" x14ac:dyDescent="0.35">
      <c r="C41" s="22"/>
      <c r="D41" s="22"/>
    </row>
  </sheetData>
  <sheetProtection algorithmName="SHA-512" hashValue="168NV8yA4Yl5j7sxDOWTTnDaJ3lFZtBgAY2y/MeuSx7AO2mGio5ZA/dseeOAqOvAnJ5aw1HC8FXFRR5i7jZwOg==" saltValue="u07OZ5D3czeok73XwtDC8g==" spinCount="100000" sheet="1" objects="1" scenarios="1" selectLockedCells="1" selectUnlockedCells="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3673-64F9-41E5-BAEE-F01BA8625968}">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18</v>
      </c>
      <c r="U1" s="2" t="s">
        <v>58</v>
      </c>
      <c r="V1" s="2">
        <f>T1*0.0254</f>
        <v>0.4572</v>
      </c>
      <c r="W1" s="2" t="s">
        <v>59</v>
      </c>
    </row>
    <row r="2" spans="1:23" x14ac:dyDescent="0.35">
      <c r="D2" s="2">
        <v>3.3707202578510501E-4</v>
      </c>
      <c r="E2" s="2">
        <v>6.9661335801880103E-4</v>
      </c>
      <c r="H2" s="2">
        <v>0</v>
      </c>
      <c r="I2" s="2">
        <v>0.177685478271772</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2.1195460812510499E-2</v>
      </c>
      <c r="E3" s="2">
        <v>7.3336331118586007E-2</v>
      </c>
      <c r="H3" s="2">
        <v>937</v>
      </c>
      <c r="I3" s="2">
        <v>3.1600493607868101</v>
      </c>
      <c r="J3" s="2">
        <v>2.0806881225486</v>
      </c>
      <c r="N3" s="2">
        <f t="shared" si="0"/>
        <v>35.246191067192498</v>
      </c>
      <c r="O3" s="2">
        <f t="shared" ref="O3:O14" si="2">+PI()*$V$1*H3/60*0.00291545</f>
        <v>6.5395826446247585E-2</v>
      </c>
      <c r="P3" s="23">
        <f t="shared" ref="P3:P14" si="3">(E3*9.81)/($T$2*(H3/60)^2*($V$1)^4)</f>
        <v>5.8508430110608751E-2</v>
      </c>
      <c r="Q3" s="23">
        <f t="shared" si="1"/>
        <v>2.3699691049549287E-2</v>
      </c>
      <c r="R3" s="24">
        <f t="shared" ref="R3:R14" si="4">(P3^(3/2))/(Q3*SQRT(2))</f>
        <v>0.4222503182993409</v>
      </c>
      <c r="S3" s="2" t="s">
        <v>361</v>
      </c>
      <c r="U3" s="2">
        <v>26.3</v>
      </c>
      <c r="V3" s="69" t="s">
        <v>362</v>
      </c>
    </row>
    <row r="4" spans="1:23" x14ac:dyDescent="0.35">
      <c r="D4" s="2">
        <v>5.1573060203205803E-2</v>
      </c>
      <c r="E4" s="2">
        <v>0.19409947651253601</v>
      </c>
      <c r="H4" s="2">
        <v>1463</v>
      </c>
      <c r="I4" s="2">
        <v>10.7041442082855</v>
      </c>
      <c r="J4" s="2">
        <v>7.9024480456451496</v>
      </c>
      <c r="N4" s="2">
        <f t="shared" si="0"/>
        <v>24.561942753865946</v>
      </c>
      <c r="O4" s="2">
        <f t="shared" si="2"/>
        <v>0.10210682400305254</v>
      </c>
      <c r="P4" s="23">
        <f t="shared" si="3"/>
        <v>6.3520536825181134E-2</v>
      </c>
      <c r="Q4" s="23">
        <f t="shared" si="1"/>
        <v>2.3647385977651446E-2</v>
      </c>
      <c r="R4" s="24">
        <f t="shared" si="4"/>
        <v>0.47871066351624109</v>
      </c>
      <c r="S4" s="2" t="s">
        <v>363</v>
      </c>
      <c r="U4" s="2">
        <v>995</v>
      </c>
      <c r="V4" s="2" t="s">
        <v>364</v>
      </c>
    </row>
    <row r="5" spans="1:23" x14ac:dyDescent="0.35">
      <c r="D5" s="2">
        <v>9.2584130324955202E-2</v>
      </c>
      <c r="E5" s="2">
        <v>0.36882557852061998</v>
      </c>
      <c r="H5" s="2">
        <v>1939</v>
      </c>
      <c r="I5" s="2">
        <v>24.515212342622998</v>
      </c>
      <c r="J5" s="2">
        <v>18.795826504917201</v>
      </c>
      <c r="N5" s="2">
        <f t="shared" si="0"/>
        <v>19.622737974524878</v>
      </c>
      <c r="O5" s="2">
        <f t="shared" si="2"/>
        <v>0.13532818300883037</v>
      </c>
      <c r="P5" s="23">
        <f t="shared" si="3"/>
        <v>6.871378347420011E-2</v>
      </c>
      <c r="Q5" s="23">
        <f t="shared" si="1"/>
        <v>2.4159195575146387E-2</v>
      </c>
      <c r="R5" s="24">
        <f t="shared" si="4"/>
        <v>0.52719141046147022</v>
      </c>
      <c r="S5" s="2" t="s">
        <v>365</v>
      </c>
      <c r="U5" s="2">
        <v>24</v>
      </c>
      <c r="V5" s="2" t="s">
        <v>366</v>
      </c>
    </row>
    <row r="6" spans="1:23" x14ac:dyDescent="0.35">
      <c r="D6" s="2">
        <v>0.13691133046800599</v>
      </c>
      <c r="E6" s="2">
        <v>0.58922701461209703</v>
      </c>
      <c r="H6" s="2">
        <v>2383</v>
      </c>
      <c r="I6" s="2">
        <v>46.067744921451897</v>
      </c>
      <c r="J6" s="2">
        <v>34.169811052568903</v>
      </c>
      <c r="N6" s="2">
        <f t="shared" si="0"/>
        <v>17.244081733597959</v>
      </c>
      <c r="O6" s="2">
        <f t="shared" si="2"/>
        <v>0.1663161733419509</v>
      </c>
      <c r="P6" s="23">
        <f t="shared" si="3"/>
        <v>7.2679681117782086E-2</v>
      </c>
      <c r="Q6" s="23">
        <f t="shared" si="1"/>
        <v>2.3660554558417549E-2</v>
      </c>
      <c r="R6" s="24">
        <f t="shared" si="4"/>
        <v>0.58557105667058951</v>
      </c>
    </row>
    <row r="7" spans="1:23" x14ac:dyDescent="0.35">
      <c r="D7" s="2">
        <v>0.19140681984798599</v>
      </c>
      <c r="E7" s="2">
        <v>0.83352217635722103</v>
      </c>
      <c r="H7" s="2">
        <v>2800</v>
      </c>
      <c r="I7" s="2">
        <v>75.996653540371398</v>
      </c>
      <c r="J7" s="2">
        <v>56.132149591145499</v>
      </c>
      <c r="N7" s="2">
        <f t="shared" si="0"/>
        <v>14.849283029928788</v>
      </c>
      <c r="O7" s="2">
        <f t="shared" si="2"/>
        <v>0.19541975885751681</v>
      </c>
      <c r="P7" s="23">
        <f t="shared" si="3"/>
        <v>7.4469689694886168E-2</v>
      </c>
      <c r="Q7" s="23">
        <f t="shared" si="1"/>
        <v>2.3960288836528253E-2</v>
      </c>
      <c r="R7" s="24">
        <f t="shared" si="4"/>
        <v>0.59973896990110198</v>
      </c>
    </row>
    <row r="8" spans="1:23" x14ac:dyDescent="0.35">
      <c r="D8" s="2">
        <v>0.248528852205954</v>
      </c>
      <c r="E8" s="2">
        <v>1.1042068149917399</v>
      </c>
      <c r="H8" s="2">
        <v>3195</v>
      </c>
      <c r="I8" s="2">
        <v>114.16915486720001</v>
      </c>
      <c r="J8" s="2">
        <v>83.162071797942801</v>
      </c>
      <c r="N8" s="2">
        <f t="shared" si="0"/>
        <v>13.277769434058941</v>
      </c>
      <c r="O8" s="2">
        <f t="shared" si="2"/>
        <v>0.22298790341063077</v>
      </c>
      <c r="P8" s="23">
        <f t="shared" si="3"/>
        <v>7.5768230730156857E-2</v>
      </c>
      <c r="Q8" s="23">
        <f t="shared" si="1"/>
        <v>2.3892807384220151E-2</v>
      </c>
      <c r="R8" s="24">
        <f t="shared" si="4"/>
        <v>0.61723215020040756</v>
      </c>
    </row>
    <row r="9" spans="1:23" x14ac:dyDescent="0.35">
      <c r="D9" s="2">
        <v>0.31056386000560499</v>
      </c>
      <c r="E9" s="2">
        <v>1.37894743134701</v>
      </c>
      <c r="H9" s="2">
        <v>3553</v>
      </c>
      <c r="I9" s="2">
        <v>160.10876515335701</v>
      </c>
      <c r="J9" s="2">
        <v>115.566687986438</v>
      </c>
      <c r="N9" s="2">
        <f t="shared" si="0"/>
        <v>11.932049411235463</v>
      </c>
      <c r="O9" s="2">
        <f t="shared" si="2"/>
        <v>0.2479737154359847</v>
      </c>
      <c r="P9" s="23">
        <f t="shared" si="3"/>
        <v>7.6513090299714745E-2</v>
      </c>
      <c r="Q9" s="23">
        <f t="shared" si="1"/>
        <v>2.4143571451471325E-2</v>
      </c>
      <c r="R9" s="24">
        <f t="shared" si="4"/>
        <v>0.61985071009060433</v>
      </c>
    </row>
    <row r="10" spans="1:23" x14ac:dyDescent="0.35">
      <c r="D10" s="2">
        <v>0.37536418867239002</v>
      </c>
      <c r="E10" s="2">
        <v>1.67233863277117</v>
      </c>
      <c r="H10" s="2">
        <v>3891</v>
      </c>
      <c r="I10" s="2">
        <v>216.51560903056199</v>
      </c>
      <c r="J10" s="2">
        <v>152.952933824746</v>
      </c>
      <c r="N10" s="2">
        <f t="shared" si="0"/>
        <v>10.933681302820522</v>
      </c>
      <c r="O10" s="2">
        <f t="shared" si="2"/>
        <v>0.27156367204092779</v>
      </c>
      <c r="P10" s="23">
        <f t="shared" si="3"/>
        <v>7.7371356092744578E-2</v>
      </c>
      <c r="Q10" s="23">
        <f t="shared" si="1"/>
        <v>2.4329242570104912E-2</v>
      </c>
      <c r="R10" s="24">
        <f t="shared" si="4"/>
        <v>0.62549915443901616</v>
      </c>
    </row>
    <row r="11" spans="1:23" x14ac:dyDescent="0.35">
      <c r="D11" s="2">
        <v>0.44030896663368801</v>
      </c>
      <c r="E11" s="2">
        <v>1.9537994210799801</v>
      </c>
      <c r="H11" s="2">
        <v>4205</v>
      </c>
      <c r="I11" s="2">
        <v>278.50850785594901</v>
      </c>
      <c r="J11" s="2">
        <v>193.87119073955699</v>
      </c>
      <c r="N11" s="2">
        <f t="shared" si="0"/>
        <v>10.077822360438681</v>
      </c>
      <c r="O11" s="2">
        <f t="shared" si="2"/>
        <v>0.29347860214137789</v>
      </c>
      <c r="P11" s="23">
        <f t="shared" si="3"/>
        <v>7.7397409353380991E-2</v>
      </c>
      <c r="Q11" s="23">
        <f t="shared" si="1"/>
        <v>2.4432603461255874E-2</v>
      </c>
      <c r="R11" s="24">
        <f t="shared" si="4"/>
        <v>0.62316763842636558</v>
      </c>
    </row>
    <row r="12" spans="1:23" x14ac:dyDescent="0.35">
      <c r="D12" s="2">
        <v>0.50364827660771005</v>
      </c>
      <c r="E12" s="2">
        <v>2.22798138570273</v>
      </c>
      <c r="H12" s="2">
        <v>4497</v>
      </c>
      <c r="I12" s="2">
        <v>348.44949750756001</v>
      </c>
      <c r="J12" s="2">
        <v>237.16652517085399</v>
      </c>
      <c r="N12" s="2">
        <f t="shared" si="0"/>
        <v>9.3941646448532286</v>
      </c>
      <c r="O12" s="2">
        <f t="shared" si="2"/>
        <v>0.31385809127937608</v>
      </c>
      <c r="P12" s="23">
        <f t="shared" si="3"/>
        <v>7.7169241371599459E-2</v>
      </c>
      <c r="Q12" s="23">
        <f t="shared" si="1"/>
        <v>2.4436510934981205E-2</v>
      </c>
      <c r="R12" s="24">
        <f t="shared" si="4"/>
        <v>0.6203148118656937</v>
      </c>
    </row>
    <row r="13" spans="1:23" x14ac:dyDescent="0.35">
      <c r="D13" s="2">
        <v>0.57341962800139701</v>
      </c>
      <c r="E13" s="2">
        <v>2.5355472069804899</v>
      </c>
      <c r="H13" s="2">
        <v>4738</v>
      </c>
      <c r="I13" s="2">
        <v>431.40494746693997</v>
      </c>
      <c r="J13" s="2">
        <v>284.53523474049098</v>
      </c>
      <c r="N13" s="2">
        <f t="shared" si="0"/>
        <v>8.9111888349891846</v>
      </c>
      <c r="O13" s="2">
        <f t="shared" si="2"/>
        <v>0.33067814909532661</v>
      </c>
      <c r="P13" s="23">
        <f t="shared" si="3"/>
        <v>7.9115219221087482E-2</v>
      </c>
      <c r="Q13" s="23">
        <f t="shared" si="1"/>
        <v>2.5067172746138597E-2</v>
      </c>
      <c r="R13" s="24">
        <f t="shared" si="4"/>
        <v>0.62772539982258035</v>
      </c>
    </row>
    <row r="14" spans="1:23" x14ac:dyDescent="0.35">
      <c r="D14" s="2">
        <v>0.62786716681987598</v>
      </c>
      <c r="E14" s="2">
        <v>2.7845854007925501</v>
      </c>
      <c r="H14" s="2">
        <v>4979</v>
      </c>
      <c r="I14" s="2">
        <v>514.78490534031698</v>
      </c>
      <c r="J14" s="2">
        <v>327.38911704801802</v>
      </c>
      <c r="N14" s="2">
        <f t="shared" si="0"/>
        <v>8.5054305589032033</v>
      </c>
      <c r="O14" s="2">
        <f t="shared" si="2"/>
        <v>0.3474982069112772</v>
      </c>
      <c r="P14" s="23">
        <f t="shared" si="3"/>
        <v>7.8678258269643114E-2</v>
      </c>
      <c r="Q14" s="23">
        <f t="shared" si="1"/>
        <v>2.4853773090827109E-2</v>
      </c>
      <c r="R14" s="24">
        <f t="shared" si="4"/>
        <v>0.62787729555576333</v>
      </c>
    </row>
    <row r="15" spans="1:23" x14ac:dyDescent="0.35">
      <c r="D15" s="2">
        <v>0.68209715613291</v>
      </c>
      <c r="E15" s="2">
        <v>3.0260436571807801</v>
      </c>
      <c r="H15" s="2">
        <v>5179</v>
      </c>
      <c r="I15" s="2">
        <v>605.37314948933499</v>
      </c>
      <c r="J15" s="2">
        <v>369.94185489698498</v>
      </c>
      <c r="N15" s="2">
        <f t="shared" ref="N15:N16" si="5">E15*1000/J15</f>
        <v>8.1797818146946906</v>
      </c>
      <c r="O15" s="2">
        <f t="shared" ref="O15:O16" si="6">+PI()*$V$1*H15/60*0.00291545</f>
        <v>0.36145676111538555</v>
      </c>
      <c r="P15" s="23">
        <f t="shared" ref="P15:P16" si="7">(E15*9.81)/($T$2*(H15/60)^2*($V$1)^4)</f>
        <v>7.9024510655021918E-2</v>
      </c>
      <c r="Q15" s="23">
        <f t="shared" ref="Q15:Q16" si="8">J15/($T$2*((H15/60)^3)*($V$1)^5)</f>
        <v>2.4954576614719101E-2</v>
      </c>
      <c r="R15" s="24">
        <f t="shared" ref="R15:R16" si="9">(P15^(3/2))/(Q15*SQRT(2))</f>
        <v>0.62947359781401302</v>
      </c>
    </row>
    <row r="16" spans="1:23" x14ac:dyDescent="0.35">
      <c r="D16" s="2">
        <v>0.70010707515406101</v>
      </c>
      <c r="E16" s="2">
        <v>3.1050804364681901</v>
      </c>
      <c r="H16" s="2">
        <v>5262</v>
      </c>
      <c r="I16" s="2">
        <v>647.81439982365805</v>
      </c>
      <c r="J16" s="2">
        <v>385.81922280707602</v>
      </c>
      <c r="N16" s="2">
        <f t="shared" si="5"/>
        <v>8.0480190019480862</v>
      </c>
      <c r="O16" s="2">
        <f t="shared" si="6"/>
        <v>0.36724956111009049</v>
      </c>
      <c r="P16" s="23">
        <f t="shared" si="7"/>
        <v>7.8550619655402165E-2</v>
      </c>
      <c r="Q16" s="23">
        <f t="shared" si="8"/>
        <v>2.4813372759168163E-2</v>
      </c>
      <c r="R16" s="24">
        <f t="shared" si="9"/>
        <v>0.6273698237083708</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HZXnA1YFnMYRj7CuE3Nx1B8yrm2uhPpJOIgIBdnm5Ay6uBEi88nDSAoiTOjY6qQvJxNkIbWrCRcTS9nP2PpmeA==" saltValue="n837Ki9Yfhl+jqqrB28eIA==" spinCount="100000" sheet="1" objects="1" scenarios="1" selectLockedCells="1" selectUnlockedCell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F9CE-177E-4033-A2C8-1E986E4CCBC5}">
  <dimension ref="A1:W37"/>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10</v>
      </c>
      <c r="U1" s="2" t="s">
        <v>58</v>
      </c>
      <c r="V1" s="2">
        <f>T1*0.0254</f>
        <v>0.254</v>
      </c>
      <c r="W1" s="2" t="s">
        <v>59</v>
      </c>
    </row>
    <row r="2" spans="1:23" x14ac:dyDescent="0.35">
      <c r="D2" s="2">
        <v>-1.7243587102113499E-4</v>
      </c>
      <c r="E2" s="2">
        <v>1.92699319699451E-4</v>
      </c>
      <c r="H2" s="2">
        <v>0</v>
      </c>
      <c r="I2" s="2">
        <v>0.12827752658776301</v>
      </c>
      <c r="J2" s="2">
        <v>0</v>
      </c>
      <c r="N2" s="2" t="e">
        <f t="shared" ref="N2:N13" si="0">E2*1000/J2</f>
        <v>#DIV/0!</v>
      </c>
      <c r="O2" s="2">
        <f>+PI()*$V$1*H2/60*0.00291545</f>
        <v>0</v>
      </c>
      <c r="P2" s="23" t="e">
        <f>(E2*9.81)/($T$2*(H2/60)^2*($V$1)^4)</f>
        <v>#DIV/0!</v>
      </c>
      <c r="Q2" s="23" t="e">
        <f t="shared" ref="Q2:Q13" si="1">J2/($T$2*((H2/60)^3)*($V$1)^5)</f>
        <v>#DIV/0!</v>
      </c>
      <c r="R2" s="24" t="e">
        <f>(P2^(3/2))/(Q2*SQRT(2))</f>
        <v>#DIV/0!</v>
      </c>
      <c r="S2" s="2" t="s">
        <v>22</v>
      </c>
      <c r="T2" s="2">
        <v>1.1538999999999999</v>
      </c>
    </row>
    <row r="3" spans="1:23" x14ac:dyDescent="0.35">
      <c r="D3" s="2">
        <v>1.44007280411467E-2</v>
      </c>
      <c r="E3" s="2">
        <v>0.108292054346046</v>
      </c>
      <c r="H3" s="2">
        <v>3578</v>
      </c>
      <c r="I3" s="2">
        <v>11.382686689256801</v>
      </c>
      <c r="J3" s="2">
        <v>5.3959033280027704</v>
      </c>
      <c r="N3" s="2">
        <f t="shared" si="0"/>
        <v>20.069309578629724</v>
      </c>
      <c r="O3" s="2">
        <f t="shared" ref="O3:O13" si="2">+PI()*$V$1*H3/60*0.00291545</f>
        <v>0.13873251928416572</v>
      </c>
      <c r="P3" s="23">
        <f t="shared" ref="P3:P13" si="3">(E3*9.81)/($T$2*(H3/60)^2*($V$1)^4)</f>
        <v>6.2199141211639296E-2</v>
      </c>
      <c r="Q3" s="23">
        <f t="shared" si="1"/>
        <v>2.0857398860985678E-2</v>
      </c>
      <c r="R3" s="24">
        <f t="shared" ref="R3:R13" si="4">(P3^(3/2))/(Q3*SQRT(2))</f>
        <v>0.52589790220261989</v>
      </c>
      <c r="S3" s="2" t="s">
        <v>361</v>
      </c>
      <c r="U3" s="2">
        <v>26.3</v>
      </c>
      <c r="V3" s="69" t="s">
        <v>362</v>
      </c>
    </row>
    <row r="4" spans="1:23" x14ac:dyDescent="0.35">
      <c r="D4" s="2">
        <v>2.2103314528060799E-2</v>
      </c>
      <c r="E4" s="2">
        <v>0.15951157098827201</v>
      </c>
      <c r="H4" s="2">
        <v>4283</v>
      </c>
      <c r="I4" s="2">
        <v>17.5097548602673</v>
      </c>
      <c r="J4" s="2">
        <v>9.9135914745334901</v>
      </c>
      <c r="N4" s="2">
        <f t="shared" si="0"/>
        <v>16.090190058570901</v>
      </c>
      <c r="O4" s="2">
        <f t="shared" si="2"/>
        <v>0.16606802126721121</v>
      </c>
      <c r="P4" s="23">
        <f t="shared" si="3"/>
        <v>6.393880451026307E-2</v>
      </c>
      <c r="Q4" s="23">
        <f t="shared" si="1"/>
        <v>2.2341060763768066E-2</v>
      </c>
      <c r="R4" s="24">
        <f t="shared" si="4"/>
        <v>0.51171480255758284</v>
      </c>
      <c r="S4" s="2" t="s">
        <v>363</v>
      </c>
      <c r="U4" s="2">
        <v>995</v>
      </c>
      <c r="V4" s="2" t="s">
        <v>364</v>
      </c>
    </row>
    <row r="5" spans="1:23" x14ac:dyDescent="0.35">
      <c r="D5" s="2">
        <v>3.0566670074627902E-2</v>
      </c>
      <c r="E5" s="2">
        <v>0.214809529748649</v>
      </c>
      <c r="H5" s="2">
        <v>4910</v>
      </c>
      <c r="I5" s="2">
        <v>24.9341695911965</v>
      </c>
      <c r="J5" s="2">
        <v>15.7171007656413</v>
      </c>
      <c r="N5" s="2">
        <f t="shared" si="0"/>
        <v>13.667249001688525</v>
      </c>
      <c r="O5" s="2">
        <f t="shared" si="2"/>
        <v>0.19037916983936659</v>
      </c>
      <c r="P5" s="23">
        <f t="shared" si="3"/>
        <v>6.5517758131915793E-2</v>
      </c>
      <c r="Q5" s="23">
        <f t="shared" si="1"/>
        <v>2.3509584620890676E-2</v>
      </c>
      <c r="R5" s="24">
        <f t="shared" si="4"/>
        <v>0.50440407785502139</v>
      </c>
      <c r="S5" s="2" t="s">
        <v>365</v>
      </c>
      <c r="U5" s="2">
        <v>24</v>
      </c>
      <c r="V5" s="2" t="s">
        <v>366</v>
      </c>
    </row>
    <row r="6" spans="1:23" x14ac:dyDescent="0.35">
      <c r="D6" s="2">
        <v>4.1114552553519902E-2</v>
      </c>
      <c r="E6" s="2">
        <v>0.28713981620439299</v>
      </c>
      <c r="H6" s="2">
        <v>5541</v>
      </c>
      <c r="I6" s="2">
        <v>35.140773785564598</v>
      </c>
      <c r="J6" s="2">
        <v>23.858426606002599</v>
      </c>
      <c r="N6" s="2">
        <f t="shared" si="0"/>
        <v>12.035153069655935</v>
      </c>
      <c r="O6" s="2">
        <f t="shared" si="2"/>
        <v>0.21484541345823424</v>
      </c>
      <c r="P6" s="23">
        <f t="shared" si="3"/>
        <v>6.876787209654632E-2</v>
      </c>
      <c r="Q6" s="23">
        <f t="shared" si="1"/>
        <v>2.483100766832869E-2</v>
      </c>
      <c r="R6" s="24">
        <f t="shared" si="4"/>
        <v>0.51353380443127927</v>
      </c>
    </row>
    <row r="7" spans="1:23" x14ac:dyDescent="0.35">
      <c r="D7" s="2">
        <v>5.4587231981304898E-2</v>
      </c>
      <c r="E7" s="2">
        <v>0.36943573752404801</v>
      </c>
      <c r="H7" s="2">
        <v>6169</v>
      </c>
      <c r="I7" s="2">
        <v>48.317864145568997</v>
      </c>
      <c r="J7" s="2">
        <v>35.262260682162299</v>
      </c>
      <c r="N7" s="2">
        <f t="shared" si="0"/>
        <v>10.476802405097359</v>
      </c>
      <c r="O7" s="2">
        <f t="shared" si="2"/>
        <v>0.2391953357920677</v>
      </c>
      <c r="P7" s="23">
        <f t="shared" si="3"/>
        <v>7.1380211859582987E-2</v>
      </c>
      <c r="Q7" s="23">
        <f t="shared" si="1"/>
        <v>2.6593949251721996E-2</v>
      </c>
      <c r="R7" s="24">
        <f t="shared" si="4"/>
        <v>0.50707116579682976</v>
      </c>
    </row>
    <row r="8" spans="1:23" x14ac:dyDescent="0.35">
      <c r="D8" s="2">
        <v>6.7619995486206202E-2</v>
      </c>
      <c r="E8" s="2">
        <v>0.460134753911012</v>
      </c>
      <c r="H8" s="2">
        <v>6807</v>
      </c>
      <c r="I8" s="2">
        <v>64.662295426754099</v>
      </c>
      <c r="J8" s="2">
        <v>48.201250371111698</v>
      </c>
      <c r="N8" s="2">
        <f t="shared" si="0"/>
        <v>9.5461165502624201</v>
      </c>
      <c r="O8" s="2">
        <f t="shared" si="2"/>
        <v>0.26393299574268192</v>
      </c>
      <c r="P8" s="23">
        <f t="shared" si="3"/>
        <v>7.3020029456452085E-2</v>
      </c>
      <c r="Q8" s="23">
        <f t="shared" si="1"/>
        <v>2.7058769750232938E-2</v>
      </c>
      <c r="R8" s="24">
        <f t="shared" si="4"/>
        <v>0.51563211754764138</v>
      </c>
    </row>
    <row r="9" spans="1:23" x14ac:dyDescent="0.35">
      <c r="D9" s="2">
        <v>8.2063648160328698E-2</v>
      </c>
      <c r="E9" s="2">
        <v>0.55565697322375296</v>
      </c>
      <c r="H9" s="2">
        <v>7398</v>
      </c>
      <c r="I9" s="2">
        <v>82.727418427047297</v>
      </c>
      <c r="J9" s="2">
        <v>63.577518110289901</v>
      </c>
      <c r="N9" s="2">
        <f t="shared" si="0"/>
        <v>8.7398342958250979</v>
      </c>
      <c r="O9" s="2">
        <f t="shared" si="2"/>
        <v>0.28684828889442648</v>
      </c>
      <c r="P9" s="23">
        <f t="shared" si="3"/>
        <v>7.4652882822895381E-2</v>
      </c>
      <c r="Q9" s="23">
        <f t="shared" si="1"/>
        <v>2.7802098906850467E-2</v>
      </c>
      <c r="R9" s="24">
        <f t="shared" si="4"/>
        <v>0.51877291432405892</v>
      </c>
    </row>
    <row r="10" spans="1:23" x14ac:dyDescent="0.35">
      <c r="D10" s="2">
        <v>9.8274447314228797E-2</v>
      </c>
      <c r="E10" s="2">
        <v>0.66357454433431295</v>
      </c>
      <c r="H10" s="2">
        <v>8008</v>
      </c>
      <c r="I10" s="2">
        <v>105.080638842235</v>
      </c>
      <c r="J10" s="2">
        <v>82.409645060099706</v>
      </c>
      <c r="N10" s="2">
        <f t="shared" si="0"/>
        <v>8.0521466128191825</v>
      </c>
      <c r="O10" s="2">
        <f t="shared" si="2"/>
        <v>0.31050028351805448</v>
      </c>
      <c r="P10" s="23">
        <f t="shared" si="3"/>
        <v>7.6086929229738795E-2</v>
      </c>
      <c r="Q10" s="23">
        <f t="shared" si="1"/>
        <v>2.8413376421223633E-2</v>
      </c>
      <c r="R10" s="24">
        <f t="shared" si="4"/>
        <v>0.52230867922555657</v>
      </c>
    </row>
    <row r="11" spans="1:23" x14ac:dyDescent="0.35">
      <c r="D11" s="2">
        <v>0.114090081689219</v>
      </c>
      <c r="E11" s="2">
        <v>0.77243430453700002</v>
      </c>
      <c r="H11" s="2">
        <v>8579</v>
      </c>
      <c r="I11" s="2">
        <v>129.971388631385</v>
      </c>
      <c r="J11" s="2">
        <v>102.493156031504</v>
      </c>
      <c r="N11" s="2">
        <f t="shared" si="0"/>
        <v>7.5364476463147625</v>
      </c>
      <c r="O11" s="2">
        <f t="shared" si="2"/>
        <v>0.33264010143623746</v>
      </c>
      <c r="P11" s="23">
        <f t="shared" si="3"/>
        <v>7.7171454477362539E-2</v>
      </c>
      <c r="Q11" s="23">
        <f t="shared" si="1"/>
        <v>2.874099887039732E-2</v>
      </c>
      <c r="R11" s="24">
        <f t="shared" si="4"/>
        <v>0.52743406155843142</v>
      </c>
    </row>
    <row r="12" spans="1:23" x14ac:dyDescent="0.35">
      <c r="D12" s="2">
        <v>0.13000472515544501</v>
      </c>
      <c r="E12" s="2">
        <v>0.89017577926995795</v>
      </c>
      <c r="H12" s="2">
        <v>9121</v>
      </c>
      <c r="I12" s="2">
        <v>158.10103062199801</v>
      </c>
      <c r="J12" s="2">
        <v>124.176195747636</v>
      </c>
      <c r="N12" s="2">
        <f t="shared" si="0"/>
        <v>7.1686507539582491</v>
      </c>
      <c r="O12" s="2">
        <f t="shared" si="2"/>
        <v>0.35365548026575611</v>
      </c>
      <c r="P12" s="23">
        <f t="shared" si="3"/>
        <v>7.8679090369932134E-2</v>
      </c>
      <c r="Q12" s="23">
        <f t="shared" si="1"/>
        <v>2.8975302470582127E-2</v>
      </c>
      <c r="R12" s="24">
        <f t="shared" si="4"/>
        <v>0.53857478825132921</v>
      </c>
    </row>
    <row r="13" spans="1:23" x14ac:dyDescent="0.35">
      <c r="D13" s="2">
        <v>0.14121621805076301</v>
      </c>
      <c r="E13" s="2">
        <v>0.97118564970200005</v>
      </c>
      <c r="H13" s="2">
        <v>9355</v>
      </c>
      <c r="I13" s="2">
        <v>175.48862292175099</v>
      </c>
      <c r="J13" s="2">
        <v>138.34859251450601</v>
      </c>
      <c r="N13" s="2">
        <f t="shared" si="0"/>
        <v>7.0198448141073078</v>
      </c>
      <c r="O13" s="2">
        <f t="shared" si="2"/>
        <v>0.36272854049842657</v>
      </c>
      <c r="P13" s="23">
        <f t="shared" si="3"/>
        <v>8.1598681487233107E-2</v>
      </c>
      <c r="Q13" s="23">
        <f t="shared" si="1"/>
        <v>2.9919915620634695E-2</v>
      </c>
      <c r="R13" s="24">
        <f t="shared" si="4"/>
        <v>0.55087028921524184</v>
      </c>
    </row>
    <row r="14" spans="1:23" x14ac:dyDescent="0.35">
      <c r="P14" s="23"/>
      <c r="Q14" s="23"/>
      <c r="R14" s="24"/>
    </row>
    <row r="15" spans="1:23" x14ac:dyDescent="0.35">
      <c r="P15" s="23"/>
      <c r="Q15" s="23"/>
      <c r="R15" s="24"/>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Q25" s="21"/>
      <c r="R25" s="24"/>
    </row>
    <row r="37" spans="3:4" x14ac:dyDescent="0.35">
      <c r="C37" s="22"/>
      <c r="D37" s="22"/>
    </row>
  </sheetData>
  <sheetProtection algorithmName="SHA-512" hashValue="tpJCOpmQ+XSoYXE8oukWi7+E9sQllQTUAkXRa3DWZOuTEohM2sKXOSUexbsoUDatMsQE85+VPudrip0ygNFbiQ==" saltValue="WLjjj6WS1l7UpHXB73ff7Q==" spinCount="100000" sheet="1" objects="1" scenarios="1" selectLockedCells="1" selectUnlockedCell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F872-E2E5-4745-B79E-A08837DDFF96}">
  <dimension ref="D3:P44"/>
  <sheetViews>
    <sheetView showGridLines="0" showRowColHeaders="0" zoomScale="55" zoomScaleNormal="55" workbookViewId="0">
      <selection activeCell="D9" sqref="D9"/>
    </sheetView>
  </sheetViews>
  <sheetFormatPr defaultColWidth="9.1796875" defaultRowHeight="14.5" x14ac:dyDescent="0.35"/>
  <cols>
    <col min="1" max="3" width="9.1796875" style="2"/>
    <col min="4" max="4" width="31.1796875" style="2" bestFit="1" customWidth="1"/>
    <col min="5" max="5" width="34" style="2" bestFit="1" customWidth="1"/>
    <col min="6" max="6" width="32.81640625" style="2" bestFit="1" customWidth="1"/>
    <col min="7" max="7" width="24" style="2" bestFit="1" customWidth="1"/>
    <col min="8" max="8" width="9.1796875" style="2"/>
    <col min="9" max="9" width="37.54296875" style="2" bestFit="1" customWidth="1"/>
    <col min="10" max="10" width="50.26953125" style="2" customWidth="1"/>
    <col min="11" max="11" width="39.26953125" style="2" bestFit="1" customWidth="1"/>
    <col min="12" max="16384" width="9.1796875" style="2"/>
  </cols>
  <sheetData>
    <row r="3" spans="4:16" x14ac:dyDescent="0.35">
      <c r="L3" s="2" t="s">
        <v>98</v>
      </c>
      <c r="M3" s="2" t="s">
        <v>99</v>
      </c>
    </row>
    <row r="4" spans="4:16" x14ac:dyDescent="0.35">
      <c r="E4" s="2" t="s">
        <v>103</v>
      </c>
      <c r="J4" s="2" t="s">
        <v>104</v>
      </c>
      <c r="L4" s="2">
        <v>0</v>
      </c>
      <c r="M4" s="2">
        <v>1</v>
      </c>
    </row>
    <row r="5" spans="4:16" x14ac:dyDescent="0.35">
      <c r="L5" s="2">
        <v>0.37952218430034135</v>
      </c>
      <c r="M5" s="2">
        <v>0.8989583333333333</v>
      </c>
    </row>
    <row r="6" spans="4:16" ht="30.5" x14ac:dyDescent="0.6">
      <c r="D6" s="29" t="s">
        <v>92</v>
      </c>
      <c r="E6" s="29">
        <f>Calculator!E38</f>
        <v>210</v>
      </c>
      <c r="F6" s="29" t="s">
        <v>93</v>
      </c>
      <c r="I6" s="29" t="s">
        <v>95</v>
      </c>
      <c r="J6" s="30">
        <f ca="1">Calculator!G26</f>
        <v>181.84827362140069</v>
      </c>
      <c r="L6" s="2">
        <v>0.44232081911262799</v>
      </c>
      <c r="M6" s="2">
        <v>0.88385416666666672</v>
      </c>
      <c r="O6" s="2" t="s">
        <v>101</v>
      </c>
      <c r="P6" s="2">
        <f ca="1">J6/E6</f>
        <v>0.86594416010190811</v>
      </c>
    </row>
    <row r="7" spans="4:16" ht="30.5" x14ac:dyDescent="0.6">
      <c r="D7" s="29" t="s">
        <v>91</v>
      </c>
      <c r="E7" s="29">
        <f>Calculator!E39</f>
        <v>1400</v>
      </c>
      <c r="F7" s="29"/>
      <c r="I7" s="29" t="s">
        <v>3</v>
      </c>
      <c r="J7" s="30">
        <f ca="1">Calculator!G22</f>
        <v>8262.273469514168</v>
      </c>
      <c r="L7" s="2">
        <v>0.51331058020477816</v>
      </c>
      <c r="M7" s="2">
        <v>0.86875000000000002</v>
      </c>
      <c r="O7" s="2" t="s">
        <v>100</v>
      </c>
      <c r="P7" s="2">
        <f ca="1">IFERROR(FORECAST(P6,OFFSET(M4:M11,MATCH(P6,L4:L11,1)-1,0,2),OFFSET(L4:L11,MATCH(P6,L4:L11,1)-1,0,2)),1)</f>
        <v>0.80064895417217086</v>
      </c>
    </row>
    <row r="8" spans="4:16" ht="30.5" x14ac:dyDescent="0.6">
      <c r="D8" s="29" t="s">
        <v>13</v>
      </c>
      <c r="E8" s="29">
        <f>Calculator!E40</f>
        <v>11.1</v>
      </c>
      <c r="F8" s="29" t="s">
        <v>94</v>
      </c>
      <c r="I8" s="29" t="s">
        <v>96</v>
      </c>
      <c r="J8" s="30">
        <f ca="1">J7/(0.76*E8)</f>
        <v>979.40652791775346</v>
      </c>
      <c r="L8" s="2">
        <v>0.58134243458475543</v>
      </c>
      <c r="M8" s="2">
        <v>0.85703125000000002</v>
      </c>
    </row>
    <row r="9" spans="4:16" ht="30.5" x14ac:dyDescent="0.6">
      <c r="D9" s="29" t="s">
        <v>102</v>
      </c>
      <c r="E9" s="29">
        <f ca="1">E8*E7*P7</f>
        <v>12442.084747835535</v>
      </c>
      <c r="L9" s="2">
        <v>0.69055745164960181</v>
      </c>
      <c r="M9" s="2">
        <v>0.8359375</v>
      </c>
    </row>
    <row r="10" spans="4:16" x14ac:dyDescent="0.35">
      <c r="F10" s="2" t="s">
        <v>18</v>
      </c>
      <c r="G10" s="2" t="s">
        <v>20</v>
      </c>
      <c r="L10" s="2">
        <v>0.86916951080773608</v>
      </c>
      <c r="M10" s="2">
        <v>0.8</v>
      </c>
    </row>
    <row r="11" spans="4:16" ht="30.5" x14ac:dyDescent="0.6">
      <c r="D11" s="29" t="s">
        <v>129</v>
      </c>
      <c r="E11" s="31">
        <f ca="1">J7/(P7*E8)</f>
        <v>929.68205021526626</v>
      </c>
      <c r="F11" s="31">
        <f>Calculator!E24</f>
        <v>1</v>
      </c>
      <c r="G11" s="30">
        <f ca="1">J6</f>
        <v>181.84827362140069</v>
      </c>
      <c r="I11" s="2" t="s">
        <v>98</v>
      </c>
      <c r="J11" s="2">
        <v>1</v>
      </c>
      <c r="L11" s="2">
        <v>1</v>
      </c>
      <c r="M11" s="2">
        <v>0.76</v>
      </c>
    </row>
    <row r="12" spans="4:16" ht="30.5" x14ac:dyDescent="0.6">
      <c r="D12" s="29" t="s">
        <v>130</v>
      </c>
      <c r="E12" s="31">
        <f ca="1">Sheet1!BE7/E8/M11</f>
        <v>1025.84889457129</v>
      </c>
      <c r="F12" s="31">
        <f ca="1">Sheet1!BE8</f>
        <v>1.1125366620171371</v>
      </c>
      <c r="G12" s="31">
        <f>E6</f>
        <v>210</v>
      </c>
      <c r="I12" s="2" t="s">
        <v>118</v>
      </c>
      <c r="J12" s="2">
        <v>0.76</v>
      </c>
    </row>
    <row r="13" spans="4:16" ht="30.5" x14ac:dyDescent="0.6">
      <c r="E13" s="29" t="s">
        <v>20</v>
      </c>
      <c r="F13" s="31" t="str">
        <f ca="1">IF(E6&gt;=J6,"Sufficient","Insufficient")</f>
        <v>Sufficient</v>
      </c>
      <c r="I13" s="2" t="s">
        <v>105</v>
      </c>
      <c r="J13" s="2">
        <f>E8*E7*0.76</f>
        <v>11810.4</v>
      </c>
      <c r="K13" s="2" t="s">
        <v>117</v>
      </c>
    </row>
    <row r="14" spans="4:16" ht="30.5" x14ac:dyDescent="0.6">
      <c r="E14" s="29" t="s">
        <v>97</v>
      </c>
      <c r="F14" s="31" t="str">
        <f ca="1">IF(E9&lt;J7,"Insufficient","Sufficient")</f>
        <v>Sufficient</v>
      </c>
      <c r="I14" s="2" t="s">
        <v>106</v>
      </c>
      <c r="J14" s="2">
        <f ca="1">Sheet1!AW7</f>
        <v>554.10059729545014</v>
      </c>
    </row>
    <row r="15" spans="4:16" x14ac:dyDescent="0.35">
      <c r="E15" s="106" t="str">
        <f ca="1">IF(AND(F14="Sufficient",F13="Sufficient"),"Motor is good enough","Please change the motor")</f>
        <v>Motor is good enough</v>
      </c>
      <c r="F15" s="106"/>
      <c r="I15" s="2" t="s">
        <v>114</v>
      </c>
    </row>
    <row r="16" spans="4:16" x14ac:dyDescent="0.35">
      <c r="E16" s="106"/>
      <c r="F16" s="106"/>
      <c r="I16" s="2" t="str">
        <f ca="1">IF(F14="Sufficient",IF(E6&lt;J14,"reduce the KV","Sufficient"),"Increase the Motor KV")</f>
        <v>reduce the KV</v>
      </c>
    </row>
    <row r="17" spans="5:15" ht="29.25" customHeight="1" x14ac:dyDescent="0.35">
      <c r="E17" s="106"/>
      <c r="F17" s="106"/>
      <c r="I17" s="2" t="s">
        <v>18</v>
      </c>
      <c r="J17" s="2">
        <f ca="1">Sheet1!AW5</f>
        <v>2.1533071104558443</v>
      </c>
    </row>
    <row r="18" spans="5:15" ht="29.25" customHeight="1" x14ac:dyDescent="0.35">
      <c r="F18" s="2" t="str">
        <f ca="1">E15</f>
        <v>Motor is good enough</v>
      </c>
      <c r="I18" s="2" t="s">
        <v>116</v>
      </c>
      <c r="J18" s="2">
        <f ca="1">J14</f>
        <v>554.10059729545014</v>
      </c>
      <c r="K18" s="2">
        <f ca="1">J18-$E$6</f>
        <v>344.10059729545014</v>
      </c>
    </row>
    <row r="19" spans="5:15" ht="29.25" customHeight="1" x14ac:dyDescent="0.35">
      <c r="E19" s="2">
        <f ca="1">_xlfn.FORECAST.LINEAR(E7,F11:F12,E11:E12)</f>
        <v>1.5503769257476121</v>
      </c>
      <c r="F19" s="2">
        <f ca="1">_xlfn.FORECAST.LINEAR(E7,G11:G12,E11:E12)</f>
        <v>319.5283890701956</v>
      </c>
      <c r="G19" s="2">
        <f ca="1">E6-F19</f>
        <v>-109.5283890701956</v>
      </c>
      <c r="H19" s="2" t="s">
        <v>134</v>
      </c>
      <c r="I19" s="2" t="s">
        <v>98</v>
      </c>
      <c r="J19" s="2">
        <f ca="1">IF(J18/E6&lt;P6,((J11+P7)/2),(J18/E6))</f>
        <v>2.6385742728354771</v>
      </c>
    </row>
    <row r="20" spans="5:15" x14ac:dyDescent="0.35">
      <c r="E20" s="2" t="s">
        <v>135</v>
      </c>
      <c r="F20" s="2" t="s">
        <v>86</v>
      </c>
      <c r="G20" s="2" t="s">
        <v>136</v>
      </c>
      <c r="I20" s="2" t="s">
        <v>118</v>
      </c>
      <c r="J20" s="2">
        <f ca="1">IFERROR(FORECAST(J19,OFFSET(M4:M11,MATCH(J19,L4:L11,1)-1,0,2),OFFSET(L4:L11,MATCH(J19,L4:L11,1)-1,0,2)),1)</f>
        <v>1</v>
      </c>
    </row>
    <row r="21" spans="5:15" x14ac:dyDescent="0.35">
      <c r="I21" s="2" t="s">
        <v>102</v>
      </c>
      <c r="J21" s="2">
        <f ca="1">E7*E8*J20</f>
        <v>15540</v>
      </c>
    </row>
    <row r="22" spans="5:15" x14ac:dyDescent="0.35">
      <c r="I22" s="2" t="s">
        <v>106</v>
      </c>
      <c r="J22" s="2">
        <f ca="1">Sheet1!AW12</f>
        <v>1262.2571559617159</v>
      </c>
    </row>
    <row r="23" spans="5:15" x14ac:dyDescent="0.35">
      <c r="I23" s="2" t="s">
        <v>18</v>
      </c>
      <c r="J23" s="2">
        <f ca="1">Sheet1!AW10</f>
        <v>3.7280247757199523</v>
      </c>
    </row>
    <row r="25" spans="5:15" x14ac:dyDescent="0.35">
      <c r="I25" s="2" t="s">
        <v>120</v>
      </c>
      <c r="J25" s="2">
        <f ca="1">J22</f>
        <v>1262.2571559617159</v>
      </c>
      <c r="K25" s="2">
        <f t="shared" ref="K25:K39" ca="1" si="0">J25-$E$6</f>
        <v>1052.2571559617159</v>
      </c>
      <c r="N25" s="2">
        <f ca="1">J19</f>
        <v>2.6385742728354771</v>
      </c>
      <c r="O25" s="2">
        <f ca="1">J20</f>
        <v>1</v>
      </c>
    </row>
    <row r="26" spans="5:15" x14ac:dyDescent="0.35">
      <c r="I26" s="2" t="s">
        <v>98</v>
      </c>
      <c r="J26" s="2">
        <f ca="1">J25/E6</f>
        <v>6.0107483617224569</v>
      </c>
      <c r="N26" s="2">
        <f ca="1">J26</f>
        <v>6.0107483617224569</v>
      </c>
      <c r="O26" s="2">
        <f ca="1">J27</f>
        <v>1</v>
      </c>
    </row>
    <row r="27" spans="5:15" x14ac:dyDescent="0.35">
      <c r="I27" s="2" t="s">
        <v>118</v>
      </c>
      <c r="J27" s="2">
        <f ca="1">IFERROR(FORECAST(J26,OFFSET(M4:M11,MATCH(J26,L4:L11,1)-1,0,2),OFFSET(L4:L11,MATCH(J26,L4:L11,1)-1,0,2)),1)</f>
        <v>1</v>
      </c>
      <c r="N27" s="2">
        <f ca="1">J33</f>
        <v>6.0107483617224569</v>
      </c>
      <c r="O27" s="2">
        <f ca="1">J34</f>
        <v>1</v>
      </c>
    </row>
    <row r="28" spans="5:15" x14ac:dyDescent="0.35">
      <c r="I28" s="2" t="s">
        <v>102</v>
      </c>
      <c r="J28" s="2">
        <f ca="1">E8*E7*J27</f>
        <v>15540</v>
      </c>
      <c r="N28" s="2">
        <f ca="1">J40</f>
        <v>6.0107483617224569</v>
      </c>
      <c r="O28" s="2">
        <f ca="1">J41</f>
        <v>1</v>
      </c>
    </row>
    <row r="29" spans="5:15" x14ac:dyDescent="0.35">
      <c r="I29" s="2" t="s">
        <v>106</v>
      </c>
      <c r="J29" s="2">
        <f ca="1">Sheet1!AW47</f>
        <v>1262.2571559617159</v>
      </c>
    </row>
    <row r="30" spans="5:15" x14ac:dyDescent="0.35">
      <c r="I30" s="2" t="s">
        <v>18</v>
      </c>
      <c r="J30" s="2">
        <f ca="1">Sheet1!AW45</f>
        <v>3.7280247757199523</v>
      </c>
    </row>
    <row r="32" spans="5:15" x14ac:dyDescent="0.35">
      <c r="I32" s="2" t="s">
        <v>122</v>
      </c>
      <c r="J32" s="2">
        <f ca="1">J29</f>
        <v>1262.2571559617159</v>
      </c>
      <c r="K32" s="2">
        <f t="shared" ca="1" si="0"/>
        <v>1052.2571559617159</v>
      </c>
    </row>
    <row r="33" spans="9:11" x14ac:dyDescent="0.35">
      <c r="I33" s="2" t="s">
        <v>98</v>
      </c>
      <c r="J33" s="2">
        <f ca="1">J32/E6</f>
        <v>6.0107483617224569</v>
      </c>
    </row>
    <row r="34" spans="9:11" x14ac:dyDescent="0.35">
      <c r="I34" s="2" t="s">
        <v>118</v>
      </c>
      <c r="J34" s="2">
        <f ca="1">IFERROR(FORECAST(J33,OFFSET(M4:M11,MATCH(J33,L4:L11,1)-1,0,2),OFFSET(L4:L11,MATCH(J33,L4:L11,1)-1,0,2)),1)</f>
        <v>1</v>
      </c>
    </row>
    <row r="35" spans="9:11" x14ac:dyDescent="0.35">
      <c r="I35" s="2" t="s">
        <v>102</v>
      </c>
      <c r="J35" s="2">
        <f ca="1">E8*E7*J34</f>
        <v>15540</v>
      </c>
    </row>
    <row r="36" spans="9:11" x14ac:dyDescent="0.35">
      <c r="I36" s="2" t="s">
        <v>106</v>
      </c>
      <c r="J36" s="2">
        <f ca="1">Sheet1!AW52</f>
        <v>1262.2571559617159</v>
      </c>
    </row>
    <row r="37" spans="9:11" x14ac:dyDescent="0.35">
      <c r="I37" s="2" t="s">
        <v>18</v>
      </c>
      <c r="J37" s="2">
        <f ca="1">Sheet1!AW50</f>
        <v>3.7280247757199523</v>
      </c>
    </row>
    <row r="39" spans="9:11" x14ac:dyDescent="0.35">
      <c r="I39" s="2" t="s">
        <v>124</v>
      </c>
      <c r="J39" s="2">
        <f ca="1">J36</f>
        <v>1262.2571559617159</v>
      </c>
      <c r="K39" s="2">
        <f t="shared" ca="1" si="0"/>
        <v>1052.2571559617159</v>
      </c>
    </row>
    <row r="40" spans="9:11" x14ac:dyDescent="0.35">
      <c r="I40" s="2" t="s">
        <v>98</v>
      </c>
      <c r="J40" s="2">
        <f ca="1">J39/E6</f>
        <v>6.0107483617224569</v>
      </c>
    </row>
    <row r="41" spans="9:11" x14ac:dyDescent="0.35">
      <c r="I41" s="2" t="s">
        <v>118</v>
      </c>
      <c r="J41" s="2">
        <f ca="1">IFERROR(FORECAST(J40,OFFSET(M4:M11,MATCH(J40,L4:L11,1)-1,0,2),OFFSET(L4:L11,MATCH(J40,L4:L11,1)-1,0,2)),1)</f>
        <v>1</v>
      </c>
    </row>
    <row r="42" spans="9:11" x14ac:dyDescent="0.35">
      <c r="I42" s="2" t="s">
        <v>102</v>
      </c>
      <c r="J42" s="2">
        <f ca="1">E7*E8*J41</f>
        <v>15540</v>
      </c>
    </row>
    <row r="43" spans="9:11" x14ac:dyDescent="0.35">
      <c r="I43" s="2" t="s">
        <v>106</v>
      </c>
      <c r="J43" s="2">
        <f ca="1">Sheet1!AW57</f>
        <v>1262.2571559617159</v>
      </c>
    </row>
    <row r="44" spans="9:11" x14ac:dyDescent="0.35">
      <c r="I44" s="2" t="s">
        <v>18</v>
      </c>
      <c r="J44" s="2">
        <f ca="1">Sheet1!AW55</f>
        <v>3.7280247757199523</v>
      </c>
    </row>
  </sheetData>
  <sheetProtection algorithmName="SHA-512" hashValue="pm5Y7RlTmJeAPucdSktDOaKlWfyzXALW6DdEUP6lXd51edlCdOiTrjB6NyNycOv6gQVIZlPDokvue78XrhUYBA==" saltValue="2Z2v+LZwQcuYEHfO4SswYg==" spinCount="100000" sheet="1" objects="1" scenarios="1" selectLockedCells="1"/>
  <mergeCells count="1">
    <mergeCell ref="E15:F17"/>
  </mergeCell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9897-80EE-4D2A-815C-896D8AA18733}">
  <dimension ref="A1:B22"/>
  <sheetViews>
    <sheetView showGridLines="0" showRowColHeaders="0" workbookViewId="0">
      <selection sqref="A1:XFD1048576"/>
    </sheetView>
  </sheetViews>
  <sheetFormatPr defaultColWidth="9.1796875" defaultRowHeight="14.5" x14ac:dyDescent="0.35"/>
  <cols>
    <col min="1" max="16384" width="9.1796875" style="2"/>
  </cols>
  <sheetData>
    <row r="1" spans="1:2" x14ac:dyDescent="0.35">
      <c r="A1" s="2" t="s">
        <v>23</v>
      </c>
    </row>
    <row r="2" spans="1:2" x14ac:dyDescent="0.35">
      <c r="A2" s="2" t="s">
        <v>24</v>
      </c>
    </row>
    <row r="5" spans="1:2" x14ac:dyDescent="0.35">
      <c r="A5" s="26" t="s">
        <v>25</v>
      </c>
    </row>
    <row r="6" spans="1:2" x14ac:dyDescent="0.35">
      <c r="A6" s="2" t="s">
        <v>26</v>
      </c>
    </row>
    <row r="7" spans="1:2" x14ac:dyDescent="0.35">
      <c r="A7" s="2" t="s">
        <v>27</v>
      </c>
    </row>
    <row r="8" spans="1:2" x14ac:dyDescent="0.35">
      <c r="A8" s="2" t="s">
        <v>28</v>
      </c>
    </row>
    <row r="9" spans="1:2" x14ac:dyDescent="0.35">
      <c r="A9" s="2" t="s">
        <v>29</v>
      </c>
    </row>
    <row r="11" spans="1:2" x14ac:dyDescent="0.35">
      <c r="A11" s="26" t="s">
        <v>30</v>
      </c>
    </row>
    <row r="12" spans="1:2" x14ac:dyDescent="0.35">
      <c r="A12" s="2" t="s">
        <v>31</v>
      </c>
      <c r="B12" s="2" t="s">
        <v>32</v>
      </c>
    </row>
    <row r="13" spans="1:2" x14ac:dyDescent="0.35">
      <c r="A13" s="2" t="s">
        <v>33</v>
      </c>
    </row>
    <row r="14" spans="1:2" x14ac:dyDescent="0.35">
      <c r="A14" s="2" t="s">
        <v>34</v>
      </c>
    </row>
    <row r="17" spans="1:1" x14ac:dyDescent="0.35">
      <c r="A17" s="26" t="s">
        <v>35</v>
      </c>
    </row>
    <row r="18" spans="1:1" x14ac:dyDescent="0.35">
      <c r="A18" s="2" t="s">
        <v>36</v>
      </c>
    </row>
    <row r="21" spans="1:1" x14ac:dyDescent="0.35">
      <c r="A21" s="26" t="s">
        <v>37</v>
      </c>
    </row>
    <row r="22" spans="1:1" x14ac:dyDescent="0.35">
      <c r="A22" s="26"/>
    </row>
  </sheetData>
  <sheetProtection algorithmName="SHA-512" hashValue="1nnwH8f/JSos/LUGiP2BhCWK1fm0m6cxLWQtnpu6xpzzdQe09w17o9Ws4pkJobk/MZnQvqGlfRMnFVV4GFsITw==" saltValue="+79gc+7EXlQuJfFV8D+ZeA==" spinCount="100000" sheet="1" objects="1" scenarios="1" selectLockedCell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7784-2504-4C29-B22C-73D0D3988475}">
  <dimension ref="D13:Y69"/>
  <sheetViews>
    <sheetView showGridLines="0" showRowColHeaders="0" tabSelected="1" topLeftCell="A38" zoomScale="49" zoomScaleNormal="30" workbookViewId="0">
      <selection activeCell="E24" sqref="E24"/>
    </sheetView>
  </sheetViews>
  <sheetFormatPr defaultColWidth="9.1796875" defaultRowHeight="13.5" x14ac:dyDescent="0.25"/>
  <cols>
    <col min="1" max="1" width="9.81640625" style="8" customWidth="1"/>
    <col min="2" max="2" width="7.7265625" style="8" customWidth="1"/>
    <col min="3" max="3" width="8.54296875" style="8" customWidth="1"/>
    <col min="4" max="4" width="59.81640625" style="8" bestFit="1" customWidth="1"/>
    <col min="5" max="5" width="48.453125" style="8" customWidth="1"/>
    <col min="6" max="6" width="18.7265625" style="8" customWidth="1"/>
    <col min="7" max="7" width="64.54296875" style="8" bestFit="1" customWidth="1"/>
    <col min="8" max="8" width="46.81640625" style="8" bestFit="1" customWidth="1"/>
    <col min="9" max="9" width="19.453125" style="8" customWidth="1"/>
    <col min="10" max="16" width="9.1796875" style="8"/>
    <col min="17" max="17" width="9.1796875" style="8" customWidth="1"/>
    <col min="18" max="18" width="75.54296875" style="8" bestFit="1" customWidth="1"/>
    <col min="19" max="19" width="35.81640625" style="8" bestFit="1" customWidth="1"/>
    <col min="20" max="20" width="17.81640625" style="8" customWidth="1"/>
    <col min="21" max="21" width="17.1796875" style="8" customWidth="1"/>
    <col min="22" max="22" width="62" style="8" bestFit="1" customWidth="1"/>
    <col min="23" max="23" width="39.26953125" style="8" bestFit="1" customWidth="1"/>
    <col min="24" max="16384" width="9.1796875" style="8"/>
  </cols>
  <sheetData>
    <row r="13" spans="5:5" ht="30.5" x14ac:dyDescent="0.6">
      <c r="E13" s="7"/>
    </row>
    <row r="14" spans="5:5" ht="30.5" x14ac:dyDescent="0.6">
      <c r="E14" s="7"/>
    </row>
    <row r="15" spans="5:5" ht="30.5" x14ac:dyDescent="0.6">
      <c r="E15" s="7"/>
    </row>
    <row r="16" spans="5:5" ht="30.5" x14ac:dyDescent="0.6">
      <c r="E16" s="7"/>
    </row>
    <row r="17" spans="4:23" ht="23.25" customHeight="1" x14ac:dyDescent="0.25">
      <c r="D17" s="83" t="s">
        <v>163</v>
      </c>
      <c r="E17" s="84"/>
      <c r="F17" s="84"/>
      <c r="G17" s="84"/>
      <c r="H17" s="85"/>
      <c r="J17" s="83" t="s">
        <v>297</v>
      </c>
      <c r="K17" s="89"/>
      <c r="L17" s="89"/>
      <c r="M17" s="89"/>
      <c r="N17" s="89"/>
      <c r="O17" s="89"/>
      <c r="P17" s="89"/>
      <c r="Q17" s="89"/>
      <c r="R17" s="89"/>
      <c r="S17" s="89"/>
      <c r="T17" s="89"/>
      <c r="U17" s="89"/>
      <c r="V17" s="89"/>
      <c r="W17" s="90"/>
    </row>
    <row r="18" spans="4:23" ht="29.25" customHeight="1" x14ac:dyDescent="0.25">
      <c r="D18" s="86"/>
      <c r="E18" s="87"/>
      <c r="F18" s="87"/>
      <c r="G18" s="87"/>
      <c r="H18" s="88"/>
      <c r="J18" s="91"/>
      <c r="K18" s="92"/>
      <c r="L18" s="92"/>
      <c r="M18" s="92"/>
      <c r="N18" s="92"/>
      <c r="O18" s="92"/>
      <c r="P18" s="92"/>
      <c r="Q18" s="92"/>
      <c r="R18" s="92"/>
      <c r="S18" s="92"/>
      <c r="T18" s="92"/>
      <c r="U18" s="92"/>
      <c r="V18" s="92"/>
      <c r="W18" s="93"/>
    </row>
    <row r="19" spans="4:23" x14ac:dyDescent="0.25">
      <c r="D19" s="38"/>
      <c r="H19" s="39"/>
      <c r="J19" s="38"/>
      <c r="W19" s="39"/>
    </row>
    <row r="20" spans="4:23" ht="30.5" x14ac:dyDescent="0.25">
      <c r="D20" s="104" t="s">
        <v>0</v>
      </c>
      <c r="E20" s="105"/>
      <c r="G20" s="94" t="s">
        <v>1</v>
      </c>
      <c r="H20" s="95"/>
      <c r="J20" s="38"/>
      <c r="W20" s="39"/>
    </row>
    <row r="21" spans="4:23" ht="30.5" x14ac:dyDescent="0.6">
      <c r="D21" s="37" t="s">
        <v>137</v>
      </c>
      <c r="E21" s="3" t="s">
        <v>138</v>
      </c>
      <c r="G21" s="10" t="s">
        <v>3</v>
      </c>
      <c r="H21" s="44" t="s">
        <v>4</v>
      </c>
      <c r="J21" s="38"/>
      <c r="W21" s="39"/>
    </row>
    <row r="22" spans="4:23" ht="30.5" x14ac:dyDescent="0.6">
      <c r="D22" s="37" t="s">
        <v>2</v>
      </c>
      <c r="E22" s="4">
        <v>10</v>
      </c>
      <c r="G22" s="11">
        <f ca="1">Sheet1!AE3</f>
        <v>8262.273469514168</v>
      </c>
      <c r="H22" s="42">
        <f ca="1">G24/(G22*2*PI()/60)</f>
        <v>0.16813997791593466</v>
      </c>
      <c r="J22" s="38"/>
      <c r="W22" s="39"/>
    </row>
    <row r="23" spans="4:23" ht="30.5" x14ac:dyDescent="0.6">
      <c r="D23" s="37" t="s">
        <v>77</v>
      </c>
      <c r="E23" s="4">
        <v>3</v>
      </c>
      <c r="G23" s="10" t="s">
        <v>7</v>
      </c>
      <c r="H23" s="44" t="s">
        <v>8</v>
      </c>
      <c r="J23" s="38"/>
      <c r="W23" s="39"/>
    </row>
    <row r="24" spans="4:23" ht="30.5" x14ac:dyDescent="0.6">
      <c r="D24" s="37" t="s">
        <v>5</v>
      </c>
      <c r="E24" s="4">
        <v>1</v>
      </c>
      <c r="G24" s="9">
        <f ca="1">Sheet1!AE4</f>
        <v>145.47861889712055</v>
      </c>
      <c r="H24" s="42">
        <f ca="1">+PI()*(E22*0.0254)*G22/60*0.00291545</f>
        <v>0.32035942242605508</v>
      </c>
      <c r="J24" s="38"/>
      <c r="W24" s="39"/>
    </row>
    <row r="25" spans="4:23" ht="29.25" customHeight="1" x14ac:dyDescent="0.6">
      <c r="D25" s="37" t="s">
        <v>89</v>
      </c>
      <c r="E25" s="4">
        <v>1.2250000000000001</v>
      </c>
      <c r="G25" s="10" t="s">
        <v>9</v>
      </c>
      <c r="H25" s="44" t="s">
        <v>149</v>
      </c>
      <c r="J25" s="38"/>
      <c r="W25" s="39"/>
    </row>
    <row r="26" spans="4:23" ht="30.5" x14ac:dyDescent="0.6">
      <c r="D26" s="37" t="s">
        <v>6</v>
      </c>
      <c r="E26" s="5">
        <v>80</v>
      </c>
      <c r="G26" s="9">
        <f ca="1">G24/(E26/100)</f>
        <v>181.84827362140069</v>
      </c>
      <c r="H26" s="45">
        <f>E22*0.33333</f>
        <v>3.3333000000000004</v>
      </c>
      <c r="J26" s="38"/>
      <c r="W26" s="39"/>
    </row>
    <row r="27" spans="4:23" ht="30.5" x14ac:dyDescent="0.6">
      <c r="D27" s="37" t="str">
        <f>IF(E21=Sheet1!B9,"Coaxial Loss (%)","")</f>
        <v/>
      </c>
      <c r="E27" s="6">
        <v>15</v>
      </c>
      <c r="G27" s="12" t="s">
        <v>11</v>
      </c>
      <c r="H27" s="46" t="s">
        <v>12</v>
      </c>
      <c r="J27" s="38"/>
      <c r="W27" s="39"/>
    </row>
    <row r="28" spans="4:23" ht="32" x14ac:dyDescent="0.6">
      <c r="D28" s="38"/>
      <c r="G28" s="9">
        <f ca="1">E24*1000/G24</f>
        <v>6.8738623419787839</v>
      </c>
      <c r="H28" s="42">
        <f ca="1">E24*1000/G26</f>
        <v>5.4990898735830269</v>
      </c>
      <c r="I28" s="13"/>
      <c r="J28" s="38"/>
      <c r="W28" s="39"/>
    </row>
    <row r="29" spans="4:23" ht="30.5" x14ac:dyDescent="0.6">
      <c r="D29" s="102" t="str">
        <f>IF('OTS props'!F2=1,"",'OTS props'!G2)</f>
        <v>This is not OTS propeller</v>
      </c>
      <c r="E29" s="103"/>
      <c r="G29" s="12" t="s">
        <v>141</v>
      </c>
      <c r="H29" s="46" t="s">
        <v>10</v>
      </c>
      <c r="J29" s="38"/>
      <c r="W29" s="39"/>
    </row>
    <row r="30" spans="4:23" ht="30.5" x14ac:dyDescent="0.6">
      <c r="D30" s="102"/>
      <c r="E30" s="103"/>
      <c r="G30" s="9">
        <f>Sheet1!AJ7</f>
        <v>5.9533500000000004</v>
      </c>
      <c r="H30" s="42">
        <f ca="1">Sheet1!AE5</f>
        <v>0.5312361038196447</v>
      </c>
      <c r="J30" s="38"/>
      <c r="W30" s="39"/>
    </row>
    <row r="31" spans="4:23" x14ac:dyDescent="0.25">
      <c r="D31" s="40"/>
      <c r="E31" s="33"/>
      <c r="F31" s="33"/>
      <c r="G31" s="33"/>
      <c r="H31" s="41"/>
      <c r="J31" s="38"/>
      <c r="W31" s="39"/>
    </row>
    <row r="32" spans="4:23" x14ac:dyDescent="0.25">
      <c r="J32" s="38"/>
      <c r="W32" s="39"/>
    </row>
    <row r="33" spans="4:23" x14ac:dyDescent="0.25">
      <c r="J33" s="38"/>
      <c r="W33" s="39"/>
    </row>
    <row r="34" spans="4:23" x14ac:dyDescent="0.25">
      <c r="J34" s="38"/>
      <c r="W34" s="39"/>
    </row>
    <row r="35" spans="4:23" ht="30.5" x14ac:dyDescent="0.25">
      <c r="D35" s="83" t="s">
        <v>164</v>
      </c>
      <c r="E35" s="97"/>
      <c r="F35" s="97"/>
      <c r="G35" s="97"/>
      <c r="H35" s="98"/>
      <c r="J35" s="68"/>
      <c r="W35" s="39"/>
    </row>
    <row r="36" spans="4:23" x14ac:dyDescent="0.25">
      <c r="D36" s="99"/>
      <c r="E36" s="100"/>
      <c r="F36" s="100"/>
      <c r="G36" s="100"/>
      <c r="H36" s="101"/>
      <c r="J36" s="38"/>
      <c r="W36" s="39"/>
    </row>
    <row r="37" spans="4:23" ht="30.5" x14ac:dyDescent="0.25">
      <c r="D37" s="96" t="s">
        <v>298</v>
      </c>
      <c r="E37" s="94"/>
      <c r="F37" s="94"/>
      <c r="G37" s="94" t="str">
        <f ca="1">IF('Motor performance'!$F$13="Insufficient","","Output")</f>
        <v>Output</v>
      </c>
      <c r="H37" s="95"/>
      <c r="I37" s="67"/>
      <c r="J37" s="38"/>
      <c r="W37" s="39"/>
    </row>
    <row r="38" spans="4:23" ht="30.5" x14ac:dyDescent="0.6">
      <c r="D38" s="35" t="s">
        <v>20</v>
      </c>
      <c r="E38" s="3">
        <v>210</v>
      </c>
      <c r="F38" s="7" t="s">
        <v>93</v>
      </c>
      <c r="G38" s="10" t="str">
        <f ca="1">IF('Motor performance'!$F$13="Insufficient","",IF(AND(E44="Motor is good enough",E46="reduce the KV"),"","Max thrust (kg)"))</f>
        <v/>
      </c>
      <c r="H38" s="36" t="str">
        <f ca="1">IF('Motor performance'!E19&lt;0,0,IF('Motor performance'!$F$13="Insufficient","",IF(AND(E44="Motor is good enough",E46="reduce the KV"),"",'Motor performance'!E19)))</f>
        <v/>
      </c>
      <c r="J38" s="38"/>
      <c r="W38" s="39"/>
    </row>
    <row r="39" spans="4:23" ht="30.5" x14ac:dyDescent="0.6">
      <c r="D39" s="35" t="s">
        <v>97</v>
      </c>
      <c r="E39" s="4">
        <v>1400</v>
      </c>
      <c r="F39" s="7"/>
      <c r="G39" s="10" t="str">
        <f ca="1">IF('Motor performance'!$F$13="Insufficient","",IF(AND(E44="Motor is good enough",E46="reduce the KV"),"","Unused Power (W)"))</f>
        <v/>
      </c>
      <c r="H39" s="36" t="str">
        <f ca="1">IF('Motor performance'!F19&lt;0,"please enter valid numbers",IF('Motor performance'!$F$13="Insufficient","",IF(AND(E44="Motor is good enough",E46="reduce the KV"),"",'Motor performance'!G19)))</f>
        <v/>
      </c>
      <c r="J39" s="38"/>
      <c r="W39" s="39"/>
    </row>
    <row r="40" spans="4:23" ht="30.5" x14ac:dyDescent="0.6">
      <c r="D40" s="35" t="s">
        <v>13</v>
      </c>
      <c r="E40" s="5">
        <v>11.1</v>
      </c>
      <c r="F40" s="7" t="s">
        <v>94</v>
      </c>
      <c r="G40" s="10"/>
      <c r="H40" s="36"/>
      <c r="J40" s="38"/>
      <c r="W40" s="39"/>
    </row>
    <row r="41" spans="4:23" ht="30.5" x14ac:dyDescent="0.6">
      <c r="D41" s="37"/>
      <c r="G41" s="10" t="str">
        <f ca="1">IF('Motor performance'!$F$13="Insufficient","","Optimum KV")</f>
        <v>Optimum KV</v>
      </c>
      <c r="H41" s="36">
        <f ca="1">IF('Motor performance'!$F$13="Insufficient","",'Motor performance'!E11)</f>
        <v>929.68205021526626</v>
      </c>
      <c r="J41" s="38"/>
      <c r="W41" s="39"/>
    </row>
    <row r="42" spans="4:23" ht="30.5" x14ac:dyDescent="0.6">
      <c r="D42" s="38"/>
      <c r="G42" s="10" t="str">
        <f ca="1">IF('Motor performance'!$F$13="Insufficient","","Max KV")</f>
        <v>Max KV</v>
      </c>
      <c r="H42" s="36">
        <f ca="1">IF('Motor performance'!$F$13="Insufficient","",'Motor performance'!E12)</f>
        <v>1025.84889457129</v>
      </c>
      <c r="J42" s="38"/>
      <c r="W42" s="39"/>
    </row>
    <row r="43" spans="4:23" ht="30.5" x14ac:dyDescent="0.6">
      <c r="D43" s="68" t="s">
        <v>1</v>
      </c>
      <c r="E43" s="67"/>
      <c r="F43" s="67"/>
      <c r="G43" s="10" t="str">
        <f ca="1">IF('Motor performance'!$F$13="Insufficient","","Max thrust with Max KV")</f>
        <v>Max thrust with Max KV</v>
      </c>
      <c r="H43" s="36">
        <f ca="1">IF('Motor performance'!$F$13="Insufficient","",'Motor performance'!F12)</f>
        <v>1.1125366620171371</v>
      </c>
      <c r="J43" s="38"/>
      <c r="W43" s="39"/>
    </row>
    <row r="44" spans="4:23" ht="30.5" x14ac:dyDescent="0.6">
      <c r="D44" s="38"/>
      <c r="E44" s="7" t="str">
        <f ca="1">'Motor performance'!F18</f>
        <v>Motor is good enough</v>
      </c>
      <c r="H44" s="39"/>
      <c r="J44" s="38"/>
      <c r="W44" s="39"/>
    </row>
    <row r="45" spans="4:23" ht="30.5" x14ac:dyDescent="0.6">
      <c r="D45" s="38"/>
      <c r="E45" s="7" t="str">
        <f ca="1">IF('Motor performance'!F13="Sufficient","","Increase the motor power")</f>
        <v/>
      </c>
      <c r="H45" s="39"/>
      <c r="J45" s="38"/>
      <c r="W45" s="39"/>
    </row>
    <row r="46" spans="4:23" ht="30.5" x14ac:dyDescent="0.6">
      <c r="D46" s="40"/>
      <c r="E46" s="34" t="str">
        <f ca="1">IF('Motor performance'!I16="Sufficient","",'Motor performance'!I16)</f>
        <v>reduce the KV</v>
      </c>
      <c r="F46" s="33"/>
      <c r="G46" s="33"/>
      <c r="H46" s="41"/>
      <c r="I46" s="15"/>
      <c r="J46" s="38"/>
      <c r="W46" s="39"/>
    </row>
    <row r="47" spans="4:23" ht="30.5" x14ac:dyDescent="0.6">
      <c r="D47" s="7"/>
      <c r="F47" s="15"/>
      <c r="J47" s="38"/>
      <c r="W47" s="39"/>
    </row>
    <row r="48" spans="4:23" ht="30.5" x14ac:dyDescent="0.25">
      <c r="I48" s="67"/>
      <c r="J48" s="40"/>
      <c r="K48" s="33"/>
      <c r="L48" s="33"/>
      <c r="M48" s="33"/>
      <c r="N48" s="33"/>
      <c r="O48" s="33"/>
      <c r="P48" s="33"/>
      <c r="Q48" s="33"/>
      <c r="R48" s="33"/>
      <c r="S48" s="33"/>
      <c r="T48" s="33"/>
      <c r="U48" s="33"/>
      <c r="V48" s="33"/>
      <c r="W48" s="41"/>
    </row>
    <row r="49" spans="4:9" ht="30.5" x14ac:dyDescent="0.6">
      <c r="D49" s="83" t="s">
        <v>296</v>
      </c>
      <c r="E49" s="97"/>
      <c r="F49" s="97"/>
      <c r="G49" s="97"/>
      <c r="H49" s="98"/>
      <c r="I49" s="14"/>
    </row>
    <row r="50" spans="4:9" ht="30.5" x14ac:dyDescent="0.6">
      <c r="D50" s="99"/>
      <c r="E50" s="100"/>
      <c r="F50" s="100"/>
      <c r="G50" s="100"/>
      <c r="H50" s="101"/>
      <c r="I50" s="14"/>
    </row>
    <row r="51" spans="4:9" ht="30.5" x14ac:dyDescent="0.6">
      <c r="D51" s="96" t="s">
        <v>63</v>
      </c>
      <c r="E51" s="94"/>
      <c r="F51" s="14"/>
      <c r="G51" s="94" t="s">
        <v>1</v>
      </c>
      <c r="H51" s="95"/>
      <c r="I51" s="14"/>
    </row>
    <row r="52" spans="4:9" ht="30.5" x14ac:dyDescent="0.6">
      <c r="D52" s="37" t="s">
        <v>13</v>
      </c>
      <c r="E52" s="3">
        <v>11.1</v>
      </c>
      <c r="F52" s="14"/>
      <c r="G52" s="10" t="s">
        <v>61</v>
      </c>
      <c r="H52" s="42">
        <f ca="1">(E52*E53/1000*E54/100)/(G26*E55)*60</f>
        <v>3.955385364270799</v>
      </c>
      <c r="I52" s="14"/>
    </row>
    <row r="53" spans="4:9" ht="30.5" x14ac:dyDescent="0.6">
      <c r="D53" s="37" t="s">
        <v>14</v>
      </c>
      <c r="E53" s="4">
        <v>5400</v>
      </c>
      <c r="F53" s="14"/>
      <c r="G53" s="10" t="s">
        <v>48</v>
      </c>
      <c r="H53" s="42">
        <f ca="1">G26/E52</f>
        <v>16.382727353279343</v>
      </c>
    </row>
    <row r="54" spans="4:9" ht="30.5" x14ac:dyDescent="0.6">
      <c r="D54" s="37" t="s">
        <v>15</v>
      </c>
      <c r="E54" s="4">
        <v>80</v>
      </c>
      <c r="F54" s="14"/>
      <c r="G54" s="10" t="s">
        <v>62</v>
      </c>
      <c r="H54" s="42">
        <f>E55*E24</f>
        <v>4</v>
      </c>
    </row>
    <row r="55" spans="4:9" ht="30.5" x14ac:dyDescent="0.6">
      <c r="D55" s="37" t="s">
        <v>16</v>
      </c>
      <c r="E55" s="5">
        <v>4</v>
      </c>
      <c r="G55" s="10"/>
      <c r="H55" s="43"/>
    </row>
    <row r="56" spans="4:9" x14ac:dyDescent="0.25">
      <c r="D56" s="40"/>
      <c r="E56" s="33"/>
      <c r="F56" s="33"/>
      <c r="G56" s="33"/>
      <c r="H56" s="41"/>
    </row>
    <row r="69" spans="25:25" ht="30.5" x14ac:dyDescent="0.25">
      <c r="Y69" s="67"/>
    </row>
  </sheetData>
  <sheetProtection algorithmName="SHA-512" hashValue="j1mmgGxqkKv4F8dknp67iGkx1SrhRrhBa/dUprxfG4nNDMaZxS+Qi7HhgpU9Mxx8t+0FevDMvZ6G2iotgnEcMA==" saltValue="SZwb6VgY4Om4i1tyHBr0eQ==" spinCount="100000" sheet="1" objects="1" scenarios="1" selectLockedCells="1"/>
  <mergeCells count="11">
    <mergeCell ref="D17:H18"/>
    <mergeCell ref="J17:W18"/>
    <mergeCell ref="G37:H37"/>
    <mergeCell ref="D51:E51"/>
    <mergeCell ref="G51:H51"/>
    <mergeCell ref="D35:H36"/>
    <mergeCell ref="D49:H50"/>
    <mergeCell ref="D37:F37"/>
    <mergeCell ref="D29:E30"/>
    <mergeCell ref="D20:E20"/>
    <mergeCell ref="G20:H20"/>
  </mergeCells>
  <conditionalFormatting sqref="H24">
    <cfRule type="expression" dxfId="0" priority="2">
      <formula>$H$24&gt;0.8</formula>
    </cfRule>
  </conditionalFormatting>
  <dataValidations count="6">
    <dataValidation type="decimal" allowBlank="1" showInputMessage="1" showErrorMessage="1" errorTitle="Please enter a valid number" error="Please enter the diameter in inches" sqref="E22" xr:uid="{47A10FCF-38C1-495B-BDE3-F2189B9FBFF4}">
      <formula1>0.00001</formula1>
      <formula2>9.99999999999999E+42</formula2>
    </dataValidation>
    <dataValidation type="whole" allowBlank="1" showInputMessage="1" showErrorMessage="1" errorTitle="Please enter valid number" error="Number of blades should be beteen 2-14_x000a_Maximum no of blades is 14_x000a_" sqref="E23" xr:uid="{B8FE28B8-5F9B-43E7-94AA-1C06CB990618}">
      <formula1>2</formula1>
      <formula2>14</formula2>
    </dataValidation>
    <dataValidation type="decimal" allowBlank="1" showInputMessage="1" showErrorMessage="1" errorTitle="Please enter a valid number" error="Please enter a valid density._x000a_Density of Water =997 kg/m3" sqref="E25" xr:uid="{65CA4111-C662-4346-A0EC-0019AE131D75}">
      <formula1>0.0001</formula1>
      <formula2>1000</formula2>
    </dataValidation>
    <dataValidation type="decimal" allowBlank="1" showInputMessage="1" showErrorMessage="1" errorTitle="Please enter a valid number" error="Please enter a valid number for thurst._x000a_Unit - kgs" sqref="E24" xr:uid="{0EB4EE82-CD88-4AAF-886C-C9D4492DDAFB}">
      <formula1>0.00001</formula1>
      <formula2>9.99999999999999E+49</formula2>
    </dataValidation>
    <dataValidation type="decimal" allowBlank="1" showInputMessage="1" showErrorMessage="1" errorTitle="Please enter valid number" error="Motor efficiency should be 0 - 100%" sqref="E26" xr:uid="{015102F4-1E0F-4D8F-B43A-5AAF19EF39E1}">
      <formula1>0.0000001</formula1>
      <formula2>100</formula2>
    </dataValidation>
    <dataValidation type="decimal" allowBlank="1" showInputMessage="1" showErrorMessage="1" errorTitle="Please enter valid number" error="the losses should be 0 - 100%" sqref="E27" xr:uid="{35D87935-2739-4191-A1FD-F526638057E8}">
      <formula1>0</formula1>
      <formula2>100</formula2>
    </dataValidation>
  </dataValidations>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1" id="{9240D750-BA90-4054-B0D0-977F055F499B}">
            <xm:f>$E$21=Sheet1!$B$8</xm:f>
            <x14:dxf>
              <font>
                <color auto="1"/>
              </font>
            </x14:dxf>
          </x14:cfRule>
          <xm:sqref>E27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4C7641F-63B0-40C7-9A98-9E7DB747C454}">
          <x14:formula1>
            <xm:f>Sheet1!$B$8:$B$9</xm:f>
          </x14:formula1>
          <xm:sqref>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725F-629F-4516-9594-4F2D1CED2C8E}">
  <dimension ref="A2:AA67"/>
  <sheetViews>
    <sheetView showGridLines="0" zoomScale="85" zoomScaleNormal="85" workbookViewId="0">
      <selection activeCell="B3" sqref="B3"/>
    </sheetView>
  </sheetViews>
  <sheetFormatPr defaultColWidth="9.1796875" defaultRowHeight="14.5" x14ac:dyDescent="0.35"/>
  <cols>
    <col min="1" max="1" width="31" style="80" bestFit="1" customWidth="1"/>
    <col min="2" max="2" width="12" style="80" bestFit="1" customWidth="1"/>
    <col min="3" max="4" width="17.1796875" style="80" bestFit="1" customWidth="1"/>
    <col min="5" max="5" width="22.1796875" style="80" bestFit="1" customWidth="1"/>
    <col min="6" max="16384" width="9.1796875" style="80"/>
  </cols>
  <sheetData>
    <row r="2" spans="1:27" ht="19.5" x14ac:dyDescent="0.35">
      <c r="A2" s="78" t="s">
        <v>2</v>
      </c>
      <c r="B2" s="79">
        <f>Sheet1!B1</f>
        <v>10</v>
      </c>
    </row>
    <row r="3" spans="1:27" ht="19.5" x14ac:dyDescent="0.35">
      <c r="A3" s="78" t="s">
        <v>77</v>
      </c>
      <c r="B3" s="79">
        <f>Sheet1!B2</f>
        <v>3</v>
      </c>
      <c r="E3" s="81"/>
      <c r="F3" s="81"/>
    </row>
    <row r="4" spans="1:27" ht="22" x14ac:dyDescent="0.35">
      <c r="A4" s="78" t="s">
        <v>90</v>
      </c>
      <c r="B4" s="82">
        <f>Sheet1!B4</f>
        <v>1.2250000000000001</v>
      </c>
      <c r="E4" s="81"/>
      <c r="F4" s="81"/>
    </row>
    <row r="5" spans="1:27" x14ac:dyDescent="0.35">
      <c r="E5" s="81"/>
      <c r="F5" s="81"/>
    </row>
    <row r="6" spans="1:27" x14ac:dyDescent="0.35">
      <c r="A6" s="81"/>
      <c r="B6" s="81"/>
      <c r="C6" s="81"/>
      <c r="D6" s="81"/>
      <c r="E6" s="81"/>
      <c r="F6" s="81"/>
      <c r="X6" s="80" t="s">
        <v>3</v>
      </c>
      <c r="Y6" s="80" t="s">
        <v>18</v>
      </c>
      <c r="Z6" s="80" t="s">
        <v>19</v>
      </c>
      <c r="AA6" s="80" t="s">
        <v>76</v>
      </c>
    </row>
    <row r="7" spans="1:27" ht="15.5" x14ac:dyDescent="0.35">
      <c r="A7" s="81"/>
      <c r="B7" s="47" t="s">
        <v>3</v>
      </c>
      <c r="C7" s="47" t="s">
        <v>46</v>
      </c>
      <c r="D7" s="47" t="s">
        <v>4</v>
      </c>
      <c r="E7" s="47" t="s">
        <v>38</v>
      </c>
      <c r="F7" s="81"/>
      <c r="X7" s="80">
        <f ca="1">IFERROR(Sheet1!A51,"")</f>
        <v>0</v>
      </c>
      <c r="Y7" s="80" t="str">
        <f ca="1">IFERROR(Sheet1!O51,"")</f>
        <v/>
      </c>
      <c r="Z7" s="80" t="str">
        <f ca="1">IFERROR(AA7/(X7*2*PI()/60),"")</f>
        <v/>
      </c>
      <c r="AA7" s="80" t="str">
        <f ca="1">IFERROR(Sheet1!P51,"")</f>
        <v/>
      </c>
    </row>
    <row r="8" spans="1:27" x14ac:dyDescent="0.35">
      <c r="A8" s="81"/>
      <c r="B8" s="16" t="str">
        <f ca="1">IF(X7=0,"",X7)</f>
        <v/>
      </c>
      <c r="C8" s="16" t="str">
        <f ca="1">IF(Y7=0,"",Y7)</f>
        <v/>
      </c>
      <c r="D8" s="16" t="str">
        <f ca="1">IF(Z7=0,"",Z7)</f>
        <v/>
      </c>
      <c r="E8" s="16" t="str">
        <f ca="1">IF(AA7=0,"",AA7)</f>
        <v/>
      </c>
      <c r="F8" s="81"/>
      <c r="X8" s="80">
        <f ca="1">IFERROR(Sheet1!A52,"")</f>
        <v>3578</v>
      </c>
      <c r="Y8" s="80">
        <f ca="1">IFERROR(Sheet1!O52,"")</f>
        <v>0.14979718945974446</v>
      </c>
      <c r="Z8" s="80">
        <f t="shared" ref="Z8:Z67" ca="1" si="0">IFERROR(AA8/(X8*2*PI()/60),"")</f>
        <v>2.2932089241361524E-2</v>
      </c>
      <c r="AA8" s="80">
        <f ca="1">IFERROR(Sheet1!P52,"")</f>
        <v>8.592362230121001</v>
      </c>
    </row>
    <row r="9" spans="1:27" ht="15.5" x14ac:dyDescent="0.35">
      <c r="A9" s="81"/>
      <c r="B9" s="17">
        <f t="shared" ref="B9:B67" ca="1" si="1">IF(X8=0,"",X8)</f>
        <v>3578</v>
      </c>
      <c r="C9" s="18">
        <f t="shared" ref="C9:C67" ca="1" si="2">IF(Y8=0,"",Y8)</f>
        <v>0.14979718945974446</v>
      </c>
      <c r="D9" s="18">
        <f t="shared" ref="D9:D67" ca="1" si="3">IF(Z8=0,"",Z8)</f>
        <v>2.2932089241361524E-2</v>
      </c>
      <c r="E9" s="18">
        <f t="shared" ref="E9:E67" ca="1" si="4">IF(AA8=0,"",AA8)</f>
        <v>8.592362230121001</v>
      </c>
      <c r="F9" s="81"/>
      <c r="X9" s="80">
        <f ca="1">IFERROR(Sheet1!A53,"")</f>
        <v>4283</v>
      </c>
      <c r="Y9" s="80">
        <f ca="1">IFERROR(Sheet1!O53,"")</f>
        <v>0.22101044401624875</v>
      </c>
      <c r="Z9" s="80">
        <f t="shared" ca="1" si="0"/>
        <v>3.5197885817931984E-2</v>
      </c>
      <c r="AA9" s="80">
        <f ca="1">IFERROR(Sheet1!P53,"")</f>
        <v>15.786769591688486</v>
      </c>
    </row>
    <row r="10" spans="1:27" ht="15.5" x14ac:dyDescent="0.35">
      <c r="A10" s="81"/>
      <c r="B10" s="17">
        <f t="shared" ca="1" si="1"/>
        <v>4283</v>
      </c>
      <c r="C10" s="18">
        <f t="shared" ca="1" si="2"/>
        <v>0.22101044401624875</v>
      </c>
      <c r="D10" s="18">
        <f t="shared" ca="1" si="3"/>
        <v>3.5197885817931984E-2</v>
      </c>
      <c r="E10" s="18">
        <f t="shared" ca="1" si="4"/>
        <v>15.786769591688486</v>
      </c>
      <c r="F10" s="81"/>
      <c r="X10" s="80">
        <f ca="1">IFERROR(Sheet1!A54,"")</f>
        <v>4910</v>
      </c>
      <c r="Y10" s="80">
        <f ca="1">IFERROR(Sheet1!O54,"")</f>
        <v>0.30055387504830067</v>
      </c>
      <c r="Z10" s="80">
        <f t="shared" ca="1" si="0"/>
        <v>4.867515058681756E-2</v>
      </c>
      <c r="AA10" s="80">
        <f ca="1">IFERROR(Sheet1!P54,"")</f>
        <v>25.027496762832726</v>
      </c>
    </row>
    <row r="11" spans="1:27" ht="15.5" x14ac:dyDescent="0.35">
      <c r="A11" s="81"/>
      <c r="B11" s="17">
        <f t="shared" ca="1" si="1"/>
        <v>4910</v>
      </c>
      <c r="C11" s="18">
        <f t="shared" ca="1" si="2"/>
        <v>0.30055387504830067</v>
      </c>
      <c r="D11" s="18">
        <f t="shared" ca="1" si="3"/>
        <v>4.867515058681756E-2</v>
      </c>
      <c r="E11" s="18">
        <f t="shared" ca="1" si="4"/>
        <v>25.027496762832726</v>
      </c>
      <c r="F11" s="81"/>
      <c r="X11" s="80">
        <f ca="1">IFERROR(Sheet1!A55,"")</f>
        <v>5541</v>
      </c>
      <c r="Y11" s="80">
        <f ca="1">IFERROR(Sheet1!O55,"")</f>
        <v>0.3976018684169958</v>
      </c>
      <c r="Z11" s="80">
        <f t="shared" ca="1" si="0"/>
        <v>6.5471869587566359E-2</v>
      </c>
      <c r="AA11" s="80">
        <f ca="1">IFERROR(Sheet1!P55,"")</f>
        <v>37.990193951567257</v>
      </c>
    </row>
    <row r="12" spans="1:27" ht="15.5" x14ac:dyDescent="0.35">
      <c r="A12" s="81"/>
      <c r="B12" s="17">
        <f t="shared" ca="1" si="1"/>
        <v>5541</v>
      </c>
      <c r="C12" s="18">
        <f t="shared" ca="1" si="2"/>
        <v>0.3976018684169958</v>
      </c>
      <c r="D12" s="18">
        <f t="shared" ca="1" si="3"/>
        <v>6.5471869587566359E-2</v>
      </c>
      <c r="E12" s="18">
        <f t="shared" ca="1" si="4"/>
        <v>37.990193951567257</v>
      </c>
      <c r="F12" s="81"/>
      <c r="X12" s="80">
        <f ca="1">IFERROR(Sheet1!A56,"")</f>
        <v>6169</v>
      </c>
      <c r="Y12" s="80">
        <f ca="1">IFERROR(Sheet1!O56,"")</f>
        <v>0.51737807510621103</v>
      </c>
      <c r="Z12" s="80">
        <f t="shared" ca="1" si="0"/>
        <v>8.6926110378410415E-2</v>
      </c>
      <c r="AA12" s="80">
        <f ca="1">IFERROR(Sheet1!P56,"")</f>
        <v>56.155672841693978</v>
      </c>
    </row>
    <row r="13" spans="1:27" ht="15.5" x14ac:dyDescent="0.35">
      <c r="A13" s="81"/>
      <c r="B13" s="17">
        <f t="shared" ca="1" si="1"/>
        <v>6169</v>
      </c>
      <c r="C13" s="18">
        <f t="shared" ca="1" si="2"/>
        <v>0.51737807510621103</v>
      </c>
      <c r="D13" s="18">
        <f t="shared" ca="1" si="3"/>
        <v>8.6926110378410415E-2</v>
      </c>
      <c r="E13" s="18">
        <f t="shared" ca="1" si="4"/>
        <v>56.155672841693978</v>
      </c>
      <c r="F13" s="81"/>
      <c r="X13" s="80">
        <f ca="1">IFERROR(Sheet1!A57,"")</f>
        <v>6807</v>
      </c>
      <c r="Y13" s="80">
        <f ca="1">IFERROR(Sheet1!O57,"")</f>
        <v>0.6419500483882965</v>
      </c>
      <c r="Z13" s="80">
        <f t="shared" ca="1" si="0"/>
        <v>0.10767981775362157</v>
      </c>
      <c r="AA13" s="80">
        <f ca="1">IFERROR(Sheet1!P57,"")</f>
        <v>76.757121625149551</v>
      </c>
    </row>
    <row r="14" spans="1:27" ht="15.5" x14ac:dyDescent="0.35">
      <c r="A14" s="81"/>
      <c r="B14" s="17">
        <f t="shared" ca="1" si="1"/>
        <v>6807</v>
      </c>
      <c r="C14" s="18">
        <f t="shared" ca="1" si="2"/>
        <v>0.6419500483882965</v>
      </c>
      <c r="D14" s="18">
        <f t="shared" ca="1" si="3"/>
        <v>0.10767981775362157</v>
      </c>
      <c r="E14" s="18">
        <f t="shared" ca="1" si="4"/>
        <v>76.757121625149551</v>
      </c>
      <c r="F14" s="81"/>
      <c r="X14" s="80">
        <f ca="1">IFERROR(Sheet1!A58,"")</f>
        <v>7398</v>
      </c>
      <c r="Y14" s="80">
        <f ca="1">IFERROR(Sheet1!O58,"")</f>
        <v>0.77558115472901112</v>
      </c>
      <c r="Z14" s="80">
        <f t="shared" ca="1" si="0"/>
        <v>0.13068026128313023</v>
      </c>
      <c r="AA14" s="80">
        <f ca="1">IFERROR(Sheet1!P58,"")</f>
        <v>101.24018709809383</v>
      </c>
    </row>
    <row r="15" spans="1:27" ht="15.5" x14ac:dyDescent="0.35">
      <c r="A15" s="81"/>
      <c r="B15" s="17">
        <f t="shared" ca="1" si="1"/>
        <v>7398</v>
      </c>
      <c r="C15" s="18">
        <f t="shared" ca="1" si="2"/>
        <v>0.77558115472901112</v>
      </c>
      <c r="D15" s="18">
        <f t="shared" ca="1" si="3"/>
        <v>0.13068026128313023</v>
      </c>
      <c r="E15" s="18">
        <f t="shared" ca="1" si="4"/>
        <v>101.24018709809383</v>
      </c>
      <c r="F15" s="81"/>
      <c r="X15" s="80">
        <f ca="1">IFERROR(Sheet1!A59,"")</f>
        <v>8008</v>
      </c>
      <c r="Y15" s="80">
        <f ca="1">IFERROR(Sheet1!O59,"")</f>
        <v>0.92831390900417043</v>
      </c>
      <c r="Z15" s="80">
        <f t="shared" ca="1" si="0"/>
        <v>0.15649475425937728</v>
      </c>
      <c r="AA15" s="80">
        <f ca="1">IFERROR(Sheet1!P59,"")</f>
        <v>131.235843487175</v>
      </c>
    </row>
    <row r="16" spans="1:27" ht="15.5" x14ac:dyDescent="0.35">
      <c r="A16" s="81"/>
      <c r="B16" s="17">
        <f t="shared" ca="1" si="1"/>
        <v>8008</v>
      </c>
      <c r="C16" s="18">
        <f t="shared" ca="1" si="2"/>
        <v>0.92831390900417043</v>
      </c>
      <c r="D16" s="18">
        <f t="shared" ca="1" si="3"/>
        <v>0.15649475425937728</v>
      </c>
      <c r="E16" s="18">
        <f t="shared" ca="1" si="4"/>
        <v>131.235843487175</v>
      </c>
      <c r="F16" s="81"/>
      <c r="X16" s="80">
        <f ca="1">IFERROR(Sheet1!A60,"")</f>
        <v>8579</v>
      </c>
      <c r="Y16" s="80">
        <f ca="1">IFERROR(Sheet1!O60,"")</f>
        <v>1.089293180796967</v>
      </c>
      <c r="Z16" s="80">
        <f t="shared" ca="1" si="0"/>
        <v>0.181679976691169</v>
      </c>
      <c r="AA16" s="80">
        <f ca="1">IFERROR(Sheet1!P60,"")</f>
        <v>163.21961581945038</v>
      </c>
    </row>
    <row r="17" spans="1:27" ht="15.5" x14ac:dyDescent="0.35">
      <c r="A17" s="81"/>
      <c r="B17" s="17">
        <f t="shared" ca="1" si="1"/>
        <v>8579</v>
      </c>
      <c r="C17" s="18">
        <f t="shared" ca="1" si="2"/>
        <v>1.089293180796967</v>
      </c>
      <c r="D17" s="18">
        <f t="shared" ca="1" si="3"/>
        <v>0.181679976691169</v>
      </c>
      <c r="E17" s="18">
        <f t="shared" ca="1" si="4"/>
        <v>163.21961581945038</v>
      </c>
      <c r="F17" s="81"/>
      <c r="X17" s="80">
        <f ca="1">IFERROR(Sheet1!A61,"")</f>
        <v>9121</v>
      </c>
      <c r="Y17" s="80">
        <f ca="1">IFERROR(Sheet1!O61,"")</f>
        <v>1.2571289508114714</v>
      </c>
      <c r="Z17" s="80">
        <f t="shared" ca="1" si="0"/>
        <v>0.20702286374307152</v>
      </c>
      <c r="AA17" s="80">
        <f ca="1">IFERROR(Sheet1!P61,"")</f>
        <v>197.73765777314304</v>
      </c>
    </row>
    <row r="18" spans="1:27" ht="15.5" x14ac:dyDescent="0.35">
      <c r="A18" s="81"/>
      <c r="B18" s="17">
        <f t="shared" ca="1" si="1"/>
        <v>9121</v>
      </c>
      <c r="C18" s="18">
        <f t="shared" ca="1" si="2"/>
        <v>1.2571289508114714</v>
      </c>
      <c r="D18" s="18">
        <f t="shared" ca="1" si="3"/>
        <v>0.20702286374307152</v>
      </c>
      <c r="E18" s="18">
        <f t="shared" ca="1" si="4"/>
        <v>197.73765777314304</v>
      </c>
      <c r="F18" s="81"/>
      <c r="X18" s="80">
        <f ca="1">IFERROR(Sheet1!A62,"")</f>
        <v>9355</v>
      </c>
      <c r="Y18" s="80">
        <f ca="1">IFERROR(Sheet1!O62,"")</f>
        <v>1.3510279838823658</v>
      </c>
      <c r="Z18" s="80">
        <f t="shared" ca="1" si="0"/>
        <v>0.224876333016966</v>
      </c>
      <c r="AA18" s="80">
        <f ca="1">IFERROR(Sheet1!P62,"")</f>
        <v>220.30084378833271</v>
      </c>
    </row>
    <row r="19" spans="1:27" ht="15.5" x14ac:dyDescent="0.35">
      <c r="A19" s="81"/>
      <c r="B19" s="17">
        <f t="shared" ca="1" si="1"/>
        <v>9355</v>
      </c>
      <c r="C19" s="18">
        <f t="shared" ca="1" si="2"/>
        <v>1.3510279838823658</v>
      </c>
      <c r="D19" s="18">
        <f t="shared" ca="1" si="3"/>
        <v>0.224876333016966</v>
      </c>
      <c r="E19" s="18">
        <f t="shared" ca="1" si="4"/>
        <v>220.30084378833271</v>
      </c>
      <c r="F19" s="81"/>
      <c r="X19" s="80">
        <f ca="1">IFERROR(Sheet1!A63,"")</f>
        <v>0</v>
      </c>
      <c r="Y19" s="80" t="str">
        <f ca="1">IFERROR(Sheet1!O63,"")</f>
        <v/>
      </c>
      <c r="Z19" s="80" t="str">
        <f t="shared" ca="1" si="0"/>
        <v/>
      </c>
      <c r="AA19" s="80" t="str">
        <f ca="1">IFERROR(Sheet1!P63,"")</f>
        <v/>
      </c>
    </row>
    <row r="20" spans="1:27" ht="15.5" x14ac:dyDescent="0.35">
      <c r="A20" s="81"/>
      <c r="B20" s="17" t="str">
        <f t="shared" ca="1" si="1"/>
        <v/>
      </c>
      <c r="C20" s="18" t="str">
        <f t="shared" ca="1" si="2"/>
        <v/>
      </c>
      <c r="D20" s="18" t="str">
        <f t="shared" ca="1" si="3"/>
        <v/>
      </c>
      <c r="E20" s="18" t="str">
        <f t="shared" ca="1" si="4"/>
        <v/>
      </c>
      <c r="F20" s="81"/>
      <c r="X20" s="80">
        <f ca="1">IFERROR(Sheet1!A64,"")</f>
        <v>0</v>
      </c>
      <c r="Y20" s="80" t="str">
        <f ca="1">IFERROR(Sheet1!O64,"")</f>
        <v/>
      </c>
      <c r="Z20" s="80" t="str">
        <f t="shared" ca="1" si="0"/>
        <v/>
      </c>
      <c r="AA20" s="80" t="str">
        <f ca="1">IFERROR(Sheet1!P64,"")</f>
        <v/>
      </c>
    </row>
    <row r="21" spans="1:27" ht="15.5" x14ac:dyDescent="0.35">
      <c r="A21" s="81"/>
      <c r="B21" s="17" t="str">
        <f t="shared" ca="1" si="1"/>
        <v/>
      </c>
      <c r="C21" s="18" t="str">
        <f t="shared" ca="1" si="2"/>
        <v/>
      </c>
      <c r="D21" s="18" t="str">
        <f t="shared" ca="1" si="3"/>
        <v/>
      </c>
      <c r="E21" s="18" t="str">
        <f t="shared" ca="1" si="4"/>
        <v/>
      </c>
      <c r="F21" s="81"/>
      <c r="X21" s="80">
        <f ca="1">IFERROR(Sheet1!A65,"")</f>
        <v>0</v>
      </c>
      <c r="Y21" s="80" t="str">
        <f ca="1">IFERROR(Sheet1!O65,"")</f>
        <v/>
      </c>
      <c r="Z21" s="80" t="str">
        <f t="shared" ca="1" si="0"/>
        <v/>
      </c>
      <c r="AA21" s="80" t="str">
        <f ca="1">IFERROR(Sheet1!P65,"")</f>
        <v/>
      </c>
    </row>
    <row r="22" spans="1:27" ht="15.5" x14ac:dyDescent="0.35">
      <c r="A22" s="81"/>
      <c r="B22" s="17" t="str">
        <f t="shared" ca="1" si="1"/>
        <v/>
      </c>
      <c r="C22" s="18" t="str">
        <f t="shared" ca="1" si="2"/>
        <v/>
      </c>
      <c r="D22" s="18" t="str">
        <f t="shared" ca="1" si="3"/>
        <v/>
      </c>
      <c r="E22" s="18" t="str">
        <f t="shared" ca="1" si="4"/>
        <v/>
      </c>
      <c r="F22" s="81"/>
      <c r="X22" s="80">
        <f ca="1">IFERROR(Sheet1!A66,"")</f>
        <v>0</v>
      </c>
      <c r="Y22" s="80" t="str">
        <f ca="1">IFERROR(Sheet1!O66,"")</f>
        <v/>
      </c>
      <c r="Z22" s="80" t="str">
        <f t="shared" ca="1" si="0"/>
        <v/>
      </c>
      <c r="AA22" s="80" t="str">
        <f ca="1">IFERROR(Sheet1!P66,"")</f>
        <v/>
      </c>
    </row>
    <row r="23" spans="1:27" ht="15.5" x14ac:dyDescent="0.35">
      <c r="A23" s="81"/>
      <c r="B23" s="17" t="str">
        <f t="shared" ca="1" si="1"/>
        <v/>
      </c>
      <c r="C23" s="18" t="str">
        <f t="shared" ca="1" si="2"/>
        <v/>
      </c>
      <c r="D23" s="18" t="str">
        <f t="shared" ca="1" si="3"/>
        <v/>
      </c>
      <c r="E23" s="18" t="str">
        <f t="shared" ca="1" si="4"/>
        <v/>
      </c>
      <c r="F23" s="81"/>
      <c r="X23" s="80">
        <f ca="1">IFERROR(Sheet1!A67,"")</f>
        <v>0</v>
      </c>
      <c r="Y23" s="80" t="str">
        <f ca="1">IFERROR(Sheet1!O67,"")</f>
        <v/>
      </c>
      <c r="Z23" s="80" t="str">
        <f t="shared" ca="1" si="0"/>
        <v/>
      </c>
      <c r="AA23" s="80" t="str">
        <f ca="1">IFERROR(Sheet1!P67,"")</f>
        <v/>
      </c>
    </row>
    <row r="24" spans="1:27" ht="15.5" x14ac:dyDescent="0.35">
      <c r="A24" s="81"/>
      <c r="B24" s="17" t="str">
        <f t="shared" ca="1" si="1"/>
        <v/>
      </c>
      <c r="C24" s="18" t="str">
        <f t="shared" ca="1" si="2"/>
        <v/>
      </c>
      <c r="D24" s="18" t="str">
        <f t="shared" ca="1" si="3"/>
        <v/>
      </c>
      <c r="E24" s="18" t="str">
        <f t="shared" ca="1" si="4"/>
        <v/>
      </c>
      <c r="F24" s="81"/>
      <c r="X24" s="80">
        <f ca="1">IFERROR(Sheet1!A68,"")</f>
        <v>0</v>
      </c>
      <c r="Y24" s="80" t="str">
        <f ca="1">IFERROR(Sheet1!O68,"")</f>
        <v/>
      </c>
      <c r="Z24" s="80" t="str">
        <f t="shared" ca="1" si="0"/>
        <v/>
      </c>
      <c r="AA24" s="80" t="str">
        <f ca="1">IFERROR(Sheet1!P68,"")</f>
        <v/>
      </c>
    </row>
    <row r="25" spans="1:27" ht="15.5" x14ac:dyDescent="0.35">
      <c r="A25" s="81"/>
      <c r="B25" s="17" t="str">
        <f t="shared" ca="1" si="1"/>
        <v/>
      </c>
      <c r="C25" s="18" t="str">
        <f t="shared" ca="1" si="2"/>
        <v/>
      </c>
      <c r="D25" s="18" t="str">
        <f t="shared" ca="1" si="3"/>
        <v/>
      </c>
      <c r="E25" s="18" t="str">
        <f t="shared" ca="1" si="4"/>
        <v/>
      </c>
      <c r="F25" s="81"/>
      <c r="X25" s="80">
        <f ca="1">IFERROR(Sheet1!A69,"")</f>
        <v>0</v>
      </c>
      <c r="Y25" s="80" t="str">
        <f ca="1">IFERROR(Sheet1!O69,"")</f>
        <v/>
      </c>
      <c r="Z25" s="80" t="str">
        <f t="shared" ca="1" si="0"/>
        <v/>
      </c>
      <c r="AA25" s="80" t="str">
        <f ca="1">IFERROR(Sheet1!P69,"")</f>
        <v/>
      </c>
    </row>
    <row r="26" spans="1:27" ht="15.5" x14ac:dyDescent="0.35">
      <c r="A26" s="81"/>
      <c r="B26" s="17" t="str">
        <f t="shared" ca="1" si="1"/>
        <v/>
      </c>
      <c r="C26" s="18" t="str">
        <f t="shared" ca="1" si="2"/>
        <v/>
      </c>
      <c r="D26" s="18" t="str">
        <f t="shared" ca="1" si="3"/>
        <v/>
      </c>
      <c r="E26" s="18" t="str">
        <f t="shared" ca="1" si="4"/>
        <v/>
      </c>
      <c r="F26" s="81"/>
      <c r="X26" s="80">
        <f ca="1">IFERROR(Sheet1!A70,"")</f>
        <v>0</v>
      </c>
      <c r="Y26" s="80" t="str">
        <f ca="1">IFERROR(Sheet1!O70,"")</f>
        <v/>
      </c>
      <c r="Z26" s="80" t="str">
        <f t="shared" ca="1" si="0"/>
        <v/>
      </c>
      <c r="AA26" s="80" t="str">
        <f ca="1">IFERROR(Sheet1!P70,"")</f>
        <v/>
      </c>
    </row>
    <row r="27" spans="1:27" ht="15.5" x14ac:dyDescent="0.35">
      <c r="A27" s="81"/>
      <c r="B27" s="17" t="str">
        <f t="shared" ca="1" si="1"/>
        <v/>
      </c>
      <c r="C27" s="18" t="str">
        <f t="shared" ca="1" si="2"/>
        <v/>
      </c>
      <c r="D27" s="18" t="str">
        <f t="shared" ca="1" si="3"/>
        <v/>
      </c>
      <c r="E27" s="18" t="str">
        <f t="shared" ca="1" si="4"/>
        <v/>
      </c>
      <c r="F27" s="81"/>
      <c r="X27" s="80">
        <f ca="1">IFERROR(Sheet1!A71,"")</f>
        <v>0</v>
      </c>
      <c r="Y27" s="80" t="str">
        <f ca="1">IFERROR(Sheet1!O71,"")</f>
        <v/>
      </c>
      <c r="Z27" s="80" t="str">
        <f t="shared" ca="1" si="0"/>
        <v/>
      </c>
      <c r="AA27" s="80" t="str">
        <f ca="1">IFERROR(Sheet1!P71,"")</f>
        <v/>
      </c>
    </row>
    <row r="28" spans="1:27" ht="15.5" x14ac:dyDescent="0.35">
      <c r="A28" s="81"/>
      <c r="B28" s="17" t="str">
        <f t="shared" ca="1" si="1"/>
        <v/>
      </c>
      <c r="C28" s="18" t="str">
        <f t="shared" ca="1" si="2"/>
        <v/>
      </c>
      <c r="D28" s="18" t="str">
        <f t="shared" ca="1" si="3"/>
        <v/>
      </c>
      <c r="E28" s="18" t="str">
        <f t="shared" ca="1" si="4"/>
        <v/>
      </c>
      <c r="F28" s="81"/>
      <c r="X28" s="80">
        <f ca="1">IFERROR(Sheet1!A72,"")</f>
        <v>0</v>
      </c>
      <c r="Y28" s="80" t="str">
        <f ca="1">IFERROR(Sheet1!O72,"")</f>
        <v/>
      </c>
      <c r="Z28" s="80" t="str">
        <f t="shared" ca="1" si="0"/>
        <v/>
      </c>
      <c r="AA28" s="80" t="str">
        <f ca="1">IFERROR(Sheet1!P72,"")</f>
        <v/>
      </c>
    </row>
    <row r="29" spans="1:27" ht="15.5" x14ac:dyDescent="0.35">
      <c r="A29" s="81"/>
      <c r="B29" s="17" t="str">
        <f t="shared" ca="1" si="1"/>
        <v/>
      </c>
      <c r="C29" s="18" t="str">
        <f t="shared" ca="1" si="2"/>
        <v/>
      </c>
      <c r="D29" s="18" t="str">
        <f t="shared" ca="1" si="3"/>
        <v/>
      </c>
      <c r="E29" s="18" t="str">
        <f t="shared" ca="1" si="4"/>
        <v/>
      </c>
      <c r="F29" s="81"/>
      <c r="X29" s="80">
        <f ca="1">IFERROR(Sheet1!A73,"")</f>
        <v>0</v>
      </c>
      <c r="Y29" s="80" t="str">
        <f ca="1">IFERROR(Sheet1!O73,"")</f>
        <v/>
      </c>
      <c r="Z29" s="80" t="str">
        <f t="shared" ca="1" si="0"/>
        <v/>
      </c>
      <c r="AA29" s="80" t="str">
        <f ca="1">IFERROR(Sheet1!P73,"")</f>
        <v/>
      </c>
    </row>
    <row r="30" spans="1:27" ht="15.5" x14ac:dyDescent="0.35">
      <c r="A30" s="81"/>
      <c r="B30" s="17" t="str">
        <f t="shared" ca="1" si="1"/>
        <v/>
      </c>
      <c r="C30" s="18" t="str">
        <f t="shared" ca="1" si="2"/>
        <v/>
      </c>
      <c r="D30" s="18" t="str">
        <f t="shared" ca="1" si="3"/>
        <v/>
      </c>
      <c r="E30" s="18" t="str">
        <f t="shared" ca="1" si="4"/>
        <v/>
      </c>
      <c r="F30" s="81"/>
      <c r="X30" s="80">
        <f ca="1">IFERROR(Sheet1!A74,"")</f>
        <v>0</v>
      </c>
      <c r="Y30" s="80" t="str">
        <f ca="1">IFERROR(Sheet1!O74,"")</f>
        <v/>
      </c>
      <c r="Z30" s="80" t="str">
        <f t="shared" ca="1" si="0"/>
        <v/>
      </c>
      <c r="AA30" s="80" t="str">
        <f ca="1">IFERROR(Sheet1!P74,"")</f>
        <v/>
      </c>
    </row>
    <row r="31" spans="1:27" ht="15.5" x14ac:dyDescent="0.35">
      <c r="A31" s="81"/>
      <c r="B31" s="17" t="str">
        <f t="shared" ca="1" si="1"/>
        <v/>
      </c>
      <c r="C31" s="18" t="str">
        <f t="shared" ca="1" si="2"/>
        <v/>
      </c>
      <c r="D31" s="18" t="str">
        <f t="shared" ca="1" si="3"/>
        <v/>
      </c>
      <c r="E31" s="18" t="str">
        <f t="shared" ca="1" si="4"/>
        <v/>
      </c>
      <c r="F31" s="81"/>
      <c r="X31" s="80">
        <f ca="1">IFERROR(Sheet1!A75,"")</f>
        <v>0</v>
      </c>
      <c r="Y31" s="80" t="str">
        <f ca="1">IFERROR(Sheet1!O75,"")</f>
        <v/>
      </c>
      <c r="Z31" s="80" t="str">
        <f t="shared" ca="1" si="0"/>
        <v/>
      </c>
      <c r="AA31" s="80" t="str">
        <f ca="1">IFERROR(Sheet1!P75,"")</f>
        <v/>
      </c>
    </row>
    <row r="32" spans="1:27" ht="15.5" x14ac:dyDescent="0.35">
      <c r="A32" s="81"/>
      <c r="B32" s="17" t="str">
        <f t="shared" ca="1" si="1"/>
        <v/>
      </c>
      <c r="C32" s="18" t="str">
        <f t="shared" ca="1" si="2"/>
        <v/>
      </c>
      <c r="D32" s="18" t="str">
        <f t="shared" ca="1" si="3"/>
        <v/>
      </c>
      <c r="E32" s="18" t="str">
        <f t="shared" ca="1" si="4"/>
        <v/>
      </c>
      <c r="F32" s="81"/>
      <c r="X32" s="80">
        <f ca="1">IFERROR(Sheet1!A76,"")</f>
        <v>0</v>
      </c>
      <c r="Y32" s="80" t="str">
        <f ca="1">IFERROR(Sheet1!O76,"")</f>
        <v/>
      </c>
      <c r="Z32" s="80" t="str">
        <f t="shared" ca="1" si="0"/>
        <v/>
      </c>
      <c r="AA32" s="80" t="str">
        <f ca="1">IFERROR(Sheet1!P76,"")</f>
        <v/>
      </c>
    </row>
    <row r="33" spans="1:27" ht="15.5" x14ac:dyDescent="0.35">
      <c r="A33" s="81"/>
      <c r="B33" s="17" t="str">
        <f t="shared" ca="1" si="1"/>
        <v/>
      </c>
      <c r="C33" s="18" t="str">
        <f t="shared" ca="1" si="2"/>
        <v/>
      </c>
      <c r="D33" s="18" t="str">
        <f t="shared" ca="1" si="3"/>
        <v/>
      </c>
      <c r="E33" s="18" t="str">
        <f t="shared" ca="1" si="4"/>
        <v/>
      </c>
      <c r="F33" s="81"/>
      <c r="X33" s="80">
        <f ca="1">IFERROR(Sheet1!A77,"")</f>
        <v>0</v>
      </c>
      <c r="Y33" s="80" t="str">
        <f ca="1">IFERROR(Sheet1!O77,"")</f>
        <v/>
      </c>
      <c r="Z33" s="80" t="str">
        <f t="shared" ca="1" si="0"/>
        <v/>
      </c>
      <c r="AA33" s="80" t="str">
        <f ca="1">IFERROR(Sheet1!P77,"")</f>
        <v/>
      </c>
    </row>
    <row r="34" spans="1:27" ht="15.5" x14ac:dyDescent="0.35">
      <c r="A34" s="81"/>
      <c r="B34" s="17" t="str">
        <f t="shared" ca="1" si="1"/>
        <v/>
      </c>
      <c r="C34" s="18" t="str">
        <f t="shared" ca="1" si="2"/>
        <v/>
      </c>
      <c r="D34" s="18" t="str">
        <f t="shared" ca="1" si="3"/>
        <v/>
      </c>
      <c r="E34" s="18" t="str">
        <f t="shared" ca="1" si="4"/>
        <v/>
      </c>
      <c r="F34" s="81"/>
      <c r="X34" s="80">
        <f ca="1">IFERROR(Sheet1!A78,"")</f>
        <v>0</v>
      </c>
      <c r="Y34" s="80" t="str">
        <f ca="1">IFERROR(Sheet1!O78,"")</f>
        <v/>
      </c>
      <c r="Z34" s="80" t="str">
        <f t="shared" ca="1" si="0"/>
        <v/>
      </c>
      <c r="AA34" s="80" t="str">
        <f ca="1">IFERROR(Sheet1!P78,"")</f>
        <v/>
      </c>
    </row>
    <row r="35" spans="1:27" ht="15.5" x14ac:dyDescent="0.35">
      <c r="A35" s="81"/>
      <c r="B35" s="17" t="str">
        <f t="shared" ca="1" si="1"/>
        <v/>
      </c>
      <c r="C35" s="18" t="str">
        <f t="shared" ca="1" si="2"/>
        <v/>
      </c>
      <c r="D35" s="18" t="str">
        <f t="shared" ca="1" si="3"/>
        <v/>
      </c>
      <c r="E35" s="18" t="str">
        <f t="shared" ca="1" si="4"/>
        <v/>
      </c>
      <c r="F35" s="81"/>
      <c r="X35" s="80">
        <f ca="1">IFERROR(Sheet1!A79,"")</f>
        <v>0</v>
      </c>
      <c r="Y35" s="80" t="str">
        <f ca="1">IFERROR(Sheet1!O79,"")</f>
        <v/>
      </c>
      <c r="Z35" s="80" t="str">
        <f t="shared" ca="1" si="0"/>
        <v/>
      </c>
      <c r="AA35" s="80" t="str">
        <f ca="1">IFERROR(Sheet1!P79,"")</f>
        <v/>
      </c>
    </row>
    <row r="36" spans="1:27" ht="15.5" x14ac:dyDescent="0.35">
      <c r="A36" s="81"/>
      <c r="B36" s="17" t="str">
        <f t="shared" ca="1" si="1"/>
        <v/>
      </c>
      <c r="C36" s="18" t="str">
        <f t="shared" ca="1" si="2"/>
        <v/>
      </c>
      <c r="D36" s="18" t="str">
        <f t="shared" ca="1" si="3"/>
        <v/>
      </c>
      <c r="E36" s="18" t="str">
        <f t="shared" ca="1" si="4"/>
        <v/>
      </c>
      <c r="F36" s="81"/>
      <c r="X36" s="80">
        <f ca="1">IFERROR(Sheet1!A80,"")</f>
        <v>0</v>
      </c>
      <c r="Y36" s="80" t="str">
        <f ca="1">IFERROR(Sheet1!O80,"")</f>
        <v/>
      </c>
      <c r="Z36" s="80" t="str">
        <f t="shared" ca="1" si="0"/>
        <v/>
      </c>
      <c r="AA36" s="80" t="str">
        <f ca="1">IFERROR(Sheet1!P80,"")</f>
        <v/>
      </c>
    </row>
    <row r="37" spans="1:27" ht="15.5" x14ac:dyDescent="0.35">
      <c r="A37" s="81"/>
      <c r="B37" s="17" t="str">
        <f t="shared" ca="1" si="1"/>
        <v/>
      </c>
      <c r="C37" s="18" t="str">
        <f t="shared" ca="1" si="2"/>
        <v/>
      </c>
      <c r="D37" s="18" t="str">
        <f t="shared" ca="1" si="3"/>
        <v/>
      </c>
      <c r="E37" s="18" t="str">
        <f t="shared" ca="1" si="4"/>
        <v/>
      </c>
      <c r="F37" s="81"/>
      <c r="X37" s="80">
        <f ca="1">IFERROR(Sheet1!A81,"")</f>
        <v>0</v>
      </c>
      <c r="Y37" s="80" t="str">
        <f ca="1">IFERROR(Sheet1!O81,"")</f>
        <v/>
      </c>
      <c r="Z37" s="80" t="str">
        <f t="shared" ca="1" si="0"/>
        <v/>
      </c>
      <c r="AA37" s="80" t="str">
        <f ca="1">IFERROR(Sheet1!P81,"")</f>
        <v/>
      </c>
    </row>
    <row r="38" spans="1:27" ht="15.5" x14ac:dyDescent="0.35">
      <c r="A38" s="81"/>
      <c r="B38" s="17" t="str">
        <f t="shared" ca="1" si="1"/>
        <v/>
      </c>
      <c r="C38" s="18" t="str">
        <f t="shared" ca="1" si="2"/>
        <v/>
      </c>
      <c r="D38" s="18" t="str">
        <f t="shared" ca="1" si="3"/>
        <v/>
      </c>
      <c r="E38" s="18" t="str">
        <f t="shared" ca="1" si="4"/>
        <v/>
      </c>
      <c r="F38" s="81"/>
      <c r="X38" s="80">
        <f ca="1">IFERROR(Sheet1!A82,"")</f>
        <v>0</v>
      </c>
      <c r="Y38" s="80" t="str">
        <f ca="1">IFERROR(Sheet1!O82,"")</f>
        <v/>
      </c>
      <c r="Z38" s="80" t="str">
        <f t="shared" ca="1" si="0"/>
        <v/>
      </c>
      <c r="AA38" s="80" t="str">
        <f ca="1">IFERROR(Sheet1!P82,"")</f>
        <v/>
      </c>
    </row>
    <row r="39" spans="1:27" ht="15.5" x14ac:dyDescent="0.35">
      <c r="A39" s="81"/>
      <c r="B39" s="17" t="str">
        <f t="shared" ca="1" si="1"/>
        <v/>
      </c>
      <c r="C39" s="18" t="str">
        <f t="shared" ca="1" si="2"/>
        <v/>
      </c>
      <c r="D39" s="18" t="str">
        <f t="shared" ca="1" si="3"/>
        <v/>
      </c>
      <c r="E39" s="18" t="str">
        <f t="shared" ca="1" si="4"/>
        <v/>
      </c>
      <c r="F39" s="81"/>
      <c r="X39" s="80">
        <f ca="1">IFERROR(Sheet1!A83,"")</f>
        <v>0</v>
      </c>
      <c r="Y39" s="80" t="str">
        <f ca="1">IFERROR(Sheet1!O83,"")</f>
        <v/>
      </c>
      <c r="Z39" s="80" t="str">
        <f t="shared" ca="1" si="0"/>
        <v/>
      </c>
      <c r="AA39" s="80" t="str">
        <f ca="1">IFERROR(Sheet1!P83,"")</f>
        <v/>
      </c>
    </row>
    <row r="40" spans="1:27" ht="15.5" x14ac:dyDescent="0.35">
      <c r="B40" s="19" t="str">
        <f t="shared" ca="1" si="1"/>
        <v/>
      </c>
      <c r="C40" s="20" t="str">
        <f t="shared" ca="1" si="2"/>
        <v/>
      </c>
      <c r="D40" s="20" t="str">
        <f t="shared" ca="1" si="3"/>
        <v/>
      </c>
      <c r="E40" s="20" t="str">
        <f t="shared" ca="1" si="4"/>
        <v/>
      </c>
      <c r="X40" s="80">
        <f ca="1">IFERROR(Sheet1!A84,"")</f>
        <v>0</v>
      </c>
      <c r="Y40" s="80" t="str">
        <f ca="1">IFERROR(Sheet1!O84,"")</f>
        <v/>
      </c>
      <c r="Z40" s="80" t="str">
        <f t="shared" ca="1" si="0"/>
        <v/>
      </c>
      <c r="AA40" s="80" t="str">
        <f ca="1">IFERROR(Sheet1!P84,"")</f>
        <v/>
      </c>
    </row>
    <row r="41" spans="1:27" ht="15.5" x14ac:dyDescent="0.35">
      <c r="B41" s="19" t="str">
        <f t="shared" ca="1" si="1"/>
        <v/>
      </c>
      <c r="C41" s="20" t="str">
        <f t="shared" ca="1" si="2"/>
        <v/>
      </c>
      <c r="D41" s="20" t="str">
        <f t="shared" ca="1" si="3"/>
        <v/>
      </c>
      <c r="E41" s="20" t="str">
        <f t="shared" ca="1" si="4"/>
        <v/>
      </c>
      <c r="X41" s="80">
        <f ca="1">IFERROR(Sheet1!A85,"")</f>
        <v>0</v>
      </c>
      <c r="Y41" s="80" t="str">
        <f ca="1">IFERROR(Sheet1!O85,"")</f>
        <v/>
      </c>
      <c r="Z41" s="80" t="str">
        <f t="shared" ca="1" si="0"/>
        <v/>
      </c>
      <c r="AA41" s="80" t="str">
        <f ca="1">IFERROR(Sheet1!P85,"")</f>
        <v/>
      </c>
    </row>
    <row r="42" spans="1:27" ht="15.5" x14ac:dyDescent="0.35">
      <c r="B42" s="19" t="str">
        <f t="shared" ca="1" si="1"/>
        <v/>
      </c>
      <c r="C42" s="20" t="str">
        <f t="shared" ca="1" si="2"/>
        <v/>
      </c>
      <c r="D42" s="20" t="str">
        <f t="shared" ca="1" si="3"/>
        <v/>
      </c>
      <c r="E42" s="20" t="str">
        <f t="shared" ca="1" si="4"/>
        <v/>
      </c>
      <c r="X42" s="80">
        <f ca="1">IFERROR(Sheet1!A86,"")</f>
        <v>0</v>
      </c>
      <c r="Y42" s="80" t="str">
        <f ca="1">IFERROR(Sheet1!O86,"")</f>
        <v/>
      </c>
      <c r="Z42" s="80" t="str">
        <f t="shared" ca="1" si="0"/>
        <v/>
      </c>
      <c r="AA42" s="80" t="str">
        <f ca="1">IFERROR(Sheet1!P86,"")</f>
        <v/>
      </c>
    </row>
    <row r="43" spans="1:27" ht="15.5" x14ac:dyDescent="0.35">
      <c r="B43" s="19" t="str">
        <f t="shared" ca="1" si="1"/>
        <v/>
      </c>
      <c r="C43" s="20" t="str">
        <f t="shared" ca="1" si="2"/>
        <v/>
      </c>
      <c r="D43" s="20" t="str">
        <f t="shared" ca="1" si="3"/>
        <v/>
      </c>
      <c r="E43" s="20" t="str">
        <f t="shared" ca="1" si="4"/>
        <v/>
      </c>
      <c r="X43" s="80">
        <f ca="1">IFERROR(Sheet1!A87,"")</f>
        <v>0</v>
      </c>
      <c r="Y43" s="80" t="str">
        <f ca="1">IFERROR(Sheet1!O87,"")</f>
        <v/>
      </c>
      <c r="Z43" s="80" t="str">
        <f t="shared" ca="1" si="0"/>
        <v/>
      </c>
      <c r="AA43" s="80" t="str">
        <f ca="1">IFERROR(Sheet1!P87,"")</f>
        <v/>
      </c>
    </row>
    <row r="44" spans="1:27" ht="15.5" x14ac:dyDescent="0.35">
      <c r="B44" s="19" t="str">
        <f t="shared" ca="1" si="1"/>
        <v/>
      </c>
      <c r="C44" s="20" t="str">
        <f t="shared" ca="1" si="2"/>
        <v/>
      </c>
      <c r="D44" s="20" t="str">
        <f t="shared" ca="1" si="3"/>
        <v/>
      </c>
      <c r="E44" s="20" t="str">
        <f t="shared" ca="1" si="4"/>
        <v/>
      </c>
      <c r="X44" s="80">
        <f ca="1">IFERROR(Sheet1!A88,"")</f>
        <v>0</v>
      </c>
      <c r="Y44" s="80" t="str">
        <f ca="1">IFERROR(Sheet1!O88,"")</f>
        <v/>
      </c>
      <c r="Z44" s="80" t="str">
        <f t="shared" ca="1" si="0"/>
        <v/>
      </c>
      <c r="AA44" s="80" t="str">
        <f ca="1">IFERROR(Sheet1!P88,"")</f>
        <v/>
      </c>
    </row>
    <row r="45" spans="1:27" ht="15.5" x14ac:dyDescent="0.35">
      <c r="B45" s="19" t="str">
        <f t="shared" ca="1" si="1"/>
        <v/>
      </c>
      <c r="C45" s="20" t="str">
        <f t="shared" ca="1" si="2"/>
        <v/>
      </c>
      <c r="D45" s="20" t="str">
        <f t="shared" ca="1" si="3"/>
        <v/>
      </c>
      <c r="E45" s="20" t="str">
        <f t="shared" ca="1" si="4"/>
        <v/>
      </c>
      <c r="X45" s="80">
        <f ca="1">IFERROR(Sheet1!A89,"")</f>
        <v>0</v>
      </c>
      <c r="Y45" s="80" t="str">
        <f ca="1">IFERROR(Sheet1!O89,"")</f>
        <v/>
      </c>
      <c r="Z45" s="80" t="str">
        <f t="shared" ca="1" si="0"/>
        <v/>
      </c>
      <c r="AA45" s="80" t="str">
        <f ca="1">IFERROR(Sheet1!P89,"")</f>
        <v/>
      </c>
    </row>
    <row r="46" spans="1:27" ht="15.5" x14ac:dyDescent="0.35">
      <c r="B46" s="19" t="str">
        <f t="shared" ca="1" si="1"/>
        <v/>
      </c>
      <c r="C46" s="20" t="str">
        <f t="shared" ca="1" si="2"/>
        <v/>
      </c>
      <c r="D46" s="20" t="str">
        <f t="shared" ca="1" si="3"/>
        <v/>
      </c>
      <c r="E46" s="20" t="str">
        <f t="shared" ca="1" si="4"/>
        <v/>
      </c>
      <c r="X46" s="80">
        <f ca="1">IFERROR(Sheet1!A90,"")</f>
        <v>0</v>
      </c>
      <c r="Y46" s="80" t="str">
        <f ca="1">IFERROR(Sheet1!O90,"")</f>
        <v/>
      </c>
      <c r="Z46" s="80" t="str">
        <f t="shared" ca="1" si="0"/>
        <v/>
      </c>
      <c r="AA46" s="80" t="str">
        <f ca="1">IFERROR(Sheet1!P90,"")</f>
        <v/>
      </c>
    </row>
    <row r="47" spans="1:27" ht="15.5" x14ac:dyDescent="0.35">
      <c r="B47" s="19" t="str">
        <f t="shared" ca="1" si="1"/>
        <v/>
      </c>
      <c r="C47" s="20" t="str">
        <f t="shared" ca="1" si="2"/>
        <v/>
      </c>
      <c r="D47" s="20" t="str">
        <f t="shared" ca="1" si="3"/>
        <v/>
      </c>
      <c r="E47" s="20" t="str">
        <f t="shared" ca="1" si="4"/>
        <v/>
      </c>
      <c r="X47" s="80">
        <f ca="1">IFERROR(Sheet1!A91,"")</f>
        <v>0</v>
      </c>
      <c r="Y47" s="80" t="str">
        <f ca="1">IFERROR(Sheet1!O91,"")</f>
        <v/>
      </c>
      <c r="Z47" s="80" t="str">
        <f t="shared" ca="1" si="0"/>
        <v/>
      </c>
      <c r="AA47" s="80" t="str">
        <f ca="1">IFERROR(Sheet1!P91,"")</f>
        <v/>
      </c>
    </row>
    <row r="48" spans="1:27" ht="15.5" x14ac:dyDescent="0.35">
      <c r="B48" s="19" t="str">
        <f t="shared" ca="1" si="1"/>
        <v/>
      </c>
      <c r="C48" s="20" t="str">
        <f t="shared" ca="1" si="2"/>
        <v/>
      </c>
      <c r="D48" s="20" t="str">
        <f t="shared" ca="1" si="3"/>
        <v/>
      </c>
      <c r="E48" s="20" t="str">
        <f t="shared" ca="1" si="4"/>
        <v/>
      </c>
      <c r="X48" s="80">
        <f ca="1">IFERROR(Sheet1!A92,"")</f>
        <v>0</v>
      </c>
      <c r="Y48" s="80" t="str">
        <f ca="1">IFERROR(Sheet1!O92,"")</f>
        <v/>
      </c>
      <c r="Z48" s="80" t="str">
        <f t="shared" ca="1" si="0"/>
        <v/>
      </c>
      <c r="AA48" s="80" t="str">
        <f ca="1">IFERROR(Sheet1!P92,"")</f>
        <v/>
      </c>
    </row>
    <row r="49" spans="2:27" ht="15.5" x14ac:dyDescent="0.35">
      <c r="B49" s="19" t="str">
        <f t="shared" ca="1" si="1"/>
        <v/>
      </c>
      <c r="C49" s="20" t="str">
        <f t="shared" ca="1" si="2"/>
        <v/>
      </c>
      <c r="D49" s="20" t="str">
        <f t="shared" ca="1" si="3"/>
        <v/>
      </c>
      <c r="E49" s="20" t="str">
        <f t="shared" ca="1" si="4"/>
        <v/>
      </c>
      <c r="X49" s="80">
        <f ca="1">IFERROR(Sheet1!A93,"")</f>
        <v>0</v>
      </c>
      <c r="Y49" s="80" t="str">
        <f ca="1">IFERROR(Sheet1!O93,"")</f>
        <v/>
      </c>
      <c r="Z49" s="80" t="str">
        <f t="shared" ca="1" si="0"/>
        <v/>
      </c>
      <c r="AA49" s="80" t="str">
        <f ca="1">IFERROR(Sheet1!P93,"")</f>
        <v/>
      </c>
    </row>
    <row r="50" spans="2:27" ht="15.5" x14ac:dyDescent="0.35">
      <c r="B50" s="19" t="str">
        <f t="shared" ca="1" si="1"/>
        <v/>
      </c>
      <c r="C50" s="20" t="str">
        <f t="shared" ca="1" si="2"/>
        <v/>
      </c>
      <c r="D50" s="20" t="str">
        <f t="shared" ca="1" si="3"/>
        <v/>
      </c>
      <c r="E50" s="20" t="str">
        <f t="shared" ca="1" si="4"/>
        <v/>
      </c>
      <c r="X50" s="80">
        <f ca="1">IFERROR(Sheet1!A94,"")</f>
        <v>0</v>
      </c>
      <c r="Y50" s="80" t="str">
        <f ca="1">IFERROR(Sheet1!O94,"")</f>
        <v/>
      </c>
      <c r="Z50" s="80" t="str">
        <f t="shared" ca="1" si="0"/>
        <v/>
      </c>
      <c r="AA50" s="80" t="str">
        <f ca="1">IFERROR(Sheet1!P94,"")</f>
        <v/>
      </c>
    </row>
    <row r="51" spans="2:27" ht="15.5" x14ac:dyDescent="0.35">
      <c r="B51" s="19" t="str">
        <f t="shared" ca="1" si="1"/>
        <v/>
      </c>
      <c r="C51" s="20" t="str">
        <f t="shared" ca="1" si="2"/>
        <v/>
      </c>
      <c r="D51" s="20" t="str">
        <f t="shared" ca="1" si="3"/>
        <v/>
      </c>
      <c r="E51" s="20" t="str">
        <f t="shared" ca="1" si="4"/>
        <v/>
      </c>
      <c r="X51" s="80">
        <f>IFERROR(Sheet1!A95,"")</f>
        <v>0</v>
      </c>
      <c r="Y51" s="80">
        <f>IFERROR(Sheet1!O95,"")</f>
        <v>0</v>
      </c>
      <c r="Z51" s="80" t="str">
        <f t="shared" si="0"/>
        <v/>
      </c>
      <c r="AA51" s="80">
        <f>IFERROR(Sheet1!P95,"")</f>
        <v>0</v>
      </c>
    </row>
    <row r="52" spans="2:27" ht="15.5" x14ac:dyDescent="0.35">
      <c r="B52" s="19" t="str">
        <f t="shared" si="1"/>
        <v/>
      </c>
      <c r="C52" s="20" t="str">
        <f t="shared" si="2"/>
        <v/>
      </c>
      <c r="D52" s="20" t="str">
        <f t="shared" si="3"/>
        <v/>
      </c>
      <c r="E52" s="20" t="str">
        <f t="shared" si="4"/>
        <v/>
      </c>
      <c r="X52" s="80">
        <f>IFERROR(Sheet1!A96,"")</f>
        <v>0</v>
      </c>
      <c r="Y52" s="80">
        <f>IFERROR(Sheet1!O96,"")</f>
        <v>0</v>
      </c>
      <c r="Z52" s="80" t="str">
        <f t="shared" si="0"/>
        <v/>
      </c>
      <c r="AA52" s="80">
        <f>IFERROR(Sheet1!P96,"")</f>
        <v>0</v>
      </c>
    </row>
    <row r="53" spans="2:27" ht="15.5" x14ac:dyDescent="0.35">
      <c r="B53" s="19" t="str">
        <f t="shared" si="1"/>
        <v/>
      </c>
      <c r="C53" s="20" t="str">
        <f t="shared" si="2"/>
        <v/>
      </c>
      <c r="D53" s="20" t="str">
        <f t="shared" si="3"/>
        <v/>
      </c>
      <c r="E53" s="20" t="str">
        <f t="shared" si="4"/>
        <v/>
      </c>
      <c r="X53" s="80">
        <f>IFERROR(Sheet1!A97,"")</f>
        <v>0</v>
      </c>
      <c r="Y53" s="80">
        <f>IFERROR(Sheet1!O97,"")</f>
        <v>0</v>
      </c>
      <c r="Z53" s="80" t="str">
        <f t="shared" si="0"/>
        <v/>
      </c>
      <c r="AA53" s="80">
        <f>IFERROR(Sheet1!P97,"")</f>
        <v>0</v>
      </c>
    </row>
    <row r="54" spans="2:27" ht="15.5" x14ac:dyDescent="0.35">
      <c r="B54" s="19" t="str">
        <f t="shared" si="1"/>
        <v/>
      </c>
      <c r="C54" s="20" t="str">
        <f t="shared" si="2"/>
        <v/>
      </c>
      <c r="D54" s="20" t="str">
        <f t="shared" si="3"/>
        <v/>
      </c>
      <c r="E54" s="20" t="str">
        <f t="shared" si="4"/>
        <v/>
      </c>
      <c r="X54" s="80">
        <f>IFERROR(Sheet1!A98,"")</f>
        <v>0</v>
      </c>
      <c r="Y54" s="80">
        <f>IFERROR(Sheet1!O98,"")</f>
        <v>0</v>
      </c>
      <c r="Z54" s="80" t="str">
        <f t="shared" si="0"/>
        <v/>
      </c>
      <c r="AA54" s="80">
        <f>IFERROR(Sheet1!P98,"")</f>
        <v>0</v>
      </c>
    </row>
    <row r="55" spans="2:27" ht="15.5" x14ac:dyDescent="0.35">
      <c r="B55" s="19" t="str">
        <f t="shared" si="1"/>
        <v/>
      </c>
      <c r="C55" s="20" t="str">
        <f t="shared" si="2"/>
        <v/>
      </c>
      <c r="D55" s="20" t="str">
        <f t="shared" si="3"/>
        <v/>
      </c>
      <c r="E55" s="20" t="str">
        <f t="shared" si="4"/>
        <v/>
      </c>
      <c r="X55" s="80">
        <f>IFERROR(Sheet1!A99,"")</f>
        <v>0</v>
      </c>
      <c r="Y55" s="80">
        <f>IFERROR(Sheet1!O99,"")</f>
        <v>0</v>
      </c>
      <c r="Z55" s="80" t="str">
        <f t="shared" si="0"/>
        <v/>
      </c>
      <c r="AA55" s="80">
        <f>IFERROR(Sheet1!P99,"")</f>
        <v>0</v>
      </c>
    </row>
    <row r="56" spans="2:27" ht="15.5" x14ac:dyDescent="0.35">
      <c r="B56" s="19" t="str">
        <f t="shared" si="1"/>
        <v/>
      </c>
      <c r="C56" s="20" t="str">
        <f t="shared" si="2"/>
        <v/>
      </c>
      <c r="D56" s="20" t="str">
        <f t="shared" si="3"/>
        <v/>
      </c>
      <c r="E56" s="20" t="str">
        <f t="shared" si="4"/>
        <v/>
      </c>
      <c r="X56" s="80">
        <f>IFERROR(Sheet1!A100,"")</f>
        <v>0</v>
      </c>
      <c r="Y56" s="80">
        <f>IFERROR(Sheet1!O100,"")</f>
        <v>0</v>
      </c>
      <c r="Z56" s="80" t="str">
        <f t="shared" si="0"/>
        <v/>
      </c>
      <c r="AA56" s="80">
        <f>IFERROR(Sheet1!P100,"")</f>
        <v>0</v>
      </c>
    </row>
    <row r="57" spans="2:27" ht="15.5" x14ac:dyDescent="0.35">
      <c r="B57" s="19" t="str">
        <f t="shared" si="1"/>
        <v/>
      </c>
      <c r="C57" s="20" t="str">
        <f t="shared" si="2"/>
        <v/>
      </c>
      <c r="D57" s="20" t="str">
        <f t="shared" si="3"/>
        <v/>
      </c>
      <c r="E57" s="20" t="str">
        <f t="shared" si="4"/>
        <v/>
      </c>
      <c r="X57" s="80">
        <f>IFERROR(Sheet1!A101,"")</f>
        <v>0</v>
      </c>
      <c r="Y57" s="80">
        <f>IFERROR(Sheet1!O101,"")</f>
        <v>0</v>
      </c>
      <c r="Z57" s="80" t="str">
        <f t="shared" si="0"/>
        <v/>
      </c>
      <c r="AA57" s="80">
        <f>IFERROR(Sheet1!P101,"")</f>
        <v>0</v>
      </c>
    </row>
    <row r="58" spans="2:27" ht="15.5" x14ac:dyDescent="0.35">
      <c r="B58" s="19" t="str">
        <f t="shared" si="1"/>
        <v/>
      </c>
      <c r="C58" s="20" t="str">
        <f t="shared" si="2"/>
        <v/>
      </c>
      <c r="D58" s="20" t="str">
        <f t="shared" si="3"/>
        <v/>
      </c>
      <c r="E58" s="20" t="str">
        <f t="shared" si="4"/>
        <v/>
      </c>
      <c r="X58" s="80">
        <f>IFERROR(Sheet1!A102,"")</f>
        <v>0</v>
      </c>
      <c r="Y58" s="80">
        <f>IFERROR(Sheet1!O102,"")</f>
        <v>0</v>
      </c>
      <c r="Z58" s="80" t="str">
        <f t="shared" si="0"/>
        <v/>
      </c>
      <c r="AA58" s="80">
        <f>IFERROR(Sheet1!P102,"")</f>
        <v>0</v>
      </c>
    </row>
    <row r="59" spans="2:27" ht="15.5" x14ac:dyDescent="0.35">
      <c r="B59" s="19" t="str">
        <f t="shared" si="1"/>
        <v/>
      </c>
      <c r="C59" s="20" t="str">
        <f t="shared" si="2"/>
        <v/>
      </c>
      <c r="D59" s="20" t="str">
        <f t="shared" si="3"/>
        <v/>
      </c>
      <c r="E59" s="20" t="str">
        <f t="shared" si="4"/>
        <v/>
      </c>
      <c r="X59" s="80">
        <f>IFERROR(Sheet1!A103,"")</f>
        <v>0</v>
      </c>
      <c r="Y59" s="80">
        <f>IFERROR(Sheet1!O103,"")</f>
        <v>0</v>
      </c>
      <c r="Z59" s="80" t="str">
        <f t="shared" si="0"/>
        <v/>
      </c>
      <c r="AA59" s="80">
        <f>IFERROR(Sheet1!P103,"")</f>
        <v>0</v>
      </c>
    </row>
    <row r="60" spans="2:27" ht="15.5" x14ac:dyDescent="0.35">
      <c r="B60" s="19" t="str">
        <f t="shared" si="1"/>
        <v/>
      </c>
      <c r="C60" s="20" t="str">
        <f t="shared" si="2"/>
        <v/>
      </c>
      <c r="D60" s="20" t="str">
        <f t="shared" si="3"/>
        <v/>
      </c>
      <c r="E60" s="20" t="str">
        <f t="shared" si="4"/>
        <v/>
      </c>
      <c r="X60" s="80">
        <f>IFERROR(Sheet1!A104,"")</f>
        <v>0</v>
      </c>
      <c r="Y60" s="80">
        <f>IFERROR(Sheet1!O104,"")</f>
        <v>0</v>
      </c>
      <c r="Z60" s="80" t="str">
        <f t="shared" si="0"/>
        <v/>
      </c>
      <c r="AA60" s="80">
        <f>IFERROR(Sheet1!P104,"")</f>
        <v>0</v>
      </c>
    </row>
    <row r="61" spans="2:27" ht="15.5" x14ac:dyDescent="0.35">
      <c r="B61" s="19" t="str">
        <f t="shared" si="1"/>
        <v/>
      </c>
      <c r="C61" s="20" t="str">
        <f t="shared" si="2"/>
        <v/>
      </c>
      <c r="D61" s="20" t="str">
        <f t="shared" si="3"/>
        <v/>
      </c>
      <c r="E61" s="20" t="str">
        <f t="shared" si="4"/>
        <v/>
      </c>
      <c r="X61" s="80">
        <f>IFERROR(Sheet1!A105,"")</f>
        <v>0</v>
      </c>
      <c r="Y61" s="80">
        <f>IFERROR(Sheet1!O105,"")</f>
        <v>0</v>
      </c>
      <c r="Z61" s="80" t="str">
        <f t="shared" si="0"/>
        <v/>
      </c>
      <c r="AA61" s="80">
        <f>IFERROR(Sheet1!P105,"")</f>
        <v>0</v>
      </c>
    </row>
    <row r="62" spans="2:27" ht="15.5" x14ac:dyDescent="0.35">
      <c r="B62" s="19" t="str">
        <f t="shared" si="1"/>
        <v/>
      </c>
      <c r="C62" s="20" t="str">
        <f t="shared" si="2"/>
        <v/>
      </c>
      <c r="D62" s="20" t="str">
        <f t="shared" si="3"/>
        <v/>
      </c>
      <c r="E62" s="20" t="str">
        <f t="shared" si="4"/>
        <v/>
      </c>
      <c r="X62" s="80">
        <f>IFERROR(Sheet1!A106,"")</f>
        <v>0</v>
      </c>
      <c r="Y62" s="80">
        <f>IFERROR(Sheet1!O106,"")</f>
        <v>0</v>
      </c>
      <c r="Z62" s="80" t="str">
        <f t="shared" si="0"/>
        <v/>
      </c>
      <c r="AA62" s="80">
        <f>IFERROR(Sheet1!P106,"")</f>
        <v>0</v>
      </c>
    </row>
    <row r="63" spans="2:27" ht="15.5" x14ac:dyDescent="0.35">
      <c r="B63" s="19" t="str">
        <f t="shared" si="1"/>
        <v/>
      </c>
      <c r="C63" s="20" t="str">
        <f t="shared" si="2"/>
        <v/>
      </c>
      <c r="D63" s="20" t="str">
        <f t="shared" si="3"/>
        <v/>
      </c>
      <c r="E63" s="20" t="str">
        <f t="shared" si="4"/>
        <v/>
      </c>
      <c r="X63" s="80">
        <f>IFERROR(Sheet1!A107,"")</f>
        <v>0</v>
      </c>
      <c r="Y63" s="80">
        <f>IFERROR(Sheet1!O107,"")</f>
        <v>0</v>
      </c>
      <c r="Z63" s="80" t="str">
        <f t="shared" si="0"/>
        <v/>
      </c>
      <c r="AA63" s="80">
        <f>IFERROR(Sheet1!P107,"")</f>
        <v>0</v>
      </c>
    </row>
    <row r="64" spans="2:27" ht="15.5" x14ac:dyDescent="0.35">
      <c r="B64" s="19" t="str">
        <f t="shared" si="1"/>
        <v/>
      </c>
      <c r="C64" s="20" t="str">
        <f t="shared" si="2"/>
        <v/>
      </c>
      <c r="D64" s="20" t="str">
        <f t="shared" si="3"/>
        <v/>
      </c>
      <c r="E64" s="20" t="str">
        <f t="shared" si="4"/>
        <v/>
      </c>
      <c r="X64" s="80">
        <f>IFERROR(Sheet1!A108,"")</f>
        <v>0</v>
      </c>
      <c r="Y64" s="80">
        <f>IFERROR(Sheet1!O108,"")</f>
        <v>0</v>
      </c>
      <c r="Z64" s="80" t="str">
        <f t="shared" si="0"/>
        <v/>
      </c>
      <c r="AA64" s="80">
        <f>IFERROR(Sheet1!P108,"")</f>
        <v>0</v>
      </c>
    </row>
    <row r="65" spans="2:27" ht="15.5" x14ac:dyDescent="0.35">
      <c r="B65" s="19" t="str">
        <f t="shared" si="1"/>
        <v/>
      </c>
      <c r="C65" s="20" t="str">
        <f t="shared" si="2"/>
        <v/>
      </c>
      <c r="D65" s="20" t="str">
        <f t="shared" si="3"/>
        <v/>
      </c>
      <c r="E65" s="20" t="str">
        <f t="shared" si="4"/>
        <v/>
      </c>
      <c r="X65" s="80">
        <f>IFERROR(Sheet1!A109,"")</f>
        <v>0</v>
      </c>
      <c r="Y65" s="80">
        <f>IFERROR(Sheet1!O109,"")</f>
        <v>0</v>
      </c>
      <c r="Z65" s="80" t="str">
        <f t="shared" si="0"/>
        <v/>
      </c>
      <c r="AA65" s="80">
        <f>IFERROR(Sheet1!P109,"")</f>
        <v>0</v>
      </c>
    </row>
    <row r="66" spans="2:27" ht="15.5" x14ac:dyDescent="0.35">
      <c r="B66" s="19" t="str">
        <f t="shared" si="1"/>
        <v/>
      </c>
      <c r="C66" s="20" t="str">
        <f t="shared" si="2"/>
        <v/>
      </c>
      <c r="D66" s="20" t="str">
        <f t="shared" si="3"/>
        <v/>
      </c>
      <c r="E66" s="20" t="str">
        <f t="shared" si="4"/>
        <v/>
      </c>
      <c r="X66" s="80">
        <f>IFERROR(Sheet1!A110,"")</f>
        <v>0</v>
      </c>
      <c r="Y66" s="80">
        <f>IFERROR(Sheet1!O110,"")</f>
        <v>0</v>
      </c>
      <c r="Z66" s="80" t="str">
        <f t="shared" si="0"/>
        <v/>
      </c>
      <c r="AA66" s="80">
        <f>IFERROR(Sheet1!P110,"")</f>
        <v>0</v>
      </c>
    </row>
    <row r="67" spans="2:27" ht="15.5" x14ac:dyDescent="0.35">
      <c r="B67" s="19" t="str">
        <f t="shared" si="1"/>
        <v/>
      </c>
      <c r="C67" s="20" t="str">
        <f t="shared" si="2"/>
        <v/>
      </c>
      <c r="D67" s="20" t="str">
        <f t="shared" si="3"/>
        <v/>
      </c>
      <c r="E67" s="20" t="str">
        <f t="shared" si="4"/>
        <v/>
      </c>
      <c r="X67" s="80">
        <f>IFERROR(Sheet1!A111,"")</f>
        <v>0</v>
      </c>
      <c r="Y67" s="80">
        <f>IFERROR(Sheet1!O111,"")</f>
        <v>0</v>
      </c>
      <c r="Z67" s="80" t="str">
        <f t="shared" si="0"/>
        <v/>
      </c>
      <c r="AA67" s="80">
        <f>IFERROR(Sheet1!P111,"")</f>
        <v>0</v>
      </c>
    </row>
  </sheetData>
  <sheetProtection algorithmName="SHA-512" hashValue="sHpxfmcUmXhstI+Z9TulKa73TKfUy+mJVi0MtlaUkpikaO5+9Zc4sAAmPMweskMEQExF5tmgESLelmwyEy8jvw==" saltValue="6lcqwXotYWLGicMegOmmuw==" spinCount="100000" sheet="1" objects="1" scenarios="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5971-3824-44A1-BF31-033399FA24D0}">
  <dimension ref="A1:BK94"/>
  <sheetViews>
    <sheetView showGridLines="0" showRowColHeaders="0" topLeftCell="AO80" zoomScale="90" zoomScaleNormal="90" workbookViewId="0">
      <selection activeCell="AS108" sqref="AS108"/>
    </sheetView>
  </sheetViews>
  <sheetFormatPr defaultColWidth="9.1796875" defaultRowHeight="14.5" x14ac:dyDescent="0.35"/>
  <cols>
    <col min="1" max="1" width="18" style="2" bestFit="1" customWidth="1"/>
    <col min="2" max="2" width="9.1796875" style="2"/>
    <col min="3" max="4" width="12.7265625" style="2" bestFit="1" customWidth="1"/>
    <col min="5" max="10" width="15.1796875" style="2" customWidth="1"/>
    <col min="11" max="12" width="9.1796875" style="2"/>
    <col min="13" max="13" width="15.54296875" style="2" customWidth="1"/>
    <col min="14" max="14" width="9.1796875" style="2"/>
    <col min="15" max="15" width="19.1796875" style="2" bestFit="1" customWidth="1"/>
    <col min="16" max="16" width="12.7265625" style="2" bestFit="1" customWidth="1"/>
    <col min="17" max="59" width="9.1796875" style="2"/>
    <col min="60" max="60" width="12" style="2" bestFit="1" customWidth="1"/>
    <col min="61" max="16384" width="9.1796875" style="2"/>
  </cols>
  <sheetData>
    <row r="1" spans="1:63" x14ac:dyDescent="0.35">
      <c r="A1" s="2" t="s">
        <v>57</v>
      </c>
      <c r="B1" s="2">
        <f>Calculator!E22</f>
        <v>10</v>
      </c>
      <c r="C1" s="2" t="s">
        <v>58</v>
      </c>
      <c r="D1" s="2">
        <f>B1*0.0254</f>
        <v>0.254</v>
      </c>
      <c r="E1" s="2" t="s">
        <v>59</v>
      </c>
      <c r="L1" s="2" t="s">
        <v>64</v>
      </c>
      <c r="M1" s="2" t="s">
        <v>65</v>
      </c>
      <c r="N1" s="2" t="s">
        <v>66</v>
      </c>
      <c r="O1" s="2" t="s">
        <v>67</v>
      </c>
      <c r="P1" s="2" t="s">
        <v>68</v>
      </c>
      <c r="R1" s="2" t="s">
        <v>69</v>
      </c>
      <c r="T1" s="2" t="s">
        <v>66</v>
      </c>
      <c r="U1" s="2" t="s">
        <v>70</v>
      </c>
      <c r="AD1" s="2" t="s">
        <v>84</v>
      </c>
      <c r="AG1" s="2" t="s">
        <v>87</v>
      </c>
      <c r="AT1" s="2" t="s">
        <v>109</v>
      </c>
      <c r="AU1" s="2">
        <f ca="1">W52</f>
        <v>3578</v>
      </c>
      <c r="AY1" s="2" t="s">
        <v>110</v>
      </c>
      <c r="AZ1" s="2">
        <f ca="1">Z4</f>
        <v>0.10692452114322948</v>
      </c>
      <c r="BA1" s="2" t="s">
        <v>111</v>
      </c>
      <c r="BB1" s="21">
        <f ca="1">W4</f>
        <v>8.1044499689189697E-2</v>
      </c>
      <c r="BD1" s="2" t="s">
        <v>132</v>
      </c>
      <c r="BE1" s="2">
        <f ca="1">P52</f>
        <v>8.592362230121001</v>
      </c>
      <c r="BG1" s="2" t="s">
        <v>110</v>
      </c>
      <c r="BH1" s="2">
        <f ca="1">AZ1</f>
        <v>0.10692452114322948</v>
      </c>
      <c r="BI1" s="2" t="s">
        <v>111</v>
      </c>
      <c r="BJ1" s="21">
        <f ca="1">BB1</f>
        <v>8.1044499689189697E-2</v>
      </c>
      <c r="BK1" s="21"/>
    </row>
    <row r="2" spans="1:63" x14ac:dyDescent="0.35">
      <c r="B2" s="2">
        <f>Calculator!E23</f>
        <v>3</v>
      </c>
      <c r="L2" s="2">
        <v>1</v>
      </c>
      <c r="M2" s="2">
        <v>12.5</v>
      </c>
      <c r="N2" s="2">
        <f t="shared" ref="N2:N4" si="0">IF(AND($B$1&gt;L2,$B$1&lt;=M2),1,0)</f>
        <v>1</v>
      </c>
      <c r="O2" s="2">
        <v>10</v>
      </c>
      <c r="R2" s="2">
        <v>2</v>
      </c>
      <c r="T2" s="2">
        <f>IF($B$2=R2,1,0)</f>
        <v>0</v>
      </c>
      <c r="U2" s="2">
        <v>1</v>
      </c>
      <c r="AG2" s="2">
        <v>14</v>
      </c>
      <c r="AH2" s="70">
        <v>14</v>
      </c>
      <c r="AT2" s="2" t="s">
        <v>105</v>
      </c>
      <c r="AU2" s="2">
        <f ca="1">VLOOKUP(1,R52:W94,6,FALSE)</f>
        <v>9355</v>
      </c>
      <c r="AY2" s="2" t="s">
        <v>112</v>
      </c>
      <c r="AZ2" s="2">
        <f ca="1">AA4</f>
        <v>4.4878038253263898E-2</v>
      </c>
      <c r="BA2" s="2" t="s">
        <v>113</v>
      </c>
      <c r="BB2" s="21">
        <f ca="1">X4</f>
        <v>3.1285323353747063E-2</v>
      </c>
      <c r="BD2" s="2" t="s">
        <v>133</v>
      </c>
      <c r="BE2" s="2">
        <f ca="1">VLOOKUP(1,R52:W94,5,FALSE)</f>
        <v>220.30084378833271</v>
      </c>
      <c r="BG2" s="2" t="s">
        <v>112</v>
      </c>
      <c r="BH2" s="2">
        <f ca="1">AZ2</f>
        <v>4.4878038253263898E-2</v>
      </c>
      <c r="BI2" s="2" t="s">
        <v>113</v>
      </c>
      <c r="BJ2" s="21">
        <f ca="1">BB2</f>
        <v>3.1285323353747063E-2</v>
      </c>
      <c r="BK2" s="21"/>
    </row>
    <row r="3" spans="1:63" x14ac:dyDescent="0.35">
      <c r="A3" s="2" t="s">
        <v>71</v>
      </c>
      <c r="B3" s="2">
        <f>VLOOKUP(1,N2:O14,2,FALSE)</f>
        <v>10</v>
      </c>
      <c r="L3" s="2">
        <v>1</v>
      </c>
      <c r="M3" s="2">
        <v>14.5</v>
      </c>
      <c r="N3" s="2">
        <f t="shared" si="0"/>
        <v>1</v>
      </c>
      <c r="O3" s="2">
        <v>14</v>
      </c>
      <c r="R3" s="2">
        <v>3</v>
      </c>
      <c r="T3" s="2">
        <f t="shared" ref="T3:T12" si="1">IF($B$2=R3,1,0)</f>
        <v>1</v>
      </c>
      <c r="U3" s="2">
        <v>1.5</v>
      </c>
      <c r="W3" s="2" t="s">
        <v>80</v>
      </c>
      <c r="X3" s="2" t="s">
        <v>82</v>
      </c>
      <c r="Z3" s="2" t="s">
        <v>81</v>
      </c>
      <c r="AA3" s="2" t="s">
        <v>83</v>
      </c>
      <c r="AD3" s="2" t="s">
        <v>3</v>
      </c>
      <c r="AE3" s="2">
        <f ca="1">IF(B6&lt;=W6,W9,IF(B6&gt;=Z6,Z9,W12))</f>
        <v>8262.273469514168</v>
      </c>
      <c r="AG3" s="2">
        <v>15</v>
      </c>
      <c r="AH3" s="70">
        <v>17.5</v>
      </c>
      <c r="AV3" s="2" t="s">
        <v>107</v>
      </c>
    </row>
    <row r="4" spans="1:63" x14ac:dyDescent="0.35">
      <c r="A4" s="2" t="s">
        <v>72</v>
      </c>
      <c r="B4" s="2">
        <f>Calculator!E25</f>
        <v>1.2250000000000001</v>
      </c>
      <c r="C4" s="2" t="s">
        <v>73</v>
      </c>
      <c r="L4" s="2">
        <v>14.5</v>
      </c>
      <c r="M4" s="2">
        <v>15.5</v>
      </c>
      <c r="N4" s="2">
        <f t="shared" si="0"/>
        <v>0</v>
      </c>
      <c r="O4" s="2">
        <v>15</v>
      </c>
      <c r="R4" s="2">
        <v>4</v>
      </c>
      <c r="T4" s="2">
        <f t="shared" si="1"/>
        <v>0</v>
      </c>
      <c r="U4" s="2">
        <v>2</v>
      </c>
      <c r="W4" s="21">
        <f ca="1">S52</f>
        <v>8.1044499689189697E-2</v>
      </c>
      <c r="X4" s="21">
        <f ca="1">T52</f>
        <v>3.1285323353747063E-2</v>
      </c>
      <c r="Z4" s="2">
        <f ca="1">VLOOKUP(1,R52:U94,2,FALSE)</f>
        <v>0.10692452114322948</v>
      </c>
      <c r="AA4" s="2">
        <f ca="1">VLOOKUP(1,R52:U94,3,FALSE)</f>
        <v>4.4878038253263898E-2</v>
      </c>
      <c r="AD4" s="2" t="s">
        <v>20</v>
      </c>
      <c r="AE4" s="2">
        <f ca="1">IF(B6&lt;=W6,X9,IF(B6&gt;=Z6,AA9,X12))</f>
        <v>145.47861889712055</v>
      </c>
      <c r="AG4" s="2">
        <v>16</v>
      </c>
      <c r="AH4" s="70">
        <v>20</v>
      </c>
      <c r="AV4" s="2" t="s">
        <v>105</v>
      </c>
      <c r="AW4" s="2">
        <f>'Motor performance'!J13</f>
        <v>11810.4</v>
      </c>
    </row>
    <row r="5" spans="1:63" x14ac:dyDescent="0.35">
      <c r="A5" s="2" t="s">
        <v>74</v>
      </c>
      <c r="B5" s="2">
        <f>VLOOKUP(1,T2:U14,2,FALSE)</f>
        <v>1.5</v>
      </c>
      <c r="L5" s="2">
        <f>M4</f>
        <v>15.5</v>
      </c>
      <c r="M5" s="2">
        <v>16.5</v>
      </c>
      <c r="N5" s="2">
        <f t="shared" ref="N5:N14" si="2">IF(AND($B$1&gt;L5,$B$1&lt;=M5),1,0)</f>
        <v>0</v>
      </c>
      <c r="O5" s="2">
        <v>16</v>
      </c>
      <c r="R5" s="2">
        <v>5</v>
      </c>
      <c r="T5" s="2">
        <f t="shared" si="1"/>
        <v>0</v>
      </c>
      <c r="U5" s="2">
        <v>2.5</v>
      </c>
      <c r="AD5" s="2" t="s">
        <v>56</v>
      </c>
      <c r="AE5" s="2">
        <f ca="1">(((B6*9.81)/(B4*(200/60)^2*($B$1*0.0254)^4))^(3/2))/((AE4/(B4*((200/60)^3)*($B$1*0.0254)^5))*SQRT(2))</f>
        <v>0.5312361038196447</v>
      </c>
      <c r="AG5" s="2">
        <v>17</v>
      </c>
      <c r="AH5" s="70">
        <v>22.75</v>
      </c>
      <c r="AO5" s="2" t="s">
        <v>57</v>
      </c>
      <c r="AP5" s="2" t="s">
        <v>20</v>
      </c>
      <c r="AV5" s="2" t="s">
        <v>18</v>
      </c>
      <c r="AW5" s="2">
        <f ca="1">IF(AND($AW$4&gt;$AU$1,$AW$4&lt;$AU$2),FORECAST($AW$4,OFFSET($O$52:$O$94,MATCH($AW$4,$N$52:$N$94,1)-1,0,2),OFFSET($N$52:$N$94,MATCH($AW$4,$N$52:$N$94,1)-1,0,2)),IF($AW$4&gt;=$AU$2,$AZ$5,IF($AW$4&lt;=$AU$1,$BB$5,)))</f>
        <v>2.1533071104558443</v>
      </c>
      <c r="AY5" s="2" t="s">
        <v>18</v>
      </c>
      <c r="AZ5" s="2">
        <f ca="1">$AZ$1*($B$4*(AW4/60)^2*($B$1*0.0254)^4)/9.81</f>
        <v>2.1533071104558443</v>
      </c>
      <c r="BA5" s="2" t="s">
        <v>18</v>
      </c>
      <c r="BB5" s="2">
        <f ca="1">$BB$1*($B$4*(AW4/60)^2*($B$1*0.0254)^4)/9.81</f>
        <v>1.6321204488753414</v>
      </c>
      <c r="BD5" s="2" t="s">
        <v>131</v>
      </c>
      <c r="BE5" s="22">
        <f>'Motor performance'!E6</f>
        <v>210</v>
      </c>
      <c r="BG5" s="2" t="s">
        <v>3</v>
      </c>
      <c r="BH5" s="2">
        <f ca="1">(1/($BH$2*$B$4*$D$1^5/BE6)^(1/3))*60</f>
        <v>8546.891003796216</v>
      </c>
      <c r="BI5" s="2" t="s">
        <v>3</v>
      </c>
      <c r="BJ5" s="2">
        <f ca="1">(1/($BJ$2*$B$4*$D$1^5/BE6)^(1/3))*60</f>
        <v>9639.1610766838203</v>
      </c>
    </row>
    <row r="6" spans="1:63" x14ac:dyDescent="0.35">
      <c r="A6" s="2" t="s">
        <v>18</v>
      </c>
      <c r="B6" s="2">
        <f>Calculator!E24</f>
        <v>1</v>
      </c>
      <c r="L6" s="2">
        <f t="shared" ref="L6:L7" si="3">M5</f>
        <v>16.5</v>
      </c>
      <c r="M6" s="2">
        <v>17.5</v>
      </c>
      <c r="N6" s="2">
        <f t="shared" si="2"/>
        <v>0</v>
      </c>
      <c r="O6" s="2">
        <v>17</v>
      </c>
      <c r="R6" s="2">
        <v>6</v>
      </c>
      <c r="T6" s="2">
        <f t="shared" si="1"/>
        <v>0</v>
      </c>
      <c r="U6" s="2">
        <v>3</v>
      </c>
      <c r="W6" s="2">
        <f ca="1">U52</f>
        <v>0.14979718945974446</v>
      </c>
      <c r="Z6" s="2">
        <f ca="1">VLOOKUP(1,R52:U94,4,FALSE)</f>
        <v>1.3510279838823658</v>
      </c>
      <c r="AG6" s="2">
        <v>18</v>
      </c>
      <c r="AH6" s="70">
        <v>26.5</v>
      </c>
      <c r="AJ6" s="2" t="s">
        <v>88</v>
      </c>
      <c r="AO6" s="2">
        <f>$B$1-($B$1*0.2)</f>
        <v>8</v>
      </c>
      <c r="AP6" s="2">
        <f t="shared" ref="AP6:AP14" ca="1" si="4">(((($B$6*9.81)/($B$4*($AE$3/60)^2*($AO6*0.0254)^4))^(3/2))/($Y$12*SQRT(2))*($B$4*(($AE$3/60)^3)*($AO6*0.0254)^5))</f>
        <v>181.84827362140064</v>
      </c>
      <c r="AQ6" s="2">
        <v>0</v>
      </c>
      <c r="AV6" s="2" t="s">
        <v>86</v>
      </c>
      <c r="AW6" s="2">
        <f ca="1">IF(AND($AW$4&gt;$AU$1,$AW$4&lt;$AU$2),FORECAST($AW$5,OFFSET($P$51:$P$228,MATCH($AW$5,$O$51:$O$228,1)-1,0,2),OFFSET($O$51:$O$228,MATCH($AW$5,$O$51:$O$228,1)-1,0,2)),IF($AW$4&gt;=$AU$2,$AZ$6,IF($AW$4&lt;=$AU$1,$BB$6,)))</f>
        <v>443.28047783636015</v>
      </c>
      <c r="AY6" s="2" t="s">
        <v>86</v>
      </c>
      <c r="AZ6" s="2">
        <f ca="1">$AZ$2*($B$4*((AW4/60)^3)*($B$1*0.0254)^5)</f>
        <v>443.28047783636015</v>
      </c>
      <c r="BA6" s="2" t="s">
        <v>20</v>
      </c>
      <c r="BB6" s="2">
        <f ca="1">$AZ$2*($B$4*((AW4/60)^3)*($B$1*0.0254)^5)</f>
        <v>443.28047783636015</v>
      </c>
      <c r="BD6" s="2" t="s">
        <v>76</v>
      </c>
      <c r="BE6" s="2">
        <f>BE5*Calculator!E26/100</f>
        <v>168</v>
      </c>
      <c r="BG6" s="2" t="s">
        <v>18</v>
      </c>
      <c r="BH6" s="2">
        <f ca="1">(BH1*$B$4*($D$1)^4*(BH5/60)^2)/9.81</f>
        <v>1.1276987319942213</v>
      </c>
      <c r="BI6" s="2" t="s">
        <v>18</v>
      </c>
      <c r="BJ6" s="2">
        <f ca="1">(BJ1*$B$4*($D$1)^4*(BJ5/60)^2)/9.81</f>
        <v>1.0871800339039499</v>
      </c>
    </row>
    <row r="7" spans="1:63" x14ac:dyDescent="0.35">
      <c r="A7" s="2" t="s">
        <v>21</v>
      </c>
      <c r="L7" s="2">
        <f t="shared" si="3"/>
        <v>17.5</v>
      </c>
      <c r="M7" s="2">
        <v>20.5</v>
      </c>
      <c r="N7" s="2">
        <f t="shared" si="2"/>
        <v>0</v>
      </c>
      <c r="O7" s="2">
        <v>18</v>
      </c>
      <c r="R7" s="2">
        <v>7</v>
      </c>
      <c r="T7" s="2">
        <f t="shared" si="1"/>
        <v>0</v>
      </c>
      <c r="U7" s="2">
        <v>3.5</v>
      </c>
      <c r="AG7" s="2">
        <v>20</v>
      </c>
      <c r="AH7" s="70">
        <v>31.8</v>
      </c>
      <c r="AJ7" s="2">
        <f>(0.1464*B1*B1-1.4814*B1+4.1429)*B5</f>
        <v>5.9533500000000004</v>
      </c>
      <c r="AO7" s="2">
        <f>$B$1-($B$1*0.15)</f>
        <v>8.5</v>
      </c>
      <c r="AP7" s="2">
        <f t="shared" ca="1" si="4"/>
        <v>171.15131634955358</v>
      </c>
      <c r="AQ7" s="2">
        <v>0</v>
      </c>
      <c r="AV7" s="2" t="s">
        <v>115</v>
      </c>
      <c r="AW7" s="2">
        <f ca="1">AW6/(Calculator!$E$26/100)</f>
        <v>554.10059729545014</v>
      </c>
      <c r="BD7" s="2" t="s">
        <v>3</v>
      </c>
      <c r="BE7" s="2">
        <f ca="1">IF(BE6&gt;=BE2,BH5,IF(BE6&lt;=BE1,BJ5,IF(AND(BE6&gt;BE1,BE6&lt;BE2),FORECAST($BE6,OFFSET($N$51:$N$228,MATCH($BE$6,$P$51:$P$228,1)-1,0,2),OFFSET($P$51:$P$228,MATCH($BE$6,$P$51:$P$228,1)-1,0,2)))))</f>
        <v>8654.0612746034021</v>
      </c>
    </row>
    <row r="8" spans="1:63" x14ac:dyDescent="0.35">
      <c r="A8" s="2" t="s">
        <v>137</v>
      </c>
      <c r="B8" s="2" t="s">
        <v>138</v>
      </c>
      <c r="L8" s="2">
        <f t="shared" ref="L8:L14" si="5">M7</f>
        <v>20.5</v>
      </c>
      <c r="M8" s="2">
        <v>23</v>
      </c>
      <c r="N8" s="2">
        <f t="shared" si="2"/>
        <v>0</v>
      </c>
      <c r="O8" s="2">
        <v>22</v>
      </c>
      <c r="R8" s="2">
        <v>8</v>
      </c>
      <c r="T8" s="2">
        <f t="shared" si="1"/>
        <v>0</v>
      </c>
      <c r="U8" s="2">
        <v>4</v>
      </c>
      <c r="W8" s="2" t="s">
        <v>3</v>
      </c>
      <c r="X8" s="2" t="s">
        <v>20</v>
      </c>
      <c r="Z8" s="2" t="s">
        <v>3</v>
      </c>
      <c r="AA8" s="2" t="s">
        <v>20</v>
      </c>
      <c r="AG8" s="2">
        <v>22</v>
      </c>
      <c r="AH8" s="70">
        <v>44</v>
      </c>
      <c r="AO8" s="2">
        <f>$B$1-($B$1*0.1)</f>
        <v>9</v>
      </c>
      <c r="AP8" s="2">
        <f t="shared" ca="1" si="4"/>
        <v>161.64290988568945</v>
      </c>
      <c r="AQ8" s="2">
        <v>0</v>
      </c>
      <c r="BD8" s="2" t="s">
        <v>18</v>
      </c>
      <c r="BE8" s="2">
        <f ca="1">IF(BE6&gt;=BE2,BH6,IF(BE6&lt;=BE1,BJ6,IF(AND(BE6&gt;BE1,BE6&lt;BE2),FORECAST($BE6,OFFSET($O$51:$O$228,MATCH($BE$6,$P$51:$P$228,1)-1,0,2),OFFSET($P$51:$P$228,MATCH($BE$6,$P$51:$P$228,1)-1,0,2)))))</f>
        <v>1.1125366620171371</v>
      </c>
    </row>
    <row r="9" spans="1:63" x14ac:dyDescent="0.35">
      <c r="B9" s="2" t="s">
        <v>139</v>
      </c>
      <c r="L9" s="2">
        <f t="shared" si="5"/>
        <v>23</v>
      </c>
      <c r="M9" s="2">
        <v>25</v>
      </c>
      <c r="N9" s="2">
        <f t="shared" si="2"/>
        <v>0</v>
      </c>
      <c r="O9" s="2">
        <v>24</v>
      </c>
      <c r="R9" s="2">
        <v>9</v>
      </c>
      <c r="T9" s="2">
        <f t="shared" si="1"/>
        <v>0</v>
      </c>
      <c r="U9" s="2">
        <v>4.5</v>
      </c>
      <c r="W9" s="71">
        <f ca="1">SQRT(($B$6*9.81)/($B$4*($B$1*0.0254)^4*W4))*60</f>
        <v>9244.6080689407154</v>
      </c>
      <c r="X9" s="71">
        <f ca="1">X4*($B$4*((W9/60)^3)*($B$1*0.0254)^5)</f>
        <v>148.20302895056128</v>
      </c>
      <c r="Z9" s="71">
        <f ca="1">SQRT(($B$6*9.81)/($B$4*($B$1*0.0254)^4*Z4))*60</f>
        <v>8048.4383080888383</v>
      </c>
      <c r="AA9" s="71">
        <f ca="1">AA4*($B$4*((Z9/60)^3)*($B$1*0.0254)^5)</f>
        <v>140.28771566472076</v>
      </c>
      <c r="AG9" s="2">
        <v>24</v>
      </c>
      <c r="AH9" s="70">
        <v>54.6</v>
      </c>
      <c r="AO9" s="2">
        <f>$B$1-($B$1*0.05)</f>
        <v>9.5</v>
      </c>
      <c r="AP9" s="2">
        <f t="shared" ca="1" si="4"/>
        <v>153.13538831275849</v>
      </c>
      <c r="AQ9" s="2">
        <v>0</v>
      </c>
      <c r="AU9" s="2" t="s">
        <v>119</v>
      </c>
      <c r="AV9" s="2" t="s">
        <v>105</v>
      </c>
      <c r="AW9" s="2">
        <f ca="1">'Motor performance'!J21</f>
        <v>15540</v>
      </c>
    </row>
    <row r="10" spans="1:63" x14ac:dyDescent="0.35">
      <c r="A10" s="2" t="s">
        <v>140</v>
      </c>
      <c r="B10" s="2" t="str">
        <f>Calculator!E21</f>
        <v>Single</v>
      </c>
      <c r="L10" s="2">
        <f t="shared" si="5"/>
        <v>25</v>
      </c>
      <c r="M10" s="2">
        <v>27</v>
      </c>
      <c r="N10" s="2">
        <f t="shared" si="2"/>
        <v>0</v>
      </c>
      <c r="O10" s="2">
        <v>26</v>
      </c>
      <c r="R10" s="2">
        <v>10</v>
      </c>
      <c r="T10" s="2">
        <f t="shared" si="1"/>
        <v>0</v>
      </c>
      <c r="U10" s="2">
        <v>5</v>
      </c>
      <c r="AG10" s="2">
        <v>26</v>
      </c>
      <c r="AH10" s="70">
        <v>63</v>
      </c>
      <c r="AO10" s="2">
        <f>$B$1-($B$1*0)</f>
        <v>10</v>
      </c>
      <c r="AP10" s="2">
        <f t="shared" ca="1" si="4"/>
        <v>145.47861889712055</v>
      </c>
      <c r="AQ10" s="2">
        <f ca="1">AP10</f>
        <v>145.47861889712055</v>
      </c>
      <c r="AV10" s="2" t="s">
        <v>18</v>
      </c>
      <c r="AW10" s="2">
        <f ca="1">IF(AND($AW$9&gt;$AU$1,$AW$9&lt;$AU$2),FORECAST($AW$9,OFFSET($O$52:$O$94,MATCH($AW$9,$N$52:$N$94,1)-1,0,2),OFFSET($N$52:$N$94,MATCH($AW$9,$N$52:$N$94,1)-1,0,2)),IF($AW$9&gt;=$AU$2,$AZ$10,IF($AW$9&lt;=$AU$1,$BB$10,)))</f>
        <v>3.7280247757199523</v>
      </c>
      <c r="AY10" s="2" t="s">
        <v>18</v>
      </c>
      <c r="AZ10" s="2">
        <f ca="1">$AZ$1*($B$4*(AW9/60)^2*($B$1*0.0254)^4)/9.81</f>
        <v>3.7280247757199523</v>
      </c>
      <c r="BA10" s="2" t="s">
        <v>18</v>
      </c>
      <c r="BB10" s="2">
        <f ca="1">$BB$1*($B$4*(AW9/60)^2*($B$1*0.0254)^4)/9.81</f>
        <v>2.8256932979143725</v>
      </c>
    </row>
    <row r="11" spans="1:63" x14ac:dyDescent="0.35">
      <c r="L11" s="2">
        <f t="shared" si="5"/>
        <v>27</v>
      </c>
      <c r="M11" s="2">
        <v>29</v>
      </c>
      <c r="N11" s="2">
        <f t="shared" si="2"/>
        <v>0</v>
      </c>
      <c r="O11" s="2">
        <v>28</v>
      </c>
      <c r="R11" s="2">
        <v>11</v>
      </c>
      <c r="T11" s="2">
        <f t="shared" si="1"/>
        <v>0</v>
      </c>
      <c r="U11" s="2">
        <v>5.5</v>
      </c>
      <c r="W11" s="2" t="s">
        <v>3</v>
      </c>
      <c r="X11" s="2" t="s">
        <v>20</v>
      </c>
      <c r="Y11" s="2" t="s">
        <v>56</v>
      </c>
      <c r="AG11" s="2">
        <v>28</v>
      </c>
      <c r="AH11" s="70">
        <v>75.8</v>
      </c>
      <c r="AO11" s="2">
        <f>$B$1-($B$1*-0.05)</f>
        <v>10.5</v>
      </c>
      <c r="AP11" s="2">
        <f t="shared" ca="1" si="4"/>
        <v>138.55106561630521</v>
      </c>
      <c r="AQ11" s="2">
        <v>0</v>
      </c>
      <c r="AV11" s="2" t="s">
        <v>86</v>
      </c>
      <c r="AW11" s="2">
        <f ca="1">IF(AND($AW$9&gt;$AU$1,$AW$9&lt;$AU$2),FORECAST($AW$10,OFFSET($P$51:$P$228,MATCH($AW$10,$O$51:$O$228,1)-1,0,2),OFFSET($O$51:$O$228,MATCH($AW$10,$O$51:$O$228,1)-1,0,2)),IF($AW$9&gt;=$AU$2,$AZ$11,IF($AW$9&lt;=$AU$1,$BB$11,)))</f>
        <v>1009.8057247693727</v>
      </c>
      <c r="AY11" s="2" t="s">
        <v>86</v>
      </c>
      <c r="AZ11" s="2">
        <f ca="1">$AZ$2*($B$4*((AW9/60)^3)*($B$1*0.0254)^5)</f>
        <v>1009.8057247693727</v>
      </c>
      <c r="BA11" s="2" t="s">
        <v>20</v>
      </c>
      <c r="BB11" s="2">
        <f ca="1">$AZ$2*($B$4*((AW9/60)^3)*($B$1*0.0254)^5)</f>
        <v>1009.8057247693727</v>
      </c>
    </row>
    <row r="12" spans="1:63" x14ac:dyDescent="0.35">
      <c r="L12" s="2">
        <f t="shared" si="5"/>
        <v>29</v>
      </c>
      <c r="M12" s="2">
        <v>31</v>
      </c>
      <c r="N12" s="2">
        <f t="shared" si="2"/>
        <v>0</v>
      </c>
      <c r="O12" s="2">
        <v>30</v>
      </c>
      <c r="R12" s="2">
        <v>12</v>
      </c>
      <c r="T12" s="2">
        <f t="shared" si="1"/>
        <v>0</v>
      </c>
      <c r="U12" s="2">
        <v>6</v>
      </c>
      <c r="V12" s="2" t="s">
        <v>85</v>
      </c>
      <c r="W12" s="2">
        <f ca="1">FORECAST($B6,OFFSET($A$51:$A$228,MATCH($B$6,$O$51:$O$228,1)-1,0,2),OFFSET($O$51:$O$228,MATCH($B$6,$O$51:$O$228,1)-1,0,2))</f>
        <v>8262.273469514168</v>
      </c>
      <c r="X12" s="2">
        <f ca="1">FORECAST($B6,OFFSET($P$51:$P$228,MATCH($B$6,$O$51:$O$228,1)-1,0,2),OFFSET($O$51:$O$228,MATCH($B$6,$O$51:$O$228,1)-1,0,2))</f>
        <v>145.47861889712055</v>
      </c>
      <c r="Y12" s="2">
        <f ca="1">(((B6*9.81)/($B$4*($AE$3/60)^2*($B$1*0.0254)^4))^(3/2))/(($AE$4/($B$4*(($AE$3/60)^3)*($B$1*0.0254)^5))*SQRT(2))</f>
        <v>0.53123610381964448</v>
      </c>
      <c r="AG12" s="2">
        <v>30</v>
      </c>
      <c r="AH12" s="70">
        <v>92.8</v>
      </c>
      <c r="AO12" s="2">
        <f>$B$1-($B$1*-0.1)</f>
        <v>11</v>
      </c>
      <c r="AP12" s="2">
        <f t="shared" ca="1" si="4"/>
        <v>132.25328990647327</v>
      </c>
      <c r="AQ12" s="2">
        <v>0</v>
      </c>
      <c r="AV12" s="2" t="s">
        <v>115</v>
      </c>
      <c r="AW12" s="2">
        <f ca="1">AW11/(Calculator!$E$26/100)</f>
        <v>1262.2571559617159</v>
      </c>
    </row>
    <row r="13" spans="1:63" x14ac:dyDescent="0.35">
      <c r="L13" s="2">
        <f t="shared" si="5"/>
        <v>31</v>
      </c>
      <c r="M13" s="2">
        <v>36</v>
      </c>
      <c r="N13" s="2">
        <f t="shared" si="2"/>
        <v>0</v>
      </c>
      <c r="O13" s="2">
        <v>32</v>
      </c>
      <c r="R13" s="2">
        <v>13</v>
      </c>
      <c r="T13" s="2">
        <f>IF($B$2=R13,1,0)</f>
        <v>0</v>
      </c>
      <c r="U13" s="2">
        <v>6.5</v>
      </c>
      <c r="W13" s="72"/>
      <c r="X13" s="22"/>
      <c r="Y13" s="22"/>
      <c r="AG13" s="2">
        <v>40</v>
      </c>
      <c r="AH13" s="73">
        <v>175</v>
      </c>
      <c r="AO13" s="2">
        <f>$B$1-($B$1*-0.15)</f>
        <v>11.5</v>
      </c>
      <c r="AP13" s="2">
        <f t="shared" ca="1" si="4"/>
        <v>126.50314686706122</v>
      </c>
      <c r="AQ13" s="2">
        <v>0</v>
      </c>
    </row>
    <row r="14" spans="1:63" x14ac:dyDescent="0.35">
      <c r="L14" s="2">
        <f t="shared" si="5"/>
        <v>36</v>
      </c>
      <c r="M14" s="2">
        <v>10000000</v>
      </c>
      <c r="N14" s="2">
        <f t="shared" si="2"/>
        <v>0</v>
      </c>
      <c r="O14" s="2">
        <v>40</v>
      </c>
      <c r="R14" s="2">
        <v>14</v>
      </c>
      <c r="T14" s="2">
        <f>IF($B$2=R14,1,0)</f>
        <v>0</v>
      </c>
      <c r="U14" s="2">
        <v>7</v>
      </c>
      <c r="AO14" s="2">
        <f>$B$1-($B$1*-0.2)</f>
        <v>12</v>
      </c>
      <c r="AP14" s="2">
        <f t="shared" ca="1" si="4"/>
        <v>121.23218241426709</v>
      </c>
      <c r="AQ14" s="2">
        <v>0</v>
      </c>
      <c r="AU14" s="2" t="s">
        <v>121</v>
      </c>
      <c r="AV14" s="2" t="s">
        <v>105</v>
      </c>
      <c r="AW14" s="2">
        <f ca="1">'Motor performance'!J28</f>
        <v>15540</v>
      </c>
    </row>
    <row r="45" spans="1:54" x14ac:dyDescent="0.35">
      <c r="AV45" s="2" t="s">
        <v>18</v>
      </c>
      <c r="AW45" s="2">
        <f ca="1">IF(AND($AW$14&gt;$AU$1,$AW$14&lt;$AU$2),FORECAST($AW$14,OFFSET($O$52:$O$94,MATCH($AW$14,$N$52:$N$94,1)-1,0,2),OFFSET($N$52:$N$94,MATCH($AW$14,$N$52:$N$94,1)-1,0,2)),IF($AW$14&gt;=$AU$2,$AZ$45,IF($AW$14&lt;=$AU$1,$BB$45,)))</f>
        <v>3.7280247757199523</v>
      </c>
      <c r="AY45" s="2" t="s">
        <v>18</v>
      </c>
      <c r="AZ45" s="2">
        <f ca="1">$AZ$1*($B$4*(AW14/60)^2*($B$1*0.0254)^4)/9.81</f>
        <v>3.7280247757199523</v>
      </c>
      <c r="BA45" s="2" t="s">
        <v>18</v>
      </c>
      <c r="BB45" s="2">
        <f ca="1">$BB$1*($B$4*(AW14/60)^2*($B$1*0.0254)^4)/9.81</f>
        <v>2.8256932979143725</v>
      </c>
    </row>
    <row r="46" spans="1:54" x14ac:dyDescent="0.35">
      <c r="AV46" s="2" t="s">
        <v>86</v>
      </c>
      <c r="AW46" s="2">
        <f ca="1">IF(AND($AW$14&gt;$AU$1,$AW$14&lt;$AU$2),FORECAST($AW$45,OFFSET($P$51:$P$228,MATCH($AW$45,$O$51:$O$228,1)-1,0,2),OFFSET($O$51:$O$228,MATCH($AW$45,$O$51:$O$228,1)-1,0,2)),IF($AW$14&gt;=$AU$2,$AZ$46,IF($AW$14&lt;=$AU$1,$BB$46,)))</f>
        <v>1009.8057247693727</v>
      </c>
      <c r="AY46" s="2" t="s">
        <v>86</v>
      </c>
      <c r="AZ46" s="2">
        <f ca="1">$AZ$2*($B$4*((AW14/60)^3)*($B$1*0.0254)^5)</f>
        <v>1009.8057247693727</v>
      </c>
      <c r="BA46" s="2" t="s">
        <v>20</v>
      </c>
      <c r="BB46" s="2">
        <f ca="1">$AZ$2*($B$4*((AW14/60)^3)*($B$1*0.0254)^5)</f>
        <v>1009.8057247693727</v>
      </c>
    </row>
    <row r="47" spans="1:54" x14ac:dyDescent="0.35">
      <c r="G47" s="2" t="s">
        <v>64</v>
      </c>
      <c r="H47" s="74">
        <f ca="1">H52</f>
        <v>0.52591092869822931</v>
      </c>
      <c r="J47" s="2">
        <f ca="1">I52</f>
        <v>35619.457004098818</v>
      </c>
      <c r="AV47" s="2" t="s">
        <v>115</v>
      </c>
      <c r="AW47" s="2">
        <f ca="1">AW46/(Calculator!$E$26/100)</f>
        <v>1262.2571559617159</v>
      </c>
    </row>
    <row r="48" spans="1:54" x14ac:dyDescent="0.35">
      <c r="A48" s="2" t="s">
        <v>57</v>
      </c>
      <c r="B48" s="2">
        <f ca="1">INDIRECT($B$3&amp;"!t1")</f>
        <v>10</v>
      </c>
      <c r="C48" s="2" t="s">
        <v>58</v>
      </c>
      <c r="D48" s="2">
        <f ca="1">B48*0.0254</f>
        <v>0.254</v>
      </c>
      <c r="G48" s="2" t="s">
        <v>65</v>
      </c>
      <c r="H48" s="74">
        <f ca="1">MAX(G51:G94)</f>
        <v>0.55089281570933946</v>
      </c>
      <c r="J48" s="2">
        <f ca="1">MAX(I51:I94)</f>
        <v>93130.246023852524</v>
      </c>
      <c r="R48" s="2" t="s">
        <v>65</v>
      </c>
    </row>
    <row r="49" spans="1:54" x14ac:dyDescent="0.35">
      <c r="A49" s="2" t="s">
        <v>75</v>
      </c>
      <c r="B49" s="2">
        <f ca="1">INDIRECT($B$3&amp;"!t2")</f>
        <v>1.1538999999999999</v>
      </c>
      <c r="C49" s="2" t="s">
        <v>73</v>
      </c>
      <c r="R49" s="2">
        <f ca="1">VLOOKUP(1,R52:S94,2,FALSE)</f>
        <v>0.10692452114322948</v>
      </c>
      <c r="W49" s="2" t="s">
        <v>108</v>
      </c>
      <c r="AU49" s="2" t="s">
        <v>123</v>
      </c>
      <c r="AV49" s="2" t="s">
        <v>105</v>
      </c>
      <c r="AW49" s="2">
        <f ca="1">'Motor performance'!J35</f>
        <v>15540</v>
      </c>
    </row>
    <row r="50" spans="1:54" x14ac:dyDescent="0.35">
      <c r="A50" s="2" t="s">
        <v>3</v>
      </c>
      <c r="B50" s="2" t="s">
        <v>18</v>
      </c>
      <c r="C50" s="2" t="s">
        <v>19</v>
      </c>
      <c r="D50" s="2" t="s">
        <v>76</v>
      </c>
      <c r="E50" s="2" t="s">
        <v>54</v>
      </c>
      <c r="F50" s="2" t="s">
        <v>55</v>
      </c>
      <c r="G50" s="2" t="s">
        <v>360</v>
      </c>
      <c r="H50" s="2" t="s">
        <v>56</v>
      </c>
      <c r="I50" s="2" t="s">
        <v>354</v>
      </c>
      <c r="J50" s="2" t="s">
        <v>359</v>
      </c>
      <c r="L50" s="2" t="s">
        <v>358</v>
      </c>
      <c r="M50" s="2" t="s">
        <v>355</v>
      </c>
      <c r="N50" s="2" t="s">
        <v>3</v>
      </c>
      <c r="O50" s="2" t="s">
        <v>18</v>
      </c>
      <c r="P50" s="2" t="s">
        <v>76</v>
      </c>
      <c r="Q50" s="2" t="s">
        <v>78</v>
      </c>
      <c r="R50" s="2" t="s">
        <v>79</v>
      </c>
      <c r="S50" s="2" t="s">
        <v>54</v>
      </c>
      <c r="T50" s="2" t="s">
        <v>55</v>
      </c>
      <c r="U50" s="2" t="s">
        <v>18</v>
      </c>
      <c r="V50" s="2" t="s">
        <v>86</v>
      </c>
      <c r="W50" s="2" t="s">
        <v>3</v>
      </c>
      <c r="X50" s="2" t="s">
        <v>56</v>
      </c>
      <c r="AV50" s="2" t="s">
        <v>18</v>
      </c>
      <c r="AW50" s="2">
        <f ca="1">IF(AND($AW$49&gt;$AU$1,$AW$49&lt;$AU$2),FORECAST($AW$49,OFFSET($O$52:$O$94,MATCH($AW$49,$N$52:$N$94,1)-1,0,2),OFFSET($N$52:$N$94,MATCH($AW$49,$N$52:$N$94,1)-1,0,2)),IF($AW$49&gt;=$AU$2,$AZ$50,IF($AW$49&lt;=$AU$1,$BB$50,)))</f>
        <v>3.7280247757199523</v>
      </c>
      <c r="AY50" s="2" t="s">
        <v>18</v>
      </c>
      <c r="AZ50" s="2">
        <f ca="1">$AZ$1*($B$4*(AW49/60)^2*($B$1*0.0254)^4)/9.81</f>
        <v>3.7280247757199523</v>
      </c>
      <c r="BA50" s="2" t="s">
        <v>18</v>
      </c>
      <c r="BB50" s="2">
        <f ca="1">$BB$1*($B$4*(AW49/60)^2*($B$1*0.0254)^4)/9.81</f>
        <v>2.8256932979143725</v>
      </c>
    </row>
    <row r="51" spans="1:54" x14ac:dyDescent="0.35">
      <c r="A51" s="2">
        <f ca="1">INDIRECT($B$3&amp;"!H2")</f>
        <v>0</v>
      </c>
      <c r="B51" s="2">
        <f ca="1">INDIRECT($B$3&amp;"!e2")</f>
        <v>1.92699319699451E-4</v>
      </c>
      <c r="C51" s="2">
        <f ca="1">INDIRECT($B$3&amp;"!d2")</f>
        <v>-1.7243587102113499E-4</v>
      </c>
      <c r="D51" s="2">
        <f ca="1">IF($B$10=$B$9,C51*A51*2*PI()/60*(1+Calculator!$E$27/100),C51*A51*2*PI()/60)</f>
        <v>0</v>
      </c>
      <c r="E51" s="23" t="e">
        <f ca="1">(B51*9.81)/($B$49*(A51/60)^2*($D$48)^4)</f>
        <v>#DIV/0!</v>
      </c>
      <c r="F51" s="23" t="e">
        <f ca="1">D51/($B$49*((A51/60)^3)*($D$48)^5)</f>
        <v>#DIV/0!</v>
      </c>
      <c r="G51" s="23">
        <f ca="1">IFERROR(H51,0)</f>
        <v>0</v>
      </c>
      <c r="H51" s="24" t="e">
        <f t="shared" ref="H51:H68" ca="1" si="6">IFERROR((E51^(3/2))/(F51*SQRT(2)),#N/A)</f>
        <v>#N/A</v>
      </c>
      <c r="I51" s="2">
        <f ca="1">+($B$49*(A51/60*2*PI())*('OTS props'!$L$30/1000)*('OTS props'!$M$30/1000))/0.000017894</f>
        <v>0</v>
      </c>
      <c r="J51" s="2" t="e">
        <f ca="1">IF(I51=0,#N/A,I51)</f>
        <v>#N/A</v>
      </c>
      <c r="M51" s="2">
        <f ca="1">+('OTS props'!$M$35*(Sheet1!A51/60*2*PI())*('OTS props'!$L$38/1000)*('OTS props'!$M$38/1000))/0.000017894</f>
        <v>0</v>
      </c>
      <c r="N51" s="2" t="e">
        <f t="shared" ref="N51:N94" ca="1" si="7">IF(A51=0,#N/A,A51)</f>
        <v>#N/A</v>
      </c>
      <c r="O51" s="2" t="e">
        <f ca="1">((P51/($B$4*((A51/60)^3)*($B$1*0.0254)^5))*L51*SQRT(2))^(2/3)*($B$4*(A51/60)^2*($B$1*0.0254)^4)/9.81</f>
        <v>#DIV/0!</v>
      </c>
      <c r="P51" s="2" t="e">
        <f t="shared" ref="P51:P94" ca="1" si="8">F51*($B$4*((A51/60)^3)*($D$1)^5)*$B$5</f>
        <v>#DIV/0!</v>
      </c>
      <c r="Q51" s="24"/>
      <c r="S51" s="21" t="e">
        <f t="shared" ref="S51:S94" ca="1" si="9">(O51*9.81)/($B$4*(A51/60)^2*($D$1)^4)</f>
        <v>#DIV/0!</v>
      </c>
      <c r="T51" s="21" t="e">
        <f t="shared" ref="T51:T94" ca="1" si="10">P51/($B$4*((A51/60)^3)*($D$1)^5)</f>
        <v>#DIV/0!</v>
      </c>
      <c r="U51" s="2" t="e">
        <f ca="1">O51</f>
        <v>#DIV/0!</v>
      </c>
      <c r="V51" s="2">
        <f ca="1">IFERROR(P51,0)</f>
        <v>0</v>
      </c>
      <c r="W51" s="2" t="e">
        <f ca="1">N51</f>
        <v>#N/A</v>
      </c>
      <c r="X51" s="74" t="e">
        <f t="shared" ref="X51:X94" ca="1" si="11">IFERROR(H51,#N/A)</f>
        <v>#N/A</v>
      </c>
      <c r="AV51" s="2" t="s">
        <v>86</v>
      </c>
      <c r="AW51" s="2">
        <f ca="1">IF(AND($AW$49&gt;$AU$1,$AW$49&lt;$AU$2),FORECAST($AW$50,OFFSET($P$51:$P$228,MATCH($AW$50,$O$51:$O$228,1)-1,0,2),OFFSET($O$51:$O$228,MATCH($AW$50,$O$51:$O$228,1)-1,0,2)),IF($AW$49&gt;=$AU$2,$AZ$51,IF($AW$49&lt;=$AU$1,$BB$51,)))</f>
        <v>1009.8057247693727</v>
      </c>
      <c r="AY51" s="2" t="s">
        <v>86</v>
      </c>
      <c r="AZ51" s="2">
        <f ca="1">$AZ$2*($B$4*((AW49/60)^3)*($B$1*0.0254)^5)</f>
        <v>1009.8057247693727</v>
      </c>
      <c r="BA51" s="2" t="s">
        <v>20</v>
      </c>
      <c r="BB51" s="2">
        <f ca="1">$AZ$2*($B$4*((AW49/60)^3)*($B$1*0.0254)^5)</f>
        <v>1009.8057247693727</v>
      </c>
    </row>
    <row r="52" spans="1:54" x14ac:dyDescent="0.35">
      <c r="A52" s="2">
        <f ca="1">INDIRECT($B$3&amp;"!H3")</f>
        <v>3578</v>
      </c>
      <c r="B52" s="2">
        <f ca="1">INDIRECT($B$3&amp;"!e3")</f>
        <v>0.108292054346046</v>
      </c>
      <c r="C52" s="2">
        <f ca="1">INDIRECT($B$3&amp;"!d3")</f>
        <v>1.44007280411467E-2</v>
      </c>
      <c r="D52" s="2">
        <f ca="1">IF($B$10=$B$9,C52*A52*2*PI()/60*(1+Calculator!$E$27/100),C52*A52*2*PI()/60)</f>
        <v>5.3957696747410191</v>
      </c>
      <c r="E52" s="23">
        <f ca="1">(B52*9.81)/($B$49*(A52/60)^2*($D$48)^4)</f>
        <v>6.2199141211639296E-2</v>
      </c>
      <c r="F52" s="23">
        <f ca="1">D52/($B$49*((A52/60)^3)*($D$48)^5)</f>
        <v>2.0856882235831375E-2</v>
      </c>
      <c r="G52" s="23">
        <f t="shared" ref="G52:G94" ca="1" si="12">IFERROR(H52,0)</f>
        <v>0.52591092869822931</v>
      </c>
      <c r="H52" s="24">
        <f t="shared" ca="1" si="6"/>
        <v>0.52591092869822931</v>
      </c>
      <c r="I52" s="2">
        <f ca="1">+($B$49*(A52/60*2*PI())*('OTS props'!$L$30/1000)*('OTS props'!$M$30/1000))/0.000017894</f>
        <v>35619.457004098818</v>
      </c>
      <c r="J52" s="2">
        <f ca="1">IF(I52=0,#N/A,I52)</f>
        <v>35619.457004098818</v>
      </c>
      <c r="L52" s="2">
        <f ca="1">IF(M52&gt;=$J$48,$H$48,IF(M52&lt;=$J$47,$H$47,FORECAST($M52,OFFSET($H$51:$H$228,MATCH($M52,$J$51:$J$228,1)-1,0,2),OFFSET($J$51:$J$228,MATCH($M52,$J$51:$J$228,1)-1,0,2))))</f>
        <v>0.52147041284662299</v>
      </c>
      <c r="M52" s="2">
        <f ca="1">+('OTS props'!$M$35*(Sheet1!A52/60*2*PI())*('OTS props'!$L$38/1000)*('OTS props'!$M$38/1000))/0.000017894</f>
        <v>37814.225522160537</v>
      </c>
      <c r="N52" s="2">
        <f t="shared" ca="1" si="7"/>
        <v>3578</v>
      </c>
      <c r="O52" s="2">
        <f t="shared" ref="O52:O94" ca="1" si="13">((P52/($B$4*((A52/60)^3)*($B$1*0.0254)^5))*L52*SQRT(2))^(2/3)*($B$4*(A52/60)^2*($B$1*0.0254)^4)/9.81</f>
        <v>0.14979718945974446</v>
      </c>
      <c r="P52" s="2">
        <f t="shared" ca="1" si="8"/>
        <v>8.592362230121001</v>
      </c>
      <c r="Q52" s="24">
        <f t="shared" ref="Q52:Q61" ca="1" si="14">IFERROR(O52,"Max")</f>
        <v>0.14979718945974446</v>
      </c>
      <c r="R52" s="2">
        <f ca="1">IF(Q53="Max",1,0)</f>
        <v>0</v>
      </c>
      <c r="S52" s="21">
        <f t="shared" ca="1" si="9"/>
        <v>8.1044499689189697E-2</v>
      </c>
      <c r="T52" s="21">
        <f t="shared" ca="1" si="10"/>
        <v>3.1285323353747063E-2</v>
      </c>
      <c r="U52" s="2">
        <f ca="1">O52</f>
        <v>0.14979718945974446</v>
      </c>
      <c r="V52" s="2">
        <f t="shared" ref="V52:V94" ca="1" si="15">IFERROR(P52,0)</f>
        <v>8.592362230121001</v>
      </c>
      <c r="W52" s="2">
        <f t="shared" ref="W52:W94" ca="1" si="16">N52</f>
        <v>3578</v>
      </c>
      <c r="X52" s="74">
        <f t="shared" ca="1" si="11"/>
        <v>0.52591092869822931</v>
      </c>
      <c r="AV52" s="2" t="s">
        <v>115</v>
      </c>
      <c r="AW52" s="2">
        <f ca="1">AW51/(Calculator!$E$26/100)</f>
        <v>1262.2571559617159</v>
      </c>
    </row>
    <row r="53" spans="1:54" x14ac:dyDescent="0.35">
      <c r="A53" s="2">
        <f ca="1">INDIRECT($B$3&amp;"!H4")</f>
        <v>4283</v>
      </c>
      <c r="B53" s="2">
        <f ca="1">INDIRECT($B$3&amp;"!e4")</f>
        <v>0.15951157098827201</v>
      </c>
      <c r="C53" s="2">
        <f ca="1">INDIRECT($B$3&amp;"!d4")</f>
        <v>2.2103314528060799E-2</v>
      </c>
      <c r="D53" s="2">
        <f ca="1">IF($B$10=$B$9,C53*A53*2*PI()/60*(1+Calculator!$E$27/100),C53*A53*2*PI()/60)</f>
        <v>9.9136617316186921</v>
      </c>
      <c r="E53" s="23">
        <f t="shared" ref="E53:E94" ca="1" si="17">(B53*9.81)/($B$49*(A53/60)^2*($D$48)^4)</f>
        <v>6.393880451026307E-2</v>
      </c>
      <c r="F53" s="23">
        <f t="shared" ref="F53:F94" ca="1" si="18">D53/($B$49*((A53/60)^3)*($D$48)^5)</f>
        <v>2.2341219093654226E-2</v>
      </c>
      <c r="G53" s="23">
        <f t="shared" ca="1" si="12"/>
        <v>0.51171117608822603</v>
      </c>
      <c r="H53" s="24">
        <f t="shared" ca="1" si="6"/>
        <v>0.51171117608822603</v>
      </c>
      <c r="I53" s="2">
        <f ca="1">+($B$49*(A53/60*2*PI())*('OTS props'!$L$30/1000)*('OTS props'!$M$30/1000))/0.000017894</f>
        <v>42637.824021396089</v>
      </c>
      <c r="J53" s="2">
        <f t="shared" ref="J53:J94" ca="1" si="19">IF(I53=0,#N/A,I53)</f>
        <v>42637.824021396089</v>
      </c>
      <c r="L53" s="2">
        <f t="shared" ref="L53:L94" ca="1" si="20">IF(M53&gt;=$J$48,$H$48,IF(M53&lt;=$J$47,$H$47,FORECAST($M53,OFFSET($H$51:$H$228,MATCH($M53,$J$51:$J$228,1)-1,0,2),OFFSET($J$51:$J$228,MATCH($M53,$J$51:$J$228,1)-1,0,2))))</f>
        <v>0.50864253779301161</v>
      </c>
      <c r="M53" s="2">
        <f ca="1">+('OTS props'!$M$35*(Sheet1!A53/60*2*PI())*('OTS props'!$L$38/1000)*('OTS props'!$M$38/1000))/0.000017894</f>
        <v>45265.044133989271</v>
      </c>
      <c r="N53" s="2">
        <f t="shared" ca="1" si="7"/>
        <v>4283</v>
      </c>
      <c r="O53" s="2">
        <f t="shared" ca="1" si="13"/>
        <v>0.22101044401624875</v>
      </c>
      <c r="P53" s="2">
        <f t="shared" ca="1" si="8"/>
        <v>15.786769591688486</v>
      </c>
      <c r="Q53" s="24">
        <f t="shared" ca="1" si="14"/>
        <v>0.22101044401624875</v>
      </c>
      <c r="R53" s="2">
        <f t="shared" ref="R53:R94" ca="1" si="21">IF(Q54="Max",1,0)</f>
        <v>0</v>
      </c>
      <c r="S53" s="21">
        <f t="shared" ca="1" si="9"/>
        <v>8.3448243807705533E-2</v>
      </c>
      <c r="T53" s="21">
        <f t="shared" ca="1" si="10"/>
        <v>3.3511828640481335E-2</v>
      </c>
      <c r="U53" s="2">
        <f ca="1">O53</f>
        <v>0.22101044401624875</v>
      </c>
      <c r="V53" s="2">
        <f t="shared" ca="1" si="15"/>
        <v>15.786769591688486</v>
      </c>
      <c r="W53" s="2">
        <f t="shared" ca="1" si="16"/>
        <v>4283</v>
      </c>
      <c r="X53" s="74">
        <f t="shared" ca="1" si="11"/>
        <v>0.51171117608822603</v>
      </c>
    </row>
    <row r="54" spans="1:54" x14ac:dyDescent="0.35">
      <c r="A54" s="2">
        <f ca="1">INDIRECT($B$3&amp;"!H5")</f>
        <v>4910</v>
      </c>
      <c r="B54" s="2">
        <f ca="1">INDIRECT($B$3&amp;"!e5")</f>
        <v>0.214809529748649</v>
      </c>
      <c r="C54" s="2">
        <f ca="1">INDIRECT($B$3&amp;"!d5")</f>
        <v>3.0566670074627902E-2</v>
      </c>
      <c r="D54" s="2">
        <f ca="1">IF($B$10=$B$9,C54*A54*2*PI()/60*(1+Calculator!$E$27/100),C54*A54*2*PI()/60)</f>
        <v>15.71658694673887</v>
      </c>
      <c r="E54" s="23">
        <f t="shared" ca="1" si="17"/>
        <v>6.5517758131915793E-2</v>
      </c>
      <c r="F54" s="23">
        <f t="shared" ca="1" si="18"/>
        <v>2.3508816052364802E-2</v>
      </c>
      <c r="G54" s="23">
        <f t="shared" ca="1" si="12"/>
        <v>0.5044205682260251</v>
      </c>
      <c r="H54" s="24">
        <f t="shared" ca="1" si="6"/>
        <v>0.5044205682260251</v>
      </c>
      <c r="I54" s="2">
        <f ca="1">+($B$49*(A54/60*2*PI())*('OTS props'!$L$30/1000)*('OTS props'!$M$30/1000))/0.000017894</f>
        <v>48879.690858056216</v>
      </c>
      <c r="J54" s="2">
        <f t="shared" ca="1" si="19"/>
        <v>48879.690858056216</v>
      </c>
      <c r="L54" s="2">
        <f t="shared" ca="1" si="20"/>
        <v>0.5088067169448649</v>
      </c>
      <c r="M54" s="2">
        <f ca="1">+('OTS props'!$M$35*(Sheet1!A54/60*2*PI())*('OTS props'!$L$38/1000)*('OTS props'!$M$38/1000))/0.000017894</f>
        <v>51891.516856849696</v>
      </c>
      <c r="N54" s="2">
        <f t="shared" ca="1" si="7"/>
        <v>4910</v>
      </c>
      <c r="O54" s="2">
        <f t="shared" ca="1" si="13"/>
        <v>0.30055387504830067</v>
      </c>
      <c r="P54" s="2">
        <f t="shared" ca="1" si="8"/>
        <v>25.027496762832726</v>
      </c>
      <c r="Q54" s="24">
        <f t="shared" ca="1" si="14"/>
        <v>0.30055387504830067</v>
      </c>
      <c r="R54" s="2">
        <f ca="1">IF(Q55="Max",1,0)</f>
        <v>0</v>
      </c>
      <c r="S54" s="21">
        <f t="shared" ca="1" si="9"/>
        <v>8.6349514567705302E-2</v>
      </c>
      <c r="T54" s="21">
        <f t="shared" ca="1" si="10"/>
        <v>3.5263224078547199E-2</v>
      </c>
      <c r="U54" s="2">
        <f t="shared" ref="U54:U94" ca="1" si="22">O54</f>
        <v>0.30055387504830067</v>
      </c>
      <c r="V54" s="2">
        <f ca="1">IFERROR(P54,0)</f>
        <v>25.027496762832726</v>
      </c>
      <c r="W54" s="2">
        <f t="shared" ca="1" si="16"/>
        <v>4910</v>
      </c>
      <c r="X54" s="74">
        <f t="shared" ca="1" si="11"/>
        <v>0.5044205682260251</v>
      </c>
      <c r="AU54" s="2" t="s">
        <v>125</v>
      </c>
      <c r="AV54" s="2" t="s">
        <v>105</v>
      </c>
      <c r="AW54" s="2">
        <f ca="1">'Motor performance'!J42</f>
        <v>15540</v>
      </c>
    </row>
    <row r="55" spans="1:54" x14ac:dyDescent="0.35">
      <c r="A55" s="2">
        <f ca="1">INDIRECT($B$3&amp;"!H6")</f>
        <v>5541</v>
      </c>
      <c r="B55" s="2">
        <f ca="1">INDIRECT($B$3&amp;"!e6")</f>
        <v>0.28713981620439299</v>
      </c>
      <c r="C55" s="2">
        <f ca="1">INDIRECT($B$3&amp;"!d6")</f>
        <v>4.1114552553519902E-2</v>
      </c>
      <c r="D55" s="2">
        <f ca="1">IF($B$10=$B$9,C55*A55*2*PI()/60*(1+Calculator!$E$27/100),C55*A55*2*PI()/60)</f>
        <v>23.856808054810042</v>
      </c>
      <c r="E55" s="23">
        <f t="shared" ca="1" si="17"/>
        <v>6.876787209654632E-2</v>
      </c>
      <c r="F55" s="23">
        <f t="shared" ca="1" si="18"/>
        <v>2.4829323137419018E-2</v>
      </c>
      <c r="G55" s="23">
        <f t="shared" ca="1" si="12"/>
        <v>0.51356864483195941</v>
      </c>
      <c r="H55" s="24">
        <f t="shared" ca="1" si="6"/>
        <v>0.51356864483195941</v>
      </c>
      <c r="I55" s="2">
        <f ca="1">+($B$49*(A55/60*2*PI())*('OTS props'!$L$30/1000)*('OTS props'!$M$30/1000))/0.000017894</f>
        <v>55161.378216800309</v>
      </c>
      <c r="J55" s="2">
        <f t="shared" ca="1" si="19"/>
        <v>55161.378216800309</v>
      </c>
      <c r="L55" s="2">
        <f t="shared" ca="1" si="20"/>
        <v>0.51002077442500804</v>
      </c>
      <c r="M55" s="2">
        <f ca="1">+('OTS props'!$M$35*(Sheet1!A55/60*2*PI())*('OTS props'!$L$38/1000)*('OTS props'!$M$38/1000))/0.000017894</f>
        <v>58560.263727862373</v>
      </c>
      <c r="N55" s="2">
        <f t="shared" ca="1" si="7"/>
        <v>5541</v>
      </c>
      <c r="O55" s="2">
        <f t="shared" ca="1" si="13"/>
        <v>0.3976018684169958</v>
      </c>
      <c r="P55" s="2">
        <f t="shared" ca="1" si="8"/>
        <v>37.990193951567257</v>
      </c>
      <c r="Q55" s="24">
        <f t="shared" ca="1" si="14"/>
        <v>0.3976018684169958</v>
      </c>
      <c r="R55" s="2">
        <f t="shared" ca="1" si="21"/>
        <v>0</v>
      </c>
      <c r="S55" s="21">
        <f t="shared" ca="1" si="9"/>
        <v>8.9695915970261456E-2</v>
      </c>
      <c r="T55" s="21">
        <f t="shared" ca="1" si="10"/>
        <v>3.7243984706128525E-2</v>
      </c>
      <c r="U55" s="2">
        <f t="shared" ca="1" si="22"/>
        <v>0.3976018684169958</v>
      </c>
      <c r="V55" s="2">
        <f t="shared" ca="1" si="15"/>
        <v>37.990193951567257</v>
      </c>
      <c r="W55" s="2">
        <f t="shared" ca="1" si="16"/>
        <v>5541</v>
      </c>
      <c r="X55" s="74">
        <f t="shared" ca="1" si="11"/>
        <v>0.51356864483195941</v>
      </c>
      <c r="AV55" s="2" t="s">
        <v>18</v>
      </c>
      <c r="AW55" s="2">
        <f ca="1">IF(AND($AW$54&gt;$AU$1,$AW$54&lt;$AU$2),FORECAST($AW$54,OFFSET($O$52:$O$94,MATCH($AW$54,$N$52:$N$94,1)-1,0,2),OFFSET($N$52:$N$94,MATCH($AW$54,$N$52:$N$94,1)-1,0,2)),IF($AW$54&gt;=$AU$2,$AZ$55,IF($AW$54&lt;=$AU$1,$BB$55,)))</f>
        <v>3.7280247757199523</v>
      </c>
      <c r="AY55" s="2" t="s">
        <v>18</v>
      </c>
      <c r="AZ55" s="2">
        <f ca="1">$AZ$1*($B$4*(AW54/60)^2*($B$1*0.0254)^4)/9.81</f>
        <v>3.7280247757199523</v>
      </c>
      <c r="BA55" s="2" t="s">
        <v>18</v>
      </c>
      <c r="BB55" s="2">
        <f ca="1">$BB$1*($B$4*(AW54/60)^2*($B$1*0.0254)^4)/9.81</f>
        <v>2.8256932979143725</v>
      </c>
    </row>
    <row r="56" spans="1:54" x14ac:dyDescent="0.35">
      <c r="A56" s="2">
        <f ca="1">INDIRECT($B$3&amp;"!H7")</f>
        <v>6169</v>
      </c>
      <c r="B56" s="2">
        <f ca="1">INDIRECT($B$3&amp;"!e7")</f>
        <v>0.36943573752404801</v>
      </c>
      <c r="C56" s="2">
        <f ca="1">INDIRECT($B$3&amp;"!d7")</f>
        <v>5.4587231981304898E-2</v>
      </c>
      <c r="D56" s="2">
        <f ca="1">IF($B$10=$B$9,C56*A56*2*PI()/60*(1+Calculator!$E$27/100),C56*A56*2*PI()/60)</f>
        <v>35.264234499064308</v>
      </c>
      <c r="E56" s="23">
        <f t="shared" ca="1" si="17"/>
        <v>7.1380211859582987E-2</v>
      </c>
      <c r="F56" s="23">
        <f t="shared" ca="1" si="18"/>
        <v>2.6595437856976132E-2</v>
      </c>
      <c r="G56" s="23">
        <f t="shared" ca="1" si="12"/>
        <v>0.50704278390645874</v>
      </c>
      <c r="H56" s="24">
        <f t="shared" ca="1" si="6"/>
        <v>0.50704278390645874</v>
      </c>
      <c r="I56" s="2">
        <f ca="1">+($B$49*(A56/60*2*PI())*('OTS props'!$L$30/1000)*('OTS props'!$M$30/1000))/0.000017894</f>
        <v>61413.200183981426</v>
      </c>
      <c r="J56" s="2">
        <f t="shared" ca="1" si="19"/>
        <v>61413.200183981426</v>
      </c>
      <c r="L56" s="2">
        <f t="shared" ca="1" si="20"/>
        <v>0.51215940011291805</v>
      </c>
      <c r="M56" s="2">
        <f ca="1">+('OTS props'!$M$35*(Sheet1!A56/60*2*PI())*('OTS props'!$L$38/1000)*('OTS props'!$M$38/1000))/0.000017894</f>
        <v>65197.304987760865</v>
      </c>
      <c r="N56" s="2">
        <f t="shared" ca="1" si="7"/>
        <v>6169</v>
      </c>
      <c r="O56" s="2">
        <f t="shared" ca="1" si="13"/>
        <v>0.51737807510621103</v>
      </c>
      <c r="P56" s="2">
        <f t="shared" ca="1" si="8"/>
        <v>56.155672841693978</v>
      </c>
      <c r="Q56" s="24">
        <f t="shared" ca="1" si="14"/>
        <v>0.51737807510621103</v>
      </c>
      <c r="R56" s="2">
        <f t="shared" ca="1" si="21"/>
        <v>0</v>
      </c>
      <c r="S56" s="21">
        <f t="shared" ca="1" si="9"/>
        <v>9.4162728252928124E-2</v>
      </c>
      <c r="T56" s="21">
        <f t="shared" ca="1" si="10"/>
        <v>3.98931567854642E-2</v>
      </c>
      <c r="U56" s="2">
        <f t="shared" ca="1" si="22"/>
        <v>0.51737807510621103</v>
      </c>
      <c r="V56" s="2">
        <f t="shared" ca="1" si="15"/>
        <v>56.155672841693978</v>
      </c>
      <c r="W56" s="2">
        <f t="shared" ca="1" si="16"/>
        <v>6169</v>
      </c>
      <c r="X56" s="74">
        <f t="shared" ca="1" si="11"/>
        <v>0.50704278390645874</v>
      </c>
      <c r="AV56" s="2" t="s">
        <v>86</v>
      </c>
      <c r="AW56" s="2">
        <f ca="1">IF(AND($AW$54&gt;$AU$1,$AW$54&lt;$AU$2),FORECAST($AW$55,OFFSET($P$51:$P$228,MATCH($AW$55,$O$51:$O$228,1)-1,0,2),OFFSET($O$51:$O$228,MATCH($AW$55,$O$51:$O$228,1)-1,0,2)),IF($AW$54&gt;=$AU$2,$AZ$56,IF($AW$54&lt;=$AU$1,$BB$56,)))</f>
        <v>1009.8057247693727</v>
      </c>
      <c r="AY56" s="2" t="s">
        <v>86</v>
      </c>
      <c r="AZ56" s="2">
        <f ca="1">$AZ$2*($B$4*((AW54/60)^3)*($B$1*0.0254)^5)</f>
        <v>1009.8057247693727</v>
      </c>
      <c r="BA56" s="2" t="s">
        <v>20</v>
      </c>
      <c r="BB56" s="2">
        <f ca="1">$AZ$2*($B$4*((AW54/60)^3)*($B$1*0.0254)^5)</f>
        <v>1009.8057247693727</v>
      </c>
    </row>
    <row r="57" spans="1:54" x14ac:dyDescent="0.35">
      <c r="A57" s="2">
        <f ca="1">INDIRECT($B$3&amp;"!H8")</f>
        <v>6807</v>
      </c>
      <c r="B57" s="2">
        <f ca="1">INDIRECT($B$3&amp;"!e8")</f>
        <v>0.460134753911012</v>
      </c>
      <c r="C57" s="2">
        <f ca="1">INDIRECT($B$3&amp;"!d8")</f>
        <v>6.7619995486206202E-2</v>
      </c>
      <c r="D57" s="2">
        <f ca="1">IF($B$10=$B$9,C57*A57*2*PI()/60*(1+Calculator!$E$27/100),C57*A57*2*PI()/60)</f>
        <v>48.201383751434044</v>
      </c>
      <c r="E57" s="23">
        <f t="shared" ca="1" si="17"/>
        <v>7.3020029456452085E-2</v>
      </c>
      <c r="F57" s="23">
        <f t="shared" ca="1" si="18"/>
        <v>2.7058844626038105E-2</v>
      </c>
      <c r="G57" s="23">
        <f t="shared" ca="1" si="12"/>
        <v>0.51563069071768952</v>
      </c>
      <c r="H57" s="24">
        <f t="shared" ca="1" si="6"/>
        <v>0.51563069071768952</v>
      </c>
      <c r="I57" s="2">
        <f ca="1">+($B$49*(A57/60*2*PI())*('OTS props'!$L$30/1000)*('OTS props'!$M$30/1000))/0.000017894</f>
        <v>67764.57345637244</v>
      </c>
      <c r="J57" s="2">
        <f t="shared" ca="1" si="19"/>
        <v>67764.57345637244</v>
      </c>
      <c r="L57" s="2">
        <f t="shared" ca="1" si="20"/>
        <v>0.51786901325301737</v>
      </c>
      <c r="M57" s="2">
        <f ca="1">+('OTS props'!$M$35*(Sheet1!A57/60*2*PI())*('OTS props'!$L$38/1000)*('OTS props'!$M$38/1000))/0.000017894</f>
        <v>71940.031618039924</v>
      </c>
      <c r="N57" s="2">
        <f t="shared" ca="1" si="7"/>
        <v>6807</v>
      </c>
      <c r="O57" s="2">
        <f t="shared" ca="1" si="13"/>
        <v>0.6419500483882965</v>
      </c>
      <c r="P57" s="2">
        <f t="shared" ca="1" si="8"/>
        <v>76.757121625149551</v>
      </c>
      <c r="Q57" s="24">
        <f t="shared" ca="1" si="14"/>
        <v>0.6419500483882965</v>
      </c>
      <c r="R57" s="2">
        <f t="shared" ca="1" si="21"/>
        <v>0</v>
      </c>
      <c r="S57" s="21">
        <f t="shared" ca="1" si="9"/>
        <v>9.5960010692432512E-2</v>
      </c>
      <c r="T57" s="21">
        <f t="shared" ca="1" si="10"/>
        <v>4.0588266939057156E-2</v>
      </c>
      <c r="U57" s="2">
        <f t="shared" ca="1" si="22"/>
        <v>0.6419500483882965</v>
      </c>
      <c r="V57" s="2">
        <f t="shared" ca="1" si="15"/>
        <v>76.757121625149551</v>
      </c>
      <c r="W57" s="2">
        <f t="shared" ca="1" si="16"/>
        <v>6807</v>
      </c>
      <c r="X57" s="74">
        <f t="shared" ca="1" si="11"/>
        <v>0.51563069071768952</v>
      </c>
      <c r="AV57" s="2" t="s">
        <v>115</v>
      </c>
      <c r="AW57" s="2">
        <f ca="1">AW56/(Calculator!$E$26/100)</f>
        <v>1262.2571559617159</v>
      </c>
    </row>
    <row r="58" spans="1:54" x14ac:dyDescent="0.35">
      <c r="A58" s="2">
        <f ca="1">INDIRECT($B$3&amp;"!H9")</f>
        <v>7398</v>
      </c>
      <c r="B58" s="2">
        <f ca="1">INDIRECT($B$3&amp;"!e9")</f>
        <v>0.55565697322375296</v>
      </c>
      <c r="C58" s="2">
        <f ca="1">INDIRECT($B$3&amp;"!d9")</f>
        <v>8.2063648160328698E-2</v>
      </c>
      <c r="D58" s="2">
        <f ca="1">IF($B$10=$B$9,C58*A58*2*PI()/60*(1+Calculator!$E$27/100),C58*A58*2*PI()/60)</f>
        <v>63.576082662579843</v>
      </c>
      <c r="E58" s="23">
        <f t="shared" ca="1" si="17"/>
        <v>7.4652882822895381E-2</v>
      </c>
      <c r="F58" s="23">
        <f t="shared" ca="1" si="18"/>
        <v>2.7801471193463771E-2</v>
      </c>
      <c r="G58" s="23">
        <f t="shared" ca="1" si="12"/>
        <v>0.51878462739854736</v>
      </c>
      <c r="H58" s="24">
        <f t="shared" ca="1" si="6"/>
        <v>0.51878462739854736</v>
      </c>
      <c r="I58" s="2">
        <f ca="1">+($B$49*(A58/60*2*PI())*('OTS props'!$L$30/1000)*('OTS props'!$M$30/1000))/0.000017894</f>
        <v>73648.055594276986</v>
      </c>
      <c r="J58" s="2">
        <f t="shared" ca="1" si="19"/>
        <v>73648.055594276986</v>
      </c>
      <c r="L58" s="2">
        <f t="shared" ca="1" si="20"/>
        <v>0.52140439199444644</v>
      </c>
      <c r="M58" s="2">
        <f ca="1">+('OTS props'!$M$35*(Sheet1!A58/60*2*PI())*('OTS props'!$L$38/1000)*('OTS props'!$M$38/1000))/0.000017894</f>
        <v>78186.037007530365</v>
      </c>
      <c r="N58" s="2">
        <f t="shared" ca="1" si="7"/>
        <v>7398</v>
      </c>
      <c r="O58" s="2">
        <f t="shared" ca="1" si="13"/>
        <v>0.77558115472901112</v>
      </c>
      <c r="P58" s="2">
        <f t="shared" ca="1" si="8"/>
        <v>101.24018709809383</v>
      </c>
      <c r="Q58" s="24">
        <f t="shared" ca="1" si="14"/>
        <v>0.77558115472901112</v>
      </c>
      <c r="R58" s="2">
        <f t="shared" ca="1" si="21"/>
        <v>0</v>
      </c>
      <c r="S58" s="21">
        <f t="shared" ca="1" si="9"/>
        <v>9.8151998528820297E-2</v>
      </c>
      <c r="T58" s="21">
        <f t="shared" ca="1" si="10"/>
        <v>4.1702206790195651E-2</v>
      </c>
      <c r="U58" s="2">
        <f t="shared" ca="1" si="22"/>
        <v>0.77558115472901112</v>
      </c>
      <c r="V58" s="2">
        <f t="shared" ca="1" si="15"/>
        <v>101.24018709809383</v>
      </c>
      <c r="W58" s="2">
        <f t="shared" ca="1" si="16"/>
        <v>7398</v>
      </c>
      <c r="X58" s="74">
        <f t="shared" ca="1" si="11"/>
        <v>0.51878462739854736</v>
      </c>
    </row>
    <row r="59" spans="1:54" x14ac:dyDescent="0.35">
      <c r="A59" s="2">
        <f ca="1">INDIRECT($B$3&amp;"!H10")</f>
        <v>8008</v>
      </c>
      <c r="B59" s="2">
        <f ca="1">INDIRECT($B$3&amp;"!e10")</f>
        <v>0.66357454433431295</v>
      </c>
      <c r="C59" s="2">
        <f ca="1">INDIRECT($B$3&amp;"!d10")</f>
        <v>9.8274447314228797E-2</v>
      </c>
      <c r="D59" s="2">
        <f ca="1">IF($B$10=$B$9,C59*A59*2*PI()/60*(1+Calculator!$E$27/100),C59*A59*2*PI()/60)</f>
        <v>82.412538666585689</v>
      </c>
      <c r="E59" s="23">
        <f t="shared" ca="1" si="17"/>
        <v>7.6086929229738795E-2</v>
      </c>
      <c r="F59" s="23">
        <f t="shared" ca="1" si="18"/>
        <v>2.8414374085152915E-2</v>
      </c>
      <c r="G59" s="23">
        <f t="shared" ca="1" si="12"/>
        <v>0.52229034031977417</v>
      </c>
      <c r="H59" s="24">
        <f t="shared" ca="1" si="6"/>
        <v>0.52229034031977417</v>
      </c>
      <c r="I59" s="2">
        <f ca="1">+($B$49*(A59/60*2*PI())*('OTS props'!$L$30/1000)*('OTS props'!$M$30/1000))/0.000017894</f>
        <v>79720.685212080294</v>
      </c>
      <c r="J59" s="2">
        <f t="shared" ca="1" si="19"/>
        <v>79720.685212080294</v>
      </c>
      <c r="L59" s="2">
        <f t="shared" ca="1" si="20"/>
        <v>0.52671607352967276</v>
      </c>
      <c r="M59" s="2">
        <f ca="1">+('OTS props'!$M$35*(Sheet1!A59/60*2*PI())*('OTS props'!$L$38/1000)*('OTS props'!$M$38/1000))/0.000017894</f>
        <v>84632.844600743876</v>
      </c>
      <c r="N59" s="2">
        <f t="shared" ca="1" si="7"/>
        <v>8008</v>
      </c>
      <c r="O59" s="2">
        <f t="shared" ca="1" si="13"/>
        <v>0.92831390900417043</v>
      </c>
      <c r="P59" s="2">
        <f t="shared" ca="1" si="8"/>
        <v>131.235843487175</v>
      </c>
      <c r="Q59" s="24">
        <f t="shared" ca="1" si="14"/>
        <v>0.92831390900417043</v>
      </c>
      <c r="R59" s="2">
        <f t="shared" ca="1" si="21"/>
        <v>0</v>
      </c>
      <c r="S59" s="21">
        <f t="shared" ca="1" si="9"/>
        <v>0.10026452059016652</v>
      </c>
      <c r="T59" s="21">
        <f t="shared" ca="1" si="10"/>
        <v>4.2621561127729371E-2</v>
      </c>
      <c r="U59" s="2">
        <f t="shared" ca="1" si="22"/>
        <v>0.92831390900417043</v>
      </c>
      <c r="V59" s="2">
        <f t="shared" ca="1" si="15"/>
        <v>131.235843487175</v>
      </c>
      <c r="W59" s="2">
        <f t="shared" ca="1" si="16"/>
        <v>8008</v>
      </c>
      <c r="X59" s="74">
        <f t="shared" ca="1" si="11"/>
        <v>0.52229034031977417</v>
      </c>
    </row>
    <row r="60" spans="1:54" x14ac:dyDescent="0.35">
      <c r="A60" s="2">
        <f ca="1">INDIRECT($B$3&amp;"!H11")</f>
        <v>8579</v>
      </c>
      <c r="B60" s="2">
        <f ca="1">INDIRECT($B$3&amp;"!e11")</f>
        <v>0.77243430453700002</v>
      </c>
      <c r="C60" s="2">
        <f ca="1">INDIRECT($B$3&amp;"!d11")</f>
        <v>0.114090081689219</v>
      </c>
      <c r="D60" s="2">
        <f ca="1">IF($B$10=$B$9,C60*A60*2*PI()/60*(1+Calculator!$E$27/100),C60*A60*2*PI()/60)</f>
        <v>102.49747738452452</v>
      </c>
      <c r="E60" s="23">
        <f t="shared" ca="1" si="17"/>
        <v>7.7171454477362539E-2</v>
      </c>
      <c r="F60" s="23">
        <f t="shared" ca="1" si="18"/>
        <v>2.8742210658648265E-2</v>
      </c>
      <c r="G60" s="23">
        <f t="shared" ca="1" si="12"/>
        <v>0.52741182463286795</v>
      </c>
      <c r="H60" s="24">
        <f t="shared" ca="1" si="6"/>
        <v>0.52741182463286795</v>
      </c>
      <c r="I60" s="2">
        <f ca="1">+($B$49*(A60/60*2*PI())*('OTS props'!$L$30/1000)*('OTS props'!$M$30/1000))/0.000017894</f>
        <v>85405.06473956503</v>
      </c>
      <c r="J60" s="2">
        <f t="shared" ca="1" si="19"/>
        <v>85405.06473956503</v>
      </c>
      <c r="L60" s="2">
        <f t="shared" ca="1" si="20"/>
        <v>0.53830892242999606</v>
      </c>
      <c r="M60" s="2">
        <f ca="1">+('OTS props'!$M$35*(Sheet1!A60/60*2*PI())*('OTS props'!$L$38/1000)*('OTS props'!$M$38/1000))/0.000017894</f>
        <v>90667.479249473254</v>
      </c>
      <c r="N60" s="2">
        <f t="shared" ca="1" si="7"/>
        <v>8579</v>
      </c>
      <c r="O60" s="2">
        <f t="shared" ca="1" si="13"/>
        <v>1.089293180796967</v>
      </c>
      <c r="P60" s="2">
        <f t="shared" ca="1" si="8"/>
        <v>163.21961581945038</v>
      </c>
      <c r="Q60" s="24">
        <f t="shared" ca="1" si="14"/>
        <v>1.089293180796967</v>
      </c>
      <c r="R60" s="2">
        <f t="shared" ca="1" si="21"/>
        <v>0</v>
      </c>
      <c r="S60" s="21">
        <f t="shared" ca="1" si="9"/>
        <v>0.10251136163265222</v>
      </c>
      <c r="T60" s="21">
        <f t="shared" ca="1" si="10"/>
        <v>4.3113315987972398E-2</v>
      </c>
      <c r="U60" s="2">
        <f t="shared" ca="1" si="22"/>
        <v>1.089293180796967</v>
      </c>
      <c r="V60" s="2">
        <f t="shared" ca="1" si="15"/>
        <v>163.21961581945038</v>
      </c>
      <c r="W60" s="2">
        <f t="shared" ca="1" si="16"/>
        <v>8579</v>
      </c>
      <c r="X60" s="74">
        <f t="shared" ca="1" si="11"/>
        <v>0.52741182463286795</v>
      </c>
    </row>
    <row r="61" spans="1:54" x14ac:dyDescent="0.35">
      <c r="A61" s="2">
        <f ca="1">INDIRECT($B$3&amp;"!H12")</f>
        <v>9121</v>
      </c>
      <c r="B61" s="2">
        <f ca="1">INDIRECT($B$3&amp;"!e12")</f>
        <v>0.89017577926995795</v>
      </c>
      <c r="C61" s="2">
        <f ca="1">INDIRECT($B$3&amp;"!d12")</f>
        <v>0.13000472515544501</v>
      </c>
      <c r="D61" s="2">
        <f ca="1">IF($B$10=$B$9,C61*A61*2*PI()/60*(1+Calculator!$E$27/100),C61*A61*2*PI()/60)</f>
        <v>124.17386846499578</v>
      </c>
      <c r="E61" s="23">
        <f t="shared" ca="1" si="17"/>
        <v>7.8679090369932134E-2</v>
      </c>
      <c r="F61" s="23">
        <f t="shared" ca="1" si="18"/>
        <v>2.8974759421908192E-2</v>
      </c>
      <c r="G61" s="23">
        <f t="shared" ca="1" si="12"/>
        <v>0.53858488228939572</v>
      </c>
      <c r="H61" s="24">
        <f t="shared" ca="1" si="6"/>
        <v>0.53858488228939572</v>
      </c>
      <c r="I61" s="2">
        <f ca="1">+($B$49*(A61/60*2*PI())*('OTS props'!$L$30/1000)*('OTS props'!$M$30/1000))/0.000017894</f>
        <v>90800.745481941107</v>
      </c>
      <c r="J61" s="2">
        <f t="shared" ca="1" si="19"/>
        <v>90800.745481941107</v>
      </c>
      <c r="L61" s="2">
        <f t="shared" ca="1" si="20"/>
        <v>0.55089281570933946</v>
      </c>
      <c r="M61" s="2">
        <f ca="1">+('OTS props'!$M$35*(Sheet1!A61/60*2*PI())*('OTS props'!$L$38/1000)*('OTS props'!$M$38/1000))/0.000017894</f>
        <v>96395.626324099037</v>
      </c>
      <c r="N61" s="2">
        <f t="shared" ca="1" si="7"/>
        <v>9121</v>
      </c>
      <c r="O61" s="2">
        <f t="shared" ca="1" si="13"/>
        <v>1.2571289508114714</v>
      </c>
      <c r="P61" s="2">
        <f t="shared" ca="1" si="8"/>
        <v>197.73765777314304</v>
      </c>
      <c r="Q61" s="24">
        <f t="shared" ca="1" si="14"/>
        <v>1.2571289508114714</v>
      </c>
      <c r="R61" s="2">
        <f t="shared" ca="1" si="21"/>
        <v>0</v>
      </c>
      <c r="S61" s="21">
        <f t="shared" ca="1" si="9"/>
        <v>0.10466355201869024</v>
      </c>
      <c r="T61" s="21">
        <f t="shared" ca="1" si="10"/>
        <v>4.3462139132862287E-2</v>
      </c>
      <c r="U61" s="2">
        <f t="shared" ca="1" si="22"/>
        <v>1.2571289508114714</v>
      </c>
      <c r="V61" s="2">
        <f t="shared" ca="1" si="15"/>
        <v>197.73765777314304</v>
      </c>
      <c r="W61" s="2">
        <f t="shared" ca="1" si="16"/>
        <v>9121</v>
      </c>
      <c r="X61" s="74">
        <f t="shared" ca="1" si="11"/>
        <v>0.53858488228939572</v>
      </c>
    </row>
    <row r="62" spans="1:54" x14ac:dyDescent="0.35">
      <c r="A62" s="2">
        <f ca="1">INDIRECT($B$3&amp;"!H13")</f>
        <v>9355</v>
      </c>
      <c r="B62" s="2">
        <f ca="1">INDIRECT($B$3&amp;"!e13")</f>
        <v>0.97118564970200005</v>
      </c>
      <c r="C62" s="2">
        <f ca="1">INDIRECT($B$3&amp;"!d13")</f>
        <v>0.14121621805076301</v>
      </c>
      <c r="D62" s="2">
        <f ca="1">IF($B$10=$B$9,C62*A62*2*PI()/60*(1+Calculator!$E$27/100),C62*A62*2*PI()/60)</f>
        <v>138.34293531828956</v>
      </c>
      <c r="E62" s="23">
        <f t="shared" ca="1" si="17"/>
        <v>8.1598681487233107E-2</v>
      </c>
      <c r="F62" s="23">
        <f t="shared" ca="1" si="18"/>
        <v>2.99186921688426E-2</v>
      </c>
      <c r="G62" s="23">
        <f t="shared" ca="1" si="12"/>
        <v>0.55089281570933946</v>
      </c>
      <c r="H62" s="24">
        <f t="shared" ca="1" si="6"/>
        <v>0.55089281570933946</v>
      </c>
      <c r="I62" s="2">
        <f ca="1">+($B$49*(A62/60*2*PI())*('OTS props'!$L$30/1000)*('OTS props'!$M$30/1000))/0.000017894</f>
        <v>93130.246023852524</v>
      </c>
      <c r="J62" s="2">
        <f t="shared" ca="1" si="19"/>
        <v>93130.246023852524</v>
      </c>
      <c r="L62" s="2">
        <f t="shared" ca="1" si="20"/>
        <v>0.55089281570933946</v>
      </c>
      <c r="M62" s="2">
        <f ca="1">+('OTS props'!$M$35*(Sheet1!A62/60*2*PI())*('OTS props'!$L$38/1000)*('OTS props'!$M$38/1000))/0.000017894</f>
        <v>98868.663991003865</v>
      </c>
      <c r="N62" s="2">
        <f t="shared" ca="1" si="7"/>
        <v>9355</v>
      </c>
      <c r="O62" s="2">
        <f t="shared" ca="1" si="13"/>
        <v>1.3510279838823658</v>
      </c>
      <c r="P62" s="2">
        <f t="shared" ca="1" si="8"/>
        <v>220.30084378833271</v>
      </c>
      <c r="Q62" s="24">
        <f ca="1">IFERROR(O62,"Max")</f>
        <v>1.3510279838823658</v>
      </c>
      <c r="R62" s="2">
        <f t="shared" ca="1" si="21"/>
        <v>1</v>
      </c>
      <c r="S62" s="21">
        <f t="shared" ca="1" si="9"/>
        <v>0.10692452114322948</v>
      </c>
      <c r="T62" s="21">
        <f t="shared" ca="1" si="10"/>
        <v>4.4878038253263898E-2</v>
      </c>
      <c r="U62" s="2">
        <f t="shared" ca="1" si="22"/>
        <v>1.3510279838823658</v>
      </c>
      <c r="V62" s="2">
        <f t="shared" ca="1" si="15"/>
        <v>220.30084378833271</v>
      </c>
      <c r="W62" s="2">
        <f t="shared" ca="1" si="16"/>
        <v>9355</v>
      </c>
      <c r="X62" s="74">
        <f t="shared" ca="1" si="11"/>
        <v>0.55089281570933946</v>
      </c>
    </row>
    <row r="63" spans="1:54" x14ac:dyDescent="0.35">
      <c r="A63" s="2">
        <f ca="1">INDIRECT($B$3&amp;"!H14")</f>
        <v>0</v>
      </c>
      <c r="B63" s="2">
        <f ca="1">INDIRECT($B$3&amp;"!e14")</f>
        <v>0</v>
      </c>
      <c r="C63" s="2">
        <f ca="1">INDIRECT($B$3&amp;"!d14")</f>
        <v>0</v>
      </c>
      <c r="D63" s="2">
        <f ca="1">IF($B$10=$B$9,C63*A63*2*PI()/60*(1+Calculator!$E$27/100),C63*A63*2*PI()/60)</f>
        <v>0</v>
      </c>
      <c r="E63" s="23" t="e">
        <f t="shared" ca="1" si="17"/>
        <v>#DIV/0!</v>
      </c>
      <c r="F63" s="23" t="e">
        <f t="shared" ca="1" si="18"/>
        <v>#DIV/0!</v>
      </c>
      <c r="G63" s="23">
        <f t="shared" ca="1" si="12"/>
        <v>0</v>
      </c>
      <c r="H63" s="24" t="e">
        <f t="shared" ca="1" si="6"/>
        <v>#N/A</v>
      </c>
      <c r="I63" s="2">
        <f ca="1">+($B$49*(A63/60*2*PI())*('OTS props'!$L$30/1000)*('OTS props'!$M$30/1000))/0.000017894</f>
        <v>0</v>
      </c>
      <c r="J63" s="2" t="e">
        <f t="shared" ca="1" si="19"/>
        <v>#N/A</v>
      </c>
      <c r="L63" s="2">
        <f t="shared" ca="1" si="20"/>
        <v>0.52591092869822931</v>
      </c>
      <c r="M63" s="2">
        <f ca="1">+('OTS props'!$M$35*(Sheet1!A63/60*2*PI())*('OTS props'!$L$38/1000)*('OTS props'!$M$38/1000))/0.000017894</f>
        <v>0</v>
      </c>
      <c r="N63" s="2" t="e">
        <f t="shared" ca="1" si="7"/>
        <v>#N/A</v>
      </c>
      <c r="O63" s="2" t="e">
        <f t="shared" ca="1" si="13"/>
        <v>#DIV/0!</v>
      </c>
      <c r="P63" s="2" t="e">
        <f t="shared" ca="1" si="8"/>
        <v>#DIV/0!</v>
      </c>
      <c r="Q63" s="24" t="str">
        <f t="shared" ref="Q63:Q94" ca="1" si="23">IFERROR(O63,"Max")</f>
        <v>Max</v>
      </c>
      <c r="R63" s="2">
        <f t="shared" ca="1" si="21"/>
        <v>1</v>
      </c>
      <c r="S63" s="21" t="e">
        <f t="shared" ca="1" si="9"/>
        <v>#DIV/0!</v>
      </c>
      <c r="T63" s="21" t="e">
        <f t="shared" ca="1" si="10"/>
        <v>#DIV/0!</v>
      </c>
      <c r="U63" s="2" t="e">
        <f t="shared" ca="1" si="22"/>
        <v>#DIV/0!</v>
      </c>
      <c r="V63" s="2">
        <f t="shared" ca="1" si="15"/>
        <v>0</v>
      </c>
      <c r="W63" s="2" t="e">
        <f t="shared" ca="1" si="16"/>
        <v>#N/A</v>
      </c>
      <c r="X63" s="74" t="e">
        <f t="shared" ca="1" si="11"/>
        <v>#N/A</v>
      </c>
    </row>
    <row r="64" spans="1:54" x14ac:dyDescent="0.35">
      <c r="A64" s="2">
        <f ca="1">INDIRECT($B$3&amp;"!H15")</f>
        <v>0</v>
      </c>
      <c r="B64" s="2">
        <f ca="1">INDIRECT($B$3&amp;"!e15")</f>
        <v>0</v>
      </c>
      <c r="C64" s="2">
        <f ca="1">INDIRECT($B$3&amp;"!d15")</f>
        <v>0</v>
      </c>
      <c r="D64" s="2">
        <f ca="1">IF($B$10=$B$9,C64*A64*2*PI()/60*(1+Calculator!$E$27/100),C64*A64*2*PI()/60)</f>
        <v>0</v>
      </c>
      <c r="E64" s="23" t="e">
        <f t="shared" ca="1" si="17"/>
        <v>#DIV/0!</v>
      </c>
      <c r="F64" s="23" t="e">
        <f t="shared" ca="1" si="18"/>
        <v>#DIV/0!</v>
      </c>
      <c r="G64" s="23">
        <f t="shared" ca="1" si="12"/>
        <v>0</v>
      </c>
      <c r="H64" s="24" t="e">
        <f t="shared" ca="1" si="6"/>
        <v>#N/A</v>
      </c>
      <c r="I64" s="2">
        <f ca="1">+($B$49*(A64/60*2*PI())*('OTS props'!$L$30/1000)*('OTS props'!$M$30/1000))/0.000017894</f>
        <v>0</v>
      </c>
      <c r="J64" s="2" t="e">
        <f t="shared" ca="1" si="19"/>
        <v>#N/A</v>
      </c>
      <c r="L64" s="2">
        <f t="shared" ca="1" si="20"/>
        <v>0.52591092869822931</v>
      </c>
      <c r="M64" s="2">
        <f ca="1">+('OTS props'!$M$35*(Sheet1!A64/60*2*PI())*('OTS props'!$L$38/1000)*('OTS props'!$M$38/1000))/0.000017894</f>
        <v>0</v>
      </c>
      <c r="N64" s="2" t="e">
        <f t="shared" ca="1" si="7"/>
        <v>#N/A</v>
      </c>
      <c r="O64" s="2" t="e">
        <f t="shared" ca="1" si="13"/>
        <v>#DIV/0!</v>
      </c>
      <c r="P64" s="2" t="e">
        <f t="shared" ca="1" si="8"/>
        <v>#DIV/0!</v>
      </c>
      <c r="Q64" s="24" t="str">
        <f t="shared" ca="1" si="23"/>
        <v>Max</v>
      </c>
      <c r="R64" s="2">
        <f t="shared" ca="1" si="21"/>
        <v>1</v>
      </c>
      <c r="S64" s="21" t="e">
        <f t="shared" ca="1" si="9"/>
        <v>#DIV/0!</v>
      </c>
      <c r="T64" s="21" t="e">
        <f t="shared" ca="1" si="10"/>
        <v>#DIV/0!</v>
      </c>
      <c r="U64" s="2" t="e">
        <f t="shared" ca="1" si="22"/>
        <v>#DIV/0!</v>
      </c>
      <c r="V64" s="2">
        <f t="shared" ca="1" si="15"/>
        <v>0</v>
      </c>
      <c r="W64" s="2" t="e">
        <f t="shared" ca="1" si="16"/>
        <v>#N/A</v>
      </c>
      <c r="X64" s="74" t="e">
        <f t="shared" ca="1" si="11"/>
        <v>#N/A</v>
      </c>
    </row>
    <row r="65" spans="1:24" x14ac:dyDescent="0.35">
      <c r="A65" s="2">
        <f ca="1">INDIRECT($B$3&amp;"!H16")</f>
        <v>0</v>
      </c>
      <c r="B65" s="2">
        <f ca="1">INDIRECT($B$3&amp;"!e16")</f>
        <v>0</v>
      </c>
      <c r="C65" s="2">
        <f ca="1">INDIRECT($B$3&amp;"!d16")</f>
        <v>0</v>
      </c>
      <c r="D65" s="2">
        <f ca="1">IF($B$10=$B$9,C65*A65*2*PI()/60*(1+Calculator!$E$27/100),C65*A65*2*PI()/60)</f>
        <v>0</v>
      </c>
      <c r="E65" s="23" t="e">
        <f t="shared" ca="1" si="17"/>
        <v>#DIV/0!</v>
      </c>
      <c r="F65" s="23" t="e">
        <f t="shared" ca="1" si="18"/>
        <v>#DIV/0!</v>
      </c>
      <c r="G65" s="23">
        <f t="shared" ca="1" si="12"/>
        <v>0</v>
      </c>
      <c r="H65" s="24" t="e">
        <f t="shared" ca="1" si="6"/>
        <v>#N/A</v>
      </c>
      <c r="I65" s="2">
        <f ca="1">+($B$49*(A65/60*2*PI())*('OTS props'!$L$30/1000)*('OTS props'!$M$30/1000))/0.000017894</f>
        <v>0</v>
      </c>
      <c r="J65" s="2" t="e">
        <f t="shared" ca="1" si="19"/>
        <v>#N/A</v>
      </c>
      <c r="L65" s="2">
        <f t="shared" ca="1" si="20"/>
        <v>0.52591092869822931</v>
      </c>
      <c r="M65" s="2">
        <f ca="1">+('OTS props'!$M$35*(Sheet1!A65/60*2*PI())*('OTS props'!$L$38/1000)*('OTS props'!$M$38/1000))/0.000017894</f>
        <v>0</v>
      </c>
      <c r="N65" s="2" t="e">
        <f t="shared" ca="1" si="7"/>
        <v>#N/A</v>
      </c>
      <c r="O65" s="2" t="e">
        <f t="shared" ca="1" si="13"/>
        <v>#DIV/0!</v>
      </c>
      <c r="P65" s="2" t="e">
        <f t="shared" ca="1" si="8"/>
        <v>#DIV/0!</v>
      </c>
      <c r="Q65" s="24" t="str">
        <f t="shared" ca="1" si="23"/>
        <v>Max</v>
      </c>
      <c r="R65" s="2">
        <f t="shared" ca="1" si="21"/>
        <v>1</v>
      </c>
      <c r="S65" s="21" t="e">
        <f t="shared" ca="1" si="9"/>
        <v>#DIV/0!</v>
      </c>
      <c r="T65" s="21" t="e">
        <f t="shared" ca="1" si="10"/>
        <v>#DIV/0!</v>
      </c>
      <c r="U65" s="2" t="e">
        <f t="shared" ca="1" si="22"/>
        <v>#DIV/0!</v>
      </c>
      <c r="V65" s="2">
        <f t="shared" ca="1" si="15"/>
        <v>0</v>
      </c>
      <c r="W65" s="2" t="e">
        <f t="shared" ca="1" si="16"/>
        <v>#N/A</v>
      </c>
      <c r="X65" s="74" t="e">
        <f t="shared" ca="1" si="11"/>
        <v>#N/A</v>
      </c>
    </row>
    <row r="66" spans="1:24" x14ac:dyDescent="0.35">
      <c r="A66" s="2">
        <f ca="1">INDIRECT($B$3&amp;"!H17")</f>
        <v>0</v>
      </c>
      <c r="B66" s="2">
        <f ca="1">INDIRECT($B$3&amp;"!e17")</f>
        <v>0</v>
      </c>
      <c r="C66" s="2">
        <f ca="1">INDIRECT($B$3&amp;"!d17")</f>
        <v>0</v>
      </c>
      <c r="D66" s="2">
        <f ca="1">IF($B$10=$B$9,C66*A66*2*PI()/60*(1+Calculator!$E$27/100),C66*A66*2*PI()/60)</f>
        <v>0</v>
      </c>
      <c r="E66" s="23" t="e">
        <f t="shared" ca="1" si="17"/>
        <v>#DIV/0!</v>
      </c>
      <c r="F66" s="23" t="e">
        <f t="shared" ca="1" si="18"/>
        <v>#DIV/0!</v>
      </c>
      <c r="G66" s="23">
        <f t="shared" ca="1" si="12"/>
        <v>0</v>
      </c>
      <c r="H66" s="24" t="e">
        <f t="shared" ca="1" si="6"/>
        <v>#N/A</v>
      </c>
      <c r="I66" s="2">
        <f ca="1">+($B$49*(A66/60*2*PI())*('OTS props'!$L$30/1000)*('OTS props'!$M$30/1000))/0.000017894</f>
        <v>0</v>
      </c>
      <c r="J66" s="2" t="e">
        <f t="shared" ca="1" si="19"/>
        <v>#N/A</v>
      </c>
      <c r="L66" s="2">
        <f t="shared" ca="1" si="20"/>
        <v>0.52591092869822931</v>
      </c>
      <c r="M66" s="2">
        <f ca="1">+('OTS props'!$M$35*(Sheet1!A66/60*2*PI())*('OTS props'!$L$38/1000)*('OTS props'!$M$38/1000))/0.000017894</f>
        <v>0</v>
      </c>
      <c r="N66" s="2" t="e">
        <f t="shared" ca="1" si="7"/>
        <v>#N/A</v>
      </c>
      <c r="O66" s="2" t="e">
        <f t="shared" ca="1" si="13"/>
        <v>#DIV/0!</v>
      </c>
      <c r="P66" s="2" t="e">
        <f t="shared" ca="1" si="8"/>
        <v>#DIV/0!</v>
      </c>
      <c r="Q66" s="24" t="str">
        <f t="shared" ca="1" si="23"/>
        <v>Max</v>
      </c>
      <c r="R66" s="2">
        <f t="shared" ca="1" si="21"/>
        <v>1</v>
      </c>
      <c r="S66" s="21" t="e">
        <f t="shared" ca="1" si="9"/>
        <v>#DIV/0!</v>
      </c>
      <c r="T66" s="21" t="e">
        <f t="shared" ca="1" si="10"/>
        <v>#DIV/0!</v>
      </c>
      <c r="U66" s="2" t="e">
        <f t="shared" ca="1" si="22"/>
        <v>#DIV/0!</v>
      </c>
      <c r="V66" s="2">
        <f t="shared" ca="1" si="15"/>
        <v>0</v>
      </c>
      <c r="W66" s="2" t="e">
        <f t="shared" ca="1" si="16"/>
        <v>#N/A</v>
      </c>
      <c r="X66" s="74" t="e">
        <f t="shared" ca="1" si="11"/>
        <v>#N/A</v>
      </c>
    </row>
    <row r="67" spans="1:24" x14ac:dyDescent="0.35">
      <c r="A67" s="2">
        <f ca="1">INDIRECT($B$3&amp;"!H18")</f>
        <v>0</v>
      </c>
      <c r="B67" s="2">
        <f ca="1">INDIRECT($B$3&amp;"!e18")</f>
        <v>0</v>
      </c>
      <c r="C67" s="2">
        <f ca="1">INDIRECT($B$3&amp;"!d18")</f>
        <v>0</v>
      </c>
      <c r="D67" s="2">
        <f ca="1">IF($B$10=$B$9,C67*A67*2*PI()/60*(1+Calculator!$E$27/100),C67*A67*2*PI()/60)</f>
        <v>0</v>
      </c>
      <c r="E67" s="23" t="e">
        <f t="shared" ca="1" si="17"/>
        <v>#DIV/0!</v>
      </c>
      <c r="F67" s="23" t="e">
        <f t="shared" ca="1" si="18"/>
        <v>#DIV/0!</v>
      </c>
      <c r="G67" s="23">
        <f t="shared" ca="1" si="12"/>
        <v>0</v>
      </c>
      <c r="H67" s="24" t="e">
        <f t="shared" ca="1" si="6"/>
        <v>#N/A</v>
      </c>
      <c r="I67" s="2">
        <f ca="1">+($B$49*(A67/60*2*PI())*('OTS props'!$L$30/1000)*('OTS props'!$M$30/1000))/0.000017894</f>
        <v>0</v>
      </c>
      <c r="J67" s="2" t="e">
        <f t="shared" ca="1" si="19"/>
        <v>#N/A</v>
      </c>
      <c r="L67" s="2">
        <f t="shared" ca="1" si="20"/>
        <v>0.52591092869822931</v>
      </c>
      <c r="M67" s="2">
        <f ca="1">+('OTS props'!$M$35*(Sheet1!A67/60*2*PI())*('OTS props'!$L$38/1000)*('OTS props'!$M$38/1000))/0.000017894</f>
        <v>0</v>
      </c>
      <c r="N67" s="2" t="e">
        <f t="shared" ca="1" si="7"/>
        <v>#N/A</v>
      </c>
      <c r="O67" s="2" t="e">
        <f t="shared" ca="1" si="13"/>
        <v>#DIV/0!</v>
      </c>
      <c r="P67" s="2" t="e">
        <f t="shared" ca="1" si="8"/>
        <v>#DIV/0!</v>
      </c>
      <c r="Q67" s="24" t="str">
        <f t="shared" ca="1" si="23"/>
        <v>Max</v>
      </c>
      <c r="R67" s="2">
        <f t="shared" ca="1" si="21"/>
        <v>1</v>
      </c>
      <c r="S67" s="21" t="e">
        <f t="shared" ca="1" si="9"/>
        <v>#DIV/0!</v>
      </c>
      <c r="T67" s="21" t="e">
        <f t="shared" ca="1" si="10"/>
        <v>#DIV/0!</v>
      </c>
      <c r="U67" s="2" t="e">
        <f t="shared" ca="1" si="22"/>
        <v>#DIV/0!</v>
      </c>
      <c r="V67" s="2">
        <f t="shared" ca="1" si="15"/>
        <v>0</v>
      </c>
      <c r="W67" s="2" t="e">
        <f t="shared" ca="1" si="16"/>
        <v>#N/A</v>
      </c>
      <c r="X67" s="74" t="e">
        <f t="shared" ca="1" si="11"/>
        <v>#N/A</v>
      </c>
    </row>
    <row r="68" spans="1:24" x14ac:dyDescent="0.35">
      <c r="A68" s="2">
        <f ca="1">INDIRECT($B$3&amp;"!H19")</f>
        <v>0</v>
      </c>
      <c r="B68" s="2">
        <f ca="1">INDIRECT($B$3&amp;"!e19")</f>
        <v>0</v>
      </c>
      <c r="C68" s="2">
        <f ca="1">INDIRECT($B$3&amp;"!d19")</f>
        <v>0</v>
      </c>
      <c r="D68" s="2">
        <f ca="1">IF($B$10=$B$9,C68*A68*2*PI()/60*(1+Calculator!$E$27/100),C68*A68*2*PI()/60)</f>
        <v>0</v>
      </c>
      <c r="E68" s="23" t="e">
        <f t="shared" ca="1" si="17"/>
        <v>#DIV/0!</v>
      </c>
      <c r="F68" s="23" t="e">
        <f t="shared" ca="1" si="18"/>
        <v>#DIV/0!</v>
      </c>
      <c r="G68" s="23">
        <f t="shared" ca="1" si="12"/>
        <v>0</v>
      </c>
      <c r="H68" s="24" t="e">
        <f t="shared" ca="1" si="6"/>
        <v>#N/A</v>
      </c>
      <c r="I68" s="2">
        <f ca="1">+($B$49*(A68/60*2*PI())*('OTS props'!$L$30/1000)*('OTS props'!$M$30/1000))/0.000017894</f>
        <v>0</v>
      </c>
      <c r="J68" s="2" t="e">
        <f t="shared" ca="1" si="19"/>
        <v>#N/A</v>
      </c>
      <c r="L68" s="2">
        <f t="shared" ca="1" si="20"/>
        <v>0.52591092869822931</v>
      </c>
      <c r="M68" s="2">
        <f ca="1">+('OTS props'!$M$35*(Sheet1!A68/60*2*PI())*('OTS props'!$L$38/1000)*('OTS props'!$M$38/1000))/0.000017894</f>
        <v>0</v>
      </c>
      <c r="N68" s="2" t="e">
        <f t="shared" ca="1" si="7"/>
        <v>#N/A</v>
      </c>
      <c r="O68" s="2" t="e">
        <f t="shared" ca="1" si="13"/>
        <v>#DIV/0!</v>
      </c>
      <c r="P68" s="2" t="e">
        <f t="shared" ca="1" si="8"/>
        <v>#DIV/0!</v>
      </c>
      <c r="Q68" s="24" t="str">
        <f t="shared" ca="1" si="23"/>
        <v>Max</v>
      </c>
      <c r="R68" s="2">
        <f t="shared" ca="1" si="21"/>
        <v>1</v>
      </c>
      <c r="S68" s="21" t="e">
        <f t="shared" ca="1" si="9"/>
        <v>#DIV/0!</v>
      </c>
      <c r="T68" s="21" t="e">
        <f t="shared" ca="1" si="10"/>
        <v>#DIV/0!</v>
      </c>
      <c r="U68" s="2" t="e">
        <f t="shared" ca="1" si="22"/>
        <v>#DIV/0!</v>
      </c>
      <c r="V68" s="2">
        <f t="shared" ca="1" si="15"/>
        <v>0</v>
      </c>
      <c r="W68" s="2" t="e">
        <f t="shared" ca="1" si="16"/>
        <v>#N/A</v>
      </c>
      <c r="X68" s="74" t="e">
        <f t="shared" ca="1" si="11"/>
        <v>#N/A</v>
      </c>
    </row>
    <row r="69" spans="1:24" x14ac:dyDescent="0.35">
      <c r="A69" s="2">
        <f ca="1">INDIRECT($B$3&amp;"!H20")</f>
        <v>0</v>
      </c>
      <c r="B69" s="2">
        <f ca="1">INDIRECT($B$3&amp;"!e20")</f>
        <v>0</v>
      </c>
      <c r="C69" s="2">
        <f ca="1">INDIRECT($B$3&amp;"!d20")</f>
        <v>0</v>
      </c>
      <c r="D69" s="2">
        <f ca="1">IF($B$10=$B$9,C69*A69*2*PI()/60*(1+Calculator!$E$27/100),C69*A69*2*PI()/60)</f>
        <v>0</v>
      </c>
      <c r="E69" s="23" t="e">
        <f t="shared" ca="1" si="17"/>
        <v>#DIV/0!</v>
      </c>
      <c r="F69" s="23" t="e">
        <f t="shared" ca="1" si="18"/>
        <v>#DIV/0!</v>
      </c>
      <c r="G69" s="23">
        <f t="shared" ca="1" si="12"/>
        <v>0</v>
      </c>
      <c r="H69" s="24" t="e">
        <f t="shared" ref="H69:H94" ca="1" si="24">IFERROR((E69^(3/2))/(F69*SQRT(2)),#N/A)</f>
        <v>#N/A</v>
      </c>
      <c r="I69" s="2">
        <f ca="1">+($B$49*(A69/60*2*PI())*('OTS props'!$L$30/1000)*('OTS props'!$M$30/1000))/0.000017894</f>
        <v>0</v>
      </c>
      <c r="J69" s="2" t="e">
        <f t="shared" ca="1" si="19"/>
        <v>#N/A</v>
      </c>
      <c r="L69" s="2">
        <f t="shared" ca="1" si="20"/>
        <v>0.52591092869822931</v>
      </c>
      <c r="M69" s="2">
        <f ca="1">+('OTS props'!$M$35*(Sheet1!A69/60*2*PI())*('OTS props'!$L$38/1000)*('OTS props'!$M$38/1000))/0.000017894</f>
        <v>0</v>
      </c>
      <c r="N69" s="2" t="e">
        <f t="shared" ca="1" si="7"/>
        <v>#N/A</v>
      </c>
      <c r="O69" s="2" t="e">
        <f t="shared" ca="1" si="13"/>
        <v>#DIV/0!</v>
      </c>
      <c r="P69" s="2" t="e">
        <f t="shared" ca="1" si="8"/>
        <v>#DIV/0!</v>
      </c>
      <c r="Q69" s="24" t="str">
        <f t="shared" ca="1" si="23"/>
        <v>Max</v>
      </c>
      <c r="R69" s="2">
        <f t="shared" ca="1" si="21"/>
        <v>1</v>
      </c>
      <c r="S69" s="21" t="e">
        <f t="shared" ca="1" si="9"/>
        <v>#DIV/0!</v>
      </c>
      <c r="T69" s="21" t="e">
        <f t="shared" ca="1" si="10"/>
        <v>#DIV/0!</v>
      </c>
      <c r="U69" s="2" t="e">
        <f t="shared" ca="1" si="22"/>
        <v>#DIV/0!</v>
      </c>
      <c r="V69" s="2">
        <f t="shared" ca="1" si="15"/>
        <v>0</v>
      </c>
      <c r="W69" s="2" t="e">
        <f t="shared" ca="1" si="16"/>
        <v>#N/A</v>
      </c>
      <c r="X69" s="74" t="e">
        <f t="shared" ca="1" si="11"/>
        <v>#N/A</v>
      </c>
    </row>
    <row r="70" spans="1:24" x14ac:dyDescent="0.35">
      <c r="A70" s="2">
        <f ca="1">INDIRECT($B$3&amp;"!H21")</f>
        <v>0</v>
      </c>
      <c r="B70" s="2">
        <f ca="1">INDIRECT($B$3&amp;"!e21")</f>
        <v>0</v>
      </c>
      <c r="C70" s="2">
        <f ca="1">INDIRECT($B$3&amp;"!d21")</f>
        <v>0</v>
      </c>
      <c r="D70" s="2">
        <f ca="1">IF($B$10=$B$9,C70*A70*2*PI()/60*(1+Calculator!$E$27/100),C70*A70*2*PI()/60)</f>
        <v>0</v>
      </c>
      <c r="E70" s="23" t="e">
        <f t="shared" ca="1" si="17"/>
        <v>#DIV/0!</v>
      </c>
      <c r="F70" s="23" t="e">
        <f t="shared" ca="1" si="18"/>
        <v>#DIV/0!</v>
      </c>
      <c r="G70" s="23">
        <f t="shared" ca="1" si="12"/>
        <v>0</v>
      </c>
      <c r="H70" s="24" t="e">
        <f t="shared" ca="1" si="24"/>
        <v>#N/A</v>
      </c>
      <c r="I70" s="2">
        <f ca="1">+($B$49*(A70/60*2*PI())*('OTS props'!$L$30/1000)*('OTS props'!$M$30/1000))/0.000017894</f>
        <v>0</v>
      </c>
      <c r="J70" s="2" t="e">
        <f t="shared" ca="1" si="19"/>
        <v>#N/A</v>
      </c>
      <c r="L70" s="2">
        <f t="shared" ca="1" si="20"/>
        <v>0.52591092869822931</v>
      </c>
      <c r="M70" s="2">
        <f ca="1">+('OTS props'!$M$35*(Sheet1!A70/60*2*PI())*('OTS props'!$L$38/1000)*('OTS props'!$M$38/1000))/0.000017894</f>
        <v>0</v>
      </c>
      <c r="N70" s="2" t="e">
        <f t="shared" ca="1" si="7"/>
        <v>#N/A</v>
      </c>
      <c r="O70" s="2" t="e">
        <f t="shared" ca="1" si="13"/>
        <v>#DIV/0!</v>
      </c>
      <c r="P70" s="2" t="e">
        <f t="shared" ca="1" si="8"/>
        <v>#DIV/0!</v>
      </c>
      <c r="Q70" s="24" t="str">
        <f t="shared" ca="1" si="23"/>
        <v>Max</v>
      </c>
      <c r="R70" s="2">
        <f t="shared" ca="1" si="21"/>
        <v>1</v>
      </c>
      <c r="S70" s="21" t="e">
        <f t="shared" ca="1" si="9"/>
        <v>#DIV/0!</v>
      </c>
      <c r="T70" s="21" t="e">
        <f t="shared" ca="1" si="10"/>
        <v>#DIV/0!</v>
      </c>
      <c r="U70" s="2" t="e">
        <f t="shared" ca="1" si="22"/>
        <v>#DIV/0!</v>
      </c>
      <c r="V70" s="2">
        <f t="shared" ca="1" si="15"/>
        <v>0</v>
      </c>
      <c r="W70" s="2" t="e">
        <f t="shared" ca="1" si="16"/>
        <v>#N/A</v>
      </c>
      <c r="X70" s="74" t="e">
        <f t="shared" ca="1" si="11"/>
        <v>#N/A</v>
      </c>
    </row>
    <row r="71" spans="1:24" x14ac:dyDescent="0.35">
      <c r="A71" s="2">
        <f ca="1">INDIRECT($B$3&amp;"!H22")</f>
        <v>0</v>
      </c>
      <c r="B71" s="2">
        <f ca="1">INDIRECT($B$3&amp;"!e22")</f>
        <v>0</v>
      </c>
      <c r="C71" s="2">
        <f ca="1">INDIRECT($B$3&amp;"!d22")</f>
        <v>0</v>
      </c>
      <c r="D71" s="2">
        <f ca="1">IF($B$10=$B$9,C71*A71*2*PI()/60*(1+Calculator!$E$27/100),C71*A71*2*PI()/60)</f>
        <v>0</v>
      </c>
      <c r="E71" s="23" t="e">
        <f t="shared" ca="1" si="17"/>
        <v>#DIV/0!</v>
      </c>
      <c r="F71" s="23" t="e">
        <f t="shared" ca="1" si="18"/>
        <v>#DIV/0!</v>
      </c>
      <c r="G71" s="23">
        <f t="shared" ca="1" si="12"/>
        <v>0</v>
      </c>
      <c r="H71" s="24" t="e">
        <f t="shared" ca="1" si="24"/>
        <v>#N/A</v>
      </c>
      <c r="I71" s="2">
        <f ca="1">+($B$49*(A71/60*2*PI())*('OTS props'!$L$30/1000)*('OTS props'!$M$30/1000))/0.000017894</f>
        <v>0</v>
      </c>
      <c r="J71" s="2" t="e">
        <f t="shared" ca="1" si="19"/>
        <v>#N/A</v>
      </c>
      <c r="L71" s="2">
        <f t="shared" ca="1" si="20"/>
        <v>0.52591092869822931</v>
      </c>
      <c r="M71" s="2">
        <f ca="1">+('OTS props'!$M$35*(Sheet1!A71/60*2*PI())*('OTS props'!$L$38/1000)*('OTS props'!$M$38/1000))/0.000017894</f>
        <v>0</v>
      </c>
      <c r="N71" s="2" t="e">
        <f t="shared" ca="1" si="7"/>
        <v>#N/A</v>
      </c>
      <c r="O71" s="2" t="e">
        <f t="shared" ca="1" si="13"/>
        <v>#DIV/0!</v>
      </c>
      <c r="P71" s="2" t="e">
        <f t="shared" ca="1" si="8"/>
        <v>#DIV/0!</v>
      </c>
      <c r="Q71" s="24" t="str">
        <f t="shared" ca="1" si="23"/>
        <v>Max</v>
      </c>
      <c r="R71" s="2">
        <f t="shared" ca="1" si="21"/>
        <v>1</v>
      </c>
      <c r="S71" s="21" t="e">
        <f t="shared" ca="1" si="9"/>
        <v>#DIV/0!</v>
      </c>
      <c r="T71" s="21" t="e">
        <f t="shared" ca="1" si="10"/>
        <v>#DIV/0!</v>
      </c>
      <c r="U71" s="2" t="e">
        <f t="shared" ca="1" si="22"/>
        <v>#DIV/0!</v>
      </c>
      <c r="V71" s="2">
        <f t="shared" ca="1" si="15"/>
        <v>0</v>
      </c>
      <c r="W71" s="2" t="e">
        <f t="shared" ca="1" si="16"/>
        <v>#N/A</v>
      </c>
      <c r="X71" s="74" t="e">
        <f t="shared" ca="1" si="11"/>
        <v>#N/A</v>
      </c>
    </row>
    <row r="72" spans="1:24" x14ac:dyDescent="0.35">
      <c r="A72" s="2">
        <f ca="1">INDIRECT($B$3&amp;"!H23")</f>
        <v>0</v>
      </c>
      <c r="B72" s="2">
        <f ca="1">INDIRECT($B$3&amp;"!e23")</f>
        <v>0</v>
      </c>
      <c r="C72" s="2">
        <f ca="1">INDIRECT($B$3&amp;"!d23")</f>
        <v>0</v>
      </c>
      <c r="D72" s="2">
        <f ca="1">IF($B$10=$B$9,C72*A72*2*PI()/60*(1+Calculator!$E$27/100),C72*A72*2*PI()/60)</f>
        <v>0</v>
      </c>
      <c r="E72" s="23" t="e">
        <f t="shared" ca="1" si="17"/>
        <v>#DIV/0!</v>
      </c>
      <c r="F72" s="23" t="e">
        <f t="shared" ca="1" si="18"/>
        <v>#DIV/0!</v>
      </c>
      <c r="G72" s="23">
        <f t="shared" ca="1" si="12"/>
        <v>0</v>
      </c>
      <c r="H72" s="24" t="e">
        <f t="shared" ca="1" si="24"/>
        <v>#N/A</v>
      </c>
      <c r="I72" s="2">
        <f ca="1">+($B$49*(A72/60*2*PI())*('OTS props'!$L$30/1000)*('OTS props'!$M$30/1000))/0.000017894</f>
        <v>0</v>
      </c>
      <c r="J72" s="2" t="e">
        <f t="shared" ca="1" si="19"/>
        <v>#N/A</v>
      </c>
      <c r="L72" s="2">
        <f t="shared" ca="1" si="20"/>
        <v>0.52591092869822931</v>
      </c>
      <c r="M72" s="2">
        <f ca="1">+('OTS props'!$M$35*(Sheet1!A72/60*2*PI())*('OTS props'!$L$38/1000)*('OTS props'!$M$38/1000))/0.000017894</f>
        <v>0</v>
      </c>
      <c r="N72" s="2" t="e">
        <f t="shared" ca="1" si="7"/>
        <v>#N/A</v>
      </c>
      <c r="O72" s="2" t="e">
        <f t="shared" ca="1" si="13"/>
        <v>#DIV/0!</v>
      </c>
      <c r="P72" s="2" t="e">
        <f t="shared" ca="1" si="8"/>
        <v>#DIV/0!</v>
      </c>
      <c r="Q72" s="24" t="str">
        <f t="shared" ca="1" si="23"/>
        <v>Max</v>
      </c>
      <c r="R72" s="2">
        <f t="shared" ca="1" si="21"/>
        <v>1</v>
      </c>
      <c r="S72" s="21" t="e">
        <f t="shared" ca="1" si="9"/>
        <v>#DIV/0!</v>
      </c>
      <c r="T72" s="21" t="e">
        <f t="shared" ca="1" si="10"/>
        <v>#DIV/0!</v>
      </c>
      <c r="U72" s="2" t="e">
        <f t="shared" ca="1" si="22"/>
        <v>#DIV/0!</v>
      </c>
      <c r="V72" s="2">
        <f t="shared" ca="1" si="15"/>
        <v>0</v>
      </c>
      <c r="W72" s="2" t="e">
        <f t="shared" ca="1" si="16"/>
        <v>#N/A</v>
      </c>
      <c r="X72" s="74" t="e">
        <f t="shared" ca="1" si="11"/>
        <v>#N/A</v>
      </c>
    </row>
    <row r="73" spans="1:24" x14ac:dyDescent="0.35">
      <c r="A73" s="2">
        <f ca="1">INDIRECT($B$3&amp;"!H24")</f>
        <v>0</v>
      </c>
      <c r="B73" s="2">
        <f ca="1">INDIRECT($B$3&amp;"!e24")</f>
        <v>0</v>
      </c>
      <c r="C73" s="2">
        <f ca="1">INDIRECT($B$3&amp;"!d24")</f>
        <v>0</v>
      </c>
      <c r="D73" s="2">
        <f ca="1">IF($B$10=$B$9,C73*A73*2*PI()/60*(1+Calculator!$E$27/100),C73*A73*2*PI()/60)</f>
        <v>0</v>
      </c>
      <c r="E73" s="23" t="e">
        <f t="shared" ca="1" si="17"/>
        <v>#DIV/0!</v>
      </c>
      <c r="F73" s="23" t="e">
        <f t="shared" ca="1" si="18"/>
        <v>#DIV/0!</v>
      </c>
      <c r="G73" s="23">
        <f t="shared" ca="1" si="12"/>
        <v>0</v>
      </c>
      <c r="H73" s="24" t="e">
        <f t="shared" ca="1" si="24"/>
        <v>#N/A</v>
      </c>
      <c r="I73" s="2">
        <f ca="1">+($B$49*(A73/60*2*PI())*('OTS props'!$L$30/1000)*('OTS props'!$M$30/1000))/0.000017894</f>
        <v>0</v>
      </c>
      <c r="J73" s="2" t="e">
        <f t="shared" ca="1" si="19"/>
        <v>#N/A</v>
      </c>
      <c r="L73" s="2">
        <f t="shared" ca="1" si="20"/>
        <v>0.52591092869822931</v>
      </c>
      <c r="M73" s="2">
        <f ca="1">+('OTS props'!$M$35*(Sheet1!A73/60*2*PI())*('OTS props'!$L$38/1000)*('OTS props'!$M$38/1000))/0.000017894</f>
        <v>0</v>
      </c>
      <c r="N73" s="2" t="e">
        <f t="shared" ca="1" si="7"/>
        <v>#N/A</v>
      </c>
      <c r="O73" s="2" t="e">
        <f t="shared" ca="1" si="13"/>
        <v>#DIV/0!</v>
      </c>
      <c r="P73" s="2" t="e">
        <f t="shared" ca="1" si="8"/>
        <v>#DIV/0!</v>
      </c>
      <c r="Q73" s="24" t="str">
        <f t="shared" ca="1" si="23"/>
        <v>Max</v>
      </c>
      <c r="R73" s="2">
        <f t="shared" ca="1" si="21"/>
        <v>1</v>
      </c>
      <c r="S73" s="21" t="e">
        <f t="shared" ca="1" si="9"/>
        <v>#DIV/0!</v>
      </c>
      <c r="T73" s="21" t="e">
        <f t="shared" ca="1" si="10"/>
        <v>#DIV/0!</v>
      </c>
      <c r="U73" s="2" t="e">
        <f t="shared" ca="1" si="22"/>
        <v>#DIV/0!</v>
      </c>
      <c r="V73" s="2">
        <f t="shared" ca="1" si="15"/>
        <v>0</v>
      </c>
      <c r="W73" s="2" t="e">
        <f t="shared" ca="1" si="16"/>
        <v>#N/A</v>
      </c>
      <c r="X73" s="74" t="e">
        <f t="shared" ca="1" si="11"/>
        <v>#N/A</v>
      </c>
    </row>
    <row r="74" spans="1:24" x14ac:dyDescent="0.35">
      <c r="A74" s="2">
        <f ca="1">INDIRECT($B$3&amp;"!H25")</f>
        <v>0</v>
      </c>
      <c r="B74" s="2">
        <f ca="1">INDIRECT($B$3&amp;"!e25")</f>
        <v>0</v>
      </c>
      <c r="C74" s="2">
        <f ca="1">INDIRECT($B$3&amp;"!d25")</f>
        <v>0</v>
      </c>
      <c r="D74" s="2">
        <f ca="1">IF($B$10=$B$9,C74*A74*2*PI()/60*(1+Calculator!$E$27/100),C74*A74*2*PI()/60)</f>
        <v>0</v>
      </c>
      <c r="E74" s="23" t="e">
        <f t="shared" ca="1" si="17"/>
        <v>#DIV/0!</v>
      </c>
      <c r="F74" s="23" t="e">
        <f t="shared" ca="1" si="18"/>
        <v>#DIV/0!</v>
      </c>
      <c r="G74" s="23">
        <f t="shared" ca="1" si="12"/>
        <v>0</v>
      </c>
      <c r="H74" s="24" t="e">
        <f t="shared" ca="1" si="24"/>
        <v>#N/A</v>
      </c>
      <c r="I74" s="2">
        <f ca="1">+($B$49*(A74/60*2*PI())*('OTS props'!$L$30/1000)*('OTS props'!$M$30/1000))/0.000017894</f>
        <v>0</v>
      </c>
      <c r="J74" s="2" t="e">
        <f t="shared" ca="1" si="19"/>
        <v>#N/A</v>
      </c>
      <c r="L74" s="2">
        <f t="shared" ca="1" si="20"/>
        <v>0.52591092869822931</v>
      </c>
      <c r="M74" s="2">
        <f ca="1">+('OTS props'!$M$35*(Sheet1!A74/60*2*PI())*('OTS props'!$L$38/1000)*('OTS props'!$M$38/1000))/0.000017894</f>
        <v>0</v>
      </c>
      <c r="N74" s="2" t="e">
        <f t="shared" ca="1" si="7"/>
        <v>#N/A</v>
      </c>
      <c r="O74" s="2" t="e">
        <f t="shared" ca="1" si="13"/>
        <v>#DIV/0!</v>
      </c>
      <c r="P74" s="2" t="e">
        <f t="shared" ca="1" si="8"/>
        <v>#DIV/0!</v>
      </c>
      <c r="Q74" s="24" t="str">
        <f t="shared" ca="1" si="23"/>
        <v>Max</v>
      </c>
      <c r="R74" s="2">
        <f t="shared" ca="1" si="21"/>
        <v>1</v>
      </c>
      <c r="S74" s="21" t="e">
        <f t="shared" ca="1" si="9"/>
        <v>#DIV/0!</v>
      </c>
      <c r="T74" s="21" t="e">
        <f t="shared" ca="1" si="10"/>
        <v>#DIV/0!</v>
      </c>
      <c r="U74" s="2" t="e">
        <f t="shared" ca="1" si="22"/>
        <v>#DIV/0!</v>
      </c>
      <c r="V74" s="2">
        <f t="shared" ca="1" si="15"/>
        <v>0</v>
      </c>
      <c r="W74" s="2" t="e">
        <f t="shared" ca="1" si="16"/>
        <v>#N/A</v>
      </c>
      <c r="X74" s="74" t="e">
        <f t="shared" ca="1" si="11"/>
        <v>#N/A</v>
      </c>
    </row>
    <row r="75" spans="1:24" x14ac:dyDescent="0.35">
      <c r="A75" s="2">
        <f ca="1">INDIRECT($B$3&amp;"!H26")</f>
        <v>0</v>
      </c>
      <c r="B75" s="2">
        <f ca="1">INDIRECT($B$3&amp;"!e26")</f>
        <v>0</v>
      </c>
      <c r="C75" s="2">
        <f ca="1">INDIRECT($B$3&amp;"!d26")</f>
        <v>0</v>
      </c>
      <c r="D75" s="2">
        <f ca="1">IF($B$10=$B$9,C75*A75*2*PI()/60*(1+Calculator!$E$27/100),C75*A75*2*PI()/60)</f>
        <v>0</v>
      </c>
      <c r="E75" s="23" t="e">
        <f t="shared" ca="1" si="17"/>
        <v>#DIV/0!</v>
      </c>
      <c r="F75" s="23" t="e">
        <f t="shared" ca="1" si="18"/>
        <v>#DIV/0!</v>
      </c>
      <c r="G75" s="23">
        <f t="shared" ca="1" si="12"/>
        <v>0</v>
      </c>
      <c r="H75" s="24" t="e">
        <f t="shared" ca="1" si="24"/>
        <v>#N/A</v>
      </c>
      <c r="I75" s="2">
        <f ca="1">+($B$49*(A75/60*2*PI())*('OTS props'!$L$30/1000)*('OTS props'!$M$30/1000))/0.000017894</f>
        <v>0</v>
      </c>
      <c r="J75" s="2" t="e">
        <f t="shared" ca="1" si="19"/>
        <v>#N/A</v>
      </c>
      <c r="L75" s="2">
        <f t="shared" ca="1" si="20"/>
        <v>0.52591092869822931</v>
      </c>
      <c r="M75" s="2">
        <f ca="1">+('OTS props'!$M$35*(Sheet1!A75/60*2*PI())*('OTS props'!$L$38/1000)*('OTS props'!$M$38/1000))/0.000017894</f>
        <v>0</v>
      </c>
      <c r="N75" s="2" t="e">
        <f t="shared" ca="1" si="7"/>
        <v>#N/A</v>
      </c>
      <c r="O75" s="2" t="e">
        <f t="shared" ca="1" si="13"/>
        <v>#DIV/0!</v>
      </c>
      <c r="P75" s="2" t="e">
        <f t="shared" ca="1" si="8"/>
        <v>#DIV/0!</v>
      </c>
      <c r="Q75" s="24" t="str">
        <f t="shared" ca="1" si="23"/>
        <v>Max</v>
      </c>
      <c r="R75" s="2">
        <f t="shared" ca="1" si="21"/>
        <v>1</v>
      </c>
      <c r="S75" s="21" t="e">
        <f t="shared" ca="1" si="9"/>
        <v>#DIV/0!</v>
      </c>
      <c r="T75" s="21" t="e">
        <f t="shared" ca="1" si="10"/>
        <v>#DIV/0!</v>
      </c>
      <c r="U75" s="2" t="e">
        <f t="shared" ca="1" si="22"/>
        <v>#DIV/0!</v>
      </c>
      <c r="V75" s="2">
        <f t="shared" ca="1" si="15"/>
        <v>0</v>
      </c>
      <c r="W75" s="2" t="e">
        <f t="shared" ca="1" si="16"/>
        <v>#N/A</v>
      </c>
      <c r="X75" s="74" t="e">
        <f t="shared" ca="1" si="11"/>
        <v>#N/A</v>
      </c>
    </row>
    <row r="76" spans="1:24" x14ac:dyDescent="0.35">
      <c r="A76" s="2">
        <f ca="1">INDIRECT($B$3&amp;"!H27")</f>
        <v>0</v>
      </c>
      <c r="B76" s="2">
        <f ca="1">INDIRECT($B$3&amp;"!e27")</f>
        <v>0</v>
      </c>
      <c r="C76" s="2">
        <f ca="1">INDIRECT($B$3&amp;"!d27")</f>
        <v>0</v>
      </c>
      <c r="D76" s="2">
        <f ca="1">IF($B$10=$B$9,C76*A76*2*PI()/60*(1+Calculator!$E$27/100),C76*A76*2*PI()/60)</f>
        <v>0</v>
      </c>
      <c r="E76" s="23" t="e">
        <f t="shared" ca="1" si="17"/>
        <v>#DIV/0!</v>
      </c>
      <c r="F76" s="23" t="e">
        <f t="shared" ca="1" si="18"/>
        <v>#DIV/0!</v>
      </c>
      <c r="G76" s="23">
        <f t="shared" ca="1" si="12"/>
        <v>0</v>
      </c>
      <c r="H76" s="24" t="e">
        <f t="shared" ca="1" si="24"/>
        <v>#N/A</v>
      </c>
      <c r="I76" s="2">
        <f ca="1">+($B$49*(A76/60*2*PI())*('OTS props'!$L$30/1000)*('OTS props'!$M$30/1000))/0.000017894</f>
        <v>0</v>
      </c>
      <c r="J76" s="2" t="e">
        <f t="shared" ca="1" si="19"/>
        <v>#N/A</v>
      </c>
      <c r="L76" s="2">
        <f t="shared" ca="1" si="20"/>
        <v>0.52591092869822931</v>
      </c>
      <c r="M76" s="2">
        <f ca="1">+('OTS props'!$M$35*(Sheet1!A76/60*2*PI())*('OTS props'!$L$38/1000)*('OTS props'!$M$38/1000))/0.000017894</f>
        <v>0</v>
      </c>
      <c r="N76" s="2" t="e">
        <f t="shared" ca="1" si="7"/>
        <v>#N/A</v>
      </c>
      <c r="O76" s="2" t="e">
        <f t="shared" ca="1" si="13"/>
        <v>#DIV/0!</v>
      </c>
      <c r="P76" s="2" t="e">
        <f t="shared" ca="1" si="8"/>
        <v>#DIV/0!</v>
      </c>
      <c r="Q76" s="24" t="str">
        <f t="shared" ca="1" si="23"/>
        <v>Max</v>
      </c>
      <c r="R76" s="2">
        <f t="shared" ca="1" si="21"/>
        <v>1</v>
      </c>
      <c r="S76" s="21" t="e">
        <f t="shared" ca="1" si="9"/>
        <v>#DIV/0!</v>
      </c>
      <c r="T76" s="21" t="e">
        <f t="shared" ca="1" si="10"/>
        <v>#DIV/0!</v>
      </c>
      <c r="U76" s="2" t="e">
        <f t="shared" ca="1" si="22"/>
        <v>#DIV/0!</v>
      </c>
      <c r="V76" s="2">
        <f t="shared" ca="1" si="15"/>
        <v>0</v>
      </c>
      <c r="W76" s="2" t="e">
        <f t="shared" ca="1" si="16"/>
        <v>#N/A</v>
      </c>
      <c r="X76" s="74" t="e">
        <f t="shared" ca="1" si="11"/>
        <v>#N/A</v>
      </c>
    </row>
    <row r="77" spans="1:24" x14ac:dyDescent="0.35">
      <c r="A77" s="2">
        <f ca="1">INDIRECT($B$3&amp;"!H28")</f>
        <v>0</v>
      </c>
      <c r="B77" s="2">
        <f ca="1">INDIRECT($B$3&amp;"!e28")</f>
        <v>0</v>
      </c>
      <c r="C77" s="2">
        <f ca="1">INDIRECT($B$3&amp;"!d28")</f>
        <v>0</v>
      </c>
      <c r="D77" s="2">
        <f ca="1">IF($B$10=$B$9,C77*A77*2*PI()/60*(1+Calculator!$E$27/100),C77*A77*2*PI()/60)</f>
        <v>0</v>
      </c>
      <c r="E77" s="23" t="e">
        <f t="shared" ca="1" si="17"/>
        <v>#DIV/0!</v>
      </c>
      <c r="F77" s="23" t="e">
        <f t="shared" ca="1" si="18"/>
        <v>#DIV/0!</v>
      </c>
      <c r="G77" s="23">
        <f t="shared" ca="1" si="12"/>
        <v>0</v>
      </c>
      <c r="H77" s="24" t="e">
        <f t="shared" ca="1" si="24"/>
        <v>#N/A</v>
      </c>
      <c r="I77" s="2">
        <f ca="1">+($B$49*(A77/60*2*PI())*('OTS props'!$L$30/1000)*('OTS props'!$M$30/1000))/0.000017894</f>
        <v>0</v>
      </c>
      <c r="J77" s="2" t="e">
        <f t="shared" ca="1" si="19"/>
        <v>#N/A</v>
      </c>
      <c r="L77" s="2">
        <f t="shared" ca="1" si="20"/>
        <v>0.52591092869822931</v>
      </c>
      <c r="M77" s="2">
        <f ca="1">+('OTS props'!$M$35*(Sheet1!A77/60*2*PI())*('OTS props'!$L$38/1000)*('OTS props'!$M$38/1000))/0.000017894</f>
        <v>0</v>
      </c>
      <c r="N77" s="2" t="e">
        <f t="shared" ca="1" si="7"/>
        <v>#N/A</v>
      </c>
      <c r="O77" s="2" t="e">
        <f t="shared" ca="1" si="13"/>
        <v>#DIV/0!</v>
      </c>
      <c r="P77" s="2" t="e">
        <f t="shared" ca="1" si="8"/>
        <v>#DIV/0!</v>
      </c>
      <c r="Q77" s="24" t="str">
        <f t="shared" ca="1" si="23"/>
        <v>Max</v>
      </c>
      <c r="R77" s="2">
        <f t="shared" ca="1" si="21"/>
        <v>1</v>
      </c>
      <c r="S77" s="21" t="e">
        <f t="shared" ca="1" si="9"/>
        <v>#DIV/0!</v>
      </c>
      <c r="T77" s="21" t="e">
        <f t="shared" ca="1" si="10"/>
        <v>#DIV/0!</v>
      </c>
      <c r="U77" s="2" t="e">
        <f t="shared" ca="1" si="22"/>
        <v>#DIV/0!</v>
      </c>
      <c r="V77" s="2">
        <f t="shared" ca="1" si="15"/>
        <v>0</v>
      </c>
      <c r="W77" s="2" t="e">
        <f t="shared" ca="1" si="16"/>
        <v>#N/A</v>
      </c>
      <c r="X77" s="74" t="e">
        <f t="shared" ca="1" si="11"/>
        <v>#N/A</v>
      </c>
    </row>
    <row r="78" spans="1:24" x14ac:dyDescent="0.35">
      <c r="A78" s="2">
        <f ca="1">INDIRECT($B$3&amp;"!H29")</f>
        <v>0</v>
      </c>
      <c r="B78" s="2">
        <f ca="1">INDIRECT($B$3&amp;"!e29")</f>
        <v>0</v>
      </c>
      <c r="C78" s="2">
        <f ca="1">INDIRECT($B$3&amp;"!d29")</f>
        <v>0</v>
      </c>
      <c r="D78" s="2">
        <f ca="1">IF($B$10=$B$9,C78*A78*2*PI()/60*(1+Calculator!$E$27/100),C78*A78*2*PI()/60)</f>
        <v>0</v>
      </c>
      <c r="E78" s="23" t="e">
        <f t="shared" ca="1" si="17"/>
        <v>#DIV/0!</v>
      </c>
      <c r="F78" s="23" t="e">
        <f t="shared" ca="1" si="18"/>
        <v>#DIV/0!</v>
      </c>
      <c r="G78" s="23">
        <f t="shared" ca="1" si="12"/>
        <v>0</v>
      </c>
      <c r="H78" s="24" t="e">
        <f t="shared" ca="1" si="24"/>
        <v>#N/A</v>
      </c>
      <c r="I78" s="2">
        <f ca="1">+($B$49*(A78/60*2*PI())*('OTS props'!$L$30/1000)*('OTS props'!$M$30/1000))/0.000017894</f>
        <v>0</v>
      </c>
      <c r="J78" s="2" t="e">
        <f t="shared" ca="1" si="19"/>
        <v>#N/A</v>
      </c>
      <c r="L78" s="2">
        <f t="shared" ca="1" si="20"/>
        <v>0.52591092869822931</v>
      </c>
      <c r="M78" s="2">
        <f ca="1">+('OTS props'!$M$35*(Sheet1!A78/60*2*PI())*('OTS props'!$L$38/1000)*('OTS props'!$M$38/1000))/0.000017894</f>
        <v>0</v>
      </c>
      <c r="N78" s="2" t="e">
        <f t="shared" ca="1" si="7"/>
        <v>#N/A</v>
      </c>
      <c r="O78" s="2" t="e">
        <f t="shared" ca="1" si="13"/>
        <v>#DIV/0!</v>
      </c>
      <c r="P78" s="2" t="e">
        <f t="shared" ca="1" si="8"/>
        <v>#DIV/0!</v>
      </c>
      <c r="Q78" s="24" t="str">
        <f t="shared" ca="1" si="23"/>
        <v>Max</v>
      </c>
      <c r="R78" s="2">
        <f t="shared" ca="1" si="21"/>
        <v>1</v>
      </c>
      <c r="S78" s="21" t="e">
        <f t="shared" ca="1" si="9"/>
        <v>#DIV/0!</v>
      </c>
      <c r="T78" s="21" t="e">
        <f t="shared" ca="1" si="10"/>
        <v>#DIV/0!</v>
      </c>
      <c r="U78" s="2" t="e">
        <f t="shared" ca="1" si="22"/>
        <v>#DIV/0!</v>
      </c>
      <c r="V78" s="2">
        <f t="shared" ca="1" si="15"/>
        <v>0</v>
      </c>
      <c r="W78" s="2" t="e">
        <f t="shared" ca="1" si="16"/>
        <v>#N/A</v>
      </c>
      <c r="X78" s="74" t="e">
        <f t="shared" ca="1" si="11"/>
        <v>#N/A</v>
      </c>
    </row>
    <row r="79" spans="1:24" x14ac:dyDescent="0.35">
      <c r="A79" s="2">
        <f ca="1">INDIRECT($B$3&amp;"!H30")</f>
        <v>0</v>
      </c>
      <c r="B79" s="2">
        <f ca="1">INDIRECT($B$3&amp;"!e30")</f>
        <v>0</v>
      </c>
      <c r="C79" s="2">
        <f ca="1">INDIRECT($B$3&amp;"!d30")</f>
        <v>0</v>
      </c>
      <c r="D79" s="2">
        <f ca="1">IF($B$10=$B$9,C79*A79*2*PI()/60*(1+Calculator!$E$27/100),C79*A79*2*PI()/60)</f>
        <v>0</v>
      </c>
      <c r="E79" s="23" t="e">
        <f t="shared" ca="1" si="17"/>
        <v>#DIV/0!</v>
      </c>
      <c r="F79" s="23" t="e">
        <f t="shared" ca="1" si="18"/>
        <v>#DIV/0!</v>
      </c>
      <c r="G79" s="23">
        <f t="shared" ca="1" si="12"/>
        <v>0</v>
      </c>
      <c r="H79" s="24" t="e">
        <f t="shared" ca="1" si="24"/>
        <v>#N/A</v>
      </c>
      <c r="I79" s="2">
        <f ca="1">+($B$49*(A79/60*2*PI())*('OTS props'!$L$30/1000)*('OTS props'!$M$30/1000))/0.000017894</f>
        <v>0</v>
      </c>
      <c r="J79" s="2" t="e">
        <f t="shared" ca="1" si="19"/>
        <v>#N/A</v>
      </c>
      <c r="L79" s="2">
        <f t="shared" ca="1" si="20"/>
        <v>0.52591092869822931</v>
      </c>
      <c r="M79" s="2">
        <f ca="1">+('OTS props'!$M$35*(Sheet1!A79/60*2*PI())*('OTS props'!$L$38/1000)*('OTS props'!$M$38/1000))/0.000017894</f>
        <v>0</v>
      </c>
      <c r="N79" s="2" t="e">
        <f t="shared" ca="1" si="7"/>
        <v>#N/A</v>
      </c>
      <c r="O79" s="2" t="e">
        <f t="shared" ca="1" si="13"/>
        <v>#DIV/0!</v>
      </c>
      <c r="P79" s="2" t="e">
        <f t="shared" ca="1" si="8"/>
        <v>#DIV/0!</v>
      </c>
      <c r="Q79" s="24" t="str">
        <f t="shared" ca="1" si="23"/>
        <v>Max</v>
      </c>
      <c r="R79" s="2">
        <f t="shared" ca="1" si="21"/>
        <v>1</v>
      </c>
      <c r="S79" s="21" t="e">
        <f t="shared" ca="1" si="9"/>
        <v>#DIV/0!</v>
      </c>
      <c r="T79" s="21" t="e">
        <f t="shared" ca="1" si="10"/>
        <v>#DIV/0!</v>
      </c>
      <c r="U79" s="2" t="e">
        <f t="shared" ca="1" si="22"/>
        <v>#DIV/0!</v>
      </c>
      <c r="V79" s="2">
        <f t="shared" ca="1" si="15"/>
        <v>0</v>
      </c>
      <c r="W79" s="2" t="e">
        <f t="shared" ca="1" si="16"/>
        <v>#N/A</v>
      </c>
      <c r="X79" s="74" t="e">
        <f t="shared" ca="1" si="11"/>
        <v>#N/A</v>
      </c>
    </row>
    <row r="80" spans="1:24" x14ac:dyDescent="0.35">
      <c r="A80" s="2">
        <f ca="1">INDIRECT($B$3&amp;"!H31")</f>
        <v>0</v>
      </c>
      <c r="B80" s="2">
        <f ca="1">INDIRECT($B$3&amp;"!e31")</f>
        <v>0</v>
      </c>
      <c r="C80" s="2">
        <f ca="1">INDIRECT($B$3&amp;"!d31")</f>
        <v>0</v>
      </c>
      <c r="D80" s="2">
        <f ca="1">IF($B$10=$B$9,C80*A80*2*PI()/60*(1+Calculator!$E$27/100),C80*A80*2*PI()/60)</f>
        <v>0</v>
      </c>
      <c r="E80" s="23" t="e">
        <f t="shared" ca="1" si="17"/>
        <v>#DIV/0!</v>
      </c>
      <c r="F80" s="23" t="e">
        <f t="shared" ca="1" si="18"/>
        <v>#DIV/0!</v>
      </c>
      <c r="G80" s="23">
        <f t="shared" ca="1" si="12"/>
        <v>0</v>
      </c>
      <c r="H80" s="24" t="e">
        <f t="shared" ca="1" si="24"/>
        <v>#N/A</v>
      </c>
      <c r="I80" s="2">
        <f ca="1">+($B$49*(A80/60*2*PI())*('OTS props'!$L$30/1000)*('OTS props'!$M$30/1000))/0.000017894</f>
        <v>0</v>
      </c>
      <c r="J80" s="2" t="e">
        <f t="shared" ca="1" si="19"/>
        <v>#N/A</v>
      </c>
      <c r="L80" s="2">
        <f t="shared" ca="1" si="20"/>
        <v>0.52591092869822931</v>
      </c>
      <c r="M80" s="2">
        <f ca="1">+('OTS props'!$M$35*(Sheet1!A80/60*2*PI())*('OTS props'!$L$38/1000)*('OTS props'!$M$38/1000))/0.000017894</f>
        <v>0</v>
      </c>
      <c r="N80" s="2" t="e">
        <f t="shared" ca="1" si="7"/>
        <v>#N/A</v>
      </c>
      <c r="O80" s="2" t="e">
        <f t="shared" ca="1" si="13"/>
        <v>#DIV/0!</v>
      </c>
      <c r="P80" s="2" t="e">
        <f t="shared" ca="1" si="8"/>
        <v>#DIV/0!</v>
      </c>
      <c r="Q80" s="24" t="str">
        <f t="shared" ca="1" si="23"/>
        <v>Max</v>
      </c>
      <c r="R80" s="2">
        <f t="shared" ca="1" si="21"/>
        <v>1</v>
      </c>
      <c r="S80" s="21" t="e">
        <f t="shared" ca="1" si="9"/>
        <v>#DIV/0!</v>
      </c>
      <c r="T80" s="21" t="e">
        <f t="shared" ca="1" si="10"/>
        <v>#DIV/0!</v>
      </c>
      <c r="U80" s="2" t="e">
        <f t="shared" ca="1" si="22"/>
        <v>#DIV/0!</v>
      </c>
      <c r="V80" s="2">
        <f t="shared" ca="1" si="15"/>
        <v>0</v>
      </c>
      <c r="W80" s="2" t="e">
        <f t="shared" ca="1" si="16"/>
        <v>#N/A</v>
      </c>
      <c r="X80" s="74" t="e">
        <f t="shared" ca="1" si="11"/>
        <v>#N/A</v>
      </c>
    </row>
    <row r="81" spans="1:25" x14ac:dyDescent="0.35">
      <c r="A81" s="2">
        <f ca="1">INDIRECT($B$3&amp;"!H32")</f>
        <v>0</v>
      </c>
      <c r="B81" s="2">
        <f ca="1">INDIRECT($B$3&amp;"!e32")</f>
        <v>0</v>
      </c>
      <c r="C81" s="2">
        <f ca="1">INDIRECT($B$3&amp;"!d32")</f>
        <v>0</v>
      </c>
      <c r="D81" s="2">
        <f ca="1">IF($B$10=$B$9,C81*A81*2*PI()/60*(1+Calculator!$E$27/100),C81*A81*2*PI()/60)</f>
        <v>0</v>
      </c>
      <c r="E81" s="23" t="e">
        <f t="shared" ca="1" si="17"/>
        <v>#DIV/0!</v>
      </c>
      <c r="F81" s="23" t="e">
        <f t="shared" ca="1" si="18"/>
        <v>#DIV/0!</v>
      </c>
      <c r="G81" s="23">
        <f t="shared" ca="1" si="12"/>
        <v>0</v>
      </c>
      <c r="H81" s="24" t="e">
        <f t="shared" ca="1" si="24"/>
        <v>#N/A</v>
      </c>
      <c r="I81" s="2">
        <f ca="1">+($B$49*(A81/60*2*PI())*('OTS props'!$L$30/1000)*('OTS props'!$M$30/1000))/0.000017894</f>
        <v>0</v>
      </c>
      <c r="J81" s="2" t="e">
        <f t="shared" ca="1" si="19"/>
        <v>#N/A</v>
      </c>
      <c r="L81" s="2">
        <f t="shared" ca="1" si="20"/>
        <v>0.52591092869822931</v>
      </c>
      <c r="M81" s="2">
        <f ca="1">+('OTS props'!$M$35*(Sheet1!A81/60*2*PI())*('OTS props'!$L$38/1000)*('OTS props'!$M$38/1000))/0.000017894</f>
        <v>0</v>
      </c>
      <c r="N81" s="2" t="e">
        <f t="shared" ca="1" si="7"/>
        <v>#N/A</v>
      </c>
      <c r="O81" s="2" t="e">
        <f t="shared" ca="1" si="13"/>
        <v>#DIV/0!</v>
      </c>
      <c r="P81" s="2" t="e">
        <f t="shared" ca="1" si="8"/>
        <v>#DIV/0!</v>
      </c>
      <c r="Q81" s="24" t="str">
        <f t="shared" ca="1" si="23"/>
        <v>Max</v>
      </c>
      <c r="R81" s="2">
        <f t="shared" ca="1" si="21"/>
        <v>1</v>
      </c>
      <c r="S81" s="21" t="e">
        <f t="shared" ca="1" si="9"/>
        <v>#DIV/0!</v>
      </c>
      <c r="T81" s="21" t="e">
        <f t="shared" ca="1" si="10"/>
        <v>#DIV/0!</v>
      </c>
      <c r="U81" s="2" t="e">
        <f t="shared" ca="1" si="22"/>
        <v>#DIV/0!</v>
      </c>
      <c r="V81" s="2">
        <f t="shared" ca="1" si="15"/>
        <v>0</v>
      </c>
      <c r="W81" s="2" t="e">
        <f t="shared" ca="1" si="16"/>
        <v>#N/A</v>
      </c>
      <c r="X81" s="74" t="e">
        <f t="shared" ca="1" si="11"/>
        <v>#N/A</v>
      </c>
    </row>
    <row r="82" spans="1:25" x14ac:dyDescent="0.35">
      <c r="A82" s="2">
        <f ca="1">INDIRECT($B$3&amp;"!H33")</f>
        <v>0</v>
      </c>
      <c r="B82" s="2">
        <f ca="1">INDIRECT($B$3&amp;"!e33")</f>
        <v>0</v>
      </c>
      <c r="C82" s="2">
        <f ca="1">INDIRECT($B$3&amp;"!d33")</f>
        <v>0</v>
      </c>
      <c r="D82" s="2">
        <f ca="1">IF($B$10=$B$9,C82*A82*2*PI()/60*(1+Calculator!$E$27/100),C82*A82*2*PI()/60)</f>
        <v>0</v>
      </c>
      <c r="E82" s="23" t="e">
        <f t="shared" ca="1" si="17"/>
        <v>#DIV/0!</v>
      </c>
      <c r="F82" s="23" t="e">
        <f t="shared" ca="1" si="18"/>
        <v>#DIV/0!</v>
      </c>
      <c r="G82" s="23">
        <f t="shared" ca="1" si="12"/>
        <v>0</v>
      </c>
      <c r="H82" s="24" t="e">
        <f t="shared" ca="1" si="24"/>
        <v>#N/A</v>
      </c>
      <c r="I82" s="2">
        <f ca="1">+($B$49*(A82/60*2*PI())*('OTS props'!$L$30/1000)*('OTS props'!$M$30/1000))/0.000017894</f>
        <v>0</v>
      </c>
      <c r="J82" s="2" t="e">
        <f t="shared" ca="1" si="19"/>
        <v>#N/A</v>
      </c>
      <c r="L82" s="2">
        <f t="shared" ca="1" si="20"/>
        <v>0.52591092869822931</v>
      </c>
      <c r="M82" s="2">
        <f ca="1">+('OTS props'!$M$35*(Sheet1!A82/60*2*PI())*('OTS props'!$L$38/1000)*('OTS props'!$M$38/1000))/0.000017894</f>
        <v>0</v>
      </c>
      <c r="N82" s="2" t="e">
        <f t="shared" ca="1" si="7"/>
        <v>#N/A</v>
      </c>
      <c r="O82" s="2" t="e">
        <f t="shared" ca="1" si="13"/>
        <v>#DIV/0!</v>
      </c>
      <c r="P82" s="2" t="e">
        <f t="shared" ca="1" si="8"/>
        <v>#DIV/0!</v>
      </c>
      <c r="Q82" s="24" t="str">
        <f t="shared" ca="1" si="23"/>
        <v>Max</v>
      </c>
      <c r="R82" s="2">
        <f t="shared" ca="1" si="21"/>
        <v>1</v>
      </c>
      <c r="S82" s="21" t="e">
        <f t="shared" ca="1" si="9"/>
        <v>#DIV/0!</v>
      </c>
      <c r="T82" s="21" t="e">
        <f t="shared" ca="1" si="10"/>
        <v>#DIV/0!</v>
      </c>
      <c r="U82" s="2" t="e">
        <f t="shared" ca="1" si="22"/>
        <v>#DIV/0!</v>
      </c>
      <c r="V82" s="2">
        <f t="shared" ca="1" si="15"/>
        <v>0</v>
      </c>
      <c r="W82" s="2" t="e">
        <f t="shared" ca="1" si="16"/>
        <v>#N/A</v>
      </c>
      <c r="X82" s="74" t="e">
        <f t="shared" ca="1" si="11"/>
        <v>#N/A</v>
      </c>
    </row>
    <row r="83" spans="1:25" x14ac:dyDescent="0.35">
      <c r="A83" s="2">
        <f ca="1">INDIRECT($B$3&amp;"!H34")</f>
        <v>0</v>
      </c>
      <c r="B83" s="2">
        <f ca="1">INDIRECT($B$3&amp;"!e34")</f>
        <v>0</v>
      </c>
      <c r="C83" s="2">
        <f ca="1">INDIRECT($B$3&amp;"!d34")</f>
        <v>0</v>
      </c>
      <c r="D83" s="2">
        <f ca="1">IF($B$10=$B$9,C83*A83*2*PI()/60*(1+Calculator!$E$27/100),C83*A83*2*PI()/60)</f>
        <v>0</v>
      </c>
      <c r="E83" s="23" t="e">
        <f t="shared" ca="1" si="17"/>
        <v>#DIV/0!</v>
      </c>
      <c r="F83" s="23" t="e">
        <f t="shared" ca="1" si="18"/>
        <v>#DIV/0!</v>
      </c>
      <c r="G83" s="23">
        <f t="shared" ca="1" si="12"/>
        <v>0</v>
      </c>
      <c r="H83" s="24" t="e">
        <f t="shared" ca="1" si="24"/>
        <v>#N/A</v>
      </c>
      <c r="I83" s="2">
        <f ca="1">+($B$49*(A83/60*2*PI())*('OTS props'!$L$30/1000)*('OTS props'!$M$30/1000))/0.000017894</f>
        <v>0</v>
      </c>
      <c r="J83" s="2" t="e">
        <f t="shared" ca="1" si="19"/>
        <v>#N/A</v>
      </c>
      <c r="L83" s="2">
        <f t="shared" ca="1" si="20"/>
        <v>0.52591092869822931</v>
      </c>
      <c r="M83" s="2">
        <f ca="1">+('OTS props'!$M$35*(Sheet1!A83/60*2*PI())*('OTS props'!$L$38/1000)*('OTS props'!$M$38/1000))/0.000017894</f>
        <v>0</v>
      </c>
      <c r="N83" s="2" t="e">
        <f t="shared" ca="1" si="7"/>
        <v>#N/A</v>
      </c>
      <c r="O83" s="2" t="e">
        <f t="shared" ca="1" si="13"/>
        <v>#DIV/0!</v>
      </c>
      <c r="P83" s="2" t="e">
        <f t="shared" ca="1" si="8"/>
        <v>#DIV/0!</v>
      </c>
      <c r="Q83" s="24" t="str">
        <f t="shared" ca="1" si="23"/>
        <v>Max</v>
      </c>
      <c r="R83" s="2">
        <f t="shared" ca="1" si="21"/>
        <v>1</v>
      </c>
      <c r="S83" s="21" t="e">
        <f t="shared" ca="1" si="9"/>
        <v>#DIV/0!</v>
      </c>
      <c r="T83" s="21" t="e">
        <f t="shared" ca="1" si="10"/>
        <v>#DIV/0!</v>
      </c>
      <c r="U83" s="2" t="e">
        <f t="shared" ca="1" si="22"/>
        <v>#DIV/0!</v>
      </c>
      <c r="V83" s="2">
        <f t="shared" ca="1" si="15"/>
        <v>0</v>
      </c>
      <c r="W83" s="2" t="e">
        <f t="shared" ca="1" si="16"/>
        <v>#N/A</v>
      </c>
      <c r="X83" s="74" t="e">
        <f t="shared" ca="1" si="11"/>
        <v>#N/A</v>
      </c>
    </row>
    <row r="84" spans="1:25" x14ac:dyDescent="0.35">
      <c r="A84" s="2">
        <f ca="1">INDIRECT($B$3&amp;"!H35")</f>
        <v>0</v>
      </c>
      <c r="B84" s="2">
        <f ca="1">INDIRECT($B$3&amp;"!e35")</f>
        <v>0</v>
      </c>
      <c r="C84" s="2">
        <f ca="1">INDIRECT($B$3&amp;"!d35")</f>
        <v>0</v>
      </c>
      <c r="D84" s="2">
        <f ca="1">IF($B$10=$B$9,C84*A84*2*PI()/60*(1+Calculator!$E$27/100),C84*A84*2*PI()/60)</f>
        <v>0</v>
      </c>
      <c r="E84" s="23" t="e">
        <f t="shared" ca="1" si="17"/>
        <v>#DIV/0!</v>
      </c>
      <c r="F84" s="23" t="e">
        <f t="shared" ca="1" si="18"/>
        <v>#DIV/0!</v>
      </c>
      <c r="G84" s="23">
        <f t="shared" ca="1" si="12"/>
        <v>0</v>
      </c>
      <c r="H84" s="24" t="e">
        <f t="shared" ca="1" si="24"/>
        <v>#N/A</v>
      </c>
      <c r="I84" s="2">
        <f ca="1">+($B$49*(A84/60*2*PI())*('OTS props'!$L$30/1000)*('OTS props'!$M$30/1000))/0.000017894</f>
        <v>0</v>
      </c>
      <c r="J84" s="2" t="e">
        <f t="shared" ca="1" si="19"/>
        <v>#N/A</v>
      </c>
      <c r="L84" s="2">
        <f t="shared" ca="1" si="20"/>
        <v>0.52591092869822931</v>
      </c>
      <c r="M84" s="2">
        <f ca="1">+('OTS props'!$M$35*(Sheet1!A84/60*2*PI())*('OTS props'!$L$38/1000)*('OTS props'!$M$38/1000))/0.000017894</f>
        <v>0</v>
      </c>
      <c r="N84" s="2" t="e">
        <f t="shared" ca="1" si="7"/>
        <v>#N/A</v>
      </c>
      <c r="O84" s="2" t="e">
        <f t="shared" ca="1" si="13"/>
        <v>#DIV/0!</v>
      </c>
      <c r="P84" s="2" t="e">
        <f t="shared" ca="1" si="8"/>
        <v>#DIV/0!</v>
      </c>
      <c r="Q84" s="24" t="str">
        <f t="shared" ca="1" si="23"/>
        <v>Max</v>
      </c>
      <c r="R84" s="2">
        <f t="shared" ca="1" si="21"/>
        <v>1</v>
      </c>
      <c r="S84" s="21" t="e">
        <f t="shared" ca="1" si="9"/>
        <v>#DIV/0!</v>
      </c>
      <c r="T84" s="21" t="e">
        <f t="shared" ca="1" si="10"/>
        <v>#DIV/0!</v>
      </c>
      <c r="U84" s="2" t="e">
        <f t="shared" ca="1" si="22"/>
        <v>#DIV/0!</v>
      </c>
      <c r="V84" s="2">
        <f t="shared" ca="1" si="15"/>
        <v>0</v>
      </c>
      <c r="W84" s="2" t="e">
        <f t="shared" ca="1" si="16"/>
        <v>#N/A</v>
      </c>
      <c r="X84" s="74" t="e">
        <f t="shared" ca="1" si="11"/>
        <v>#N/A</v>
      </c>
    </row>
    <row r="85" spans="1:25" x14ac:dyDescent="0.35">
      <c r="A85" s="2">
        <f ca="1">INDIRECT($B$3&amp;"!H36")</f>
        <v>0</v>
      </c>
      <c r="B85" s="2">
        <f ca="1">INDIRECT($B$3&amp;"!e36")</f>
        <v>0</v>
      </c>
      <c r="C85" s="2">
        <f ca="1">INDIRECT($B$3&amp;"!d36")</f>
        <v>0</v>
      </c>
      <c r="D85" s="2">
        <f ca="1">IF($B$10=$B$9,C85*A85*2*PI()/60*(1+Calculator!$E$27/100),C85*A85*2*PI()/60)</f>
        <v>0</v>
      </c>
      <c r="E85" s="23" t="e">
        <f t="shared" ca="1" si="17"/>
        <v>#DIV/0!</v>
      </c>
      <c r="F85" s="23" t="e">
        <f t="shared" ca="1" si="18"/>
        <v>#DIV/0!</v>
      </c>
      <c r="G85" s="23">
        <f t="shared" ca="1" si="12"/>
        <v>0</v>
      </c>
      <c r="H85" s="24" t="e">
        <f t="shared" ca="1" si="24"/>
        <v>#N/A</v>
      </c>
      <c r="I85" s="2">
        <f ca="1">+($B$49*(A85/60*2*PI())*('OTS props'!$L$30/1000)*('OTS props'!$M$30/1000))/0.000017894</f>
        <v>0</v>
      </c>
      <c r="J85" s="2" t="e">
        <f t="shared" ca="1" si="19"/>
        <v>#N/A</v>
      </c>
      <c r="L85" s="2">
        <f t="shared" ca="1" si="20"/>
        <v>0.52591092869822931</v>
      </c>
      <c r="M85" s="2">
        <f ca="1">+('OTS props'!$M$35*(Sheet1!A85/60*2*PI())*('OTS props'!$L$38/1000)*('OTS props'!$M$38/1000))/0.000017894</f>
        <v>0</v>
      </c>
      <c r="N85" s="2" t="e">
        <f t="shared" ca="1" si="7"/>
        <v>#N/A</v>
      </c>
      <c r="O85" s="2" t="e">
        <f ca="1">((P85/($B$4*((A85/60)^3)*($B$1*0.0254)^5))*L85*SQRT(2))^(2/3)*($B$4*(A85/60)^2*($B$1*0.0254)^4)/9.81</f>
        <v>#DIV/0!</v>
      </c>
      <c r="P85" s="2" t="e">
        <f t="shared" ca="1" si="8"/>
        <v>#DIV/0!</v>
      </c>
      <c r="Q85" s="24" t="str">
        <f t="shared" ca="1" si="23"/>
        <v>Max</v>
      </c>
      <c r="R85" s="2">
        <f t="shared" ca="1" si="21"/>
        <v>1</v>
      </c>
      <c r="S85" s="21" t="e">
        <f t="shared" ca="1" si="9"/>
        <v>#DIV/0!</v>
      </c>
      <c r="T85" s="21" t="e">
        <f t="shared" ca="1" si="10"/>
        <v>#DIV/0!</v>
      </c>
      <c r="U85" s="2" t="e">
        <f t="shared" ca="1" si="22"/>
        <v>#DIV/0!</v>
      </c>
      <c r="V85" s="2">
        <f t="shared" ca="1" si="15"/>
        <v>0</v>
      </c>
      <c r="W85" s="2" t="e">
        <f t="shared" ca="1" si="16"/>
        <v>#N/A</v>
      </c>
      <c r="X85" s="74" t="e">
        <f t="shared" ca="1" si="11"/>
        <v>#N/A</v>
      </c>
    </row>
    <row r="86" spans="1:25" x14ac:dyDescent="0.35">
      <c r="A86" s="2">
        <f ca="1">INDIRECT($B$3&amp;"!H37")</f>
        <v>0</v>
      </c>
      <c r="B86" s="2">
        <f ca="1">INDIRECT($B$3&amp;"!e37")</f>
        <v>0</v>
      </c>
      <c r="C86" s="2">
        <f ca="1">INDIRECT($B$3&amp;"!d37")</f>
        <v>0</v>
      </c>
      <c r="D86" s="2">
        <f ca="1">IF($B$10=$B$9,C86*A86*2*PI()/60*(1+Calculator!$E$27/100),C86*A86*2*PI()/60)</f>
        <v>0</v>
      </c>
      <c r="E86" s="23" t="e">
        <f t="shared" ca="1" si="17"/>
        <v>#DIV/0!</v>
      </c>
      <c r="F86" s="23" t="e">
        <f t="shared" ca="1" si="18"/>
        <v>#DIV/0!</v>
      </c>
      <c r="G86" s="23">
        <f t="shared" ca="1" si="12"/>
        <v>0</v>
      </c>
      <c r="H86" s="24" t="e">
        <f t="shared" ca="1" si="24"/>
        <v>#N/A</v>
      </c>
      <c r="I86" s="2">
        <f ca="1">+($B$49*(A86/60*2*PI())*('OTS props'!$L$30/1000)*('OTS props'!$M$30/1000))/0.000017894</f>
        <v>0</v>
      </c>
      <c r="J86" s="2" t="e">
        <f t="shared" ca="1" si="19"/>
        <v>#N/A</v>
      </c>
      <c r="L86" s="2">
        <f t="shared" ca="1" si="20"/>
        <v>0.52591092869822931</v>
      </c>
      <c r="M86" s="2">
        <f ca="1">+('OTS props'!$M$35*(Sheet1!A86/60*2*PI())*('OTS props'!$L$38/1000)*('OTS props'!$M$38/1000))/0.000017894</f>
        <v>0</v>
      </c>
      <c r="N86" s="2" t="e">
        <f t="shared" ca="1" si="7"/>
        <v>#N/A</v>
      </c>
      <c r="O86" s="2" t="e">
        <f t="shared" ca="1" si="13"/>
        <v>#DIV/0!</v>
      </c>
      <c r="P86" s="2" t="e">
        <f t="shared" ca="1" si="8"/>
        <v>#DIV/0!</v>
      </c>
      <c r="Q86" s="24" t="str">
        <f t="shared" ca="1" si="23"/>
        <v>Max</v>
      </c>
      <c r="R86" s="2">
        <f t="shared" ca="1" si="21"/>
        <v>1</v>
      </c>
      <c r="S86" s="21" t="e">
        <f t="shared" ca="1" si="9"/>
        <v>#DIV/0!</v>
      </c>
      <c r="T86" s="21" t="e">
        <f t="shared" ca="1" si="10"/>
        <v>#DIV/0!</v>
      </c>
      <c r="U86" s="2" t="e">
        <f t="shared" ca="1" si="22"/>
        <v>#DIV/0!</v>
      </c>
      <c r="V86" s="2">
        <f t="shared" ca="1" si="15"/>
        <v>0</v>
      </c>
      <c r="W86" s="2" t="e">
        <f t="shared" ca="1" si="16"/>
        <v>#N/A</v>
      </c>
      <c r="X86" s="74" t="e">
        <f t="shared" ca="1" si="11"/>
        <v>#N/A</v>
      </c>
      <c r="Y86" s="21" t="e">
        <v>#DIV/0!</v>
      </c>
    </row>
    <row r="87" spans="1:25" x14ac:dyDescent="0.35">
      <c r="A87" s="2">
        <f ca="1">INDIRECT($B$3&amp;"!H38")</f>
        <v>0</v>
      </c>
      <c r="B87" s="2">
        <f ca="1">INDIRECT($B$3&amp;"!e38")</f>
        <v>0</v>
      </c>
      <c r="C87" s="2">
        <f ca="1">INDIRECT($B$3&amp;"!d38")</f>
        <v>0</v>
      </c>
      <c r="D87" s="2">
        <f ca="1">IF($B$10=$B$9,C87*A87*2*PI()/60*(1+Calculator!$E$27/100),C87*A87*2*PI()/60)</f>
        <v>0</v>
      </c>
      <c r="E87" s="23" t="e">
        <f t="shared" ca="1" si="17"/>
        <v>#DIV/0!</v>
      </c>
      <c r="F87" s="23" t="e">
        <f t="shared" ca="1" si="18"/>
        <v>#DIV/0!</v>
      </c>
      <c r="G87" s="23">
        <f t="shared" ca="1" si="12"/>
        <v>0</v>
      </c>
      <c r="H87" s="24" t="e">
        <f t="shared" ca="1" si="24"/>
        <v>#N/A</v>
      </c>
      <c r="I87" s="2">
        <f ca="1">+($B$49*(A87/60*2*PI())*('OTS props'!$L$30/1000)*('OTS props'!$M$30/1000))/0.000017894</f>
        <v>0</v>
      </c>
      <c r="J87" s="2" t="e">
        <f t="shared" ca="1" si="19"/>
        <v>#N/A</v>
      </c>
      <c r="L87" s="2">
        <f t="shared" ca="1" si="20"/>
        <v>0.52591092869822931</v>
      </c>
      <c r="M87" s="2">
        <f ca="1">+('OTS props'!$M$35*(Sheet1!A87/60*2*PI())*('OTS props'!$L$38/1000)*('OTS props'!$M$38/1000))/0.000017894</f>
        <v>0</v>
      </c>
      <c r="N87" s="2" t="e">
        <f t="shared" ca="1" si="7"/>
        <v>#N/A</v>
      </c>
      <c r="O87" s="2" t="e">
        <f t="shared" ca="1" si="13"/>
        <v>#DIV/0!</v>
      </c>
      <c r="P87" s="2" t="e">
        <f t="shared" ca="1" si="8"/>
        <v>#DIV/0!</v>
      </c>
      <c r="Q87" s="24" t="str">
        <f t="shared" ca="1" si="23"/>
        <v>Max</v>
      </c>
      <c r="R87" s="2">
        <f t="shared" ca="1" si="21"/>
        <v>1</v>
      </c>
      <c r="S87" s="21" t="e">
        <f t="shared" ca="1" si="9"/>
        <v>#DIV/0!</v>
      </c>
      <c r="T87" s="21" t="e">
        <f t="shared" ca="1" si="10"/>
        <v>#DIV/0!</v>
      </c>
      <c r="U87" s="2" t="e">
        <f t="shared" ca="1" si="22"/>
        <v>#DIV/0!</v>
      </c>
      <c r="V87" s="2">
        <f t="shared" ca="1" si="15"/>
        <v>0</v>
      </c>
      <c r="W87" s="2" t="e">
        <f t="shared" ca="1" si="16"/>
        <v>#N/A</v>
      </c>
      <c r="X87" s="74" t="e">
        <f t="shared" ca="1" si="11"/>
        <v>#N/A</v>
      </c>
    </row>
    <row r="88" spans="1:25" x14ac:dyDescent="0.35">
      <c r="A88" s="2">
        <f ca="1">INDIRECT($B$3&amp;"!H39")</f>
        <v>0</v>
      </c>
      <c r="B88" s="2">
        <f ca="1">INDIRECT($B$3&amp;"!e39")</f>
        <v>0</v>
      </c>
      <c r="C88" s="2">
        <f ca="1">INDIRECT($B$3&amp;"!d39")</f>
        <v>0</v>
      </c>
      <c r="D88" s="2">
        <f ca="1">IF($B$10=$B$9,C88*A88*2*PI()/60*(1+Calculator!$E$27/100),C88*A88*2*PI()/60)</f>
        <v>0</v>
      </c>
      <c r="E88" s="23" t="e">
        <f t="shared" ca="1" si="17"/>
        <v>#DIV/0!</v>
      </c>
      <c r="F88" s="23" t="e">
        <f t="shared" ca="1" si="18"/>
        <v>#DIV/0!</v>
      </c>
      <c r="G88" s="23">
        <f t="shared" ca="1" si="12"/>
        <v>0</v>
      </c>
      <c r="H88" s="24" t="e">
        <f t="shared" ca="1" si="24"/>
        <v>#N/A</v>
      </c>
      <c r="I88" s="2">
        <f ca="1">+($B$49*(A88/60*2*PI())*('OTS props'!$L$30/1000)*('OTS props'!$M$30/1000))/0.000017894</f>
        <v>0</v>
      </c>
      <c r="J88" s="2" t="e">
        <f t="shared" ca="1" si="19"/>
        <v>#N/A</v>
      </c>
      <c r="L88" s="2">
        <f t="shared" ca="1" si="20"/>
        <v>0.52591092869822931</v>
      </c>
      <c r="M88" s="2">
        <f ca="1">+('OTS props'!$M$35*(Sheet1!A88/60*2*PI())*('OTS props'!$L$38/1000)*('OTS props'!$M$38/1000))/0.000017894</f>
        <v>0</v>
      </c>
      <c r="N88" s="2" t="e">
        <f t="shared" ca="1" si="7"/>
        <v>#N/A</v>
      </c>
      <c r="O88" s="2" t="e">
        <f t="shared" ca="1" si="13"/>
        <v>#DIV/0!</v>
      </c>
      <c r="P88" s="2" t="e">
        <f t="shared" ca="1" si="8"/>
        <v>#DIV/0!</v>
      </c>
      <c r="Q88" s="24" t="str">
        <f t="shared" ca="1" si="23"/>
        <v>Max</v>
      </c>
      <c r="R88" s="2">
        <f t="shared" ca="1" si="21"/>
        <v>1</v>
      </c>
      <c r="S88" s="21" t="e">
        <f t="shared" ca="1" si="9"/>
        <v>#DIV/0!</v>
      </c>
      <c r="T88" s="21" t="e">
        <f t="shared" ca="1" si="10"/>
        <v>#DIV/0!</v>
      </c>
      <c r="U88" s="2" t="e">
        <f t="shared" ca="1" si="22"/>
        <v>#DIV/0!</v>
      </c>
      <c r="V88" s="2">
        <f t="shared" ca="1" si="15"/>
        <v>0</v>
      </c>
      <c r="W88" s="2" t="e">
        <f t="shared" ca="1" si="16"/>
        <v>#N/A</v>
      </c>
      <c r="X88" s="74" t="e">
        <f t="shared" ca="1" si="11"/>
        <v>#N/A</v>
      </c>
    </row>
    <row r="89" spans="1:25" x14ac:dyDescent="0.35">
      <c r="A89" s="2">
        <f ca="1">INDIRECT($B$3&amp;"!H40")</f>
        <v>0</v>
      </c>
      <c r="B89" s="2">
        <f ca="1">INDIRECT($B$3&amp;"!e40")</f>
        <v>0</v>
      </c>
      <c r="C89" s="2">
        <f ca="1">INDIRECT($B$3&amp;"!d40")</f>
        <v>0</v>
      </c>
      <c r="D89" s="2">
        <f ca="1">IF($B$10=$B$9,C89*A89*2*PI()/60*(1+Calculator!$E$27/100),C89*A89*2*PI()/60)</f>
        <v>0</v>
      </c>
      <c r="E89" s="23" t="e">
        <f t="shared" ca="1" si="17"/>
        <v>#DIV/0!</v>
      </c>
      <c r="F89" s="23" t="e">
        <f t="shared" ca="1" si="18"/>
        <v>#DIV/0!</v>
      </c>
      <c r="G89" s="23">
        <f t="shared" ca="1" si="12"/>
        <v>0</v>
      </c>
      <c r="H89" s="24" t="e">
        <f t="shared" ca="1" si="24"/>
        <v>#N/A</v>
      </c>
      <c r="I89" s="2">
        <f ca="1">+($B$49*(A89/60*2*PI())*('OTS props'!$L$30/1000)*('OTS props'!$M$30/1000))/0.000017894</f>
        <v>0</v>
      </c>
      <c r="J89" s="2" t="e">
        <f t="shared" ca="1" si="19"/>
        <v>#N/A</v>
      </c>
      <c r="L89" s="2">
        <f t="shared" ca="1" si="20"/>
        <v>0.52591092869822931</v>
      </c>
      <c r="M89" s="2">
        <f ca="1">+('OTS props'!$M$35*(Sheet1!A89/60*2*PI())*('OTS props'!$L$38/1000)*('OTS props'!$M$38/1000))/0.000017894</f>
        <v>0</v>
      </c>
      <c r="N89" s="2" t="e">
        <f t="shared" ca="1" si="7"/>
        <v>#N/A</v>
      </c>
      <c r="O89" s="2" t="e">
        <f t="shared" ca="1" si="13"/>
        <v>#DIV/0!</v>
      </c>
      <c r="P89" s="2" t="e">
        <f t="shared" ca="1" si="8"/>
        <v>#DIV/0!</v>
      </c>
      <c r="Q89" s="24" t="str">
        <f t="shared" ca="1" si="23"/>
        <v>Max</v>
      </c>
      <c r="R89" s="2">
        <f t="shared" ca="1" si="21"/>
        <v>1</v>
      </c>
      <c r="S89" s="21" t="e">
        <f t="shared" ca="1" si="9"/>
        <v>#DIV/0!</v>
      </c>
      <c r="T89" s="21" t="e">
        <f t="shared" ca="1" si="10"/>
        <v>#DIV/0!</v>
      </c>
      <c r="U89" s="2" t="e">
        <f t="shared" ca="1" si="22"/>
        <v>#DIV/0!</v>
      </c>
      <c r="V89" s="2">
        <f t="shared" ca="1" si="15"/>
        <v>0</v>
      </c>
      <c r="W89" s="2" t="e">
        <f t="shared" ca="1" si="16"/>
        <v>#N/A</v>
      </c>
      <c r="X89" s="74" t="e">
        <f t="shared" ca="1" si="11"/>
        <v>#N/A</v>
      </c>
    </row>
    <row r="90" spans="1:25" x14ac:dyDescent="0.35">
      <c r="A90" s="2">
        <f ca="1">INDIRECT($B$3&amp;"!H41")</f>
        <v>0</v>
      </c>
      <c r="B90" s="2">
        <f ca="1">INDIRECT($B$3&amp;"!e41")</f>
        <v>0</v>
      </c>
      <c r="C90" s="2">
        <f ca="1">INDIRECT($B$3&amp;"!d41")</f>
        <v>0</v>
      </c>
      <c r="D90" s="2">
        <f ca="1">IF($B$10=$B$9,C90*A90*2*PI()/60*(1+Calculator!$E$27/100),C90*A90*2*PI()/60)</f>
        <v>0</v>
      </c>
      <c r="E90" s="23" t="e">
        <f t="shared" ca="1" si="17"/>
        <v>#DIV/0!</v>
      </c>
      <c r="F90" s="23" t="e">
        <f t="shared" ca="1" si="18"/>
        <v>#DIV/0!</v>
      </c>
      <c r="G90" s="23">
        <f t="shared" ca="1" si="12"/>
        <v>0</v>
      </c>
      <c r="H90" s="24" t="e">
        <f t="shared" ca="1" si="24"/>
        <v>#N/A</v>
      </c>
      <c r="I90" s="2">
        <f ca="1">+($B$49*(A90/60*2*PI())*('OTS props'!$L$30/1000)*('OTS props'!$M$30/1000))/0.000017894</f>
        <v>0</v>
      </c>
      <c r="J90" s="2" t="e">
        <f t="shared" ca="1" si="19"/>
        <v>#N/A</v>
      </c>
      <c r="L90" s="2">
        <f t="shared" ca="1" si="20"/>
        <v>0.52591092869822931</v>
      </c>
      <c r="M90" s="2">
        <f ca="1">+('OTS props'!$M$35*(Sheet1!A90/60*2*PI())*('OTS props'!$L$38/1000)*('OTS props'!$M$38/1000))/0.000017894</f>
        <v>0</v>
      </c>
      <c r="N90" s="2" t="e">
        <f t="shared" ca="1" si="7"/>
        <v>#N/A</v>
      </c>
      <c r="O90" s="2" t="e">
        <f t="shared" ca="1" si="13"/>
        <v>#DIV/0!</v>
      </c>
      <c r="P90" s="2" t="e">
        <f t="shared" ca="1" si="8"/>
        <v>#DIV/0!</v>
      </c>
      <c r="Q90" s="24" t="str">
        <f t="shared" ca="1" si="23"/>
        <v>Max</v>
      </c>
      <c r="R90" s="2">
        <f t="shared" ca="1" si="21"/>
        <v>1</v>
      </c>
      <c r="S90" s="21" t="e">
        <f t="shared" ca="1" si="9"/>
        <v>#DIV/0!</v>
      </c>
      <c r="T90" s="21" t="e">
        <f t="shared" ca="1" si="10"/>
        <v>#DIV/0!</v>
      </c>
      <c r="U90" s="2" t="e">
        <f t="shared" ca="1" si="22"/>
        <v>#DIV/0!</v>
      </c>
      <c r="V90" s="2">
        <f t="shared" ca="1" si="15"/>
        <v>0</v>
      </c>
      <c r="W90" s="2" t="e">
        <f t="shared" ca="1" si="16"/>
        <v>#N/A</v>
      </c>
      <c r="X90" s="74" t="e">
        <f t="shared" ca="1" si="11"/>
        <v>#N/A</v>
      </c>
    </row>
    <row r="91" spans="1:25" x14ac:dyDescent="0.35">
      <c r="A91" s="2">
        <f ca="1">INDIRECT($B$3&amp;"!H42")</f>
        <v>0</v>
      </c>
      <c r="B91" s="2">
        <f ca="1">INDIRECT($B$3&amp;"!e42")</f>
        <v>0</v>
      </c>
      <c r="C91" s="2">
        <f ca="1">INDIRECT($B$3&amp;"!d42")</f>
        <v>0</v>
      </c>
      <c r="D91" s="2">
        <f ca="1">IF($B$10=$B$9,C91*A91*2*PI()/60*(1+Calculator!$E$27/100),C91*A91*2*PI()/60)</f>
        <v>0</v>
      </c>
      <c r="E91" s="23" t="e">
        <f t="shared" ca="1" si="17"/>
        <v>#DIV/0!</v>
      </c>
      <c r="F91" s="23" t="e">
        <f t="shared" ca="1" si="18"/>
        <v>#DIV/0!</v>
      </c>
      <c r="G91" s="23">
        <f t="shared" ca="1" si="12"/>
        <v>0</v>
      </c>
      <c r="H91" s="24" t="e">
        <f t="shared" ca="1" si="24"/>
        <v>#N/A</v>
      </c>
      <c r="I91" s="2">
        <f ca="1">+($B$49*(A91/60*2*PI())*('OTS props'!$L$30/1000)*('OTS props'!$M$30/1000))/0.000017894</f>
        <v>0</v>
      </c>
      <c r="J91" s="2" t="e">
        <f t="shared" ca="1" si="19"/>
        <v>#N/A</v>
      </c>
      <c r="L91" s="2">
        <f t="shared" ca="1" si="20"/>
        <v>0.52591092869822931</v>
      </c>
      <c r="M91" s="2">
        <f ca="1">+('OTS props'!$M$35*(Sheet1!A91/60*2*PI())*('OTS props'!$L$38/1000)*('OTS props'!$M$38/1000))/0.000017894</f>
        <v>0</v>
      </c>
      <c r="N91" s="2" t="e">
        <f t="shared" ca="1" si="7"/>
        <v>#N/A</v>
      </c>
      <c r="O91" s="2" t="e">
        <f t="shared" ca="1" si="13"/>
        <v>#DIV/0!</v>
      </c>
      <c r="P91" s="2" t="e">
        <f t="shared" ca="1" si="8"/>
        <v>#DIV/0!</v>
      </c>
      <c r="Q91" s="24" t="str">
        <f t="shared" ca="1" si="23"/>
        <v>Max</v>
      </c>
      <c r="R91" s="2">
        <f t="shared" ca="1" si="21"/>
        <v>1</v>
      </c>
      <c r="S91" s="21" t="e">
        <f t="shared" ca="1" si="9"/>
        <v>#DIV/0!</v>
      </c>
      <c r="T91" s="21" t="e">
        <f t="shared" ca="1" si="10"/>
        <v>#DIV/0!</v>
      </c>
      <c r="U91" s="2" t="e">
        <f t="shared" ca="1" si="22"/>
        <v>#DIV/0!</v>
      </c>
      <c r="V91" s="2">
        <f t="shared" ca="1" si="15"/>
        <v>0</v>
      </c>
      <c r="W91" s="2" t="e">
        <f t="shared" ca="1" si="16"/>
        <v>#N/A</v>
      </c>
      <c r="X91" s="74" t="e">
        <f t="shared" ca="1" si="11"/>
        <v>#N/A</v>
      </c>
    </row>
    <row r="92" spans="1:25" x14ac:dyDescent="0.35">
      <c r="A92" s="2">
        <f ca="1">INDIRECT($B$3&amp;"!H43")</f>
        <v>0</v>
      </c>
      <c r="B92" s="2">
        <f ca="1">INDIRECT($B$3&amp;"!e43")</f>
        <v>0</v>
      </c>
      <c r="C92" s="2">
        <f ca="1">INDIRECT($B$3&amp;"!d43")</f>
        <v>0</v>
      </c>
      <c r="D92" s="2">
        <f ca="1">IF($B$10=$B$9,C92*A92*2*PI()/60*(1+Calculator!$E$27/100),C92*A92*2*PI()/60)</f>
        <v>0</v>
      </c>
      <c r="E92" s="23" t="e">
        <f t="shared" ca="1" si="17"/>
        <v>#DIV/0!</v>
      </c>
      <c r="F92" s="23" t="e">
        <f t="shared" ca="1" si="18"/>
        <v>#DIV/0!</v>
      </c>
      <c r="G92" s="23">
        <f t="shared" ca="1" si="12"/>
        <v>0</v>
      </c>
      <c r="H92" s="24" t="e">
        <f t="shared" ca="1" si="24"/>
        <v>#N/A</v>
      </c>
      <c r="I92" s="2">
        <f ca="1">+($B$49*(A92/60*2*PI())*('OTS props'!$L$30/1000)*('OTS props'!$M$30/1000))/0.000017894</f>
        <v>0</v>
      </c>
      <c r="J92" s="2" t="e">
        <f t="shared" ca="1" si="19"/>
        <v>#N/A</v>
      </c>
      <c r="L92" s="2">
        <f t="shared" ca="1" si="20"/>
        <v>0.52591092869822931</v>
      </c>
      <c r="M92" s="2">
        <f ca="1">+('OTS props'!$M$35*(Sheet1!A92/60*2*PI())*('OTS props'!$L$38/1000)*('OTS props'!$M$38/1000))/0.000017894</f>
        <v>0</v>
      </c>
      <c r="N92" s="2" t="e">
        <f t="shared" ca="1" si="7"/>
        <v>#N/A</v>
      </c>
      <c r="O92" s="2" t="e">
        <f t="shared" ca="1" si="13"/>
        <v>#DIV/0!</v>
      </c>
      <c r="P92" s="2" t="e">
        <f t="shared" ca="1" si="8"/>
        <v>#DIV/0!</v>
      </c>
      <c r="Q92" s="24" t="str">
        <f t="shared" ca="1" si="23"/>
        <v>Max</v>
      </c>
      <c r="R92" s="2">
        <f t="shared" ca="1" si="21"/>
        <v>1</v>
      </c>
      <c r="S92" s="21" t="e">
        <f t="shared" ca="1" si="9"/>
        <v>#DIV/0!</v>
      </c>
      <c r="T92" s="21" t="e">
        <f t="shared" ca="1" si="10"/>
        <v>#DIV/0!</v>
      </c>
      <c r="U92" s="2" t="e">
        <f t="shared" ca="1" si="22"/>
        <v>#DIV/0!</v>
      </c>
      <c r="V92" s="2">
        <f t="shared" ca="1" si="15"/>
        <v>0</v>
      </c>
      <c r="W92" s="2" t="e">
        <f t="shared" ca="1" si="16"/>
        <v>#N/A</v>
      </c>
      <c r="X92" s="74" t="e">
        <f t="shared" ca="1" si="11"/>
        <v>#N/A</v>
      </c>
    </row>
    <row r="93" spans="1:25" x14ac:dyDescent="0.35">
      <c r="A93" s="2">
        <f ca="1">INDIRECT($B$3&amp;"!H44")</f>
        <v>0</v>
      </c>
      <c r="B93" s="2">
        <f ca="1">INDIRECT($B$3&amp;"!e44")</f>
        <v>0</v>
      </c>
      <c r="C93" s="2">
        <f ca="1">INDIRECT($B$3&amp;"!d44")</f>
        <v>0</v>
      </c>
      <c r="D93" s="2">
        <f ca="1">IF($B$10=$B$9,C93*A93*2*PI()/60*(1+Calculator!$E$27/100),C93*A93*2*PI()/60)</f>
        <v>0</v>
      </c>
      <c r="E93" s="23" t="e">
        <f t="shared" ca="1" si="17"/>
        <v>#DIV/0!</v>
      </c>
      <c r="F93" s="23" t="e">
        <f t="shared" ca="1" si="18"/>
        <v>#DIV/0!</v>
      </c>
      <c r="G93" s="23">
        <f t="shared" ca="1" si="12"/>
        <v>0</v>
      </c>
      <c r="H93" s="24" t="e">
        <f t="shared" ca="1" si="24"/>
        <v>#N/A</v>
      </c>
      <c r="I93" s="2">
        <f ca="1">+($B$49*(A93/60*2*PI())*('OTS props'!$L$30/1000)*('OTS props'!$M$30/1000))/0.000017894</f>
        <v>0</v>
      </c>
      <c r="J93" s="2" t="e">
        <f t="shared" ca="1" si="19"/>
        <v>#N/A</v>
      </c>
      <c r="L93" s="2">
        <f t="shared" ca="1" si="20"/>
        <v>0.52591092869822931</v>
      </c>
      <c r="M93" s="2">
        <f ca="1">+('OTS props'!$M$35*(Sheet1!A93/60*2*PI())*('OTS props'!$L$38/1000)*('OTS props'!$M$38/1000))/0.000017894</f>
        <v>0</v>
      </c>
      <c r="N93" s="2" t="e">
        <f t="shared" ca="1" si="7"/>
        <v>#N/A</v>
      </c>
      <c r="O93" s="2" t="e">
        <f t="shared" ca="1" si="13"/>
        <v>#DIV/0!</v>
      </c>
      <c r="P93" s="2" t="e">
        <f t="shared" ca="1" si="8"/>
        <v>#DIV/0!</v>
      </c>
      <c r="Q93" s="24" t="str">
        <f t="shared" ca="1" si="23"/>
        <v>Max</v>
      </c>
      <c r="R93" s="2">
        <f t="shared" ca="1" si="21"/>
        <v>1</v>
      </c>
      <c r="S93" s="21" t="e">
        <f t="shared" ca="1" si="9"/>
        <v>#DIV/0!</v>
      </c>
      <c r="T93" s="21" t="e">
        <f t="shared" ca="1" si="10"/>
        <v>#DIV/0!</v>
      </c>
      <c r="U93" s="2" t="e">
        <f t="shared" ca="1" si="22"/>
        <v>#DIV/0!</v>
      </c>
      <c r="V93" s="2">
        <f t="shared" ca="1" si="15"/>
        <v>0</v>
      </c>
      <c r="W93" s="2" t="e">
        <f t="shared" ca="1" si="16"/>
        <v>#N/A</v>
      </c>
      <c r="X93" s="74" t="e">
        <f t="shared" ca="1" si="11"/>
        <v>#N/A</v>
      </c>
    </row>
    <row r="94" spans="1:25" x14ac:dyDescent="0.35">
      <c r="A94" s="2">
        <f ca="1">INDIRECT($B$3&amp;"!H45")</f>
        <v>0</v>
      </c>
      <c r="B94" s="2">
        <f ca="1">INDIRECT($B$3&amp;"!e45")</f>
        <v>0</v>
      </c>
      <c r="C94" s="2">
        <f ca="1">INDIRECT($B$3&amp;"!d45")</f>
        <v>0</v>
      </c>
      <c r="D94" s="2">
        <f ca="1">IF($B$10=$B$9,C94*A94*2*PI()/60*(1+Calculator!$E$27/100),C94*A94*2*PI()/60)</f>
        <v>0</v>
      </c>
      <c r="E94" s="23" t="e">
        <f t="shared" ca="1" si="17"/>
        <v>#DIV/0!</v>
      </c>
      <c r="F94" s="23" t="e">
        <f t="shared" ca="1" si="18"/>
        <v>#DIV/0!</v>
      </c>
      <c r="G94" s="23">
        <f t="shared" ca="1" si="12"/>
        <v>0</v>
      </c>
      <c r="H94" s="24" t="e">
        <f t="shared" ca="1" si="24"/>
        <v>#N/A</v>
      </c>
      <c r="I94" s="2">
        <f ca="1">+($B$49*(A94/60*2*PI())*('OTS props'!$L$30/1000)*('OTS props'!$M$30/1000))/0.000017894</f>
        <v>0</v>
      </c>
      <c r="J94" s="2" t="e">
        <f t="shared" ca="1" si="19"/>
        <v>#N/A</v>
      </c>
      <c r="L94" s="2">
        <f t="shared" ca="1" si="20"/>
        <v>0.52591092869822931</v>
      </c>
      <c r="M94" s="2">
        <f ca="1">+('OTS props'!$M$35*(Sheet1!A94/60*2*PI())*('OTS props'!$L$38/1000)*('OTS props'!$M$38/1000))/0.000017894</f>
        <v>0</v>
      </c>
      <c r="N94" s="2" t="e">
        <f t="shared" ca="1" si="7"/>
        <v>#N/A</v>
      </c>
      <c r="O94" s="2" t="e">
        <f t="shared" ca="1" si="13"/>
        <v>#DIV/0!</v>
      </c>
      <c r="P94" s="2" t="e">
        <f t="shared" ca="1" si="8"/>
        <v>#DIV/0!</v>
      </c>
      <c r="Q94" s="24" t="str">
        <f t="shared" ca="1" si="23"/>
        <v>Max</v>
      </c>
      <c r="R94" s="2">
        <f t="shared" si="21"/>
        <v>0</v>
      </c>
      <c r="S94" s="21" t="e">
        <f t="shared" ca="1" si="9"/>
        <v>#DIV/0!</v>
      </c>
      <c r="T94" s="21" t="e">
        <f t="shared" ca="1" si="10"/>
        <v>#DIV/0!</v>
      </c>
      <c r="U94" s="2" t="e">
        <f t="shared" ca="1" si="22"/>
        <v>#DIV/0!</v>
      </c>
      <c r="V94" s="2">
        <f t="shared" ca="1" si="15"/>
        <v>0</v>
      </c>
      <c r="W94" s="2" t="e">
        <f t="shared" ca="1" si="16"/>
        <v>#N/A</v>
      </c>
      <c r="X94" s="74" t="e">
        <f t="shared" ca="1" si="11"/>
        <v>#N/A</v>
      </c>
    </row>
  </sheetData>
  <sheetProtection algorithmName="SHA-512" hashValue="sXKdIcq5lzR6X7tH7x+cvYNy725E9m6aOr3+BatWRLidXqVInTvVU09T9PNzgvbZ1ZlrsJMI7xftdoWiLRB/nQ==" saltValue="xF8sD4LYNVXlqRu/03NP3w==" spinCount="100000" sheet="1" objects="1" scenarios="1" selectLockedCells="1"/>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6C6D-929B-4B40-985B-B96E360048C3}">
  <dimension ref="A1:XFD38"/>
  <sheetViews>
    <sheetView showGridLines="0" workbookViewId="0">
      <selection activeCell="C16" sqref="C16"/>
    </sheetView>
  </sheetViews>
  <sheetFormatPr defaultColWidth="9.1796875" defaultRowHeight="14.5" x14ac:dyDescent="0.35"/>
  <cols>
    <col min="1" max="16384" width="9.1796875" style="2"/>
  </cols>
  <sheetData>
    <row r="1" spans="1:30 16384:16384" x14ac:dyDescent="0.35">
      <c r="A1" s="2" t="s">
        <v>67</v>
      </c>
      <c r="B1" s="2" t="s">
        <v>69</v>
      </c>
      <c r="C1" s="2" t="s">
        <v>57</v>
      </c>
      <c r="D1" s="2" t="s">
        <v>69</v>
      </c>
      <c r="E1" s="2" t="s">
        <v>126</v>
      </c>
      <c r="F1" s="2" t="s">
        <v>127</v>
      </c>
    </row>
    <row r="2" spans="1:30 16384:16384" x14ac:dyDescent="0.35">
      <c r="A2" s="2">
        <v>14</v>
      </c>
      <c r="B2" s="2">
        <v>2</v>
      </c>
      <c r="C2" s="2">
        <f>IF(Calculator!$E$22='OTS props'!A2,1,0)</f>
        <v>0</v>
      </c>
      <c r="D2" s="2">
        <f>IF(Calculator!$E$23='OTS props'!B2,1,0)</f>
        <v>0</v>
      </c>
      <c r="E2" s="2">
        <f>C2*D2</f>
        <v>0</v>
      </c>
      <c r="F2" s="2">
        <f>IFERROR(VLOOKUP(1,'OTS props'!E2:E30,1,FALSE),'OTS props'!G3)</f>
        <v>0</v>
      </c>
      <c r="G2" s="2" t="s">
        <v>128</v>
      </c>
      <c r="XFD2" s="2" t="s">
        <v>351</v>
      </c>
    </row>
    <row r="3" spans="1:30 16384:16384" x14ac:dyDescent="0.35">
      <c r="A3" s="2">
        <v>16</v>
      </c>
      <c r="B3" s="2">
        <v>2</v>
      </c>
      <c r="C3" s="2">
        <f>IF(Calculator!$E$22='OTS props'!A3,1,0)</f>
        <v>0</v>
      </c>
      <c r="D3" s="2">
        <f>IF(Calculator!$E$23='OTS props'!B3,1,0)</f>
        <v>0</v>
      </c>
      <c r="E3" s="2">
        <f t="shared" ref="E3:E13" si="0">C3*D3</f>
        <v>0</v>
      </c>
      <c r="Z3" s="2" t="s">
        <v>350</v>
      </c>
      <c r="AA3" s="2">
        <v>18</v>
      </c>
      <c r="AB3" s="2">
        <f>AA3*0.0254*1000</f>
        <v>457.2</v>
      </c>
    </row>
    <row r="4" spans="1:30 16384:16384" x14ac:dyDescent="0.35">
      <c r="A4" s="2">
        <v>17</v>
      </c>
      <c r="B4" s="2">
        <v>2</v>
      </c>
      <c r="C4" s="2">
        <f>IF(Calculator!$E$22='OTS props'!A4,1,0)</f>
        <v>0</v>
      </c>
      <c r="D4" s="2">
        <f>IF(Calculator!$E$23='OTS props'!B4,1,0)</f>
        <v>0</v>
      </c>
      <c r="E4" s="2">
        <f t="shared" si="0"/>
        <v>0</v>
      </c>
      <c r="AA4" s="2">
        <f>AA3/2</f>
        <v>9</v>
      </c>
      <c r="AB4" s="2">
        <f>(AB3/2)</f>
        <v>228.6</v>
      </c>
    </row>
    <row r="5" spans="1:30 16384:16384" x14ac:dyDescent="0.35">
      <c r="A5" s="2">
        <v>18</v>
      </c>
      <c r="B5" s="2">
        <v>2</v>
      </c>
      <c r="C5" s="2">
        <f>IF(Calculator!$E$22='OTS props'!A5,1,0)</f>
        <v>0</v>
      </c>
      <c r="D5" s="2">
        <f>IF(Calculator!$E$23='OTS props'!B5,1,0)</f>
        <v>0</v>
      </c>
      <c r="E5" s="2">
        <f t="shared" si="0"/>
        <v>0</v>
      </c>
    </row>
    <row r="6" spans="1:30 16384:16384" x14ac:dyDescent="0.35">
      <c r="A6" s="2">
        <v>20</v>
      </c>
      <c r="B6" s="2">
        <v>2</v>
      </c>
      <c r="C6" s="2">
        <f>IF(Calculator!$E$22='OTS props'!A6,1,0)</f>
        <v>0</v>
      </c>
      <c r="D6" s="2">
        <f>IF(Calculator!$E$23='OTS props'!B6,1,0)</f>
        <v>0</v>
      </c>
      <c r="E6" s="2">
        <f t="shared" si="0"/>
        <v>0</v>
      </c>
    </row>
    <row r="7" spans="1:30 16384:16384" x14ac:dyDescent="0.35">
      <c r="A7" s="2">
        <v>22</v>
      </c>
      <c r="B7" s="2">
        <v>2</v>
      </c>
      <c r="C7" s="2">
        <f>IF(Calculator!$E$22='OTS props'!A7,1,0)</f>
        <v>0</v>
      </c>
      <c r="D7" s="2">
        <f>IF(Calculator!$E$23='OTS props'!B7,1,0)</f>
        <v>0</v>
      </c>
      <c r="E7" s="2">
        <f t="shared" si="0"/>
        <v>0</v>
      </c>
    </row>
    <row r="8" spans="1:30 16384:16384" x14ac:dyDescent="0.35">
      <c r="A8" s="2">
        <v>24</v>
      </c>
      <c r="B8" s="2">
        <v>2</v>
      </c>
      <c r="C8" s="2">
        <f>IF(Calculator!$E$22='OTS props'!A8,1,0)</f>
        <v>0</v>
      </c>
      <c r="D8" s="2">
        <f>IF(Calculator!$E$23='OTS props'!B8,1,0)</f>
        <v>0</v>
      </c>
      <c r="E8" s="2">
        <f t="shared" si="0"/>
        <v>0</v>
      </c>
    </row>
    <row r="9" spans="1:30 16384:16384" x14ac:dyDescent="0.35">
      <c r="A9" s="2">
        <v>26</v>
      </c>
      <c r="B9" s="2">
        <v>2</v>
      </c>
      <c r="C9" s="2">
        <f>IF(Calculator!$E$22='OTS props'!A9,1,0)</f>
        <v>0</v>
      </c>
      <c r="D9" s="2">
        <f>IF(Calculator!$E$23='OTS props'!B9,1,0)</f>
        <v>0</v>
      </c>
      <c r="E9" s="2">
        <f t="shared" si="0"/>
        <v>0</v>
      </c>
    </row>
    <row r="10" spans="1:30 16384:16384" x14ac:dyDescent="0.35">
      <c r="A10" s="2">
        <v>28</v>
      </c>
      <c r="B10" s="2">
        <v>2</v>
      </c>
      <c r="C10" s="2">
        <f>IF(Calculator!$E$22='OTS props'!A10,1,0)</f>
        <v>0</v>
      </c>
      <c r="D10" s="2">
        <f>IF(Calculator!$E$23='OTS props'!B10,1,0)</f>
        <v>0</v>
      </c>
      <c r="E10" s="2">
        <f t="shared" si="0"/>
        <v>0</v>
      </c>
      <c r="R10" s="2" t="s">
        <v>339</v>
      </c>
    </row>
    <row r="11" spans="1:30 16384:16384" x14ac:dyDescent="0.35">
      <c r="A11" s="2">
        <v>30</v>
      </c>
      <c r="B11" s="2">
        <v>2</v>
      </c>
      <c r="C11" s="2">
        <f>IF(Calculator!$E$22='OTS props'!A11,1,0)</f>
        <v>0</v>
      </c>
      <c r="D11" s="2">
        <f>IF(Calculator!$E$23='OTS props'!B11,1,0)</f>
        <v>0</v>
      </c>
      <c r="E11" s="2">
        <f t="shared" si="0"/>
        <v>0</v>
      </c>
      <c r="R11" s="2" t="s">
        <v>340</v>
      </c>
      <c r="S11" s="2" t="s">
        <v>341</v>
      </c>
      <c r="T11" s="2" t="s">
        <v>342</v>
      </c>
      <c r="Z11" s="2" t="s">
        <v>345</v>
      </c>
      <c r="AA11" s="2" t="s">
        <v>346</v>
      </c>
      <c r="AB11" s="2" t="s">
        <v>347</v>
      </c>
      <c r="AC11" s="2" t="s">
        <v>348</v>
      </c>
      <c r="AD11" s="2" t="s">
        <v>349</v>
      </c>
    </row>
    <row r="12" spans="1:30 16384:16384" x14ac:dyDescent="0.35">
      <c r="A12" s="2">
        <v>32</v>
      </c>
      <c r="B12" s="2">
        <v>2</v>
      </c>
      <c r="C12" s="2">
        <f>IF(Calculator!$E$22='OTS props'!A12,1,0)</f>
        <v>0</v>
      </c>
      <c r="D12" s="2">
        <f>IF(Calculator!$E$23='OTS props'!B12,1,0)</f>
        <v>0</v>
      </c>
      <c r="E12" s="2">
        <f t="shared" si="0"/>
        <v>0</v>
      </c>
      <c r="R12" s="2">
        <f t="shared" ref="R12:R21" si="1">AA12/$AB$4</f>
        <v>0.20059492563429573</v>
      </c>
      <c r="S12" s="2">
        <f t="shared" ref="S12:S21" si="2">AB12/$AB$4</f>
        <v>0.13630796150481189</v>
      </c>
      <c r="T12" s="2">
        <f>AD12</f>
        <v>29.51</v>
      </c>
      <c r="Z12" s="2">
        <v>20</v>
      </c>
      <c r="AA12" s="2">
        <v>45.856000000000002</v>
      </c>
      <c r="AB12" s="2">
        <v>31.16</v>
      </c>
      <c r="AC12" s="2">
        <v>3.76</v>
      </c>
      <c r="AD12" s="2">
        <v>29.51</v>
      </c>
    </row>
    <row r="13" spans="1:30 16384:16384" x14ac:dyDescent="0.35">
      <c r="A13" s="2">
        <v>40</v>
      </c>
      <c r="B13" s="2">
        <v>2</v>
      </c>
      <c r="C13" s="2">
        <f>IF(Calculator!$E$22='OTS props'!A13,1,0)</f>
        <v>0</v>
      </c>
      <c r="D13" s="2">
        <f>IF(Calculator!$E$23='OTS props'!B13,1,0)</f>
        <v>0</v>
      </c>
      <c r="E13" s="2">
        <f t="shared" si="0"/>
        <v>0</v>
      </c>
      <c r="R13" s="2">
        <f t="shared" si="1"/>
        <v>0.35104111986001751</v>
      </c>
      <c r="S13" s="2">
        <f t="shared" si="2"/>
        <v>0.16539807524059494</v>
      </c>
      <c r="T13" s="2">
        <f t="shared" ref="T13:T21" si="3">AD13</f>
        <v>20.28</v>
      </c>
      <c r="Z13" s="2">
        <v>35</v>
      </c>
      <c r="AA13" s="2">
        <v>80.248000000000005</v>
      </c>
      <c r="AB13" s="2">
        <v>37.81</v>
      </c>
      <c r="AC13" s="2">
        <v>3.56</v>
      </c>
      <c r="AD13" s="2">
        <v>20.28</v>
      </c>
    </row>
    <row r="14" spans="1:30 16384:16384" x14ac:dyDescent="0.35">
      <c r="A14" s="2">
        <v>28</v>
      </c>
      <c r="B14" s="2">
        <v>3</v>
      </c>
      <c r="C14" s="2">
        <f>IF(Calculator!$E$22='OTS props'!A14,1,0)</f>
        <v>0</v>
      </c>
      <c r="D14" s="2">
        <f>IF(Calculator!$E$23='OTS props'!B14,1,0)</f>
        <v>1</v>
      </c>
      <c r="E14" s="2">
        <f>C14*D14</f>
        <v>0</v>
      </c>
      <c r="R14" s="2">
        <f t="shared" si="1"/>
        <v>0.50148731408573932</v>
      </c>
      <c r="S14" s="2">
        <f t="shared" si="2"/>
        <v>0.15761154855643045</v>
      </c>
      <c r="T14" s="2">
        <f t="shared" si="3"/>
        <v>12.63</v>
      </c>
      <c r="Z14" s="2">
        <v>50</v>
      </c>
      <c r="AA14" s="2">
        <v>114.64000000000001</v>
      </c>
      <c r="AB14" s="2">
        <v>36.03</v>
      </c>
      <c r="AC14" s="2">
        <v>2.72</v>
      </c>
      <c r="AD14" s="2">
        <v>12.63</v>
      </c>
    </row>
    <row r="15" spans="1:30 16384:16384" x14ac:dyDescent="0.35">
      <c r="A15" s="2">
        <v>48</v>
      </c>
      <c r="B15" s="2">
        <v>2</v>
      </c>
      <c r="C15" s="2">
        <f>IF(Calculator!$E$22='OTS props'!A15,1,0)</f>
        <v>0</v>
      </c>
      <c r="D15" s="2">
        <f>IF(Calculator!$E$23='OTS props'!B15,1,0)</f>
        <v>0</v>
      </c>
      <c r="E15" s="2">
        <f>C15*D15</f>
        <v>0</v>
      </c>
      <c r="R15" s="2">
        <f t="shared" si="1"/>
        <v>0.60178477690288723</v>
      </c>
      <c r="S15" s="2">
        <f t="shared" si="2"/>
        <v>0.14558180227471568</v>
      </c>
      <c r="T15" s="2">
        <f t="shared" si="3"/>
        <v>10.57</v>
      </c>
      <c r="Z15" s="2">
        <v>60</v>
      </c>
      <c r="AA15" s="2">
        <v>137.56800000000001</v>
      </c>
      <c r="AB15" s="2">
        <v>33.28</v>
      </c>
      <c r="AC15" s="2">
        <v>2.36</v>
      </c>
      <c r="AD15" s="2">
        <v>10.57</v>
      </c>
    </row>
    <row r="16" spans="1:30 16384:16384" x14ac:dyDescent="0.35">
      <c r="A16" s="2">
        <v>15</v>
      </c>
      <c r="B16" s="2">
        <v>2</v>
      </c>
      <c r="C16" s="2">
        <f>IF(Calculator!$E$22='OTS props'!A16,1,0)</f>
        <v>0</v>
      </c>
      <c r="D16" s="2">
        <f>IF(Calculator!$E$23='OTS props'!B16,1,0)</f>
        <v>0</v>
      </c>
      <c r="E16" s="2">
        <f>C16*D16</f>
        <v>0</v>
      </c>
      <c r="R16" s="2">
        <f t="shared" si="1"/>
        <v>0.70208223972003503</v>
      </c>
      <c r="S16" s="2">
        <f t="shared" si="2"/>
        <v>0.13022747156605424</v>
      </c>
      <c r="T16" s="2">
        <f t="shared" si="3"/>
        <v>9.0399999999999991</v>
      </c>
      <c r="Z16" s="2">
        <v>70</v>
      </c>
      <c r="AA16" s="2">
        <v>160.49600000000001</v>
      </c>
      <c r="AB16" s="2">
        <v>29.77</v>
      </c>
      <c r="AC16" s="2">
        <v>2.09</v>
      </c>
      <c r="AD16" s="2">
        <v>9.0399999999999991</v>
      </c>
    </row>
    <row r="17" spans="1:30" x14ac:dyDescent="0.35">
      <c r="A17" s="2">
        <v>10</v>
      </c>
      <c r="B17" s="2">
        <v>2</v>
      </c>
      <c r="C17" s="2">
        <f>IF(Calculator!$E$22='OTS props'!A17,1,0)</f>
        <v>1</v>
      </c>
      <c r="D17" s="2">
        <f>IF(Calculator!$E$23='OTS props'!B17,1,0)</f>
        <v>0</v>
      </c>
      <c r="E17" s="2">
        <f>C17*D17</f>
        <v>0</v>
      </c>
      <c r="R17" s="2">
        <f t="shared" si="1"/>
        <v>0.75223097112860893</v>
      </c>
      <c r="S17" s="2">
        <f t="shared" si="2"/>
        <v>0.12147856517935259</v>
      </c>
      <c r="T17" s="2">
        <f t="shared" si="3"/>
        <v>8.5</v>
      </c>
      <c r="U17" s="2">
        <v>0.75</v>
      </c>
      <c r="V17" s="2">
        <f>_xlfn.FORECAST.LINEAR(0.75,S16:S17,R16:R17)</f>
        <v>0.12186777856536252</v>
      </c>
      <c r="Z17" s="2">
        <v>75</v>
      </c>
      <c r="AA17" s="2">
        <v>171.96</v>
      </c>
      <c r="AB17" s="2">
        <v>27.77</v>
      </c>
      <c r="AC17" s="2">
        <v>1.9</v>
      </c>
      <c r="AD17" s="2">
        <v>8.5</v>
      </c>
    </row>
    <row r="18" spans="1:30" x14ac:dyDescent="0.35">
      <c r="R18" s="2">
        <f t="shared" si="1"/>
        <v>0.80237970253718294</v>
      </c>
      <c r="S18" s="2">
        <f t="shared" si="2"/>
        <v>0.11189851268591426</v>
      </c>
      <c r="T18" s="2">
        <f t="shared" si="3"/>
        <v>8.14</v>
      </c>
      <c r="Z18" s="2">
        <v>80</v>
      </c>
      <c r="AA18" s="2">
        <v>183.42400000000001</v>
      </c>
      <c r="AB18" s="2">
        <v>25.58</v>
      </c>
      <c r="AC18" s="2">
        <v>1.71</v>
      </c>
      <c r="AD18" s="2">
        <v>8.14</v>
      </c>
    </row>
    <row r="19" spans="1:30" x14ac:dyDescent="0.35">
      <c r="R19" s="2">
        <f t="shared" si="1"/>
        <v>0.85252843394575684</v>
      </c>
      <c r="S19" s="2">
        <f t="shared" si="2"/>
        <v>0.10148731408573929</v>
      </c>
      <c r="T19" s="2">
        <f t="shared" si="3"/>
        <v>7.88</v>
      </c>
      <c r="Z19" s="2">
        <v>85</v>
      </c>
      <c r="AA19" s="2">
        <v>194.88800000000001</v>
      </c>
      <c r="AB19" s="2">
        <v>23.2</v>
      </c>
      <c r="AC19" s="2">
        <v>1.55</v>
      </c>
      <c r="AD19" s="2">
        <v>7.88</v>
      </c>
    </row>
    <row r="20" spans="1:30" x14ac:dyDescent="0.35">
      <c r="R20" s="2">
        <f t="shared" si="1"/>
        <v>0.90267716535433073</v>
      </c>
      <c r="S20" s="2">
        <f t="shared" si="2"/>
        <v>9.011373578302713E-2</v>
      </c>
      <c r="T20" s="2">
        <f t="shared" si="3"/>
        <v>7.39</v>
      </c>
      <c r="Z20" s="2">
        <v>90</v>
      </c>
      <c r="AA20" s="2">
        <v>206.352</v>
      </c>
      <c r="AB20" s="2">
        <v>20.6</v>
      </c>
      <c r="AC20" s="2">
        <v>1.45</v>
      </c>
      <c r="AD20" s="2">
        <v>7.39</v>
      </c>
    </row>
    <row r="21" spans="1:30" x14ac:dyDescent="0.35">
      <c r="R21" s="2">
        <f t="shared" si="1"/>
        <v>0.95282589676290463</v>
      </c>
      <c r="S21" s="2">
        <f t="shared" si="2"/>
        <v>7.7515310586176722E-2</v>
      </c>
      <c r="T21" s="2">
        <f t="shared" si="3"/>
        <v>6.19</v>
      </c>
      <c r="Z21" s="2">
        <v>95</v>
      </c>
      <c r="AA21" s="2">
        <v>217.816</v>
      </c>
      <c r="AB21" s="2">
        <v>17.72</v>
      </c>
      <c r="AC21" s="2">
        <v>1.44</v>
      </c>
      <c r="AD21" s="2">
        <v>6.19</v>
      </c>
    </row>
    <row r="22" spans="1:30" x14ac:dyDescent="0.35">
      <c r="Z22" s="2">
        <v>100</v>
      </c>
      <c r="AA22" s="2">
        <v>229.28000000000003</v>
      </c>
      <c r="AB22" s="2">
        <v>1.71</v>
      </c>
      <c r="AC22" s="2">
        <v>0.33</v>
      </c>
      <c r="AD22" s="2">
        <v>5.95</v>
      </c>
    </row>
    <row r="23" spans="1:30" x14ac:dyDescent="0.35">
      <c r="M23" s="2" t="s">
        <v>356</v>
      </c>
    </row>
    <row r="24" spans="1:30" x14ac:dyDescent="0.35">
      <c r="L24" s="2" t="s">
        <v>57</v>
      </c>
      <c r="M24" s="2">
        <f ca="1">Sheet1!B48</f>
        <v>10</v>
      </c>
      <c r="N24" s="2">
        <f ca="1">M24*0.0254</f>
        <v>0.254</v>
      </c>
      <c r="R24" s="2" t="s">
        <v>343</v>
      </c>
      <c r="S24" s="2" t="s">
        <v>344</v>
      </c>
    </row>
    <row r="25" spans="1:30" x14ac:dyDescent="0.35">
      <c r="M25" s="2">
        <f ca="1">M24/2</f>
        <v>5</v>
      </c>
      <c r="N25" s="2">
        <f ca="1">N24/2*1000</f>
        <v>127</v>
      </c>
      <c r="Q25" s="2">
        <v>3000</v>
      </c>
      <c r="R25" s="2">
        <f t="shared" ref="R25:S34" ca="1" si="4">R12*$N$25</f>
        <v>25.475555555555559</v>
      </c>
      <c r="S25" s="2">
        <f t="shared" ca="1" si="4"/>
        <v>17.31111111111111</v>
      </c>
      <c r="T25" s="2">
        <f ca="1">+($M$26*(Q25/60*2*PI())*(R25/1000)*(S25/1000))/0.000017894</f>
        <v>8934.273034918353</v>
      </c>
    </row>
    <row r="26" spans="1:30" x14ac:dyDescent="0.35">
      <c r="L26" s="2" t="s">
        <v>352</v>
      </c>
      <c r="M26" s="2">
        <f ca="1">Sheet1!B49</f>
        <v>1.1538999999999999</v>
      </c>
      <c r="R26" s="2">
        <f t="shared" ca="1" si="4"/>
        <v>44.582222222222221</v>
      </c>
      <c r="S26" s="2">
        <f t="shared" ca="1" si="4"/>
        <v>21.005555555555556</v>
      </c>
    </row>
    <row r="27" spans="1:30" x14ac:dyDescent="0.35">
      <c r="R27" s="2">
        <f t="shared" ca="1" si="4"/>
        <v>63.688888888888897</v>
      </c>
      <c r="S27" s="2">
        <f t="shared" ca="1" si="4"/>
        <v>20.016666666666666</v>
      </c>
    </row>
    <row r="28" spans="1:30" x14ac:dyDescent="0.35">
      <c r="L28" s="2" t="s">
        <v>353</v>
      </c>
      <c r="R28" s="2">
        <f t="shared" ca="1" si="4"/>
        <v>76.426666666666677</v>
      </c>
      <c r="S28" s="2">
        <f t="shared" ca="1" si="4"/>
        <v>18.488888888888891</v>
      </c>
    </row>
    <row r="29" spans="1:30" x14ac:dyDescent="0.35">
      <c r="L29" s="2" t="s">
        <v>343</v>
      </c>
      <c r="M29" s="2" t="s">
        <v>344</v>
      </c>
      <c r="R29" s="2">
        <f t="shared" ca="1" si="4"/>
        <v>89.164444444444442</v>
      </c>
      <c r="S29" s="2">
        <f t="shared" ca="1" si="4"/>
        <v>16.538888888888888</v>
      </c>
    </row>
    <row r="30" spans="1:30" x14ac:dyDescent="0.35">
      <c r="L30" s="2">
        <f ca="1">U17*N25</f>
        <v>95.25</v>
      </c>
      <c r="M30" s="2">
        <f ca="1">V17*N25</f>
        <v>15.477207877801039</v>
      </c>
      <c r="R30" s="2">
        <f t="shared" ca="1" si="4"/>
        <v>95.533333333333331</v>
      </c>
      <c r="S30" s="2">
        <f t="shared" ca="1" si="4"/>
        <v>15.427777777777779</v>
      </c>
    </row>
    <row r="31" spans="1:30" x14ac:dyDescent="0.35">
      <c r="R31" s="2">
        <f t="shared" ca="1" si="4"/>
        <v>101.90222222222224</v>
      </c>
      <c r="S31" s="2">
        <f t="shared" ca="1" si="4"/>
        <v>14.21111111111111</v>
      </c>
    </row>
    <row r="32" spans="1:30" x14ac:dyDescent="0.35">
      <c r="M32" s="2" t="s">
        <v>357</v>
      </c>
      <c r="R32" s="2">
        <f t="shared" ca="1" si="4"/>
        <v>108.27111111111113</v>
      </c>
      <c r="S32" s="2">
        <f t="shared" ca="1" si="4"/>
        <v>12.888888888888889</v>
      </c>
    </row>
    <row r="33" spans="12:19" x14ac:dyDescent="0.35">
      <c r="L33" s="2" t="s">
        <v>57</v>
      </c>
      <c r="M33" s="2">
        <f>Calculator!E22</f>
        <v>10</v>
      </c>
      <c r="N33" s="2">
        <f>M33*0.0254</f>
        <v>0.254</v>
      </c>
      <c r="R33" s="2">
        <f t="shared" ca="1" si="4"/>
        <v>114.64</v>
      </c>
      <c r="S33" s="2">
        <f t="shared" ca="1" si="4"/>
        <v>11.444444444444445</v>
      </c>
    </row>
    <row r="34" spans="12:19" x14ac:dyDescent="0.35">
      <c r="M34" s="2">
        <f>M33/2</f>
        <v>5</v>
      </c>
      <c r="N34" s="2">
        <f>N33/2*1000</f>
        <v>127</v>
      </c>
      <c r="R34" s="2">
        <f t="shared" ca="1" si="4"/>
        <v>121.00888888888889</v>
      </c>
      <c r="S34" s="2">
        <f t="shared" ca="1" si="4"/>
        <v>9.8444444444444432</v>
      </c>
    </row>
    <row r="35" spans="12:19" x14ac:dyDescent="0.35">
      <c r="L35" s="2" t="s">
        <v>352</v>
      </c>
      <c r="M35" s="2">
        <f>Calculator!E25</f>
        <v>1.2250000000000001</v>
      </c>
    </row>
    <row r="36" spans="12:19" x14ac:dyDescent="0.35">
      <c r="L36" s="2" t="s">
        <v>353</v>
      </c>
    </row>
    <row r="37" spans="12:19" x14ac:dyDescent="0.35">
      <c r="L37" s="2" t="s">
        <v>343</v>
      </c>
      <c r="M37" s="2" t="s">
        <v>344</v>
      </c>
    </row>
    <row r="38" spans="12:19" x14ac:dyDescent="0.35">
      <c r="L38" s="2">
        <f>U17*N34</f>
        <v>95.25</v>
      </c>
      <c r="M38" s="2">
        <f>V17*N34</f>
        <v>15.477207877801039</v>
      </c>
    </row>
  </sheetData>
  <sheetProtection algorithmName="SHA-512" hashValue="m0cQyOGjN1lyaOSUBOgUgQ4GR+cXr/Pz1/kjGCMr+byR+xo0NDdWLKYmei/J7aM++dvnwDFHB+ra2mSKRkJkRA==" saltValue="cFF94reIB0WyxNaifnSI3Q==" spinCount="100000" sheet="1" objects="1" scenarios="1" select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FB92-F9D6-40C1-A59B-01BD2F868982}">
  <dimension ref="A1:O172"/>
  <sheetViews>
    <sheetView showGridLines="0" showRowColHeaders="0" topLeftCell="Q1" zoomScale="94" workbookViewId="0">
      <selection sqref="A1:XFD1048576"/>
    </sheetView>
  </sheetViews>
  <sheetFormatPr defaultColWidth="9.1796875" defaultRowHeight="14.5" x14ac:dyDescent="0.35"/>
  <cols>
    <col min="1" max="2" width="9.1796875" style="2"/>
    <col min="3" max="3" width="12.7265625" style="2" bestFit="1" customWidth="1"/>
    <col min="4" max="16384" width="9.1796875" style="2"/>
  </cols>
  <sheetData>
    <row r="1" spans="1:15" x14ac:dyDescent="0.35">
      <c r="A1" s="2" t="s">
        <v>17</v>
      </c>
      <c r="B1" s="2">
        <f>Calculator!E22</f>
        <v>10</v>
      </c>
    </row>
    <row r="3" spans="1:15" x14ac:dyDescent="0.35">
      <c r="A3" s="2" t="s">
        <v>3</v>
      </c>
      <c r="B3" s="2" t="s">
        <v>18</v>
      </c>
      <c r="C3" s="2" t="s">
        <v>19</v>
      </c>
      <c r="D3" s="2" t="s">
        <v>38</v>
      </c>
      <c r="I3" s="2" t="s">
        <v>3</v>
      </c>
      <c r="J3" s="2" t="s">
        <v>18</v>
      </c>
      <c r="K3" s="2" t="s">
        <v>19</v>
      </c>
      <c r="L3" s="2" t="s">
        <v>38</v>
      </c>
      <c r="M3" s="2" t="s">
        <v>39</v>
      </c>
      <c r="N3" s="2" t="s">
        <v>40</v>
      </c>
      <c r="O3" s="2" t="s">
        <v>41</v>
      </c>
    </row>
    <row r="4" spans="1:15" x14ac:dyDescent="0.35">
      <c r="A4" s="2">
        <f ca="1">Sheet1!A51</f>
        <v>0</v>
      </c>
      <c r="B4" s="2" t="e">
        <f ca="1">Sheet1!O51</f>
        <v>#DIV/0!</v>
      </c>
      <c r="C4" s="2" t="b">
        <f>IF($B$1=16,'16'!D2,IF($B$1=17,'17'!D2,IF('For Chart'!$B$1=18,'18'!D2,IF($B$1=14,'14'!D2,IF($B$1=20,'20'!D2,IF('For Chart'!$B$1=22,'22'!D2,IF('For Chart'!$B$1=24,'24'!D2,IF($B$1=26,'26'!D2,IF('For Chart'!$B$1=30,'30'!D2,IF('For Chart'!$B$1=28,'28'!D2,IF('For Chart'!$B$1=40,'40'!D2,IF($B$1="28-3 Blade",'28-3 blade'!D2,IF($B$1=32,'32'!D2)))))))))))))</f>
        <v>0</v>
      </c>
      <c r="D4" s="2" t="e">
        <f ca="1">Sheet1!P51</f>
        <v>#DIV/0!</v>
      </c>
      <c r="I4" s="2" t="e">
        <f ca="1">IF(A4=0,#N/A,A4)</f>
        <v>#N/A</v>
      </c>
      <c r="J4" s="2" t="e">
        <f ca="1">IF(A4=0,#N/A,B4)</f>
        <v>#N/A</v>
      </c>
      <c r="K4" s="2" t="e">
        <f ca="1">IF(A4=0,#N/A,C4)</f>
        <v>#N/A</v>
      </c>
      <c r="L4" s="2" t="e">
        <f ca="1">IF(D4=0,#N/A,D4)</f>
        <v>#DIV/0!</v>
      </c>
      <c r="M4" s="2" t="e">
        <f ca="1">J4*1000/L4</f>
        <v>#N/A</v>
      </c>
      <c r="N4" s="2" t="e">
        <f ca="1">L4/(Calculator!$E$26/100)</f>
        <v>#DIV/0!</v>
      </c>
      <c r="O4" s="2" t="e">
        <f ca="1">J4*1000/N4</f>
        <v>#N/A</v>
      </c>
    </row>
    <row r="5" spans="1:15" x14ac:dyDescent="0.35">
      <c r="A5" s="2">
        <f ca="1">Sheet1!A52</f>
        <v>3578</v>
      </c>
      <c r="B5" s="2">
        <f ca="1">Sheet1!O52</f>
        <v>0.14979718945974446</v>
      </c>
      <c r="C5" s="2" t="b">
        <f>IF($B$1=16,'16'!D3,IF($B$1=17,'17'!D4,IF('For Chart'!$B$1=18,'18'!D3,IF($B$1=14,'14'!D3,IF($B$1=20,'20'!D3,IF('For Chart'!$B$1=22,'22'!D3,IF('For Chart'!$B$1=24,'24'!D3,IF($B$1=26,'26'!D3,IF('For Chart'!$B$1=30,'30'!D3,IF('For Chart'!$B$1=28,'28'!D3,IF('For Chart'!$B$1=40,'40'!D3,IF($B$1="28-3 Blade",'28-3 blade'!D3,IF($B$1=32,'32'!D3)))))))))))))</f>
        <v>0</v>
      </c>
      <c r="D5" s="2">
        <f ca="1">Sheet1!P52</f>
        <v>8.592362230121001</v>
      </c>
      <c r="I5" s="2">
        <f t="shared" ref="I5:I38" ca="1" si="0">IF(A5=0,#N/A,A5)</f>
        <v>3578</v>
      </c>
      <c r="J5" s="2">
        <f ca="1">IF(A5=0,#N/A,B5)</f>
        <v>0.14979718945974446</v>
      </c>
      <c r="K5" s="2" t="b">
        <f t="shared" ref="K5:K38" ca="1" si="1">IF(A5=0,#N/A,C5)</f>
        <v>0</v>
      </c>
      <c r="L5" s="2">
        <f t="shared" ref="L5:L38" ca="1" si="2">IF(D5=0,#N/A,D5)</f>
        <v>8.592362230121001</v>
      </c>
      <c r="M5" s="2">
        <f t="shared" ref="M5:M38" ca="1" si="3">J5*1000/L5</f>
        <v>17.433760990036259</v>
      </c>
      <c r="N5" s="2">
        <f ca="1">L5/(Calculator!$E$26/100)</f>
        <v>10.74045278765125</v>
      </c>
      <c r="O5" s="2">
        <f t="shared" ref="O5:O68" ca="1" si="4">J5*1000/N5</f>
        <v>13.947008792029008</v>
      </c>
    </row>
    <row r="6" spans="1:15" x14ac:dyDescent="0.35">
      <c r="A6" s="2">
        <f ca="1">Sheet1!A53</f>
        <v>4283</v>
      </c>
      <c r="B6" s="2">
        <f ca="1">Sheet1!O53</f>
        <v>0.22101044401624875</v>
      </c>
      <c r="C6" s="2" t="b">
        <f>IF($B$1=16,'16'!D4,IF($B$1=17,'17'!D5,IF('For Chart'!$B$1=18,'18'!D4,IF($B$1=14,'14'!D4,IF($B$1=20,'20'!D4,IF('For Chart'!$B$1=22,'22'!D4,IF('For Chart'!$B$1=24,'24'!D4,IF($B$1=26,'26'!D4,IF('For Chart'!$B$1=30,'30'!D4,IF('For Chart'!$B$1=28,'28'!D4,IF('For Chart'!$B$1=40,'40'!D4,IF($B$1="28-3 Blade",'28-3 blade'!D4,IF($B$1=32,'32'!D4)))))))))))))</f>
        <v>0</v>
      </c>
      <c r="D6" s="2">
        <f ca="1">Sheet1!P53</f>
        <v>15.786769591688486</v>
      </c>
      <c r="I6" s="2">
        <f t="shared" ca="1" si="0"/>
        <v>4283</v>
      </c>
      <c r="J6" s="2">
        <f t="shared" ref="J6:J38" ca="1" si="5">IF(A6=0,#N/A,B6)</f>
        <v>0.22101044401624875</v>
      </c>
      <c r="K6" s="2" t="b">
        <f t="shared" ca="1" si="1"/>
        <v>0</v>
      </c>
      <c r="L6" s="2">
        <f t="shared" ca="1" si="2"/>
        <v>15.786769591688486</v>
      </c>
      <c r="M6" s="2">
        <f t="shared" ca="1" si="3"/>
        <v>13.999725702756038</v>
      </c>
      <c r="N6" s="2">
        <f ca="1">L6/(Calculator!$E$26/100)</f>
        <v>19.733461989610607</v>
      </c>
      <c r="O6" s="2">
        <f t="shared" ca="1" si="4"/>
        <v>11.199780562204831</v>
      </c>
    </row>
    <row r="7" spans="1:15" x14ac:dyDescent="0.35">
      <c r="A7" s="2">
        <f ca="1">Sheet1!A54</f>
        <v>4910</v>
      </c>
      <c r="B7" s="2">
        <f ca="1">Sheet1!O54</f>
        <v>0.30055387504830067</v>
      </c>
      <c r="C7" s="2" t="b">
        <f>IF($B$1=16,'16'!D5,IF($B$1=17,'17'!D6,IF('For Chart'!$B$1=18,'18'!D5,IF($B$1=14,'14'!D5,IF($B$1=20,'20'!D5,IF('For Chart'!$B$1=22,'22'!D5,IF('For Chart'!$B$1=24,'24'!D5,IF($B$1=26,'26'!D5,IF('For Chart'!$B$1=30,'30'!D5,IF('For Chart'!$B$1=28,'28'!D5,IF('For Chart'!$B$1=40,'40'!D5,IF($B$1="28-3 Blade",'28-3 blade'!D5,IF($B$1=32,'32'!D5)))))))))))))</f>
        <v>0</v>
      </c>
      <c r="D7" s="2">
        <f ca="1">Sheet1!P54</f>
        <v>25.027496762832726</v>
      </c>
      <c r="I7" s="2">
        <f t="shared" ca="1" si="0"/>
        <v>4910</v>
      </c>
      <c r="J7" s="2">
        <f t="shared" ca="1" si="5"/>
        <v>0.30055387504830067</v>
      </c>
      <c r="K7" s="2" t="b">
        <f t="shared" ca="1" si="1"/>
        <v>0</v>
      </c>
      <c r="L7" s="2">
        <f t="shared" ca="1" si="2"/>
        <v>25.027496762832726</v>
      </c>
      <c r="M7" s="2">
        <f t="shared" ca="1" si="3"/>
        <v>12.008946715543701</v>
      </c>
      <c r="N7" s="2">
        <f ca="1">L7/(Calculator!$E$26/100)</f>
        <v>31.284370953540908</v>
      </c>
      <c r="O7" s="2">
        <f t="shared" ca="1" si="4"/>
        <v>9.6071573724349602</v>
      </c>
    </row>
    <row r="8" spans="1:15" x14ac:dyDescent="0.35">
      <c r="A8" s="2">
        <f ca="1">Sheet1!A55</f>
        <v>5541</v>
      </c>
      <c r="B8" s="2">
        <f ca="1">Sheet1!O55</f>
        <v>0.3976018684169958</v>
      </c>
      <c r="C8" s="2" t="b">
        <f>IF($B$1=16,'16'!D6,IF($B$1=17,'17'!D7,IF('For Chart'!$B$1=18,'18'!D6,IF($B$1=14,'14'!D6,IF($B$1=20,'20'!D6,IF('For Chart'!$B$1=22,'22'!D6,IF('For Chart'!$B$1=24,'24'!D6,IF($B$1=26,'26'!D6,IF('For Chart'!$B$1=30,'30'!D6,IF('For Chart'!$B$1=28,'28'!D6,IF('For Chart'!$B$1=40,'40'!D6,IF($B$1="28-3 Blade",'28-3 blade'!D6,IF($B$1=32,'32'!D6)))))))))))))</f>
        <v>0</v>
      </c>
      <c r="D8" s="2">
        <f ca="1">Sheet1!P55</f>
        <v>37.990193951567257</v>
      </c>
      <c r="I8" s="2">
        <f t="shared" ca="1" si="0"/>
        <v>5541</v>
      </c>
      <c r="J8" s="2">
        <f t="shared" ca="1" si="5"/>
        <v>0.3976018684169958</v>
      </c>
      <c r="K8" s="2" t="b">
        <f t="shared" ca="1" si="1"/>
        <v>0</v>
      </c>
      <c r="L8" s="2">
        <f t="shared" ca="1" si="2"/>
        <v>37.990193951567257</v>
      </c>
      <c r="M8" s="2">
        <f t="shared" ca="1" si="3"/>
        <v>10.465907832002342</v>
      </c>
      <c r="N8" s="2">
        <f ca="1">L8/(Calculator!$E$26/100)</f>
        <v>47.487742439459069</v>
      </c>
      <c r="O8" s="2">
        <f t="shared" ca="1" si="4"/>
        <v>8.3727262656018748</v>
      </c>
    </row>
    <row r="9" spans="1:15" x14ac:dyDescent="0.35">
      <c r="A9" s="2">
        <f ca="1">Sheet1!A56</f>
        <v>6169</v>
      </c>
      <c r="B9" s="2">
        <f ca="1">Sheet1!O56</f>
        <v>0.51737807510621103</v>
      </c>
      <c r="C9" s="2" t="b">
        <f>IF($B$1=16,'16'!D7,IF($B$1=17,'17'!D8,IF('For Chart'!$B$1=18,'18'!D7,IF($B$1=14,'14'!D7,IF($B$1=20,'20'!D7,IF('For Chart'!$B$1=22,'22'!D7,IF('For Chart'!$B$1=24,'24'!D7,IF($B$1=26,'26'!D7,IF('For Chart'!$B$1=30,'30'!D7,IF('For Chart'!$B$1=28,'28'!D7,IF('For Chart'!$B$1=40,'40'!D7,IF($B$1="28-3 Blade",'28-3 blade'!D7,IF($B$1=32,'32'!D7)))))))))))))</f>
        <v>0</v>
      </c>
      <c r="D9" s="2">
        <f ca="1">Sheet1!P56</f>
        <v>56.155672841693978</v>
      </c>
      <c r="I9" s="2">
        <f t="shared" ca="1" si="0"/>
        <v>6169</v>
      </c>
      <c r="J9" s="2">
        <f t="shared" ca="1" si="5"/>
        <v>0.51737807510621103</v>
      </c>
      <c r="K9" s="2" t="b">
        <f t="shared" ca="1" si="1"/>
        <v>0</v>
      </c>
      <c r="L9" s="2">
        <f t="shared" ca="1" si="2"/>
        <v>56.155672841693978</v>
      </c>
      <c r="M9" s="2">
        <f t="shared" ca="1" si="3"/>
        <v>9.2132824508171964</v>
      </c>
      <c r="N9" s="2">
        <f ca="1">L9/(Calculator!$E$26/100)</f>
        <v>70.194591052117474</v>
      </c>
      <c r="O9" s="2">
        <f t="shared" ca="1" si="4"/>
        <v>7.370625960653757</v>
      </c>
    </row>
    <row r="10" spans="1:15" x14ac:dyDescent="0.35">
      <c r="A10" s="2">
        <f ca="1">Sheet1!A57</f>
        <v>6807</v>
      </c>
      <c r="B10" s="2">
        <f ca="1">Sheet1!O57</f>
        <v>0.6419500483882965</v>
      </c>
      <c r="C10" s="2" t="b">
        <f>IF($B$1=16,'16'!D8,IF($B$1=17,'17'!D9,IF('For Chart'!$B$1=18,'18'!D8,IF($B$1=14,'14'!D8,IF($B$1=20,'20'!D8,IF('For Chart'!$B$1=22,'22'!D8,IF('For Chart'!$B$1=24,'24'!D8,IF($B$1=26,'26'!D8,IF('For Chart'!$B$1=30,'30'!D8,IF('For Chart'!$B$1=28,'28'!D8,IF('For Chart'!$B$1=40,'40'!D8,IF($B$1="28-3 Blade",'28-3 blade'!D8,IF($B$1=32,'32'!D8)))))))))))))</f>
        <v>0</v>
      </c>
      <c r="D10" s="2">
        <f ca="1">Sheet1!P57</f>
        <v>76.757121625149551</v>
      </c>
      <c r="I10" s="2">
        <f t="shared" ca="1" si="0"/>
        <v>6807</v>
      </c>
      <c r="J10" s="2">
        <f t="shared" ca="1" si="5"/>
        <v>0.6419500483882965</v>
      </c>
      <c r="K10" s="2" t="b">
        <f t="shared" ca="1" si="1"/>
        <v>0</v>
      </c>
      <c r="L10" s="2">
        <f t="shared" ca="1" si="2"/>
        <v>76.757121625149551</v>
      </c>
      <c r="M10" s="2">
        <f t="shared" ca="1" si="3"/>
        <v>8.3633939730481099</v>
      </c>
      <c r="N10" s="2">
        <f ca="1">L10/(Calculator!$E$26/100)</f>
        <v>95.946402031436932</v>
      </c>
      <c r="O10" s="2">
        <f t="shared" ca="1" si="4"/>
        <v>6.6907151784384888</v>
      </c>
    </row>
    <row r="11" spans="1:15" x14ac:dyDescent="0.35">
      <c r="A11" s="2">
        <f ca="1">Sheet1!A58</f>
        <v>7398</v>
      </c>
      <c r="B11" s="2">
        <f ca="1">Sheet1!O58</f>
        <v>0.77558115472901112</v>
      </c>
      <c r="C11" s="2" t="b">
        <f>IF($B$1=16,'16'!D9,IF($B$1=17,'17'!D10,IF('For Chart'!$B$1=18,'18'!D9,IF($B$1=14,'14'!D9,IF($B$1=20,'20'!D9,IF('For Chart'!$B$1=22,'22'!D9,IF('For Chart'!$B$1=24,'24'!D9,IF($B$1=26,'26'!D9,IF('For Chart'!$B$1=30,'30'!D9,IF('For Chart'!$B$1=28,'28'!D9,IF('For Chart'!$B$1=40,'40'!D9,IF($B$1="28-3 Blade",'28-3 blade'!D9,IF($B$1=32,'32'!D9)))))))))))))</f>
        <v>0</v>
      </c>
      <c r="D11" s="2">
        <f ca="1">Sheet1!P58</f>
        <v>101.24018709809383</v>
      </c>
      <c r="I11" s="2">
        <f t="shared" ca="1" si="0"/>
        <v>7398</v>
      </c>
      <c r="J11" s="2">
        <f t="shared" ca="1" si="5"/>
        <v>0.77558115472901112</v>
      </c>
      <c r="K11" s="2" t="b">
        <f t="shared" ca="1" si="1"/>
        <v>0</v>
      </c>
      <c r="L11" s="2">
        <f t="shared" ca="1" si="2"/>
        <v>101.24018709809383</v>
      </c>
      <c r="M11" s="2">
        <f t="shared" ca="1" si="3"/>
        <v>7.6608032537270363</v>
      </c>
      <c r="N11" s="2">
        <f ca="1">L11/(Calculator!$E$26/100)</f>
        <v>126.55023387261728</v>
      </c>
      <c r="O11" s="2">
        <f t="shared" ca="1" si="4"/>
        <v>6.1286426029816292</v>
      </c>
    </row>
    <row r="12" spans="1:15" x14ac:dyDescent="0.35">
      <c r="A12" s="2">
        <f ca="1">Sheet1!A59</f>
        <v>8008</v>
      </c>
      <c r="B12" s="2">
        <f ca="1">Sheet1!O59</f>
        <v>0.92831390900417043</v>
      </c>
      <c r="C12" s="2" t="b">
        <f>IF($B$1=16,'16'!D10,IF($B$1=17,'17'!D11,IF('For Chart'!$B$1=18,'18'!D10,IF($B$1=14,'14'!D10,IF($B$1=20,'20'!D10,IF('For Chart'!$B$1=22,'22'!D10,IF('For Chart'!$B$1=24,'24'!D10,IF($B$1=26,'26'!D10,IF('For Chart'!$B$1=30,'30'!D10,IF('For Chart'!$B$1=28,'28'!D10,IF('For Chart'!$B$1=40,'40'!D10,IF($B$1="28-3 Blade",'28-3 blade'!D10,IF($B$1=32,'32'!D10)))))))))))))</f>
        <v>0</v>
      </c>
      <c r="D12" s="2">
        <f ca="1">Sheet1!P59</f>
        <v>131.235843487175</v>
      </c>
      <c r="I12" s="2">
        <f t="shared" ca="1" si="0"/>
        <v>8008</v>
      </c>
      <c r="J12" s="2">
        <f t="shared" ca="1" si="5"/>
        <v>0.92831390900417043</v>
      </c>
      <c r="K12" s="2" t="b">
        <f t="shared" ca="1" si="1"/>
        <v>0</v>
      </c>
      <c r="L12" s="2">
        <f t="shared" ca="1" si="2"/>
        <v>131.235843487175</v>
      </c>
      <c r="M12" s="2">
        <f t="shared" ca="1" si="3"/>
        <v>7.0736308339031613</v>
      </c>
      <c r="N12" s="2">
        <f ca="1">L12/(Calculator!$E$26/100)</f>
        <v>164.04480435896875</v>
      </c>
      <c r="O12" s="2">
        <f t="shared" ca="1" si="4"/>
        <v>5.6589046671225294</v>
      </c>
    </row>
    <row r="13" spans="1:15" x14ac:dyDescent="0.35">
      <c r="A13" s="2">
        <f ca="1">Sheet1!A60</f>
        <v>8579</v>
      </c>
      <c r="B13" s="2">
        <f ca="1">Sheet1!O60</f>
        <v>1.089293180796967</v>
      </c>
      <c r="C13" s="2" t="b">
        <f>IF($B$1=16,'16'!D11,IF($B$1=17,'17'!D12,IF('For Chart'!$B$1=18,'18'!D11,IF($B$1=14,'14'!D11,IF($B$1=20,'20'!D11,IF('For Chart'!$B$1=22,'22'!D11,IF('For Chart'!$B$1=24,'24'!D11,IF($B$1=26,'26'!D11,IF('For Chart'!$B$1=30,'30'!D11,IF('For Chart'!$B$1=28,'28'!D11,IF('For Chart'!$B$1=40,'40'!D11,IF($B$1="28-3 Blade",'28-3 blade'!D11,IF($B$1=32,'32'!D11)))))))))))))</f>
        <v>0</v>
      </c>
      <c r="D13" s="2">
        <f ca="1">Sheet1!P60</f>
        <v>163.21961581945038</v>
      </c>
      <c r="I13" s="2">
        <f t="shared" ca="1" si="0"/>
        <v>8579</v>
      </c>
      <c r="J13" s="2">
        <f t="shared" ca="1" si="5"/>
        <v>1.089293180796967</v>
      </c>
      <c r="K13" s="2" t="b">
        <f t="shared" ca="1" si="1"/>
        <v>0</v>
      </c>
      <c r="L13" s="2">
        <f t="shared" ca="1" si="2"/>
        <v>163.21961581945038</v>
      </c>
      <c r="M13" s="2">
        <f t="shared" ca="1" si="3"/>
        <v>6.6737884127966387</v>
      </c>
      <c r="N13" s="2">
        <f ca="1">L13/(Calculator!$E$26/100)</f>
        <v>204.02451977431298</v>
      </c>
      <c r="O13" s="2">
        <f t="shared" ca="1" si="4"/>
        <v>5.3390307302373108</v>
      </c>
    </row>
    <row r="14" spans="1:15" x14ac:dyDescent="0.35">
      <c r="A14" s="2">
        <f ca="1">Sheet1!A61</f>
        <v>9121</v>
      </c>
      <c r="B14" s="2">
        <f ca="1">Sheet1!O61</f>
        <v>1.2571289508114714</v>
      </c>
      <c r="C14" s="2" t="b">
        <f>IF($B$1=16,'16'!D12,IF($B$1=17,'17'!D13,IF('For Chart'!$B$1=18,'18'!D12,IF($B$1=14,'14'!D12,IF($B$1=20,'20'!D12,IF('For Chart'!$B$1=22,'22'!D12,IF('For Chart'!$B$1=24,'24'!D12,IF($B$1=26,'26'!D12,IF('For Chart'!$B$1=30,'30'!D12,IF('For Chart'!$B$1=28,'28'!D12,IF('For Chart'!$B$1=40,'40'!D12,IF($B$1="28-3 Blade",'28-3 blade'!D12,IF($B$1=32,'32'!D12)))))))))))))</f>
        <v>0</v>
      </c>
      <c r="D14" s="2">
        <f ca="1">Sheet1!P61</f>
        <v>197.73765777314304</v>
      </c>
      <c r="I14" s="2">
        <f t="shared" ca="1" si="0"/>
        <v>9121</v>
      </c>
      <c r="J14" s="2">
        <f t="shared" ca="1" si="5"/>
        <v>1.2571289508114714</v>
      </c>
      <c r="K14" s="2" t="b">
        <f t="shared" ca="1" si="1"/>
        <v>0</v>
      </c>
      <c r="L14" s="2">
        <f t="shared" ca="1" si="2"/>
        <v>197.73765777314304</v>
      </c>
      <c r="M14" s="2">
        <f t="shared" ca="1" si="3"/>
        <v>6.3575596321350591</v>
      </c>
      <c r="N14" s="2">
        <f ca="1">L14/(Calculator!$E$26/100)</f>
        <v>247.1720722164288</v>
      </c>
      <c r="O14" s="2">
        <f t="shared" ca="1" si="4"/>
        <v>5.0860477057080473</v>
      </c>
    </row>
    <row r="15" spans="1:15" x14ac:dyDescent="0.35">
      <c r="A15" s="2">
        <f ca="1">Sheet1!A62</f>
        <v>9355</v>
      </c>
      <c r="B15" s="2">
        <f ca="1">Sheet1!O62</f>
        <v>1.3510279838823658</v>
      </c>
      <c r="C15" s="2" t="b">
        <f>IF($B$1=16,'16'!D13,IF($B$1=17,'17'!D14,IF('For Chart'!$B$1=18,'18'!D13,IF($B$1=14,'14'!D13,IF($B$1=20,'20'!D13,IF('For Chart'!$B$1=22,'22'!D13,IF('For Chart'!$B$1=24,'24'!D13,IF($B$1=26,'26'!D13,IF('For Chart'!$B$1=30,'30'!D13,IF('For Chart'!$B$1=28,'28'!D13,IF('For Chart'!$B$1=40,'40'!D13,IF($B$1="28-3 Blade",'28-3 blade'!D13,IF($B$1=32,'32'!D13)))))))))))))</f>
        <v>0</v>
      </c>
      <c r="D15" s="2">
        <f ca="1">Sheet1!P62</f>
        <v>220.30084378833271</v>
      </c>
      <c r="I15" s="2">
        <f t="shared" ca="1" si="0"/>
        <v>9355</v>
      </c>
      <c r="J15" s="2">
        <f t="shared" ca="1" si="5"/>
        <v>1.3510279838823658</v>
      </c>
      <c r="K15" s="2" t="b">
        <f t="shared" ca="1" si="1"/>
        <v>0</v>
      </c>
      <c r="L15" s="2">
        <f t="shared" ca="1" si="2"/>
        <v>220.30084378833271</v>
      </c>
      <c r="M15" s="2">
        <f t="shared" ca="1" si="3"/>
        <v>6.1326500645655591</v>
      </c>
      <c r="N15" s="2">
        <f ca="1">L15/(Calculator!$E$26/100)</f>
        <v>275.37605473541589</v>
      </c>
      <c r="O15" s="2">
        <f t="shared" ca="1" si="4"/>
        <v>4.9061200516524472</v>
      </c>
    </row>
    <row r="16" spans="1:15" x14ac:dyDescent="0.35">
      <c r="A16" s="2">
        <f ca="1">Sheet1!A63</f>
        <v>0</v>
      </c>
      <c r="B16" s="2" t="e">
        <f ca="1">Sheet1!O63</f>
        <v>#DIV/0!</v>
      </c>
      <c r="C16" s="2" t="b">
        <f>IF($B$1=16,'16'!D14,IF($B$1=17,'17'!D15,IF('For Chart'!$B$1=18,'18'!D14,IF($B$1=14,'14'!D14,IF($B$1=20,'20'!D14,IF('For Chart'!$B$1=22,'22'!D14,IF('For Chart'!$B$1=24,'24'!D14,IF($B$1=26,'26'!D14,IF('For Chart'!$B$1=30,'30'!D14,IF('For Chart'!$B$1=28,'28'!D14,IF('For Chart'!$B$1=40,'40'!D14,IF($B$1="28-3 Blade",'28-3 blade'!D14,IF($B$1=32,'32'!D14)))))))))))))</f>
        <v>0</v>
      </c>
      <c r="D16" s="2" t="e">
        <f ca="1">Sheet1!P63</f>
        <v>#DIV/0!</v>
      </c>
      <c r="I16" s="2" t="e">
        <f t="shared" ca="1" si="0"/>
        <v>#N/A</v>
      </c>
      <c r="J16" s="2" t="e">
        <f t="shared" ca="1" si="5"/>
        <v>#N/A</v>
      </c>
      <c r="K16" s="2" t="e">
        <f t="shared" ca="1" si="1"/>
        <v>#N/A</v>
      </c>
      <c r="L16" s="2" t="e">
        <f t="shared" ca="1" si="2"/>
        <v>#DIV/0!</v>
      </c>
      <c r="M16" s="2" t="e">
        <f t="shared" ca="1" si="3"/>
        <v>#N/A</v>
      </c>
      <c r="N16" s="2" t="e">
        <f ca="1">L16/(Calculator!$E$26/100)</f>
        <v>#DIV/0!</v>
      </c>
      <c r="O16" s="2" t="e">
        <f t="shared" ca="1" si="4"/>
        <v>#N/A</v>
      </c>
    </row>
    <row r="17" spans="1:15" x14ac:dyDescent="0.35">
      <c r="A17" s="2">
        <f ca="1">Sheet1!A64</f>
        <v>0</v>
      </c>
      <c r="B17" s="2" t="e">
        <f ca="1">Sheet1!O64</f>
        <v>#DIV/0!</v>
      </c>
      <c r="C17" s="2" t="b">
        <f>IF($B$1=16,'16'!D15,IF($B$1=17,'17'!D16,IF('For Chart'!$B$1=18,'18'!D15,IF($B$1=14,'14'!D15,IF($B$1=20,'20'!D15,IF('For Chart'!$B$1=22,'22'!D15,IF('For Chart'!$B$1=24,'24'!D15,IF($B$1=26,'26'!D15,IF('For Chart'!$B$1=30,'30'!D15,IF('For Chart'!$B$1=28,'28'!D15,IF('For Chart'!$B$1=40,'40'!D15,IF($B$1="28-3 Blade",'28-3 blade'!D15,IF($B$1=32,'32'!D15)))))))))))))</f>
        <v>0</v>
      </c>
      <c r="D17" s="2" t="e">
        <f ca="1">Sheet1!P64</f>
        <v>#DIV/0!</v>
      </c>
      <c r="I17" s="2" t="e">
        <f t="shared" ca="1" si="0"/>
        <v>#N/A</v>
      </c>
      <c r="J17" s="2" t="e">
        <f t="shared" ca="1" si="5"/>
        <v>#N/A</v>
      </c>
      <c r="K17" s="2" t="e">
        <f t="shared" ca="1" si="1"/>
        <v>#N/A</v>
      </c>
      <c r="L17" s="2" t="e">
        <f t="shared" ca="1" si="2"/>
        <v>#DIV/0!</v>
      </c>
      <c r="M17" s="2" t="e">
        <f t="shared" ca="1" si="3"/>
        <v>#N/A</v>
      </c>
      <c r="N17" s="2" t="e">
        <f ca="1">L17/(Calculator!$E$26/100)</f>
        <v>#DIV/0!</v>
      </c>
      <c r="O17" s="2" t="e">
        <f t="shared" ca="1" si="4"/>
        <v>#N/A</v>
      </c>
    </row>
    <row r="18" spans="1:15" x14ac:dyDescent="0.35">
      <c r="A18" s="2">
        <f ca="1">Sheet1!A65</f>
        <v>0</v>
      </c>
      <c r="B18" s="2" t="e">
        <f ca="1">Sheet1!O65</f>
        <v>#DIV/0!</v>
      </c>
      <c r="C18" s="2" t="b">
        <f>IF($B$1=16,'16'!D16,IF($B$1=17,'17'!D17,IF('For Chart'!$B$1=18,'18'!D16,IF($B$1=14,'14'!D16,IF($B$1=20,'20'!D16,IF('For Chart'!$B$1=22,'22'!D16,IF('For Chart'!$B$1=24,'24'!D16,IF($B$1=26,'26'!D16,IF('For Chart'!$B$1=30,'30'!D16,IF('For Chart'!$B$1=28,'28'!D16,IF('For Chart'!$B$1=40,'40'!D16,IF($B$1="28-3 Blade",'28-3 blade'!D16,IF($B$1=32,'32'!D16)))))))))))))</f>
        <v>0</v>
      </c>
      <c r="D18" s="2" t="e">
        <f ca="1">Sheet1!P65</f>
        <v>#DIV/0!</v>
      </c>
      <c r="I18" s="2" t="e">
        <f t="shared" ca="1" si="0"/>
        <v>#N/A</v>
      </c>
      <c r="J18" s="2" t="e">
        <f t="shared" ca="1" si="5"/>
        <v>#N/A</v>
      </c>
      <c r="K18" s="2" t="e">
        <f t="shared" ca="1" si="1"/>
        <v>#N/A</v>
      </c>
      <c r="L18" s="2" t="e">
        <f t="shared" ca="1" si="2"/>
        <v>#DIV/0!</v>
      </c>
      <c r="M18" s="2" t="e">
        <f t="shared" ca="1" si="3"/>
        <v>#N/A</v>
      </c>
      <c r="N18" s="2" t="e">
        <f ca="1">L18/(Calculator!$E$26/100)</f>
        <v>#DIV/0!</v>
      </c>
      <c r="O18" s="2" t="e">
        <f t="shared" ca="1" si="4"/>
        <v>#N/A</v>
      </c>
    </row>
    <row r="19" spans="1:15" x14ac:dyDescent="0.35">
      <c r="A19" s="2">
        <f ca="1">Sheet1!A66</f>
        <v>0</v>
      </c>
      <c r="B19" s="2" t="e">
        <f ca="1">Sheet1!O66</f>
        <v>#DIV/0!</v>
      </c>
      <c r="C19" s="2" t="b">
        <f>IF($B$1=16,'16'!D17,IF($B$1=17,'17'!D18,IF('For Chart'!$B$1=18,'18'!D17,IF($B$1=14,'14'!D17,IF($B$1=20,'20'!D17,IF('For Chart'!$B$1=22,'22'!D17,IF('For Chart'!$B$1=24,'24'!D17,IF($B$1=26,'26'!D17,IF('For Chart'!$B$1=30,'30'!D17,IF('For Chart'!$B$1=28,'28'!D17,IF('For Chart'!$B$1=40,'40'!D17,IF($B$1="28-3 Blade",'28-3 blade'!D17,IF($B$1=32,'32'!D17)))))))))))))</f>
        <v>0</v>
      </c>
      <c r="D19" s="2" t="e">
        <f ca="1">Sheet1!P66</f>
        <v>#DIV/0!</v>
      </c>
      <c r="I19" s="2" t="e">
        <f t="shared" ca="1" si="0"/>
        <v>#N/A</v>
      </c>
      <c r="J19" s="2" t="e">
        <f t="shared" ca="1" si="5"/>
        <v>#N/A</v>
      </c>
      <c r="K19" s="2" t="e">
        <f t="shared" ca="1" si="1"/>
        <v>#N/A</v>
      </c>
      <c r="L19" s="2" t="e">
        <f t="shared" ca="1" si="2"/>
        <v>#DIV/0!</v>
      </c>
      <c r="M19" s="2" t="e">
        <f t="shared" ca="1" si="3"/>
        <v>#N/A</v>
      </c>
      <c r="N19" s="2" t="e">
        <f ca="1">L19/(Calculator!$E$26/100)</f>
        <v>#DIV/0!</v>
      </c>
      <c r="O19" s="2" t="e">
        <f t="shared" ca="1" si="4"/>
        <v>#N/A</v>
      </c>
    </row>
    <row r="20" spans="1:15" x14ac:dyDescent="0.35">
      <c r="A20" s="2">
        <f ca="1">Sheet1!A67</f>
        <v>0</v>
      </c>
      <c r="B20" s="2" t="e">
        <f ca="1">Sheet1!O67</f>
        <v>#DIV/0!</v>
      </c>
      <c r="C20" s="2" t="b">
        <f>IF($B$1=16,'16'!D18,IF($B$1=17,'17'!D19,IF('For Chart'!$B$1=18,'18'!D18,IF($B$1=14,'14'!D18,IF($B$1=20,'20'!D18,IF('For Chart'!$B$1=22,'22'!D18,IF('For Chart'!$B$1=24,'24'!D18,IF($B$1=26,'26'!D18,IF('For Chart'!$B$1=30,'30'!D18,IF('For Chart'!$B$1=28,'28'!D18,IF('For Chart'!$B$1=40,'40'!D18,IF($B$1="28-3 Blade",'28-3 blade'!D18,IF($B$1=32,'32'!D18)))))))))))))</f>
        <v>0</v>
      </c>
      <c r="D20" s="2" t="e">
        <f ca="1">Sheet1!P67</f>
        <v>#DIV/0!</v>
      </c>
      <c r="I20" s="2" t="e">
        <f t="shared" ca="1" si="0"/>
        <v>#N/A</v>
      </c>
      <c r="J20" s="2" t="e">
        <f t="shared" ca="1" si="5"/>
        <v>#N/A</v>
      </c>
      <c r="K20" s="2" t="e">
        <f t="shared" ca="1" si="1"/>
        <v>#N/A</v>
      </c>
      <c r="L20" s="2" t="e">
        <f t="shared" ca="1" si="2"/>
        <v>#DIV/0!</v>
      </c>
      <c r="M20" s="2" t="e">
        <f t="shared" ca="1" si="3"/>
        <v>#N/A</v>
      </c>
      <c r="N20" s="2" t="e">
        <f ca="1">L20/(Calculator!$E$26/100)</f>
        <v>#DIV/0!</v>
      </c>
      <c r="O20" s="2" t="e">
        <f t="shared" ca="1" si="4"/>
        <v>#N/A</v>
      </c>
    </row>
    <row r="21" spans="1:15" x14ac:dyDescent="0.35">
      <c r="A21" s="2">
        <f ca="1">Sheet1!A68</f>
        <v>0</v>
      </c>
      <c r="B21" s="2" t="e">
        <f ca="1">Sheet1!O68</f>
        <v>#DIV/0!</v>
      </c>
      <c r="C21" s="2" t="b">
        <f>IF($B$1=16,'16'!D19,IF($B$1=17,'17'!D20,IF('For Chart'!$B$1=18,'18'!D19,IF($B$1=14,'14'!D19,IF($B$1=20,'20'!D19,IF('For Chart'!$B$1=22,'22'!D19,IF('For Chart'!$B$1=24,'24'!D19,IF($B$1=26,'26'!D19,IF('For Chart'!$B$1=30,'30'!D19,IF('For Chart'!$B$1=28,'28'!D19,IF('For Chart'!$B$1=40,'40'!D19,IF($B$1="28-3 Blade",'28-3 blade'!D19,IF($B$1=32,'32'!D19)))))))))))))</f>
        <v>0</v>
      </c>
      <c r="D21" s="2" t="e">
        <f ca="1">Sheet1!P68</f>
        <v>#DIV/0!</v>
      </c>
      <c r="I21" s="2" t="e">
        <f t="shared" ca="1" si="0"/>
        <v>#N/A</v>
      </c>
      <c r="J21" s="2" t="e">
        <f t="shared" ca="1" si="5"/>
        <v>#N/A</v>
      </c>
      <c r="K21" s="2" t="e">
        <f t="shared" ca="1" si="1"/>
        <v>#N/A</v>
      </c>
      <c r="L21" s="2" t="e">
        <f t="shared" ca="1" si="2"/>
        <v>#DIV/0!</v>
      </c>
      <c r="M21" s="2" t="e">
        <f t="shared" ca="1" si="3"/>
        <v>#N/A</v>
      </c>
      <c r="N21" s="2" t="e">
        <f ca="1">L21/(Calculator!$E$26/100)</f>
        <v>#DIV/0!</v>
      </c>
      <c r="O21" s="2" t="e">
        <f t="shared" ca="1" si="4"/>
        <v>#N/A</v>
      </c>
    </row>
    <row r="22" spans="1:15" x14ac:dyDescent="0.35">
      <c r="A22" s="2">
        <f ca="1">Sheet1!A69</f>
        <v>0</v>
      </c>
      <c r="B22" s="2" t="e">
        <f ca="1">Sheet1!O69</f>
        <v>#DIV/0!</v>
      </c>
      <c r="C22" s="2" t="b">
        <f>IF($B$1=16,'16'!D20,IF($B$1=17,'17'!D21,IF('For Chart'!$B$1=18,'18'!D20,IF($B$1=14,'14'!D20,IF($B$1=20,'20'!D20,IF('For Chart'!$B$1=22,'22'!D20,IF('For Chart'!$B$1=24,'24'!D20,IF($B$1=26,'26'!D20,IF('For Chart'!$B$1=30,'30'!D20,IF('For Chart'!$B$1=28,'28'!D20,IF('For Chart'!$B$1=40,'40'!D20,IF($B$1="28-3 Blade",'28-3 blade'!D20,IF($B$1=32,'32'!D20)))))))))))))</f>
        <v>0</v>
      </c>
      <c r="D22" s="2" t="e">
        <f ca="1">Sheet1!P69</f>
        <v>#DIV/0!</v>
      </c>
      <c r="I22" s="2" t="e">
        <f t="shared" ca="1" si="0"/>
        <v>#N/A</v>
      </c>
      <c r="J22" s="2" t="e">
        <f t="shared" ca="1" si="5"/>
        <v>#N/A</v>
      </c>
      <c r="K22" s="2" t="e">
        <f t="shared" ca="1" si="1"/>
        <v>#N/A</v>
      </c>
      <c r="L22" s="2" t="e">
        <f t="shared" ca="1" si="2"/>
        <v>#DIV/0!</v>
      </c>
      <c r="M22" s="2" t="e">
        <f t="shared" ca="1" si="3"/>
        <v>#N/A</v>
      </c>
      <c r="N22" s="2" t="e">
        <f ca="1">L22/(Calculator!$E$26/100)</f>
        <v>#DIV/0!</v>
      </c>
      <c r="O22" s="2" t="e">
        <f t="shared" ca="1" si="4"/>
        <v>#N/A</v>
      </c>
    </row>
    <row r="23" spans="1:15" x14ac:dyDescent="0.35">
      <c r="A23" s="2">
        <f ca="1">Sheet1!A70</f>
        <v>0</v>
      </c>
      <c r="B23" s="2" t="e">
        <f ca="1">Sheet1!O70</f>
        <v>#DIV/0!</v>
      </c>
      <c r="C23" s="2" t="b">
        <f>IF($B$1=16,'16'!D21,IF($B$1=17,'17'!D22,IF('For Chart'!$B$1=18,'18'!D21,IF($B$1=14,'14'!D21,IF($B$1=20,'20'!D21,IF('For Chart'!$B$1=22,'22'!D21,IF('For Chart'!$B$1=24,'24'!D21,IF($B$1=26,'26'!D21,IF('For Chart'!$B$1=30,'30'!D21,IF('For Chart'!$B$1=28,'28'!D21,IF('For Chart'!$B$1=40,'40'!D21,IF($B$1="28-3 Blade",'28-3 blade'!D21,IF($B$1=32,'32'!D21)))))))))))))</f>
        <v>0</v>
      </c>
      <c r="D23" s="2" t="e">
        <f ca="1">Sheet1!P70</f>
        <v>#DIV/0!</v>
      </c>
      <c r="I23" s="2" t="e">
        <f t="shared" ca="1" si="0"/>
        <v>#N/A</v>
      </c>
      <c r="J23" s="2" t="e">
        <f t="shared" ca="1" si="5"/>
        <v>#N/A</v>
      </c>
      <c r="K23" s="2" t="e">
        <f t="shared" ca="1" si="1"/>
        <v>#N/A</v>
      </c>
      <c r="L23" s="2" t="e">
        <f t="shared" ca="1" si="2"/>
        <v>#DIV/0!</v>
      </c>
      <c r="M23" s="2" t="e">
        <f t="shared" ca="1" si="3"/>
        <v>#N/A</v>
      </c>
      <c r="N23" s="2" t="e">
        <f ca="1">L23/(Calculator!$E$26/100)</f>
        <v>#DIV/0!</v>
      </c>
      <c r="O23" s="2" t="e">
        <f t="shared" ca="1" si="4"/>
        <v>#N/A</v>
      </c>
    </row>
    <row r="24" spans="1:15" x14ac:dyDescent="0.35">
      <c r="A24" s="2">
        <f ca="1">Sheet1!A71</f>
        <v>0</v>
      </c>
      <c r="B24" s="2" t="e">
        <f ca="1">Sheet1!O71</f>
        <v>#DIV/0!</v>
      </c>
      <c r="C24" s="2" t="b">
        <f>IF($B$1=16,'16'!D22,IF($B$1=17,'17'!D23,IF('For Chart'!$B$1=18,'18'!D22,IF($B$1=14,'14'!D22,IF($B$1=20,'20'!D22,IF('For Chart'!$B$1=22,'22'!D22,IF('For Chart'!$B$1=24,'24'!D22,IF($B$1=26,'26'!D22,IF('For Chart'!$B$1=30,'30'!D22,IF('For Chart'!$B$1=28,'28'!D22,IF('For Chart'!$B$1=40,'40'!D22,IF($B$1="28-3 Blade",'28-3 blade'!D22,IF($B$1=32,'32'!D22)))))))))))))</f>
        <v>0</v>
      </c>
      <c r="D24" s="2" t="e">
        <f ca="1">Sheet1!P71</f>
        <v>#DIV/0!</v>
      </c>
      <c r="I24" s="2" t="e">
        <f t="shared" ca="1" si="0"/>
        <v>#N/A</v>
      </c>
      <c r="J24" s="2" t="e">
        <f t="shared" ca="1" si="5"/>
        <v>#N/A</v>
      </c>
      <c r="K24" s="2" t="e">
        <f t="shared" ca="1" si="1"/>
        <v>#N/A</v>
      </c>
      <c r="L24" s="2" t="e">
        <f t="shared" ca="1" si="2"/>
        <v>#DIV/0!</v>
      </c>
      <c r="M24" s="2" t="e">
        <f t="shared" ca="1" si="3"/>
        <v>#N/A</v>
      </c>
      <c r="N24" s="2" t="e">
        <f ca="1">L24/(Calculator!$E$26/100)</f>
        <v>#DIV/0!</v>
      </c>
      <c r="O24" s="2" t="e">
        <f t="shared" ca="1" si="4"/>
        <v>#N/A</v>
      </c>
    </row>
    <row r="25" spans="1:15" x14ac:dyDescent="0.35">
      <c r="A25" s="2">
        <f ca="1">Sheet1!A72</f>
        <v>0</v>
      </c>
      <c r="B25" s="2" t="e">
        <f ca="1">Sheet1!O72</f>
        <v>#DIV/0!</v>
      </c>
      <c r="C25" s="2" t="b">
        <f>IF($B$1=16,'16'!D23,IF($B$1=17,'17'!D24,IF('For Chart'!$B$1=18,'18'!D23,IF($B$1=14,'14'!D23,IF($B$1=20,'20'!D23,IF('For Chart'!$B$1=22,'22'!D23,IF('For Chart'!$B$1=24,'24'!D23,IF($B$1=26,'26'!D23,IF('For Chart'!$B$1=30,'30'!D23,IF('For Chart'!$B$1=28,'28'!D23,IF('For Chart'!$B$1=40,'40'!D23,IF($B$1="28-3 Blade",'28-3 blade'!D23,IF($B$1=32,'32'!D23)))))))))))))</f>
        <v>0</v>
      </c>
      <c r="D25" s="2" t="e">
        <f ca="1">Sheet1!P72</f>
        <v>#DIV/0!</v>
      </c>
      <c r="I25" s="2" t="e">
        <f t="shared" ca="1" si="0"/>
        <v>#N/A</v>
      </c>
      <c r="J25" s="2" t="e">
        <f t="shared" ca="1" si="5"/>
        <v>#N/A</v>
      </c>
      <c r="K25" s="2" t="e">
        <f t="shared" ca="1" si="1"/>
        <v>#N/A</v>
      </c>
      <c r="L25" s="2" t="e">
        <f t="shared" ca="1" si="2"/>
        <v>#DIV/0!</v>
      </c>
      <c r="M25" s="2" t="e">
        <f t="shared" ca="1" si="3"/>
        <v>#N/A</v>
      </c>
      <c r="N25" s="2" t="e">
        <f ca="1">L25/(Calculator!$E$26/100)</f>
        <v>#DIV/0!</v>
      </c>
      <c r="O25" s="2" t="e">
        <f t="shared" ca="1" si="4"/>
        <v>#N/A</v>
      </c>
    </row>
    <row r="26" spans="1:15" x14ac:dyDescent="0.35">
      <c r="A26" s="2">
        <f ca="1">Sheet1!A73</f>
        <v>0</v>
      </c>
      <c r="B26" s="2" t="e">
        <f ca="1">Sheet1!O73</f>
        <v>#DIV/0!</v>
      </c>
      <c r="C26" s="2" t="b">
        <f>IF($B$1=16,'16'!D24,IF($B$1=17,'17'!D25,IF('For Chart'!$B$1=18,'18'!D24,IF($B$1=14,'14'!D24,IF($B$1=20,'20'!D24,IF('For Chart'!$B$1=22,'22'!D24,IF('For Chart'!$B$1=24,'24'!D24,IF($B$1=26,'26'!D24,IF('For Chart'!$B$1=30,'30'!D24,IF('For Chart'!$B$1=28,'28'!D24,IF('For Chart'!$B$1=40,'40'!D24,IF($B$1="28-3 Blade",'28-3 blade'!D24,IF($B$1=32,'32'!D24)))))))))))))</f>
        <v>0</v>
      </c>
      <c r="D26" s="2" t="e">
        <f ca="1">Sheet1!P73</f>
        <v>#DIV/0!</v>
      </c>
      <c r="I26" s="2" t="e">
        <f t="shared" ca="1" si="0"/>
        <v>#N/A</v>
      </c>
      <c r="J26" s="2" t="e">
        <f t="shared" ca="1" si="5"/>
        <v>#N/A</v>
      </c>
      <c r="K26" s="2" t="e">
        <f t="shared" ca="1" si="1"/>
        <v>#N/A</v>
      </c>
      <c r="L26" s="2" t="e">
        <f t="shared" ca="1" si="2"/>
        <v>#DIV/0!</v>
      </c>
      <c r="M26" s="2" t="e">
        <f t="shared" ca="1" si="3"/>
        <v>#N/A</v>
      </c>
      <c r="N26" s="2" t="e">
        <f ca="1">L26/(Calculator!$E$26/100)</f>
        <v>#DIV/0!</v>
      </c>
      <c r="O26" s="2" t="e">
        <f t="shared" ca="1" si="4"/>
        <v>#N/A</v>
      </c>
    </row>
    <row r="27" spans="1:15" x14ac:dyDescent="0.35">
      <c r="A27" s="2">
        <f ca="1">Sheet1!A74</f>
        <v>0</v>
      </c>
      <c r="B27" s="2" t="e">
        <f ca="1">Sheet1!O74</f>
        <v>#DIV/0!</v>
      </c>
      <c r="C27" s="2" t="b">
        <f>IF($B$1=16,'16'!D25,IF($B$1=17,'17'!D26,IF('For Chart'!$B$1=18,'18'!D25,IF($B$1=14,'14'!D25,IF($B$1=20,'20'!D25,IF('For Chart'!$B$1=22,'22'!D25,IF('For Chart'!$B$1=24,'24'!D25,IF($B$1=26,'26'!D25,IF('For Chart'!$B$1=30,'30'!D25,IF('For Chart'!$B$1=28,'28'!D25,IF('For Chart'!$B$1=40,'40'!D25,IF($B$1="28-3 Blade",'28-3 blade'!D25,IF($B$1=32,'32'!D25)))))))))))))</f>
        <v>0</v>
      </c>
      <c r="D27" s="2" t="e">
        <f ca="1">Sheet1!P74</f>
        <v>#DIV/0!</v>
      </c>
      <c r="I27" s="2" t="e">
        <f t="shared" ca="1" si="0"/>
        <v>#N/A</v>
      </c>
      <c r="J27" s="2" t="e">
        <f t="shared" ca="1" si="5"/>
        <v>#N/A</v>
      </c>
      <c r="K27" s="2" t="e">
        <f t="shared" ca="1" si="1"/>
        <v>#N/A</v>
      </c>
      <c r="L27" s="2" t="e">
        <f t="shared" ca="1" si="2"/>
        <v>#DIV/0!</v>
      </c>
      <c r="M27" s="2" t="e">
        <f t="shared" ca="1" si="3"/>
        <v>#N/A</v>
      </c>
      <c r="N27" s="2" t="e">
        <f ca="1">L27/(Calculator!$E$26/100)</f>
        <v>#DIV/0!</v>
      </c>
      <c r="O27" s="2" t="e">
        <f t="shared" ca="1" si="4"/>
        <v>#N/A</v>
      </c>
    </row>
    <row r="28" spans="1:15" x14ac:dyDescent="0.35">
      <c r="A28" s="2">
        <f ca="1">Sheet1!A75</f>
        <v>0</v>
      </c>
      <c r="B28" s="2" t="e">
        <f ca="1">Sheet1!O75</f>
        <v>#DIV/0!</v>
      </c>
      <c r="C28" s="2" t="b">
        <f>IF($B$1=16,'16'!D26,IF($B$1=17,'17'!D27,IF('For Chart'!$B$1=18,'18'!D26,IF($B$1=14,'14'!D26,IF($B$1=20,'20'!D26,IF('For Chart'!$B$1=22,'22'!D26,IF('For Chart'!$B$1=24,'24'!D26,IF($B$1=26,'26'!D26,IF('For Chart'!$B$1=30,'30'!D26,IF('For Chart'!$B$1=28,'28'!D26,IF('For Chart'!$B$1=40,'40'!D26,IF($B$1="28-3 Blade",'28-3 blade'!D26,IF($B$1=32,'32'!D26)))))))))))))</f>
        <v>0</v>
      </c>
      <c r="D28" s="2" t="e">
        <f ca="1">Sheet1!P75</f>
        <v>#DIV/0!</v>
      </c>
      <c r="I28" s="2" t="e">
        <f t="shared" ca="1" si="0"/>
        <v>#N/A</v>
      </c>
      <c r="J28" s="2" t="e">
        <f t="shared" ca="1" si="5"/>
        <v>#N/A</v>
      </c>
      <c r="K28" s="2" t="e">
        <f t="shared" ca="1" si="1"/>
        <v>#N/A</v>
      </c>
      <c r="L28" s="2" t="e">
        <f t="shared" ca="1" si="2"/>
        <v>#DIV/0!</v>
      </c>
      <c r="M28" s="2" t="e">
        <f t="shared" ca="1" si="3"/>
        <v>#N/A</v>
      </c>
      <c r="N28" s="2" t="e">
        <f ca="1">L28/(Calculator!$E$26/100)</f>
        <v>#DIV/0!</v>
      </c>
      <c r="O28" s="2" t="e">
        <f t="shared" ca="1" si="4"/>
        <v>#N/A</v>
      </c>
    </row>
    <row r="29" spans="1:15" x14ac:dyDescent="0.35">
      <c r="A29" s="2">
        <f ca="1">Sheet1!A76</f>
        <v>0</v>
      </c>
      <c r="B29" s="2" t="e">
        <f ca="1">Sheet1!O76</f>
        <v>#DIV/0!</v>
      </c>
      <c r="C29" s="2" t="b">
        <f>IF($B$1=16,'16'!D27,IF($B$1=17,'17'!D28,IF('For Chart'!$B$1=18,'18'!D27,IF($B$1=14,'14'!D27,IF($B$1=20,'20'!D27,IF('For Chart'!$B$1=22,'22'!D27,IF('For Chart'!$B$1=24,'24'!#REF!,IF($B$1=26,'26'!D27,IF('For Chart'!$B$1=30,'30'!D27,IF('For Chart'!$B$1=28,'28'!D27,IF('For Chart'!$B$1=40,'40'!D27,IF($B$1="28-3 Blade",'28-3 blade'!D27,IF($B$1=32,'32'!D27)))))))))))))</f>
        <v>0</v>
      </c>
      <c r="D29" s="2" t="e">
        <f ca="1">Sheet1!P76</f>
        <v>#DIV/0!</v>
      </c>
      <c r="I29" s="2" t="e">
        <f t="shared" ca="1" si="0"/>
        <v>#N/A</v>
      </c>
      <c r="J29" s="2" t="e">
        <f t="shared" ca="1" si="5"/>
        <v>#N/A</v>
      </c>
      <c r="K29" s="2" t="e">
        <f t="shared" ca="1" si="1"/>
        <v>#N/A</v>
      </c>
      <c r="L29" s="2" t="e">
        <f t="shared" ca="1" si="2"/>
        <v>#DIV/0!</v>
      </c>
      <c r="M29" s="2" t="e">
        <f t="shared" ca="1" si="3"/>
        <v>#N/A</v>
      </c>
      <c r="N29" s="2" t="e">
        <f ca="1">L29/(Calculator!$E$26/100)</f>
        <v>#DIV/0!</v>
      </c>
      <c r="O29" s="2" t="e">
        <f t="shared" ca="1" si="4"/>
        <v>#N/A</v>
      </c>
    </row>
    <row r="30" spans="1:15" x14ac:dyDescent="0.35">
      <c r="A30" s="2">
        <f ca="1">Sheet1!A77</f>
        <v>0</v>
      </c>
      <c r="B30" s="2" t="e">
        <f ca="1">Sheet1!O77</f>
        <v>#DIV/0!</v>
      </c>
      <c r="C30" s="2" t="b">
        <f>IF($B$1=16,'16'!D28,IF($B$1=17,'17'!D29,IF('For Chart'!$B$1=18,'18'!D28,IF($B$1=14,'14'!D28,IF($B$1=20,'20'!D28,IF('For Chart'!$B$1=22,'22'!D28,IF('For Chart'!$B$1=24,'24'!D27,IF($B$1=26,'26'!D28,IF('For Chart'!$B$1=30,'30'!D28,IF('For Chart'!$B$1=28,'28'!D28,IF('For Chart'!$B$1=40,'40'!D28,IF($B$1="28-3 Blade",'28-3 blade'!D28,IF($B$1=32,'32'!D28)))))))))))))</f>
        <v>0</v>
      </c>
      <c r="D30" s="2" t="e">
        <f ca="1">Sheet1!P77</f>
        <v>#DIV/0!</v>
      </c>
      <c r="I30" s="2" t="e">
        <f t="shared" ca="1" si="0"/>
        <v>#N/A</v>
      </c>
      <c r="J30" s="2" t="e">
        <f t="shared" ca="1" si="5"/>
        <v>#N/A</v>
      </c>
      <c r="K30" s="2" t="e">
        <f t="shared" ca="1" si="1"/>
        <v>#N/A</v>
      </c>
      <c r="L30" s="2" t="e">
        <f t="shared" ca="1" si="2"/>
        <v>#DIV/0!</v>
      </c>
      <c r="M30" s="2" t="e">
        <f t="shared" ca="1" si="3"/>
        <v>#N/A</v>
      </c>
      <c r="N30" s="2" t="e">
        <f ca="1">L30/(Calculator!$E$26/100)</f>
        <v>#DIV/0!</v>
      </c>
      <c r="O30" s="2" t="e">
        <f t="shared" ca="1" si="4"/>
        <v>#N/A</v>
      </c>
    </row>
    <row r="31" spans="1:15" x14ac:dyDescent="0.35">
      <c r="A31" s="2">
        <f ca="1">Sheet1!A78</f>
        <v>0</v>
      </c>
      <c r="B31" s="2" t="e">
        <f ca="1">Sheet1!O78</f>
        <v>#DIV/0!</v>
      </c>
      <c r="C31" s="2" t="b">
        <f>IF($B$1=16,'16'!D29,IF($B$1=17,'17'!D30,IF('For Chart'!$B$1=18,'18'!D29,IF($B$1=14,'14'!D29,IF($B$1=20,'20'!D29,IF('For Chart'!$B$1=22,'22'!D29,IF('For Chart'!$B$1=24,'24'!D29,IF($B$1=26,'26'!D29,IF('For Chart'!$B$1=30,'30'!D29,IF('For Chart'!$B$1=28,'28'!D29,IF('For Chart'!$B$1=40,'40'!D29,IF($B$1="28-3 Blade",'28-3 blade'!D29,IF($B$1=32,'32'!D29)))))))))))))</f>
        <v>0</v>
      </c>
      <c r="D31" s="2" t="e">
        <f ca="1">Sheet1!P78</f>
        <v>#DIV/0!</v>
      </c>
      <c r="I31" s="2" t="e">
        <f t="shared" ca="1" si="0"/>
        <v>#N/A</v>
      </c>
      <c r="J31" s="2" t="e">
        <f t="shared" ca="1" si="5"/>
        <v>#N/A</v>
      </c>
      <c r="K31" s="2" t="e">
        <f t="shared" ca="1" si="1"/>
        <v>#N/A</v>
      </c>
      <c r="L31" s="2" t="e">
        <f t="shared" ca="1" si="2"/>
        <v>#DIV/0!</v>
      </c>
      <c r="M31" s="2" t="e">
        <f t="shared" ca="1" si="3"/>
        <v>#N/A</v>
      </c>
      <c r="N31" s="2" t="e">
        <f ca="1">L31/(Calculator!$E$26/100)</f>
        <v>#DIV/0!</v>
      </c>
      <c r="O31" s="2" t="e">
        <f t="shared" ca="1" si="4"/>
        <v>#N/A</v>
      </c>
    </row>
    <row r="32" spans="1:15" x14ac:dyDescent="0.35">
      <c r="A32" s="2">
        <f ca="1">Sheet1!A79</f>
        <v>0</v>
      </c>
      <c r="B32" s="2" t="e">
        <f ca="1">Sheet1!O79</f>
        <v>#DIV/0!</v>
      </c>
      <c r="C32" s="2" t="b">
        <f>IF($B$1=16,'16'!D30,IF($B$1=17,'17'!D31,IF('For Chart'!$B$1=18,'18'!D30,IF($B$1=14,'14'!D30,IF($B$1=20,'20'!D30,IF('For Chart'!$B$1=22,'22'!D30,IF('For Chart'!$B$1=24,'24'!D30,IF($B$1=26,'26'!D30,IF('For Chart'!$B$1=30,'30'!D30,IF('For Chart'!$B$1=28,'28'!D30,IF('For Chart'!$B$1=40,'40'!D30,IF($B$1="28-3 Blade",'28-3 blade'!D30,IF($B$1=32,'32'!D30)))))))))))))</f>
        <v>0</v>
      </c>
      <c r="D32" s="2" t="e">
        <f ca="1">Sheet1!P79</f>
        <v>#DIV/0!</v>
      </c>
      <c r="I32" s="2" t="e">
        <f t="shared" ca="1" si="0"/>
        <v>#N/A</v>
      </c>
      <c r="J32" s="2" t="e">
        <f t="shared" ca="1" si="5"/>
        <v>#N/A</v>
      </c>
      <c r="K32" s="2" t="e">
        <f t="shared" ca="1" si="1"/>
        <v>#N/A</v>
      </c>
      <c r="L32" s="2" t="e">
        <f t="shared" ca="1" si="2"/>
        <v>#DIV/0!</v>
      </c>
      <c r="M32" s="2" t="e">
        <f t="shared" ca="1" si="3"/>
        <v>#N/A</v>
      </c>
      <c r="N32" s="2" t="e">
        <f ca="1">L32/(Calculator!$E$26/100)</f>
        <v>#DIV/0!</v>
      </c>
      <c r="O32" s="2" t="e">
        <f t="shared" ca="1" si="4"/>
        <v>#N/A</v>
      </c>
    </row>
    <row r="33" spans="1:15" x14ac:dyDescent="0.35">
      <c r="A33" s="2">
        <f ca="1">Sheet1!A80</f>
        <v>0</v>
      </c>
      <c r="B33" s="2" t="e">
        <f ca="1">Sheet1!O80</f>
        <v>#DIV/0!</v>
      </c>
      <c r="C33" s="2" t="b">
        <f>IF($B$1=16,'16'!D31,IF($B$1=17,'17'!D32,IF('For Chart'!$B$1=18,'18'!D31,IF($B$1=14,'14'!D31,IF($B$1=20,'20'!D31,IF('For Chart'!$B$1=22,'22'!D31,IF('For Chart'!$B$1=24,'24'!D31,IF($B$1=26,'26'!D31,IF('For Chart'!$B$1=30,'30'!D31,IF('For Chart'!$B$1=28,'28'!D31,IF('For Chart'!$B$1=40,'40'!D31,IF($B$1="28-3 Blade",'28-3 blade'!D31,IF($B$1=32,'32'!D31)))))))))))))</f>
        <v>0</v>
      </c>
      <c r="D33" s="2" t="e">
        <f ca="1">Sheet1!P80</f>
        <v>#DIV/0!</v>
      </c>
      <c r="I33" s="2" t="e">
        <f t="shared" ca="1" si="0"/>
        <v>#N/A</v>
      </c>
      <c r="J33" s="2" t="e">
        <f t="shared" ca="1" si="5"/>
        <v>#N/A</v>
      </c>
      <c r="K33" s="2" t="e">
        <f t="shared" ca="1" si="1"/>
        <v>#N/A</v>
      </c>
      <c r="L33" s="2" t="e">
        <f t="shared" ca="1" si="2"/>
        <v>#DIV/0!</v>
      </c>
      <c r="M33" s="2" t="e">
        <f t="shared" ca="1" si="3"/>
        <v>#N/A</v>
      </c>
      <c r="N33" s="2" t="e">
        <f ca="1">L33/(Calculator!$E$26/100)</f>
        <v>#DIV/0!</v>
      </c>
      <c r="O33" s="2" t="e">
        <f t="shared" ca="1" si="4"/>
        <v>#N/A</v>
      </c>
    </row>
    <row r="34" spans="1:15" x14ac:dyDescent="0.35">
      <c r="A34" s="2">
        <f ca="1">Sheet1!A81</f>
        <v>0</v>
      </c>
      <c r="B34" s="2" t="e">
        <f ca="1">Sheet1!O81</f>
        <v>#DIV/0!</v>
      </c>
      <c r="C34" s="2" t="b">
        <f>IF($B$1=16,'16'!D32,IF($B$1=17,'17'!D33,IF('For Chart'!$B$1=18,'18'!D32,IF($B$1=14,'14'!D32,IF($B$1=20,'20'!D32,IF('For Chart'!$B$1=22,'22'!D32,IF('For Chart'!$B$1=24,'24'!D32,IF($B$1=26,'26'!D32,IF('For Chart'!$B$1=30,'30'!D32,IF('For Chart'!$B$1=28,'28'!D32,IF('For Chart'!$B$1=40,'40'!D32,IF($B$1="28-3 Blade",'28-3 blade'!D32,IF($B$1=32,'32'!D32)))))))))))))</f>
        <v>0</v>
      </c>
      <c r="D34" s="2" t="e">
        <f ca="1">Sheet1!P81</f>
        <v>#DIV/0!</v>
      </c>
      <c r="I34" s="2" t="e">
        <f t="shared" ca="1" si="0"/>
        <v>#N/A</v>
      </c>
      <c r="J34" s="2" t="e">
        <f t="shared" ca="1" si="5"/>
        <v>#N/A</v>
      </c>
      <c r="K34" s="2" t="e">
        <f t="shared" ca="1" si="1"/>
        <v>#N/A</v>
      </c>
      <c r="L34" s="2" t="e">
        <f t="shared" ca="1" si="2"/>
        <v>#DIV/0!</v>
      </c>
      <c r="M34" s="2" t="e">
        <f t="shared" ca="1" si="3"/>
        <v>#N/A</v>
      </c>
      <c r="N34" s="2" t="e">
        <f ca="1">L34/(Calculator!$E$26/100)</f>
        <v>#DIV/0!</v>
      </c>
      <c r="O34" s="2" t="e">
        <f t="shared" ca="1" si="4"/>
        <v>#N/A</v>
      </c>
    </row>
    <row r="35" spans="1:15" x14ac:dyDescent="0.35">
      <c r="A35" s="2">
        <f ca="1">Sheet1!A82</f>
        <v>0</v>
      </c>
      <c r="B35" s="2" t="e">
        <f ca="1">Sheet1!O82</f>
        <v>#DIV/0!</v>
      </c>
      <c r="C35" s="2" t="b">
        <f>IF($B$1=16,'16'!D33,IF($B$1=17,'17'!D34,IF('For Chart'!$B$1=18,'18'!D33,IF($B$1=14,'14'!D33,IF($B$1=20,'20'!D33,IF('For Chart'!$B$1=22,'22'!D33,IF('For Chart'!$B$1=24,'24'!D33,IF($B$1=26,'26'!D33,IF('For Chart'!$B$1=30,'30'!D33,IF('For Chart'!$B$1=28,'28'!D33,IF('For Chart'!$B$1=40,'40'!D33,IF($B$1="28-3 Blade",'28-3 blade'!D33,IF($B$1=32,'32'!D33)))))))))))))</f>
        <v>0</v>
      </c>
      <c r="D35" s="2" t="e">
        <f ca="1">Sheet1!P82</f>
        <v>#DIV/0!</v>
      </c>
      <c r="I35" s="2" t="e">
        <f t="shared" ca="1" si="0"/>
        <v>#N/A</v>
      </c>
      <c r="J35" s="2" t="e">
        <f t="shared" ca="1" si="5"/>
        <v>#N/A</v>
      </c>
      <c r="K35" s="2" t="e">
        <f t="shared" ca="1" si="1"/>
        <v>#N/A</v>
      </c>
      <c r="L35" s="2" t="e">
        <f t="shared" ca="1" si="2"/>
        <v>#DIV/0!</v>
      </c>
      <c r="M35" s="2" t="e">
        <f t="shared" ca="1" si="3"/>
        <v>#N/A</v>
      </c>
      <c r="N35" s="2" t="e">
        <f ca="1">L35/(Calculator!$E$26/100)</f>
        <v>#DIV/0!</v>
      </c>
      <c r="O35" s="2" t="e">
        <f t="shared" ca="1" si="4"/>
        <v>#N/A</v>
      </c>
    </row>
    <row r="36" spans="1:15" x14ac:dyDescent="0.35">
      <c r="A36" s="2">
        <f ca="1">Sheet1!A83</f>
        <v>0</v>
      </c>
      <c r="B36" s="2" t="e">
        <f ca="1">Sheet1!O83</f>
        <v>#DIV/0!</v>
      </c>
      <c r="C36" s="2" t="b">
        <f>IF($B$1=16,'16'!D34,IF($B$1=17,'17'!D35,IF('For Chart'!$B$1=18,'18'!D34,IF($B$1=14,'14'!D34,IF($B$1=20,'20'!D34,IF('For Chart'!$B$1=22,'22'!D34,IF('For Chart'!$B$1=24,'24'!D34,IF($B$1=26,'26'!D34,IF('For Chart'!$B$1=30,'30'!D34,IF('For Chart'!$B$1=28,'28'!D34,IF('For Chart'!$B$1=40,'40'!D34,IF($B$1="28-3 Blade",'28-3 blade'!D34,IF($B$1=32,'32'!D34)))))))))))))</f>
        <v>0</v>
      </c>
      <c r="D36" s="2" t="e">
        <f ca="1">Sheet1!P83</f>
        <v>#DIV/0!</v>
      </c>
      <c r="I36" s="2" t="e">
        <f t="shared" ca="1" si="0"/>
        <v>#N/A</v>
      </c>
      <c r="J36" s="2" t="e">
        <f t="shared" ca="1" si="5"/>
        <v>#N/A</v>
      </c>
      <c r="K36" s="2" t="e">
        <f t="shared" ca="1" si="1"/>
        <v>#N/A</v>
      </c>
      <c r="L36" s="2" t="e">
        <f t="shared" ca="1" si="2"/>
        <v>#DIV/0!</v>
      </c>
      <c r="M36" s="2" t="e">
        <f t="shared" ca="1" si="3"/>
        <v>#N/A</v>
      </c>
      <c r="N36" s="2" t="e">
        <f ca="1">L36/(Calculator!$E$26/100)</f>
        <v>#DIV/0!</v>
      </c>
      <c r="O36" s="2" t="e">
        <f t="shared" ca="1" si="4"/>
        <v>#N/A</v>
      </c>
    </row>
    <row r="37" spans="1:15" x14ac:dyDescent="0.35">
      <c r="A37" s="2">
        <f ca="1">Sheet1!A84</f>
        <v>0</v>
      </c>
      <c r="B37" s="2" t="e">
        <f ca="1">Sheet1!O84</f>
        <v>#DIV/0!</v>
      </c>
      <c r="C37" s="2" t="b">
        <f>IF($B$1=16,'16'!D35,IF($B$1=17,'17'!D36,IF('For Chart'!$B$1=18,'18'!D35,IF($B$1=14,'14'!D35,IF($B$1=20,'20'!D35,IF('For Chart'!$B$1=22,'22'!D35,IF('For Chart'!$B$1=24,'24'!D35,IF($B$1=26,'26'!D35,IF('For Chart'!$B$1=30,'30'!D35,IF('For Chart'!$B$1=28,'28'!D35,IF('For Chart'!$B$1=40,'40'!D35,IF($B$1="28-3 Blade",'28-3 blade'!D35,IF($B$1=32,'32'!D35)))))))))))))</f>
        <v>0</v>
      </c>
      <c r="D37" s="2" t="e">
        <f ca="1">Sheet1!P84</f>
        <v>#DIV/0!</v>
      </c>
      <c r="I37" s="2" t="e">
        <f t="shared" ca="1" si="0"/>
        <v>#N/A</v>
      </c>
      <c r="J37" s="2" t="e">
        <f t="shared" ca="1" si="5"/>
        <v>#N/A</v>
      </c>
      <c r="K37" s="2" t="e">
        <f t="shared" ca="1" si="1"/>
        <v>#N/A</v>
      </c>
      <c r="L37" s="2" t="e">
        <f t="shared" ca="1" si="2"/>
        <v>#DIV/0!</v>
      </c>
      <c r="M37" s="2" t="e">
        <f t="shared" ca="1" si="3"/>
        <v>#N/A</v>
      </c>
      <c r="N37" s="2" t="e">
        <f ca="1">L37/(Calculator!$E$26/100)</f>
        <v>#DIV/0!</v>
      </c>
      <c r="O37" s="2" t="e">
        <f t="shared" ca="1" si="4"/>
        <v>#N/A</v>
      </c>
    </row>
    <row r="38" spans="1:15" x14ac:dyDescent="0.35">
      <c r="A38" s="2">
        <f ca="1">Sheet1!A85</f>
        <v>0</v>
      </c>
      <c r="B38" s="2" t="e">
        <f ca="1">Sheet1!O85</f>
        <v>#DIV/0!</v>
      </c>
      <c r="C38" s="2" t="b">
        <f>IF($B$1=16,'16'!D36,IF($B$1=17,'17'!D37,IF('For Chart'!$B$1=18,'18'!D36,IF($B$1=14,'14'!D36,IF($B$1=20,'20'!D36,IF('For Chart'!$B$1=22,'22'!D36,IF('For Chart'!$B$1=24,'24'!D36,IF($B$1=26,'26'!D36,IF('For Chart'!$B$1=30,'30'!D36,IF('For Chart'!$B$1=28,'28'!D36,IF('For Chart'!$B$1=40,'40'!D36,IF($B$1="28-3 Blade",'28-3 blade'!D36,IF($B$1=32,'32'!D36)))))))))))))</f>
        <v>0</v>
      </c>
      <c r="D38" s="2" t="e">
        <f ca="1">Sheet1!P85</f>
        <v>#DIV/0!</v>
      </c>
      <c r="I38" s="2" t="e">
        <f t="shared" ca="1" si="0"/>
        <v>#N/A</v>
      </c>
      <c r="J38" s="2" t="e">
        <f t="shared" ca="1" si="5"/>
        <v>#N/A</v>
      </c>
      <c r="K38" s="2" t="e">
        <f t="shared" ca="1" si="1"/>
        <v>#N/A</v>
      </c>
      <c r="L38" s="2" t="e">
        <f t="shared" ca="1" si="2"/>
        <v>#DIV/0!</v>
      </c>
      <c r="M38" s="2" t="e">
        <f t="shared" ca="1" si="3"/>
        <v>#N/A</v>
      </c>
      <c r="N38" s="2" t="e">
        <f ca="1">L38/(Calculator!$E$26/100)</f>
        <v>#DIV/0!</v>
      </c>
      <c r="O38" s="2" t="e">
        <f t="shared" ca="1" si="4"/>
        <v>#N/A</v>
      </c>
    </row>
    <row r="39" spans="1:15" x14ac:dyDescent="0.35">
      <c r="A39" s="2">
        <f ca="1">Sheet1!A86</f>
        <v>0</v>
      </c>
      <c r="B39" s="2" t="e">
        <f ca="1">Sheet1!O86</f>
        <v>#DIV/0!</v>
      </c>
      <c r="C39" s="2" t="b">
        <f>IF($B$1=16,'16'!D37,IF($B$1=17,'17'!D38,IF('For Chart'!$B$1=18,'18'!D37,IF($B$1=14,'14'!D37,IF($B$1=20,'20'!D37,IF('For Chart'!$B$1=22,'22'!D37,IF('For Chart'!$B$1=24,'24'!D37,IF($B$1=26,'26'!D37,IF('For Chart'!$B$1=30,'30'!D37,IF('For Chart'!$B$1=28,'28'!D37,IF('For Chart'!$B$1=40,'40'!D37,IF($B$1="28-3 Blade",'28-3 blade'!D37,IF($B$1=32,'32'!D37)))))))))))))</f>
        <v>0</v>
      </c>
      <c r="D39" s="2" t="e">
        <f ca="1">Sheet1!P86</f>
        <v>#DIV/0!</v>
      </c>
      <c r="I39" s="2" t="e">
        <f t="shared" ref="I39" ca="1" si="6">IF(A39=0,#N/A,A39)</f>
        <v>#N/A</v>
      </c>
      <c r="J39" s="2" t="e">
        <f t="shared" ref="J39" ca="1" si="7">IF(A39=0,#N/A,B39)</f>
        <v>#N/A</v>
      </c>
      <c r="K39" s="2" t="e">
        <f t="shared" ref="K39" ca="1" si="8">IF(A39=0,#N/A,C39)</f>
        <v>#N/A</v>
      </c>
      <c r="L39" s="2" t="e">
        <f t="shared" ref="L39" ca="1" si="9">IF(D39=0,#N/A,D39)</f>
        <v>#DIV/0!</v>
      </c>
      <c r="M39" s="2" t="e">
        <f t="shared" ref="M39:M102" ca="1" si="10">J39*1000/L39</f>
        <v>#N/A</v>
      </c>
      <c r="N39" s="2" t="e">
        <f ca="1">L39/(Calculator!$E$26/100)</f>
        <v>#DIV/0!</v>
      </c>
      <c r="O39" s="2" t="e">
        <f t="shared" ca="1" si="4"/>
        <v>#N/A</v>
      </c>
    </row>
    <row r="40" spans="1:15" x14ac:dyDescent="0.35">
      <c r="A40" s="2">
        <f ca="1">Sheet1!A87</f>
        <v>0</v>
      </c>
      <c r="B40" s="2" t="e">
        <f ca="1">Sheet1!O87</f>
        <v>#DIV/0!</v>
      </c>
      <c r="C40" s="2" t="b">
        <f>IF($B$1=16,'16'!D38,IF($B$1=17,'17'!D39,IF('For Chart'!$B$1=18,'18'!D38,IF($B$1=14,'14'!D38,IF($B$1=20,'20'!D38,IF('For Chart'!$B$1=22,'22'!D38,IF('For Chart'!$B$1=24,'24'!D38,IF($B$1=26,'26'!D38,IF('For Chart'!$B$1=30,'30'!D38,IF('For Chart'!$B$1=28,'28'!D38,IF('For Chart'!$B$1=40,'40'!D38,IF($B$1="28-3 Blade",'28-3 blade'!D38,IF($B$1=32,'32'!D38)))))))))))))</f>
        <v>0</v>
      </c>
      <c r="D40" s="2" t="e">
        <f ca="1">Sheet1!P87</f>
        <v>#DIV/0!</v>
      </c>
      <c r="I40" s="2" t="e">
        <f t="shared" ref="I40:I62" ca="1" si="11">IF(A40=0,#N/A,A40)</f>
        <v>#N/A</v>
      </c>
      <c r="J40" s="2" t="e">
        <f t="shared" ref="J40:J62" ca="1" si="12">IF(A40=0,#N/A,B40)</f>
        <v>#N/A</v>
      </c>
      <c r="K40" s="2" t="e">
        <f t="shared" ref="K40:K62" ca="1" si="13">IF(A40=0,#N/A,C40)</f>
        <v>#N/A</v>
      </c>
      <c r="L40" s="2" t="e">
        <f t="shared" ref="L40:L62" ca="1" si="14">IF(D40=0,#N/A,D40)</f>
        <v>#DIV/0!</v>
      </c>
      <c r="M40" s="2" t="e">
        <f t="shared" ca="1" si="10"/>
        <v>#N/A</v>
      </c>
      <c r="N40" s="2" t="e">
        <f ca="1">L40/(Calculator!$E$26/100)</f>
        <v>#DIV/0!</v>
      </c>
      <c r="O40" s="2" t="e">
        <f t="shared" ca="1" si="4"/>
        <v>#N/A</v>
      </c>
    </row>
    <row r="41" spans="1:15" x14ac:dyDescent="0.35">
      <c r="A41" s="2">
        <f ca="1">Sheet1!A88</f>
        <v>0</v>
      </c>
      <c r="B41" s="2" t="e">
        <f ca="1">Sheet1!O88</f>
        <v>#DIV/0!</v>
      </c>
      <c r="C41" s="2" t="b">
        <f>IF($B$1=16,'16'!D39,IF($B$1=17,'17'!D40,IF('For Chart'!$B$1=18,'18'!D39,IF($B$1=14,'14'!D39,IF($B$1=20,'20'!D39,IF('For Chart'!$B$1=22,'22'!D39,IF('For Chart'!$B$1=24,'24'!D39,IF($B$1=26,'26'!D39,IF('For Chart'!$B$1=30,'30'!D39,IF('For Chart'!$B$1=28,'28'!D39,IF('For Chart'!$B$1=40,'40'!D39,IF($B$1="28-3 Blade",'28-3 blade'!D39,IF($B$1=32,'32'!D39)))))))))))))</f>
        <v>0</v>
      </c>
      <c r="D41" s="2" t="e">
        <f ca="1">Sheet1!P88</f>
        <v>#DIV/0!</v>
      </c>
      <c r="I41" s="2" t="e">
        <f t="shared" ca="1" si="11"/>
        <v>#N/A</v>
      </c>
      <c r="J41" s="2" t="e">
        <f t="shared" ca="1" si="12"/>
        <v>#N/A</v>
      </c>
      <c r="K41" s="2" t="e">
        <f t="shared" ca="1" si="13"/>
        <v>#N/A</v>
      </c>
      <c r="L41" s="2" t="e">
        <f t="shared" ca="1" si="14"/>
        <v>#DIV/0!</v>
      </c>
      <c r="M41" s="2" t="e">
        <f t="shared" ca="1" si="10"/>
        <v>#N/A</v>
      </c>
      <c r="N41" s="2" t="e">
        <f ca="1">L41/(Calculator!$E$26/100)</f>
        <v>#DIV/0!</v>
      </c>
      <c r="O41" s="2" t="e">
        <f t="shared" ca="1" si="4"/>
        <v>#N/A</v>
      </c>
    </row>
    <row r="42" spans="1:15" x14ac:dyDescent="0.35">
      <c r="A42" s="2">
        <f ca="1">Sheet1!A89</f>
        <v>0</v>
      </c>
      <c r="B42" s="2" t="e">
        <f ca="1">Sheet1!O89</f>
        <v>#DIV/0!</v>
      </c>
      <c r="C42" s="2" t="b">
        <f>IF($B$1=16,'16'!D40,IF($B$1=17,'17'!D41,IF('For Chart'!$B$1=18,'18'!D40,IF($B$1=14,'14'!D40,IF($B$1=20,'20'!D40,IF('For Chart'!$B$1=22,'22'!D40,IF('For Chart'!$B$1=24,'24'!D40,IF($B$1=26,'26'!D40,IF('For Chart'!$B$1=30,'30'!D40,IF('For Chart'!$B$1=28,'28'!D40,IF('For Chart'!$B$1=40,'40'!D40,IF($B$1="28-3 Blade",'28-3 blade'!D40,IF($B$1=32,'32'!D40)))))))))))))</f>
        <v>0</v>
      </c>
      <c r="D42" s="2" t="e">
        <f ca="1">Sheet1!P89</f>
        <v>#DIV/0!</v>
      </c>
      <c r="I42" s="2" t="e">
        <f t="shared" ca="1" si="11"/>
        <v>#N/A</v>
      </c>
      <c r="J42" s="2" t="e">
        <f t="shared" ca="1" si="12"/>
        <v>#N/A</v>
      </c>
      <c r="K42" s="2" t="e">
        <f t="shared" ca="1" si="13"/>
        <v>#N/A</v>
      </c>
      <c r="L42" s="2" t="e">
        <f t="shared" ca="1" si="14"/>
        <v>#DIV/0!</v>
      </c>
      <c r="M42" s="2" t="e">
        <f t="shared" ca="1" si="10"/>
        <v>#N/A</v>
      </c>
      <c r="N42" s="2" t="e">
        <f ca="1">L42/(Calculator!$E$26/100)</f>
        <v>#DIV/0!</v>
      </c>
      <c r="O42" s="2" t="e">
        <f t="shared" ca="1" si="4"/>
        <v>#N/A</v>
      </c>
    </row>
    <row r="43" spans="1:15" x14ac:dyDescent="0.35">
      <c r="A43" s="2">
        <f ca="1">Sheet1!A90</f>
        <v>0</v>
      </c>
      <c r="B43" s="2" t="e">
        <f ca="1">Sheet1!O90</f>
        <v>#DIV/0!</v>
      </c>
      <c r="C43" s="2" t="b">
        <f>IF($B$1=16,'16'!D41,IF($B$1=17,'17'!D42,IF('For Chart'!$B$1=18,'18'!D41,IF($B$1=14,'14'!D41,IF($B$1=20,'20'!D41,IF('For Chart'!$B$1=22,'22'!D41,IF('For Chart'!$B$1=24,'24'!D41,IF($B$1=26,'26'!D41,IF('For Chart'!$B$1=30,'30'!D41,IF('For Chart'!$B$1=28,'28'!D41,IF('For Chart'!$B$1=40,'40'!D41,IF($B$1="28-3 Blade",'28-3 blade'!D41,IF($B$1=32,'32'!D41)))))))))))))</f>
        <v>0</v>
      </c>
      <c r="D43" s="2" t="e">
        <f ca="1">Sheet1!P90</f>
        <v>#DIV/0!</v>
      </c>
      <c r="I43" s="2" t="e">
        <f t="shared" ca="1" si="11"/>
        <v>#N/A</v>
      </c>
      <c r="J43" s="2" t="e">
        <f t="shared" ca="1" si="12"/>
        <v>#N/A</v>
      </c>
      <c r="K43" s="2" t="e">
        <f t="shared" ca="1" si="13"/>
        <v>#N/A</v>
      </c>
      <c r="L43" s="2" t="e">
        <f t="shared" ca="1" si="14"/>
        <v>#DIV/0!</v>
      </c>
      <c r="M43" s="2" t="e">
        <f t="shared" ca="1" si="10"/>
        <v>#N/A</v>
      </c>
      <c r="N43" s="2" t="e">
        <f ca="1">L43/(Calculator!$E$26/100)</f>
        <v>#DIV/0!</v>
      </c>
      <c r="O43" s="2" t="e">
        <f t="shared" ca="1" si="4"/>
        <v>#N/A</v>
      </c>
    </row>
    <row r="44" spans="1:15" x14ac:dyDescent="0.35">
      <c r="A44" s="2">
        <f ca="1">Sheet1!A91</f>
        <v>0</v>
      </c>
      <c r="B44" s="2" t="e">
        <f ca="1">Sheet1!O91</f>
        <v>#DIV/0!</v>
      </c>
      <c r="C44" s="2" t="b">
        <f>IF($B$1=16,'16'!D42,IF($B$1=17,'17'!D43,IF('For Chart'!$B$1=18,'18'!D42,IF($B$1=14,'14'!D42,IF($B$1=20,'20'!D42,IF('For Chart'!$B$1=22,'22'!D42,IF('For Chart'!$B$1=24,'24'!D42,IF($B$1=26,'26'!D42,IF('For Chart'!$B$1=30,'30'!D42,IF('For Chart'!$B$1=28,'28'!D42,IF('For Chart'!$B$1=40,'40'!D42,IF($B$1="28-3 Blade",'28-3 blade'!D42,IF($B$1=32,'32'!D42)))))))))))))</f>
        <v>0</v>
      </c>
      <c r="D44" s="2" t="e">
        <f ca="1">Sheet1!P91</f>
        <v>#DIV/0!</v>
      </c>
      <c r="I44" s="2" t="e">
        <f t="shared" ca="1" si="11"/>
        <v>#N/A</v>
      </c>
      <c r="J44" s="2" t="e">
        <f t="shared" ca="1" si="12"/>
        <v>#N/A</v>
      </c>
      <c r="K44" s="2" t="e">
        <f t="shared" ca="1" si="13"/>
        <v>#N/A</v>
      </c>
      <c r="L44" s="2" t="e">
        <f t="shared" ca="1" si="14"/>
        <v>#DIV/0!</v>
      </c>
      <c r="M44" s="2" t="e">
        <f t="shared" ca="1" si="10"/>
        <v>#N/A</v>
      </c>
      <c r="N44" s="2" t="e">
        <f ca="1">L44/(Calculator!$E$26/100)</f>
        <v>#DIV/0!</v>
      </c>
      <c r="O44" s="2" t="e">
        <f t="shared" ca="1" si="4"/>
        <v>#N/A</v>
      </c>
    </row>
    <row r="45" spans="1:15" x14ac:dyDescent="0.35">
      <c r="A45" s="2">
        <f ca="1">Sheet1!A92</f>
        <v>0</v>
      </c>
      <c r="B45" s="2" t="e">
        <f ca="1">Sheet1!O92</f>
        <v>#DIV/0!</v>
      </c>
      <c r="C45" s="2" t="b">
        <f>IF($B$1=16,'16'!D43,IF($B$1=17,'17'!D44,IF('For Chart'!$B$1=18,'18'!D43,IF($B$1=14,'14'!D43,IF($B$1=20,'20'!D43,IF('For Chart'!$B$1=22,'22'!D43,IF('For Chart'!$B$1=24,'24'!D43,IF($B$1=26,'26'!D43,IF('For Chart'!$B$1=30,'30'!D43,IF('For Chart'!$B$1=28,'28'!D43,IF('For Chart'!$B$1=40,'40'!D43,IF($B$1="28-3 Blade",'28-3 blade'!D43,IF($B$1=32,'32'!D43)))))))))))))</f>
        <v>0</v>
      </c>
      <c r="D45" s="2" t="e">
        <f ca="1">Sheet1!P92</f>
        <v>#DIV/0!</v>
      </c>
      <c r="I45" s="2" t="e">
        <f t="shared" ca="1" si="11"/>
        <v>#N/A</v>
      </c>
      <c r="J45" s="2" t="e">
        <f t="shared" ca="1" si="12"/>
        <v>#N/A</v>
      </c>
      <c r="K45" s="2" t="e">
        <f t="shared" ca="1" si="13"/>
        <v>#N/A</v>
      </c>
      <c r="L45" s="2" t="e">
        <f t="shared" ca="1" si="14"/>
        <v>#DIV/0!</v>
      </c>
      <c r="M45" s="2" t="e">
        <f t="shared" ca="1" si="10"/>
        <v>#N/A</v>
      </c>
      <c r="N45" s="2" t="e">
        <f ca="1">L45/(Calculator!$E$26/100)</f>
        <v>#DIV/0!</v>
      </c>
      <c r="O45" s="2" t="e">
        <f t="shared" ca="1" si="4"/>
        <v>#N/A</v>
      </c>
    </row>
    <row r="46" spans="1:15" x14ac:dyDescent="0.35">
      <c r="A46" s="2">
        <f ca="1">Sheet1!A93</f>
        <v>0</v>
      </c>
      <c r="B46" s="2" t="e">
        <f ca="1">Sheet1!O93</f>
        <v>#DIV/0!</v>
      </c>
      <c r="C46" s="2" t="b">
        <f>IF($B$1=16,'16'!D44,IF($B$1=17,'17'!D45,IF('For Chart'!$B$1=18,'18'!D44,IF($B$1=14,'14'!D44,IF($B$1=20,'20'!D44,IF('For Chart'!$B$1=22,'22'!D44,IF('For Chart'!$B$1=24,'24'!D44,IF($B$1=26,'26'!D44,IF('For Chart'!$B$1=30,'30'!D44,IF('For Chart'!$B$1=28,'28'!D44,IF('For Chart'!$B$1=40,'40'!D44,IF($B$1="28-3 Blade",'28-3 blade'!D44,IF($B$1=32,'32'!D44)))))))))))))</f>
        <v>0</v>
      </c>
      <c r="D46" s="2" t="e">
        <f ca="1">Sheet1!P93</f>
        <v>#DIV/0!</v>
      </c>
      <c r="I46" s="2" t="e">
        <f t="shared" ca="1" si="11"/>
        <v>#N/A</v>
      </c>
      <c r="J46" s="2" t="e">
        <f t="shared" ca="1" si="12"/>
        <v>#N/A</v>
      </c>
      <c r="K46" s="2" t="e">
        <f t="shared" ca="1" si="13"/>
        <v>#N/A</v>
      </c>
      <c r="L46" s="2" t="e">
        <f t="shared" ca="1" si="14"/>
        <v>#DIV/0!</v>
      </c>
      <c r="M46" s="2" t="e">
        <f t="shared" ca="1" si="10"/>
        <v>#N/A</v>
      </c>
      <c r="N46" s="2" t="e">
        <f ca="1">L46/(Calculator!$E$26/100)</f>
        <v>#DIV/0!</v>
      </c>
      <c r="O46" s="2" t="e">
        <f t="shared" ca="1" si="4"/>
        <v>#N/A</v>
      </c>
    </row>
    <row r="47" spans="1:15" x14ac:dyDescent="0.35">
      <c r="A47" s="2">
        <f ca="1">Sheet1!A94</f>
        <v>0</v>
      </c>
      <c r="B47" s="2" t="e">
        <f ca="1">Sheet1!O94</f>
        <v>#DIV/0!</v>
      </c>
      <c r="C47" s="2" t="b">
        <f>IF($B$1=16,'16'!D45,IF($B$1=17,'17'!D46,IF('For Chart'!$B$1=18,'18'!D45,IF($B$1=14,'14'!D45,IF($B$1=20,'20'!D45,IF('For Chart'!$B$1=22,'22'!D45,IF('For Chart'!$B$1=24,'24'!D45,IF($B$1=26,'26'!D45,IF('For Chart'!$B$1=30,'30'!D45,IF('For Chart'!$B$1=28,'28'!D45,IF('For Chart'!$B$1=40,'40'!D45,IF($B$1="28-3 Blade",'28-3 blade'!D45,IF($B$1=32,'32'!D45)))))))))))))</f>
        <v>0</v>
      </c>
      <c r="D47" s="2" t="e">
        <f ca="1">Sheet1!P94</f>
        <v>#DIV/0!</v>
      </c>
      <c r="I47" s="2" t="e">
        <f t="shared" ca="1" si="11"/>
        <v>#N/A</v>
      </c>
      <c r="J47" s="2" t="e">
        <f t="shared" ca="1" si="12"/>
        <v>#N/A</v>
      </c>
      <c r="K47" s="2" t="e">
        <f t="shared" ca="1" si="13"/>
        <v>#N/A</v>
      </c>
      <c r="L47" s="2" t="e">
        <f t="shared" ca="1" si="14"/>
        <v>#DIV/0!</v>
      </c>
      <c r="M47" s="2" t="e">
        <f t="shared" ca="1" si="10"/>
        <v>#N/A</v>
      </c>
      <c r="N47" s="2" t="e">
        <f ca="1">L47/(Calculator!$E$26/100)</f>
        <v>#DIV/0!</v>
      </c>
      <c r="O47" s="2" t="e">
        <f t="shared" ca="1" si="4"/>
        <v>#N/A</v>
      </c>
    </row>
    <row r="48" spans="1:15" x14ac:dyDescent="0.35">
      <c r="A48" s="2">
        <f>Sheet1!A95</f>
        <v>0</v>
      </c>
      <c r="B48" s="2">
        <f>Sheet1!O95</f>
        <v>0</v>
      </c>
      <c r="C48" s="2" t="b">
        <f>IF($B$1=16,'16'!D46,IF($B$1=17,'17'!D47,IF('For Chart'!$B$1=18,'18'!D46,IF($B$1=14,'14'!D46,IF($B$1=20,'20'!D46,IF('For Chart'!$B$1=22,'22'!D46,IF('For Chart'!$B$1=24,'24'!D46,IF($B$1=26,'26'!D46,IF('For Chart'!$B$1=30,'30'!D46,IF('For Chart'!$B$1=28,'28'!D46,IF('For Chart'!$B$1=40,'40'!D46,IF($B$1="28-3 Blade",'28-3 blade'!D46,IF($B$1=32,'32'!D46)))))))))))))</f>
        <v>0</v>
      </c>
      <c r="D48" s="2">
        <f>Sheet1!P95</f>
        <v>0</v>
      </c>
      <c r="I48" s="2" t="e">
        <f t="shared" si="11"/>
        <v>#N/A</v>
      </c>
      <c r="J48" s="2" t="e">
        <f t="shared" si="12"/>
        <v>#N/A</v>
      </c>
      <c r="K48" s="2" t="e">
        <f t="shared" si="13"/>
        <v>#N/A</v>
      </c>
      <c r="L48" s="2" t="e">
        <f t="shared" si="14"/>
        <v>#N/A</v>
      </c>
      <c r="M48" s="2" t="e">
        <f t="shared" si="10"/>
        <v>#N/A</v>
      </c>
      <c r="N48" s="2" t="e">
        <f>L48/(Calculator!$E$26/100)</f>
        <v>#N/A</v>
      </c>
      <c r="O48" s="2" t="e">
        <f t="shared" si="4"/>
        <v>#N/A</v>
      </c>
    </row>
    <row r="49" spans="1:15" x14ac:dyDescent="0.35">
      <c r="A49" s="2">
        <f>Sheet1!A96</f>
        <v>0</v>
      </c>
      <c r="B49" s="2">
        <f>Sheet1!O96</f>
        <v>0</v>
      </c>
      <c r="C49" s="2" t="b">
        <f>IF($B$1=16,'16'!D47,IF($B$1=17,'17'!D48,IF('For Chart'!$B$1=18,'18'!D47,IF($B$1=14,'14'!D47,IF($B$1=20,'20'!D47,IF('For Chart'!$B$1=22,'22'!D47,IF('For Chart'!$B$1=24,'24'!D47,IF($B$1=26,'26'!D47,IF('For Chart'!$B$1=30,'30'!D47,IF('For Chart'!$B$1=28,'28'!D47,IF('For Chart'!$B$1=40,'40'!D47,IF($B$1="28-3 Blade",'28-3 blade'!D47,IF($B$1=32,'32'!D47)))))))))))))</f>
        <v>0</v>
      </c>
      <c r="D49" s="2">
        <f>Sheet1!P96</f>
        <v>0</v>
      </c>
      <c r="I49" s="2" t="e">
        <f t="shared" si="11"/>
        <v>#N/A</v>
      </c>
      <c r="J49" s="2" t="e">
        <f t="shared" si="12"/>
        <v>#N/A</v>
      </c>
      <c r="K49" s="2" t="e">
        <f t="shared" si="13"/>
        <v>#N/A</v>
      </c>
      <c r="L49" s="2" t="e">
        <f t="shared" si="14"/>
        <v>#N/A</v>
      </c>
      <c r="M49" s="2" t="e">
        <f t="shared" si="10"/>
        <v>#N/A</v>
      </c>
      <c r="N49" s="2" t="e">
        <f>L49/(Calculator!$E$26/100)</f>
        <v>#N/A</v>
      </c>
      <c r="O49" s="2" t="e">
        <f t="shared" si="4"/>
        <v>#N/A</v>
      </c>
    </row>
    <row r="50" spans="1:15" x14ac:dyDescent="0.35">
      <c r="A50" s="2">
        <f>Sheet1!A97</f>
        <v>0</v>
      </c>
      <c r="B50" s="2">
        <f>Sheet1!O97</f>
        <v>0</v>
      </c>
      <c r="C50" s="2" t="b">
        <f>IF($B$1=16,'16'!D48,IF($B$1=17,'17'!D49,IF('For Chart'!$B$1=18,'18'!D48,IF($B$1=14,'14'!D48,IF($B$1=20,'20'!D48,IF('For Chart'!$B$1=22,'22'!D48,IF('For Chart'!$B$1=24,'24'!D48,IF($B$1=26,'26'!D48,IF('For Chart'!$B$1=30,'30'!D48,IF('For Chart'!$B$1=28,'28'!D48,IF('For Chart'!$B$1=40,'40'!D48,IF($B$1="28-3 Blade",'28-3 blade'!D48,IF($B$1=32,'32'!D48)))))))))))))</f>
        <v>0</v>
      </c>
      <c r="D50" s="2">
        <f>Sheet1!P97</f>
        <v>0</v>
      </c>
      <c r="I50" s="2" t="e">
        <f t="shared" si="11"/>
        <v>#N/A</v>
      </c>
      <c r="J50" s="2" t="e">
        <f t="shared" si="12"/>
        <v>#N/A</v>
      </c>
      <c r="K50" s="2" t="e">
        <f t="shared" si="13"/>
        <v>#N/A</v>
      </c>
      <c r="L50" s="2" t="e">
        <f t="shared" si="14"/>
        <v>#N/A</v>
      </c>
      <c r="M50" s="2" t="e">
        <f t="shared" si="10"/>
        <v>#N/A</v>
      </c>
      <c r="N50" s="2" t="e">
        <f>L50/(Calculator!$E$26/100)</f>
        <v>#N/A</v>
      </c>
      <c r="O50" s="2" t="e">
        <f t="shared" si="4"/>
        <v>#N/A</v>
      </c>
    </row>
    <row r="51" spans="1:15" x14ac:dyDescent="0.35">
      <c r="A51" s="2">
        <f>Sheet1!A98</f>
        <v>0</v>
      </c>
      <c r="B51" s="2">
        <f>Sheet1!O98</f>
        <v>0</v>
      </c>
      <c r="C51" s="2" t="b">
        <f>IF($B$1=16,'16'!D49,IF($B$1=17,'17'!D50,IF('For Chart'!$B$1=18,'18'!D49,IF($B$1=14,'14'!D49,IF($B$1=20,'20'!D49,IF('For Chart'!$B$1=22,'22'!D49,IF('For Chart'!$B$1=24,'24'!D49,IF($B$1=26,'26'!D49,IF('For Chart'!$B$1=30,'30'!D49,IF('For Chart'!$B$1=28,'28'!D49,IF('For Chart'!$B$1=40,'40'!D49,IF($B$1="28-3 Blade",'28-3 blade'!D49,IF($B$1=32,'32'!D49)))))))))))))</f>
        <v>0</v>
      </c>
      <c r="D51" s="2">
        <f>Sheet1!P98</f>
        <v>0</v>
      </c>
      <c r="I51" s="2" t="e">
        <f t="shared" si="11"/>
        <v>#N/A</v>
      </c>
      <c r="J51" s="2" t="e">
        <f t="shared" si="12"/>
        <v>#N/A</v>
      </c>
      <c r="K51" s="2" t="e">
        <f t="shared" si="13"/>
        <v>#N/A</v>
      </c>
      <c r="L51" s="2" t="e">
        <f t="shared" si="14"/>
        <v>#N/A</v>
      </c>
      <c r="M51" s="2" t="e">
        <f t="shared" si="10"/>
        <v>#N/A</v>
      </c>
      <c r="N51" s="2" t="e">
        <f>L51/(Calculator!$E$26/100)</f>
        <v>#N/A</v>
      </c>
      <c r="O51" s="2" t="e">
        <f t="shared" si="4"/>
        <v>#N/A</v>
      </c>
    </row>
    <row r="52" spans="1:15" x14ac:dyDescent="0.35">
      <c r="A52" s="2">
        <f>Sheet1!A99</f>
        <v>0</v>
      </c>
      <c r="B52" s="2">
        <f>Sheet1!O99</f>
        <v>0</v>
      </c>
      <c r="C52" s="2" t="b">
        <f>IF($B$1=16,'16'!D50,IF($B$1=17,'17'!D51,IF('For Chart'!$B$1=18,'18'!D50,IF($B$1=14,'14'!D50,IF($B$1=20,'20'!D50,IF('For Chart'!$B$1=22,'22'!D50,IF('For Chart'!$B$1=24,'24'!D50,IF($B$1=26,'26'!D50,IF('For Chart'!$B$1=30,'30'!D50,IF('For Chart'!$B$1=28,'28'!D50,IF('For Chart'!$B$1=40,'40'!D50,IF($B$1="28-3 Blade",'28-3 blade'!D50,IF($B$1=32,'32'!D50)))))))))))))</f>
        <v>0</v>
      </c>
      <c r="D52" s="2">
        <f>Sheet1!P99</f>
        <v>0</v>
      </c>
      <c r="I52" s="2" t="e">
        <f t="shared" si="11"/>
        <v>#N/A</v>
      </c>
      <c r="J52" s="2" t="e">
        <f t="shared" si="12"/>
        <v>#N/A</v>
      </c>
      <c r="K52" s="2" t="e">
        <f t="shared" si="13"/>
        <v>#N/A</v>
      </c>
      <c r="L52" s="2" t="e">
        <f t="shared" si="14"/>
        <v>#N/A</v>
      </c>
      <c r="M52" s="2" t="e">
        <f t="shared" si="10"/>
        <v>#N/A</v>
      </c>
      <c r="N52" s="2" t="e">
        <f>L52/(Calculator!$E$26/100)</f>
        <v>#N/A</v>
      </c>
      <c r="O52" s="2" t="e">
        <f t="shared" si="4"/>
        <v>#N/A</v>
      </c>
    </row>
    <row r="53" spans="1:15" x14ac:dyDescent="0.35">
      <c r="A53" s="2">
        <f>Sheet1!A100</f>
        <v>0</v>
      </c>
      <c r="B53" s="2">
        <f>Sheet1!O100</f>
        <v>0</v>
      </c>
      <c r="C53" s="2" t="b">
        <f>IF($B$1=16,'16'!D51,IF($B$1=17,'17'!D52,IF('For Chart'!$B$1=18,'18'!D51,IF($B$1=14,'14'!D51,IF($B$1=20,'20'!D51,IF('For Chart'!$B$1=22,'22'!D51,IF('For Chart'!$B$1=24,'24'!D51,IF($B$1=26,'26'!D51,IF('For Chart'!$B$1=30,'30'!D51,IF('For Chart'!$B$1=28,'28'!D51,IF('For Chart'!$B$1=40,'40'!D51,IF($B$1="28-3 Blade",'28-3 blade'!D51,IF($B$1=32,'32'!D51)))))))))))))</f>
        <v>0</v>
      </c>
      <c r="D53" s="2">
        <f>Sheet1!P100</f>
        <v>0</v>
      </c>
      <c r="I53" s="2" t="e">
        <f t="shared" si="11"/>
        <v>#N/A</v>
      </c>
      <c r="J53" s="2" t="e">
        <f t="shared" si="12"/>
        <v>#N/A</v>
      </c>
      <c r="K53" s="2" t="e">
        <f t="shared" si="13"/>
        <v>#N/A</v>
      </c>
      <c r="L53" s="2" t="e">
        <f t="shared" si="14"/>
        <v>#N/A</v>
      </c>
      <c r="M53" s="2" t="e">
        <f t="shared" si="10"/>
        <v>#N/A</v>
      </c>
      <c r="N53" s="2" t="e">
        <f>L53/(Calculator!$E$26/100)</f>
        <v>#N/A</v>
      </c>
      <c r="O53" s="2" t="e">
        <f t="shared" si="4"/>
        <v>#N/A</v>
      </c>
    </row>
    <row r="54" spans="1:15" x14ac:dyDescent="0.35">
      <c r="A54" s="2">
        <f>Sheet1!A101</f>
        <v>0</v>
      </c>
      <c r="B54" s="2">
        <f>Sheet1!O101</f>
        <v>0</v>
      </c>
      <c r="C54" s="2" t="b">
        <f>IF($B$1=16,'16'!D52,IF($B$1=17,'17'!D53,IF('For Chart'!$B$1=18,'18'!D52,IF($B$1=14,'14'!D52,IF($B$1=20,'20'!D52,IF('For Chart'!$B$1=22,'22'!D52,IF('For Chart'!$B$1=24,'24'!D52,IF($B$1=26,'26'!D52,IF('For Chart'!$B$1=30,'30'!D52,IF('For Chart'!$B$1=28,'28'!D52,IF('For Chart'!$B$1=40,'40'!D52,IF($B$1="28-3 Blade",'28-3 blade'!D52,IF($B$1=32,'32'!D52)))))))))))))</f>
        <v>0</v>
      </c>
      <c r="D54" s="2">
        <f>Sheet1!P101</f>
        <v>0</v>
      </c>
      <c r="I54" s="2" t="e">
        <f t="shared" si="11"/>
        <v>#N/A</v>
      </c>
      <c r="J54" s="2" t="e">
        <f t="shared" si="12"/>
        <v>#N/A</v>
      </c>
      <c r="K54" s="2" t="e">
        <f t="shared" si="13"/>
        <v>#N/A</v>
      </c>
      <c r="L54" s="2" t="e">
        <f t="shared" si="14"/>
        <v>#N/A</v>
      </c>
      <c r="M54" s="2" t="e">
        <f t="shared" si="10"/>
        <v>#N/A</v>
      </c>
      <c r="N54" s="2" t="e">
        <f>L54/(Calculator!$E$26/100)</f>
        <v>#N/A</v>
      </c>
      <c r="O54" s="2" t="e">
        <f t="shared" si="4"/>
        <v>#N/A</v>
      </c>
    </row>
    <row r="55" spans="1:15" x14ac:dyDescent="0.35">
      <c r="A55" s="2">
        <f>Sheet1!A102</f>
        <v>0</v>
      </c>
      <c r="B55" s="2">
        <f>Sheet1!O102</f>
        <v>0</v>
      </c>
      <c r="C55" s="2" t="b">
        <f>IF($B$1=16,'16'!D53,IF($B$1=17,'17'!D54,IF('For Chart'!$B$1=18,'18'!D53,IF($B$1=14,'14'!D53,IF($B$1=20,'20'!D53,IF('For Chart'!$B$1=22,'22'!D53,IF('For Chart'!$B$1=24,'24'!D53,IF($B$1=26,'26'!D53,IF('For Chart'!$B$1=30,'30'!D53,IF('For Chart'!$B$1=28,'28'!D53,IF('For Chart'!$B$1=40,'40'!D53,IF($B$1="28-3 Blade",'28-3 blade'!D53,IF($B$1=32,'32'!D53)))))))))))))</f>
        <v>0</v>
      </c>
      <c r="D55" s="2">
        <f>Sheet1!P102</f>
        <v>0</v>
      </c>
      <c r="I55" s="2" t="e">
        <f t="shared" si="11"/>
        <v>#N/A</v>
      </c>
      <c r="J55" s="2" t="e">
        <f t="shared" si="12"/>
        <v>#N/A</v>
      </c>
      <c r="K55" s="2" t="e">
        <f t="shared" si="13"/>
        <v>#N/A</v>
      </c>
      <c r="L55" s="2" t="e">
        <f t="shared" si="14"/>
        <v>#N/A</v>
      </c>
      <c r="M55" s="2" t="e">
        <f t="shared" si="10"/>
        <v>#N/A</v>
      </c>
      <c r="N55" s="2" t="e">
        <f>L55/(Calculator!$E$26/100)</f>
        <v>#N/A</v>
      </c>
      <c r="O55" s="2" t="e">
        <f t="shared" si="4"/>
        <v>#N/A</v>
      </c>
    </row>
    <row r="56" spans="1:15" x14ac:dyDescent="0.35">
      <c r="A56" s="2">
        <f>Sheet1!A103</f>
        <v>0</v>
      </c>
      <c r="B56" s="2">
        <f>Sheet1!O103</f>
        <v>0</v>
      </c>
      <c r="C56" s="2" t="b">
        <f>IF($B$1=16,'16'!D54,IF($B$1=17,'17'!D55,IF('For Chart'!$B$1=18,'18'!D54,IF($B$1=14,'14'!D54,IF($B$1=20,'20'!D54,IF('For Chart'!$B$1=22,'22'!D54,IF('For Chart'!$B$1=24,'24'!D54,IF($B$1=26,'26'!D54,IF('For Chart'!$B$1=30,'30'!D54,IF('For Chart'!$B$1=28,'28'!D54,IF('For Chart'!$B$1=40,'40'!D54,IF($B$1="28-3 Blade",'28-3 blade'!D54,IF($B$1=32,'32'!D54)))))))))))))</f>
        <v>0</v>
      </c>
      <c r="D56" s="2">
        <f>Sheet1!P103</f>
        <v>0</v>
      </c>
      <c r="I56" s="2" t="e">
        <f t="shared" si="11"/>
        <v>#N/A</v>
      </c>
      <c r="J56" s="2" t="e">
        <f t="shared" si="12"/>
        <v>#N/A</v>
      </c>
      <c r="K56" s="2" t="e">
        <f t="shared" si="13"/>
        <v>#N/A</v>
      </c>
      <c r="L56" s="2" t="e">
        <f t="shared" si="14"/>
        <v>#N/A</v>
      </c>
      <c r="M56" s="2" t="e">
        <f t="shared" si="10"/>
        <v>#N/A</v>
      </c>
      <c r="N56" s="2" t="e">
        <f>L56/(Calculator!$E$26/100)</f>
        <v>#N/A</v>
      </c>
      <c r="O56" s="2" t="e">
        <f t="shared" si="4"/>
        <v>#N/A</v>
      </c>
    </row>
    <row r="57" spans="1:15" x14ac:dyDescent="0.35">
      <c r="A57" s="2">
        <f>Sheet1!A104</f>
        <v>0</v>
      </c>
      <c r="B57" s="2">
        <f>Sheet1!O104</f>
        <v>0</v>
      </c>
      <c r="C57" s="2" t="b">
        <f>IF($B$1=16,'16'!D55,IF($B$1=17,'17'!D56,IF('For Chart'!$B$1=18,'18'!D55,IF($B$1=14,'14'!D55,IF($B$1=20,'20'!D55,IF('For Chart'!$B$1=22,'22'!D55,IF('For Chart'!$B$1=24,'24'!D55,IF($B$1=26,'26'!D55,IF('For Chart'!$B$1=30,'30'!D55,IF('For Chart'!$B$1=28,'28'!D55,IF('For Chart'!$B$1=40,'40'!D55,IF($B$1="28-3 Blade",'28-3 blade'!D55,IF($B$1=32,'32'!D55)))))))))))))</f>
        <v>0</v>
      </c>
      <c r="D57" s="2">
        <f>Sheet1!P104</f>
        <v>0</v>
      </c>
      <c r="I57" s="2" t="e">
        <f t="shared" si="11"/>
        <v>#N/A</v>
      </c>
      <c r="J57" s="2" t="e">
        <f t="shared" si="12"/>
        <v>#N/A</v>
      </c>
      <c r="K57" s="2" t="e">
        <f t="shared" si="13"/>
        <v>#N/A</v>
      </c>
      <c r="L57" s="2" t="e">
        <f t="shared" si="14"/>
        <v>#N/A</v>
      </c>
      <c r="M57" s="2" t="e">
        <f t="shared" si="10"/>
        <v>#N/A</v>
      </c>
      <c r="N57" s="2" t="e">
        <f>L57/(Calculator!$E$26/100)</f>
        <v>#N/A</v>
      </c>
      <c r="O57" s="2" t="e">
        <f t="shared" si="4"/>
        <v>#N/A</v>
      </c>
    </row>
    <row r="58" spans="1:15" x14ac:dyDescent="0.35">
      <c r="A58" s="2">
        <f>Sheet1!A105</f>
        <v>0</v>
      </c>
      <c r="B58" s="2">
        <f>Sheet1!O105</f>
        <v>0</v>
      </c>
      <c r="C58" s="2" t="b">
        <f>IF($B$1=16,'16'!D56,IF($B$1=17,'17'!D57,IF('For Chart'!$B$1=18,'18'!D56,IF($B$1=14,'14'!D56,IF($B$1=20,'20'!D56,IF('For Chart'!$B$1=22,'22'!D56,IF('For Chart'!$B$1=24,'24'!D56,IF($B$1=26,'26'!D56,IF('For Chart'!$B$1=30,'30'!D56,IF('For Chart'!$B$1=28,'28'!D56,IF('For Chart'!$B$1=40,'40'!D56,IF($B$1="28-3 Blade",'28-3 blade'!D56,IF($B$1=32,'32'!D56)))))))))))))</f>
        <v>0</v>
      </c>
      <c r="D58" s="2">
        <f>Sheet1!P105</f>
        <v>0</v>
      </c>
      <c r="I58" s="2" t="e">
        <f t="shared" si="11"/>
        <v>#N/A</v>
      </c>
      <c r="J58" s="2" t="e">
        <f t="shared" si="12"/>
        <v>#N/A</v>
      </c>
      <c r="K58" s="2" t="e">
        <f t="shared" si="13"/>
        <v>#N/A</v>
      </c>
      <c r="L58" s="2" t="e">
        <f t="shared" si="14"/>
        <v>#N/A</v>
      </c>
      <c r="M58" s="2" t="e">
        <f t="shared" si="10"/>
        <v>#N/A</v>
      </c>
      <c r="N58" s="2" t="e">
        <f>L58/(Calculator!$E$26/100)</f>
        <v>#N/A</v>
      </c>
      <c r="O58" s="2" t="e">
        <f t="shared" si="4"/>
        <v>#N/A</v>
      </c>
    </row>
    <row r="59" spans="1:15" x14ac:dyDescent="0.35">
      <c r="A59" s="2">
        <f>Sheet1!A106</f>
        <v>0</v>
      </c>
      <c r="B59" s="2">
        <f>Sheet1!O106</f>
        <v>0</v>
      </c>
      <c r="C59" s="2" t="b">
        <f>IF($B$1=16,'16'!D57,IF($B$1=17,'17'!D58,IF('For Chart'!$B$1=18,'18'!D57,IF($B$1=14,'14'!D57,IF($B$1=20,'20'!D57,IF('For Chart'!$B$1=22,'22'!D57,IF('For Chart'!$B$1=24,'24'!D57,IF($B$1=26,'26'!D57,IF('For Chart'!$B$1=30,'30'!D57,IF('For Chart'!$B$1=28,'28'!D57,IF('For Chart'!$B$1=40,'40'!D57,IF($B$1="28-3 Blade",'28-3 blade'!D57,IF($B$1=32,'32'!D57)))))))))))))</f>
        <v>0</v>
      </c>
      <c r="D59" s="2">
        <f>Sheet1!P106</f>
        <v>0</v>
      </c>
      <c r="I59" s="2" t="e">
        <f t="shared" si="11"/>
        <v>#N/A</v>
      </c>
      <c r="J59" s="2" t="e">
        <f t="shared" si="12"/>
        <v>#N/A</v>
      </c>
      <c r="K59" s="2" t="e">
        <f t="shared" si="13"/>
        <v>#N/A</v>
      </c>
      <c r="L59" s="2" t="e">
        <f t="shared" si="14"/>
        <v>#N/A</v>
      </c>
      <c r="M59" s="2" t="e">
        <f t="shared" si="10"/>
        <v>#N/A</v>
      </c>
      <c r="N59" s="2" t="e">
        <f>L59/(Calculator!$E$26/100)</f>
        <v>#N/A</v>
      </c>
      <c r="O59" s="2" t="e">
        <f t="shared" si="4"/>
        <v>#N/A</v>
      </c>
    </row>
    <row r="60" spans="1:15" x14ac:dyDescent="0.35">
      <c r="A60" s="2">
        <f>Sheet1!A107</f>
        <v>0</v>
      </c>
      <c r="B60" s="2">
        <f>Sheet1!O107</f>
        <v>0</v>
      </c>
      <c r="C60" s="2" t="b">
        <f>IF($B$1=16,'16'!D58,IF($B$1=17,'17'!D59,IF('For Chart'!$B$1=18,'18'!D58,IF($B$1=14,'14'!D58,IF($B$1=20,'20'!D58,IF('For Chart'!$B$1=22,'22'!D58,IF('For Chart'!$B$1=24,'24'!D58,IF($B$1=26,'26'!D58,IF('For Chart'!$B$1=30,'30'!D58,IF('For Chart'!$B$1=28,'28'!D58,IF('For Chart'!$B$1=40,'40'!D58,IF($B$1="28-3 Blade",'28-3 blade'!D58,IF($B$1=32,'32'!D58)))))))))))))</f>
        <v>0</v>
      </c>
      <c r="D60" s="2">
        <f>Sheet1!P107</f>
        <v>0</v>
      </c>
      <c r="I60" s="2" t="e">
        <f t="shared" si="11"/>
        <v>#N/A</v>
      </c>
      <c r="J60" s="2" t="e">
        <f t="shared" si="12"/>
        <v>#N/A</v>
      </c>
      <c r="K60" s="2" t="e">
        <f t="shared" si="13"/>
        <v>#N/A</v>
      </c>
      <c r="L60" s="2" t="e">
        <f t="shared" si="14"/>
        <v>#N/A</v>
      </c>
      <c r="M60" s="2" t="e">
        <f t="shared" si="10"/>
        <v>#N/A</v>
      </c>
      <c r="N60" s="2" t="e">
        <f>L60/(Calculator!$E$26/100)</f>
        <v>#N/A</v>
      </c>
      <c r="O60" s="2" t="e">
        <f t="shared" si="4"/>
        <v>#N/A</v>
      </c>
    </row>
    <row r="61" spans="1:15" x14ac:dyDescent="0.35">
      <c r="A61" s="2">
        <f>Sheet1!A108</f>
        <v>0</v>
      </c>
      <c r="B61" s="2">
        <f>Sheet1!O108</f>
        <v>0</v>
      </c>
      <c r="C61" s="2" t="b">
        <f>IF($B$1=16,'16'!D59,IF($B$1=17,'17'!D60,IF('For Chart'!$B$1=18,'18'!D59,IF($B$1=14,'14'!D59,IF($B$1=20,'20'!D59,IF('For Chart'!$B$1=22,'22'!D59,IF('For Chart'!$B$1=24,'24'!D59,IF($B$1=26,'26'!D59,IF('For Chart'!$B$1=30,'30'!D59,IF('For Chart'!$B$1=28,'28'!D59,IF('For Chart'!$B$1=40,'40'!D59,IF($B$1="28-3 Blade",'28-3 blade'!D59,IF($B$1=32,'32'!D59)))))))))))))</f>
        <v>0</v>
      </c>
      <c r="D61" s="2">
        <f>Sheet1!P108</f>
        <v>0</v>
      </c>
      <c r="I61" s="2" t="e">
        <f t="shared" si="11"/>
        <v>#N/A</v>
      </c>
      <c r="J61" s="2" t="e">
        <f t="shared" si="12"/>
        <v>#N/A</v>
      </c>
      <c r="K61" s="2" t="e">
        <f t="shared" si="13"/>
        <v>#N/A</v>
      </c>
      <c r="L61" s="2" t="e">
        <f t="shared" si="14"/>
        <v>#N/A</v>
      </c>
      <c r="M61" s="2" t="e">
        <f t="shared" si="10"/>
        <v>#N/A</v>
      </c>
      <c r="N61" s="2" t="e">
        <f>L61/(Calculator!$E$26/100)</f>
        <v>#N/A</v>
      </c>
      <c r="O61" s="2" t="e">
        <f t="shared" si="4"/>
        <v>#N/A</v>
      </c>
    </row>
    <row r="62" spans="1:15" x14ac:dyDescent="0.35">
      <c r="A62" s="2">
        <f>Sheet1!A109</f>
        <v>0</v>
      </c>
      <c r="B62" s="2">
        <f>Sheet1!O109</f>
        <v>0</v>
      </c>
      <c r="C62" s="2" t="b">
        <f>IF($B$1=16,'16'!D60,IF($B$1=17,'17'!D61,IF('For Chart'!$B$1=18,'18'!D60,IF($B$1=14,'14'!D60,IF($B$1=20,'20'!D60,IF('For Chart'!$B$1=22,'22'!D60,IF('For Chart'!$B$1=24,'24'!D60,IF($B$1=26,'26'!D60,IF('For Chart'!$B$1=30,'30'!D60,IF('For Chart'!$B$1=28,'28'!D60,IF('For Chart'!$B$1=40,'40'!D60,IF($B$1="28-3 Blade",'28-3 blade'!D60,IF($B$1=32,'32'!D60)))))))))))))</f>
        <v>0</v>
      </c>
      <c r="D62" s="2">
        <f>Sheet1!P109</f>
        <v>0</v>
      </c>
      <c r="I62" s="2" t="e">
        <f t="shared" si="11"/>
        <v>#N/A</v>
      </c>
      <c r="J62" s="2" t="e">
        <f t="shared" si="12"/>
        <v>#N/A</v>
      </c>
      <c r="K62" s="2" t="e">
        <f t="shared" si="13"/>
        <v>#N/A</v>
      </c>
      <c r="L62" s="2" t="e">
        <f t="shared" si="14"/>
        <v>#N/A</v>
      </c>
      <c r="M62" s="2" t="e">
        <f t="shared" si="10"/>
        <v>#N/A</v>
      </c>
      <c r="N62" s="2" t="e">
        <f>L62/(Calculator!$E$26/100)</f>
        <v>#N/A</v>
      </c>
      <c r="O62" s="2" t="e">
        <f t="shared" si="4"/>
        <v>#N/A</v>
      </c>
    </row>
    <row r="63" spans="1:15" x14ac:dyDescent="0.35">
      <c r="A63" s="2">
        <f>Sheet1!A110</f>
        <v>0</v>
      </c>
      <c r="B63" s="2">
        <f>Sheet1!O110</f>
        <v>0</v>
      </c>
      <c r="C63" s="2" t="b">
        <f>IF($B$1=16,'16'!D61,IF($B$1=17,'17'!D62,IF('For Chart'!$B$1=18,'18'!D61,IF($B$1=14,'14'!D61,IF($B$1=20,'20'!D61,IF('For Chart'!$B$1=22,'22'!D61,IF('For Chart'!$B$1=24,'24'!D61,IF($B$1=26,'26'!D61,IF('For Chart'!$B$1=30,'30'!D61,IF('For Chart'!$B$1=28,'28'!D61,IF('For Chart'!$B$1=40,'40'!D61,IF($B$1="28-3 Blade",'28-3 blade'!D61,IF($B$1=32,'32'!D61)))))))))))))</f>
        <v>0</v>
      </c>
      <c r="D63" s="2">
        <f>Sheet1!P110</f>
        <v>0</v>
      </c>
      <c r="I63" s="2" t="e">
        <f t="shared" ref="I63:I126" si="15">IF(A63=0,#N/A,A63)</f>
        <v>#N/A</v>
      </c>
      <c r="J63" s="2" t="e">
        <f t="shared" ref="J63:J126" si="16">IF(A63=0,#N/A,B63)</f>
        <v>#N/A</v>
      </c>
      <c r="K63" s="2" t="e">
        <f t="shared" ref="K63:K126" si="17">IF(A63=0,#N/A,C63)</f>
        <v>#N/A</v>
      </c>
      <c r="L63" s="2" t="e">
        <f t="shared" ref="L63:L126" si="18">IF(D63=0,#N/A,D63)</f>
        <v>#N/A</v>
      </c>
      <c r="M63" s="2" t="e">
        <f t="shared" si="10"/>
        <v>#N/A</v>
      </c>
      <c r="N63" s="2" t="e">
        <f>L63/(Calculator!$E$26/100)</f>
        <v>#N/A</v>
      </c>
      <c r="O63" s="2" t="e">
        <f t="shared" si="4"/>
        <v>#N/A</v>
      </c>
    </row>
    <row r="64" spans="1:15" x14ac:dyDescent="0.35">
      <c r="A64" s="2">
        <f>Sheet1!A111</f>
        <v>0</v>
      </c>
      <c r="B64" s="2">
        <f>Sheet1!O111</f>
        <v>0</v>
      </c>
      <c r="C64" s="2" t="b">
        <f>IF($B$1=16,'16'!D62,IF($B$1=17,'17'!D63,IF('For Chart'!$B$1=18,'18'!D62,IF($B$1=14,'14'!D62,IF($B$1=20,'20'!D62,IF('For Chart'!$B$1=22,'22'!D62,IF('For Chart'!$B$1=24,'24'!D62,IF($B$1=26,'26'!D62,IF('For Chart'!$B$1=30,'30'!D62,IF('For Chart'!$B$1=28,'28'!D62,IF('For Chart'!$B$1=40,'40'!D62,IF($B$1="28-3 Blade",'28-3 blade'!D62,IF($B$1=32,'32'!D62)))))))))))))</f>
        <v>0</v>
      </c>
      <c r="D64" s="2">
        <f>Sheet1!P111</f>
        <v>0</v>
      </c>
      <c r="I64" s="2" t="e">
        <f t="shared" si="15"/>
        <v>#N/A</v>
      </c>
      <c r="J64" s="2" t="e">
        <f t="shared" si="16"/>
        <v>#N/A</v>
      </c>
      <c r="K64" s="2" t="e">
        <f t="shared" si="17"/>
        <v>#N/A</v>
      </c>
      <c r="L64" s="2" t="e">
        <f t="shared" si="18"/>
        <v>#N/A</v>
      </c>
      <c r="M64" s="2" t="e">
        <f t="shared" si="10"/>
        <v>#N/A</v>
      </c>
      <c r="N64" s="2" t="e">
        <f>L64/(Calculator!$E$26/100)</f>
        <v>#N/A</v>
      </c>
      <c r="O64" s="2" t="e">
        <f t="shared" si="4"/>
        <v>#N/A</v>
      </c>
    </row>
    <row r="65" spans="1:15" x14ac:dyDescent="0.35">
      <c r="A65" s="2">
        <f>Sheet1!A112</f>
        <v>0</v>
      </c>
      <c r="B65" s="2">
        <f>Sheet1!O112</f>
        <v>0</v>
      </c>
      <c r="C65" s="2" t="b">
        <f>IF($B$1=16,'16'!D63,IF($B$1=17,'17'!D64,IF('For Chart'!$B$1=18,'18'!D63,IF($B$1=14,'14'!D63,IF($B$1=20,'20'!D63,IF('For Chart'!$B$1=22,'22'!D63,IF('For Chart'!$B$1=24,'24'!D63,IF($B$1=26,'26'!D63,IF('For Chart'!$B$1=30,'30'!D63,IF('For Chart'!$B$1=28,'28'!D63,IF('For Chart'!$B$1=40,'40'!D63,IF($B$1="28-3 Blade",'28-3 blade'!D63,IF($B$1=32,'32'!D63)))))))))))))</f>
        <v>0</v>
      </c>
      <c r="D65" s="2">
        <f>Sheet1!P112</f>
        <v>0</v>
      </c>
      <c r="I65" s="2" t="e">
        <f t="shared" si="15"/>
        <v>#N/A</v>
      </c>
      <c r="J65" s="2" t="e">
        <f t="shared" si="16"/>
        <v>#N/A</v>
      </c>
      <c r="K65" s="2" t="e">
        <f t="shared" si="17"/>
        <v>#N/A</v>
      </c>
      <c r="L65" s="2" t="e">
        <f t="shared" si="18"/>
        <v>#N/A</v>
      </c>
      <c r="M65" s="2" t="e">
        <f t="shared" si="10"/>
        <v>#N/A</v>
      </c>
      <c r="N65" s="2" t="e">
        <f>L65/(Calculator!$E$26/100)</f>
        <v>#N/A</v>
      </c>
      <c r="O65" s="2" t="e">
        <f t="shared" si="4"/>
        <v>#N/A</v>
      </c>
    </row>
    <row r="66" spans="1:15" x14ac:dyDescent="0.35">
      <c r="A66" s="2">
        <f>Sheet1!A113</f>
        <v>0</v>
      </c>
      <c r="B66" s="2">
        <f>Sheet1!O113</f>
        <v>0</v>
      </c>
      <c r="C66" s="2" t="b">
        <f>IF($B$1=16,'16'!D64,IF($B$1=17,'17'!D65,IF('For Chart'!$B$1=18,'18'!D64,IF($B$1=14,'14'!D64,IF($B$1=20,'20'!D64,IF('For Chart'!$B$1=22,'22'!D64,IF('For Chart'!$B$1=24,'24'!D64,IF($B$1=26,'26'!D64,IF('For Chart'!$B$1=30,'30'!D64,IF('For Chart'!$B$1=28,'28'!D64,IF('For Chart'!$B$1=40,'40'!D64,IF($B$1="28-3 Blade",'28-3 blade'!D64,IF($B$1=32,'32'!D64)))))))))))))</f>
        <v>0</v>
      </c>
      <c r="D66" s="2">
        <f>Sheet1!P113</f>
        <v>0</v>
      </c>
      <c r="I66" s="2" t="e">
        <f t="shared" si="15"/>
        <v>#N/A</v>
      </c>
      <c r="J66" s="2" t="e">
        <f t="shared" si="16"/>
        <v>#N/A</v>
      </c>
      <c r="K66" s="2" t="e">
        <f t="shared" si="17"/>
        <v>#N/A</v>
      </c>
      <c r="L66" s="2" t="e">
        <f t="shared" si="18"/>
        <v>#N/A</v>
      </c>
      <c r="M66" s="2" t="e">
        <f t="shared" si="10"/>
        <v>#N/A</v>
      </c>
      <c r="N66" s="2" t="e">
        <f>L66/(Calculator!$E$26/100)</f>
        <v>#N/A</v>
      </c>
      <c r="O66" s="2" t="e">
        <f t="shared" si="4"/>
        <v>#N/A</v>
      </c>
    </row>
    <row r="67" spans="1:15" x14ac:dyDescent="0.35">
      <c r="A67" s="2">
        <f>Sheet1!A114</f>
        <v>0</v>
      </c>
      <c r="B67" s="2">
        <f>Sheet1!O114</f>
        <v>0</v>
      </c>
      <c r="C67" s="2" t="b">
        <f>IF($B$1=16,'16'!D65,IF($B$1=17,'17'!D66,IF('For Chart'!$B$1=18,'18'!D65,IF($B$1=14,'14'!D65,IF($B$1=20,'20'!D65,IF('For Chart'!$B$1=22,'22'!D65,IF('For Chart'!$B$1=24,'24'!D65,IF($B$1=26,'26'!D65,IF('For Chart'!$B$1=30,'30'!D65,IF('For Chart'!$B$1=28,'28'!D65,IF('For Chart'!$B$1=40,'40'!D65,IF($B$1="28-3 Blade",'28-3 blade'!D65,IF($B$1=32,'32'!D65)))))))))))))</f>
        <v>0</v>
      </c>
      <c r="D67" s="2">
        <f>Sheet1!P114</f>
        <v>0</v>
      </c>
      <c r="I67" s="2" t="e">
        <f t="shared" si="15"/>
        <v>#N/A</v>
      </c>
      <c r="J67" s="2" t="e">
        <f t="shared" si="16"/>
        <v>#N/A</v>
      </c>
      <c r="K67" s="2" t="e">
        <f t="shared" si="17"/>
        <v>#N/A</v>
      </c>
      <c r="L67" s="2" t="e">
        <f t="shared" si="18"/>
        <v>#N/A</v>
      </c>
      <c r="M67" s="2" t="e">
        <f t="shared" si="10"/>
        <v>#N/A</v>
      </c>
      <c r="N67" s="2" t="e">
        <f>L67/(Calculator!$E$26/100)</f>
        <v>#N/A</v>
      </c>
      <c r="O67" s="2" t="e">
        <f t="shared" si="4"/>
        <v>#N/A</v>
      </c>
    </row>
    <row r="68" spans="1:15" x14ac:dyDescent="0.35">
      <c r="A68" s="2">
        <f>Sheet1!A115</f>
        <v>0</v>
      </c>
      <c r="B68" s="2">
        <f>Sheet1!O115</f>
        <v>0</v>
      </c>
      <c r="C68" s="2" t="b">
        <f>IF($B$1=16,'16'!D66,IF($B$1=17,'17'!D67,IF('For Chart'!$B$1=18,'18'!D66,IF($B$1=14,'14'!D66,IF($B$1=20,'20'!D66,IF('For Chart'!$B$1=22,'22'!D66,IF('For Chart'!$B$1=24,'24'!D66,IF($B$1=26,'26'!D66,IF('For Chart'!$B$1=30,'30'!D66,IF('For Chart'!$B$1=28,'28'!D66,IF('For Chart'!$B$1=40,'40'!D66,IF($B$1="28-3 Blade",'28-3 blade'!D66,IF($B$1=32,'32'!D66)))))))))))))</f>
        <v>0</v>
      </c>
      <c r="D68" s="2">
        <f>Sheet1!P115</f>
        <v>0</v>
      </c>
      <c r="I68" s="2" t="e">
        <f t="shared" si="15"/>
        <v>#N/A</v>
      </c>
      <c r="J68" s="2" t="e">
        <f t="shared" si="16"/>
        <v>#N/A</v>
      </c>
      <c r="K68" s="2" t="e">
        <f t="shared" si="17"/>
        <v>#N/A</v>
      </c>
      <c r="L68" s="2" t="e">
        <f t="shared" si="18"/>
        <v>#N/A</v>
      </c>
      <c r="M68" s="2" t="e">
        <f t="shared" si="10"/>
        <v>#N/A</v>
      </c>
      <c r="N68" s="2" t="e">
        <f>L68/(Calculator!$E$26/100)</f>
        <v>#N/A</v>
      </c>
      <c r="O68" s="2" t="e">
        <f t="shared" si="4"/>
        <v>#N/A</v>
      </c>
    </row>
    <row r="69" spans="1:15" x14ac:dyDescent="0.35">
      <c r="A69" s="2">
        <f>Sheet1!A116</f>
        <v>0</v>
      </c>
      <c r="B69" s="2">
        <f>Sheet1!O116</f>
        <v>0</v>
      </c>
      <c r="C69" s="2" t="b">
        <f>IF($B$1=16,'16'!D67,IF($B$1=17,'17'!D68,IF('For Chart'!$B$1=18,'18'!D67,IF($B$1=14,'14'!D67,IF($B$1=20,'20'!D67,IF('For Chart'!$B$1=22,'22'!D67,IF('For Chart'!$B$1=24,'24'!D67,IF($B$1=26,'26'!D67,IF('For Chart'!$B$1=30,'30'!D67,IF('For Chart'!$B$1=28,'28'!D67,IF('For Chart'!$B$1=40,'40'!D67,IF($B$1="28-3 Blade",'28-3 blade'!D67,IF($B$1=32,'32'!D67)))))))))))))</f>
        <v>0</v>
      </c>
      <c r="D69" s="2">
        <f>Sheet1!P116</f>
        <v>0</v>
      </c>
      <c r="I69" s="2" t="e">
        <f t="shared" si="15"/>
        <v>#N/A</v>
      </c>
      <c r="J69" s="2" t="e">
        <f t="shared" si="16"/>
        <v>#N/A</v>
      </c>
      <c r="K69" s="2" t="e">
        <f t="shared" si="17"/>
        <v>#N/A</v>
      </c>
      <c r="L69" s="2" t="e">
        <f t="shared" si="18"/>
        <v>#N/A</v>
      </c>
      <c r="M69" s="2" t="e">
        <f t="shared" si="10"/>
        <v>#N/A</v>
      </c>
      <c r="N69" s="2" t="e">
        <f>L69/(Calculator!$E$26/100)</f>
        <v>#N/A</v>
      </c>
      <c r="O69" s="2" t="e">
        <f t="shared" ref="O69:O132" si="19">J69*1000/N69</f>
        <v>#N/A</v>
      </c>
    </row>
    <row r="70" spans="1:15" x14ac:dyDescent="0.35">
      <c r="A70" s="2">
        <f>Sheet1!A117</f>
        <v>0</v>
      </c>
      <c r="B70" s="2">
        <f>Sheet1!O117</f>
        <v>0</v>
      </c>
      <c r="C70" s="2" t="b">
        <f>IF($B$1=16,'16'!D68,IF($B$1=17,'17'!D69,IF('For Chart'!$B$1=18,'18'!D68,IF($B$1=14,'14'!D68,IF($B$1=20,'20'!D68,IF('For Chart'!$B$1=22,'22'!D68,IF('For Chart'!$B$1=24,'24'!D68,IF($B$1=26,'26'!D68,IF('For Chart'!$B$1=30,'30'!D68,IF('For Chart'!$B$1=28,'28'!D68,IF('For Chart'!$B$1=40,'40'!D68,IF($B$1="28-3 Blade",'28-3 blade'!D68,IF($B$1=32,'32'!D68)))))))))))))</f>
        <v>0</v>
      </c>
      <c r="D70" s="2">
        <f>Sheet1!P117</f>
        <v>0</v>
      </c>
      <c r="I70" s="2" t="e">
        <f t="shared" si="15"/>
        <v>#N/A</v>
      </c>
      <c r="J70" s="2" t="e">
        <f t="shared" si="16"/>
        <v>#N/A</v>
      </c>
      <c r="K70" s="2" t="e">
        <f t="shared" si="17"/>
        <v>#N/A</v>
      </c>
      <c r="L70" s="2" t="e">
        <f t="shared" si="18"/>
        <v>#N/A</v>
      </c>
      <c r="M70" s="2" t="e">
        <f t="shared" si="10"/>
        <v>#N/A</v>
      </c>
      <c r="N70" s="2" t="e">
        <f>L70/(Calculator!$E$26/100)</f>
        <v>#N/A</v>
      </c>
      <c r="O70" s="2" t="e">
        <f t="shared" si="19"/>
        <v>#N/A</v>
      </c>
    </row>
    <row r="71" spans="1:15" x14ac:dyDescent="0.35">
      <c r="A71" s="2">
        <f>Sheet1!A118</f>
        <v>0</v>
      </c>
      <c r="B71" s="2">
        <f>Sheet1!O118</f>
        <v>0</v>
      </c>
      <c r="C71" s="2" t="b">
        <f>IF($B$1=16,'16'!D69,IF($B$1=17,'17'!D70,IF('For Chart'!$B$1=18,'18'!D69,IF($B$1=14,'14'!D69,IF($B$1=20,'20'!D69,IF('For Chart'!$B$1=22,'22'!D69,IF('For Chart'!$B$1=24,'24'!D69,IF($B$1=26,'26'!D69,IF('For Chart'!$B$1=30,'30'!D69,IF('For Chart'!$B$1=28,'28'!D69,IF('For Chart'!$B$1=40,'40'!D69,IF($B$1="28-3 Blade",'28-3 blade'!D69,IF($B$1=32,'32'!D69)))))))))))))</f>
        <v>0</v>
      </c>
      <c r="D71" s="2">
        <f>Sheet1!P118</f>
        <v>0</v>
      </c>
      <c r="I71" s="2" t="e">
        <f t="shared" si="15"/>
        <v>#N/A</v>
      </c>
      <c r="J71" s="2" t="e">
        <f t="shared" si="16"/>
        <v>#N/A</v>
      </c>
      <c r="K71" s="2" t="e">
        <f t="shared" si="17"/>
        <v>#N/A</v>
      </c>
      <c r="L71" s="2" t="e">
        <f t="shared" si="18"/>
        <v>#N/A</v>
      </c>
      <c r="M71" s="2" t="e">
        <f t="shared" si="10"/>
        <v>#N/A</v>
      </c>
      <c r="N71" s="2" t="e">
        <f>L71/(Calculator!$E$26/100)</f>
        <v>#N/A</v>
      </c>
      <c r="O71" s="2" t="e">
        <f t="shared" si="19"/>
        <v>#N/A</v>
      </c>
    </row>
    <row r="72" spans="1:15" x14ac:dyDescent="0.35">
      <c r="A72" s="2">
        <f>Sheet1!A119</f>
        <v>0</v>
      </c>
      <c r="B72" s="2">
        <f>Sheet1!O119</f>
        <v>0</v>
      </c>
      <c r="C72" s="2" t="b">
        <f>IF($B$1=16,'16'!D70,IF($B$1=17,'17'!D71,IF('For Chart'!$B$1=18,'18'!D70,IF($B$1=14,'14'!D70,IF($B$1=20,'20'!D70,IF('For Chart'!$B$1=22,'22'!D70,IF('For Chart'!$B$1=24,'24'!D70,IF($B$1=26,'26'!D70,IF('For Chart'!$B$1=30,'30'!D70,IF('For Chart'!$B$1=28,'28'!D70,IF('For Chart'!$B$1=40,'40'!D70,IF($B$1="28-3 Blade",'28-3 blade'!D70,IF($B$1=32,'32'!D70)))))))))))))</f>
        <v>0</v>
      </c>
      <c r="D72" s="2">
        <f>Sheet1!P119</f>
        <v>0</v>
      </c>
      <c r="I72" s="2" t="e">
        <f t="shared" si="15"/>
        <v>#N/A</v>
      </c>
      <c r="J72" s="2" t="e">
        <f t="shared" si="16"/>
        <v>#N/A</v>
      </c>
      <c r="K72" s="2" t="e">
        <f t="shared" si="17"/>
        <v>#N/A</v>
      </c>
      <c r="L72" s="2" t="e">
        <f t="shared" si="18"/>
        <v>#N/A</v>
      </c>
      <c r="M72" s="2" t="e">
        <f t="shared" si="10"/>
        <v>#N/A</v>
      </c>
      <c r="N72" s="2" t="e">
        <f>L72/(Calculator!$E$26/100)</f>
        <v>#N/A</v>
      </c>
      <c r="O72" s="2" t="e">
        <f t="shared" si="19"/>
        <v>#N/A</v>
      </c>
    </row>
    <row r="73" spans="1:15" x14ac:dyDescent="0.35">
      <c r="A73" s="2">
        <f>Sheet1!A120</f>
        <v>0</v>
      </c>
      <c r="B73" s="2">
        <f>Sheet1!O120</f>
        <v>0</v>
      </c>
      <c r="C73" s="2" t="b">
        <f>IF($B$1=16,'16'!D71,IF($B$1=17,'17'!D72,IF('For Chart'!$B$1=18,'18'!D71,IF($B$1=14,'14'!D71,IF($B$1=20,'20'!D71,IF('For Chart'!$B$1=22,'22'!D71,IF('For Chart'!$B$1=24,'24'!D71,IF($B$1=26,'26'!D71,IF('For Chart'!$B$1=30,'30'!D71,IF('For Chart'!$B$1=28,'28'!D71,IF('For Chart'!$B$1=40,'40'!D71,IF($B$1="28-3 Blade",'28-3 blade'!D71,IF($B$1=32,'32'!D71)))))))))))))</f>
        <v>0</v>
      </c>
      <c r="D73" s="2">
        <f>Sheet1!P120</f>
        <v>0</v>
      </c>
      <c r="I73" s="2" t="e">
        <f t="shared" si="15"/>
        <v>#N/A</v>
      </c>
      <c r="J73" s="2" t="e">
        <f t="shared" si="16"/>
        <v>#N/A</v>
      </c>
      <c r="K73" s="2" t="e">
        <f t="shared" si="17"/>
        <v>#N/A</v>
      </c>
      <c r="L73" s="2" t="e">
        <f t="shared" si="18"/>
        <v>#N/A</v>
      </c>
      <c r="M73" s="2" t="e">
        <f t="shared" si="10"/>
        <v>#N/A</v>
      </c>
      <c r="N73" s="2" t="e">
        <f>L73/(Calculator!$E$26/100)</f>
        <v>#N/A</v>
      </c>
      <c r="O73" s="2" t="e">
        <f t="shared" si="19"/>
        <v>#N/A</v>
      </c>
    </row>
    <row r="74" spans="1:15" x14ac:dyDescent="0.35">
      <c r="A74" s="2">
        <f>Sheet1!A121</f>
        <v>0</v>
      </c>
      <c r="B74" s="2">
        <f>Sheet1!O121</f>
        <v>0</v>
      </c>
      <c r="C74" s="2" t="b">
        <f>IF($B$1=16,'16'!D72,IF($B$1=17,'17'!D73,IF('For Chart'!$B$1=18,'18'!D72,IF($B$1=14,'14'!D72,IF($B$1=20,'20'!D72,IF('For Chart'!$B$1=22,'22'!D72,IF('For Chart'!$B$1=24,'24'!D72,IF($B$1=26,'26'!D72,IF('For Chart'!$B$1=30,'30'!D72,IF('For Chart'!$B$1=28,'28'!D72,IF('For Chart'!$B$1=40,'40'!D72,IF($B$1="28-3 Blade",'28-3 blade'!D72,IF($B$1=32,'32'!D72)))))))))))))</f>
        <v>0</v>
      </c>
      <c r="D74" s="2">
        <f>Sheet1!P121</f>
        <v>0</v>
      </c>
      <c r="I74" s="2" t="e">
        <f t="shared" si="15"/>
        <v>#N/A</v>
      </c>
      <c r="J74" s="2" t="e">
        <f t="shared" si="16"/>
        <v>#N/A</v>
      </c>
      <c r="K74" s="2" t="e">
        <f t="shared" si="17"/>
        <v>#N/A</v>
      </c>
      <c r="L74" s="2" t="e">
        <f t="shared" si="18"/>
        <v>#N/A</v>
      </c>
      <c r="M74" s="2" t="e">
        <f t="shared" si="10"/>
        <v>#N/A</v>
      </c>
      <c r="N74" s="2" t="e">
        <f>L74/(Calculator!$E$26/100)</f>
        <v>#N/A</v>
      </c>
      <c r="O74" s="2" t="e">
        <f t="shared" si="19"/>
        <v>#N/A</v>
      </c>
    </row>
    <row r="75" spans="1:15" x14ac:dyDescent="0.35">
      <c r="A75" s="2">
        <f>Sheet1!A122</f>
        <v>0</v>
      </c>
      <c r="B75" s="2">
        <f>Sheet1!O122</f>
        <v>0</v>
      </c>
      <c r="C75" s="2" t="b">
        <f>IF($B$1=16,'16'!D73,IF($B$1=17,'17'!D74,IF('For Chart'!$B$1=18,'18'!D73,IF($B$1=14,'14'!D73,IF($B$1=20,'20'!D73,IF('For Chart'!$B$1=22,'22'!D73,IF('For Chart'!$B$1=24,'24'!D73,IF($B$1=26,'26'!D73,IF('For Chart'!$B$1=30,'30'!D73,IF('For Chart'!$B$1=28,'28'!D73,IF('For Chart'!$B$1=40,'40'!D73,IF($B$1="28-3 Blade",'28-3 blade'!D73,IF($B$1=32,'32'!D73)))))))))))))</f>
        <v>0</v>
      </c>
      <c r="D75" s="2">
        <f>Sheet1!P122</f>
        <v>0</v>
      </c>
      <c r="I75" s="2" t="e">
        <f t="shared" si="15"/>
        <v>#N/A</v>
      </c>
      <c r="J75" s="2" t="e">
        <f t="shared" si="16"/>
        <v>#N/A</v>
      </c>
      <c r="K75" s="2" t="e">
        <f t="shared" si="17"/>
        <v>#N/A</v>
      </c>
      <c r="L75" s="2" t="e">
        <f t="shared" si="18"/>
        <v>#N/A</v>
      </c>
      <c r="M75" s="2" t="e">
        <f t="shared" si="10"/>
        <v>#N/A</v>
      </c>
      <c r="N75" s="2" t="e">
        <f>L75/(Calculator!$E$26/100)</f>
        <v>#N/A</v>
      </c>
      <c r="O75" s="2" t="e">
        <f t="shared" si="19"/>
        <v>#N/A</v>
      </c>
    </row>
    <row r="76" spans="1:15" x14ac:dyDescent="0.35">
      <c r="A76" s="2">
        <f>Sheet1!A123</f>
        <v>0</v>
      </c>
      <c r="B76" s="2">
        <f>Sheet1!O123</f>
        <v>0</v>
      </c>
      <c r="C76" s="2" t="b">
        <f>IF($B$1=16,'16'!D74,IF($B$1=17,'17'!D75,IF('For Chart'!$B$1=18,'18'!D74,IF($B$1=14,'14'!D74,IF($B$1=20,'20'!D74,IF('For Chart'!$B$1=22,'22'!D74,IF('For Chart'!$B$1=24,'24'!D74,IF($B$1=26,'26'!D74,IF('For Chart'!$B$1=30,'30'!D74,IF('For Chart'!$B$1=28,'28'!D74,IF('For Chart'!$B$1=40,'40'!D74,IF($B$1="28-3 Blade",'28-3 blade'!D74,IF($B$1=32,'32'!D74)))))))))))))</f>
        <v>0</v>
      </c>
      <c r="D76" s="2">
        <f>Sheet1!P123</f>
        <v>0</v>
      </c>
      <c r="I76" s="2" t="e">
        <f t="shared" si="15"/>
        <v>#N/A</v>
      </c>
      <c r="J76" s="2" t="e">
        <f t="shared" si="16"/>
        <v>#N/A</v>
      </c>
      <c r="K76" s="2" t="e">
        <f t="shared" si="17"/>
        <v>#N/A</v>
      </c>
      <c r="L76" s="2" t="e">
        <f t="shared" si="18"/>
        <v>#N/A</v>
      </c>
      <c r="M76" s="2" t="e">
        <f t="shared" si="10"/>
        <v>#N/A</v>
      </c>
      <c r="N76" s="2" t="e">
        <f>L76/(Calculator!$E$26/100)</f>
        <v>#N/A</v>
      </c>
      <c r="O76" s="2" t="e">
        <f t="shared" si="19"/>
        <v>#N/A</v>
      </c>
    </row>
    <row r="77" spans="1:15" x14ac:dyDescent="0.35">
      <c r="A77" s="2">
        <f>Sheet1!A124</f>
        <v>0</v>
      </c>
      <c r="B77" s="2">
        <f>Sheet1!O124</f>
        <v>0</v>
      </c>
      <c r="C77" s="2" t="b">
        <f>IF($B$1=16,'16'!D75,IF($B$1=17,'17'!D76,IF('For Chart'!$B$1=18,'18'!D75,IF($B$1=14,'14'!D75,IF($B$1=20,'20'!D75,IF('For Chart'!$B$1=22,'22'!D75,IF('For Chart'!$B$1=24,'24'!D75,IF($B$1=26,'26'!D75,IF('For Chart'!$B$1=30,'30'!D75,IF('For Chart'!$B$1=28,'28'!D75,IF('For Chart'!$B$1=40,'40'!D75,IF($B$1="28-3 Blade",'28-3 blade'!D75,IF($B$1=32,'32'!D75)))))))))))))</f>
        <v>0</v>
      </c>
      <c r="D77" s="2">
        <f>Sheet1!P124</f>
        <v>0</v>
      </c>
      <c r="I77" s="2" t="e">
        <f t="shared" si="15"/>
        <v>#N/A</v>
      </c>
      <c r="J77" s="2" t="e">
        <f t="shared" si="16"/>
        <v>#N/A</v>
      </c>
      <c r="K77" s="2" t="e">
        <f t="shared" si="17"/>
        <v>#N/A</v>
      </c>
      <c r="L77" s="2" t="e">
        <f t="shared" si="18"/>
        <v>#N/A</v>
      </c>
      <c r="M77" s="2" t="e">
        <f t="shared" si="10"/>
        <v>#N/A</v>
      </c>
      <c r="N77" s="2" t="e">
        <f>L77/(Calculator!$E$26/100)</f>
        <v>#N/A</v>
      </c>
      <c r="O77" s="2" t="e">
        <f t="shared" si="19"/>
        <v>#N/A</v>
      </c>
    </row>
    <row r="78" spans="1:15" x14ac:dyDescent="0.35">
      <c r="A78" s="2">
        <f>Sheet1!A125</f>
        <v>0</v>
      </c>
      <c r="B78" s="2">
        <f>Sheet1!O125</f>
        <v>0</v>
      </c>
      <c r="C78" s="2" t="b">
        <f>IF($B$1=16,'16'!D76,IF($B$1=17,'17'!D77,IF('For Chart'!$B$1=18,'18'!D76,IF($B$1=14,'14'!D76,IF($B$1=20,'20'!D76,IF('For Chart'!$B$1=22,'22'!D76,IF('For Chart'!$B$1=24,'24'!D76,IF($B$1=26,'26'!D76,IF('For Chart'!$B$1=30,'30'!D76,IF('For Chart'!$B$1=28,'28'!D76,IF('For Chart'!$B$1=40,'40'!D76,IF($B$1="28-3 Blade",'28-3 blade'!D76,IF($B$1=32,'32'!D76)))))))))))))</f>
        <v>0</v>
      </c>
      <c r="D78" s="2">
        <f>Sheet1!P125</f>
        <v>0</v>
      </c>
      <c r="I78" s="2" t="e">
        <f t="shared" si="15"/>
        <v>#N/A</v>
      </c>
      <c r="J78" s="2" t="e">
        <f t="shared" si="16"/>
        <v>#N/A</v>
      </c>
      <c r="K78" s="2" t="e">
        <f t="shared" si="17"/>
        <v>#N/A</v>
      </c>
      <c r="L78" s="2" t="e">
        <f t="shared" si="18"/>
        <v>#N/A</v>
      </c>
      <c r="M78" s="2" t="e">
        <f t="shared" si="10"/>
        <v>#N/A</v>
      </c>
      <c r="N78" s="2" t="e">
        <f>L78/(Calculator!$E$26/100)</f>
        <v>#N/A</v>
      </c>
      <c r="O78" s="2" t="e">
        <f t="shared" si="19"/>
        <v>#N/A</v>
      </c>
    </row>
    <row r="79" spans="1:15" x14ac:dyDescent="0.35">
      <c r="A79" s="2">
        <f>Sheet1!A126</f>
        <v>0</v>
      </c>
      <c r="B79" s="2">
        <f>Sheet1!O126</f>
        <v>0</v>
      </c>
      <c r="C79" s="2" t="b">
        <f>IF($B$1=16,'16'!D77,IF($B$1=17,'17'!D78,IF('For Chart'!$B$1=18,'18'!D77,IF($B$1=14,'14'!D77,IF($B$1=20,'20'!D77,IF('For Chart'!$B$1=22,'22'!D77,IF('For Chart'!$B$1=24,'24'!D77,IF($B$1=26,'26'!D77,IF('For Chart'!$B$1=30,'30'!D77,IF('For Chart'!$B$1=28,'28'!D77,IF('For Chart'!$B$1=40,'40'!D77,IF($B$1="28-3 Blade",'28-3 blade'!D77,IF($B$1=32,'32'!D77)))))))))))))</f>
        <v>0</v>
      </c>
      <c r="D79" s="2">
        <f>Sheet1!P126</f>
        <v>0</v>
      </c>
      <c r="I79" s="2" t="e">
        <f t="shared" si="15"/>
        <v>#N/A</v>
      </c>
      <c r="J79" s="2" t="e">
        <f t="shared" si="16"/>
        <v>#N/A</v>
      </c>
      <c r="K79" s="2" t="e">
        <f t="shared" si="17"/>
        <v>#N/A</v>
      </c>
      <c r="L79" s="2" t="e">
        <f t="shared" si="18"/>
        <v>#N/A</v>
      </c>
      <c r="M79" s="2" t="e">
        <f t="shared" si="10"/>
        <v>#N/A</v>
      </c>
      <c r="N79" s="2" t="e">
        <f>L79/(Calculator!$E$26/100)</f>
        <v>#N/A</v>
      </c>
      <c r="O79" s="2" t="e">
        <f t="shared" si="19"/>
        <v>#N/A</v>
      </c>
    </row>
    <row r="80" spans="1:15" x14ac:dyDescent="0.35">
      <c r="A80" s="2">
        <f>Sheet1!A127</f>
        <v>0</v>
      </c>
      <c r="B80" s="2">
        <f>Sheet1!O127</f>
        <v>0</v>
      </c>
      <c r="C80" s="2" t="b">
        <f>IF($B$1=16,'16'!D78,IF($B$1=17,'17'!D79,IF('For Chart'!$B$1=18,'18'!D78,IF($B$1=14,'14'!D78,IF($B$1=20,'20'!D78,IF('For Chart'!$B$1=22,'22'!D78,IF('For Chart'!$B$1=24,'24'!D78,IF($B$1=26,'26'!D78,IF('For Chart'!$B$1=30,'30'!D78,IF('For Chart'!$B$1=28,'28'!D78,IF('For Chart'!$B$1=40,'40'!D78,IF($B$1="28-3 Blade",'28-3 blade'!D78,IF($B$1=32,'32'!D78)))))))))))))</f>
        <v>0</v>
      </c>
      <c r="D80" s="2">
        <f>Sheet1!P127</f>
        <v>0</v>
      </c>
      <c r="I80" s="2" t="e">
        <f t="shared" si="15"/>
        <v>#N/A</v>
      </c>
      <c r="J80" s="2" t="e">
        <f t="shared" si="16"/>
        <v>#N/A</v>
      </c>
      <c r="K80" s="2" t="e">
        <f t="shared" si="17"/>
        <v>#N/A</v>
      </c>
      <c r="L80" s="2" t="e">
        <f t="shared" si="18"/>
        <v>#N/A</v>
      </c>
      <c r="M80" s="2" t="e">
        <f t="shared" si="10"/>
        <v>#N/A</v>
      </c>
      <c r="N80" s="2" t="e">
        <f>L80/(Calculator!$E$26/100)</f>
        <v>#N/A</v>
      </c>
      <c r="O80" s="2" t="e">
        <f t="shared" si="19"/>
        <v>#N/A</v>
      </c>
    </row>
    <row r="81" spans="1:15" x14ac:dyDescent="0.35">
      <c r="A81" s="2">
        <f>Sheet1!A128</f>
        <v>0</v>
      </c>
      <c r="B81" s="2">
        <f>Sheet1!O128</f>
        <v>0</v>
      </c>
      <c r="C81" s="2" t="b">
        <f>IF($B$1=16,'16'!D79,IF($B$1=17,'17'!D80,IF('For Chart'!$B$1=18,'18'!D79,IF($B$1=14,'14'!D79,IF($B$1=20,'20'!D79,IF('For Chart'!$B$1=22,'22'!D79,IF('For Chart'!$B$1=24,'24'!D79,IF($B$1=26,'26'!D79,IF('For Chart'!$B$1=30,'30'!D79,IF('For Chart'!$B$1=28,'28'!D79,IF('For Chart'!$B$1=40,'40'!D79,IF($B$1="28-3 Blade",'28-3 blade'!D79,IF($B$1=32,'32'!D79)))))))))))))</f>
        <v>0</v>
      </c>
      <c r="D81" s="2">
        <f>Sheet1!P128</f>
        <v>0</v>
      </c>
      <c r="I81" s="2" t="e">
        <f t="shared" si="15"/>
        <v>#N/A</v>
      </c>
      <c r="J81" s="2" t="e">
        <f t="shared" si="16"/>
        <v>#N/A</v>
      </c>
      <c r="K81" s="2" t="e">
        <f t="shared" si="17"/>
        <v>#N/A</v>
      </c>
      <c r="L81" s="2" t="e">
        <f t="shared" si="18"/>
        <v>#N/A</v>
      </c>
      <c r="M81" s="2" t="e">
        <f t="shared" si="10"/>
        <v>#N/A</v>
      </c>
      <c r="N81" s="2" t="e">
        <f>L81/(Calculator!$E$26/100)</f>
        <v>#N/A</v>
      </c>
      <c r="O81" s="2" t="e">
        <f t="shared" si="19"/>
        <v>#N/A</v>
      </c>
    </row>
    <row r="82" spans="1:15" x14ac:dyDescent="0.35">
      <c r="A82" s="2">
        <f>Sheet1!A129</f>
        <v>0</v>
      </c>
      <c r="B82" s="2">
        <f>Sheet1!O129</f>
        <v>0</v>
      </c>
      <c r="C82" s="2" t="b">
        <f>IF($B$1=16,'16'!D80,IF($B$1=17,'17'!D81,IF('For Chart'!$B$1=18,'18'!D80,IF($B$1=14,'14'!D80,IF($B$1=20,'20'!D80,IF('For Chart'!$B$1=22,'22'!D80,IF('For Chart'!$B$1=24,'24'!D80,IF($B$1=26,'26'!D80,IF('For Chart'!$B$1=30,'30'!D80,IF('For Chart'!$B$1=28,'28'!D80,IF('For Chart'!$B$1=40,'40'!D80,IF($B$1="28-3 Blade",'28-3 blade'!D80,IF($B$1=32,'32'!D80)))))))))))))</f>
        <v>0</v>
      </c>
      <c r="D82" s="2">
        <f>Sheet1!P129</f>
        <v>0</v>
      </c>
      <c r="I82" s="2" t="e">
        <f t="shared" si="15"/>
        <v>#N/A</v>
      </c>
      <c r="J82" s="2" t="e">
        <f t="shared" si="16"/>
        <v>#N/A</v>
      </c>
      <c r="K82" s="2" t="e">
        <f t="shared" si="17"/>
        <v>#N/A</v>
      </c>
      <c r="L82" s="2" t="e">
        <f t="shared" si="18"/>
        <v>#N/A</v>
      </c>
      <c r="M82" s="2" t="e">
        <f t="shared" si="10"/>
        <v>#N/A</v>
      </c>
      <c r="N82" s="2" t="e">
        <f>L82/(Calculator!$E$26/100)</f>
        <v>#N/A</v>
      </c>
      <c r="O82" s="2" t="e">
        <f t="shared" si="19"/>
        <v>#N/A</v>
      </c>
    </row>
    <row r="83" spans="1:15" x14ac:dyDescent="0.35">
      <c r="A83" s="2">
        <f>Sheet1!A130</f>
        <v>0</v>
      </c>
      <c r="B83" s="2">
        <f>Sheet1!O130</f>
        <v>0</v>
      </c>
      <c r="C83" s="2" t="b">
        <f>IF($B$1=16,'16'!D81,IF($B$1=17,'17'!D82,IF('For Chart'!$B$1=18,'18'!D81,IF($B$1=14,'14'!D81,IF($B$1=20,'20'!D81,IF('For Chart'!$B$1=22,'22'!D81,IF('For Chart'!$B$1=24,'24'!D81,IF($B$1=26,'26'!D81,IF('For Chart'!$B$1=30,'30'!D81,IF('For Chart'!$B$1=28,'28'!D81,IF('For Chart'!$B$1=40,'40'!D81,IF($B$1="28-3 Blade",'28-3 blade'!D81,IF($B$1=32,'32'!D81)))))))))))))</f>
        <v>0</v>
      </c>
      <c r="D83" s="2">
        <f>Sheet1!P130</f>
        <v>0</v>
      </c>
      <c r="I83" s="2" t="e">
        <f t="shared" si="15"/>
        <v>#N/A</v>
      </c>
      <c r="J83" s="2" t="e">
        <f t="shared" si="16"/>
        <v>#N/A</v>
      </c>
      <c r="K83" s="2" t="e">
        <f t="shared" si="17"/>
        <v>#N/A</v>
      </c>
      <c r="L83" s="2" t="e">
        <f t="shared" si="18"/>
        <v>#N/A</v>
      </c>
      <c r="M83" s="2" t="e">
        <f t="shared" si="10"/>
        <v>#N/A</v>
      </c>
      <c r="N83" s="2" t="e">
        <f>L83/(Calculator!$E$26/100)</f>
        <v>#N/A</v>
      </c>
      <c r="O83" s="2" t="e">
        <f t="shared" si="19"/>
        <v>#N/A</v>
      </c>
    </row>
    <row r="84" spans="1:15" x14ac:dyDescent="0.35">
      <c r="A84" s="2">
        <f>Sheet1!A131</f>
        <v>0</v>
      </c>
      <c r="B84" s="2">
        <f>Sheet1!O131</f>
        <v>0</v>
      </c>
      <c r="C84" s="2" t="b">
        <f>IF($B$1=16,'16'!D82,IF($B$1=17,'17'!D83,IF('For Chart'!$B$1=18,'18'!D82,IF($B$1=14,'14'!D82,IF($B$1=20,'20'!D82,IF('For Chart'!$B$1=22,'22'!D82,IF('For Chart'!$B$1=24,'24'!D82,IF($B$1=26,'26'!D82,IF('For Chart'!$B$1=30,'30'!D82,IF('For Chart'!$B$1=28,'28'!D82,IF('For Chart'!$B$1=40,'40'!D82,IF($B$1="28-3 Blade",'28-3 blade'!D82,IF($B$1=32,'32'!D82)))))))))))))</f>
        <v>0</v>
      </c>
      <c r="D84" s="2">
        <f>Sheet1!P131</f>
        <v>0</v>
      </c>
      <c r="I84" s="2" t="e">
        <f t="shared" si="15"/>
        <v>#N/A</v>
      </c>
      <c r="J84" s="2" t="e">
        <f t="shared" si="16"/>
        <v>#N/A</v>
      </c>
      <c r="K84" s="2" t="e">
        <f t="shared" si="17"/>
        <v>#N/A</v>
      </c>
      <c r="L84" s="2" t="e">
        <f t="shared" si="18"/>
        <v>#N/A</v>
      </c>
      <c r="M84" s="2" t="e">
        <f t="shared" si="10"/>
        <v>#N/A</v>
      </c>
      <c r="N84" s="2" t="e">
        <f>L84/(Calculator!$E$26/100)</f>
        <v>#N/A</v>
      </c>
      <c r="O84" s="2" t="e">
        <f t="shared" si="19"/>
        <v>#N/A</v>
      </c>
    </row>
    <row r="85" spans="1:15" x14ac:dyDescent="0.35">
      <c r="A85" s="2">
        <f>Sheet1!A132</f>
        <v>0</v>
      </c>
      <c r="B85" s="2">
        <f>Sheet1!O132</f>
        <v>0</v>
      </c>
      <c r="C85" s="2" t="b">
        <f>IF($B$1=16,'16'!D83,IF($B$1=17,'17'!D84,IF('For Chart'!$B$1=18,'18'!D83,IF($B$1=14,'14'!D83,IF($B$1=20,'20'!D83,IF('For Chart'!$B$1=22,'22'!D83,IF('For Chart'!$B$1=24,'24'!D83,IF($B$1=26,'26'!D83,IF('For Chart'!$B$1=30,'30'!D83,IF('For Chart'!$B$1=28,'28'!D83,IF('For Chart'!$B$1=40,'40'!D83,IF($B$1="28-3 Blade",'28-3 blade'!D83,IF($B$1=32,'32'!D83)))))))))))))</f>
        <v>0</v>
      </c>
      <c r="D85" s="2">
        <f>Sheet1!P132</f>
        <v>0</v>
      </c>
      <c r="I85" s="2" t="e">
        <f t="shared" si="15"/>
        <v>#N/A</v>
      </c>
      <c r="J85" s="2" t="e">
        <f t="shared" si="16"/>
        <v>#N/A</v>
      </c>
      <c r="K85" s="2" t="e">
        <f t="shared" si="17"/>
        <v>#N/A</v>
      </c>
      <c r="L85" s="2" t="e">
        <f t="shared" si="18"/>
        <v>#N/A</v>
      </c>
      <c r="M85" s="2" t="e">
        <f t="shared" si="10"/>
        <v>#N/A</v>
      </c>
      <c r="N85" s="2" t="e">
        <f>L85/(Calculator!$E$26/100)</f>
        <v>#N/A</v>
      </c>
      <c r="O85" s="2" t="e">
        <f t="shared" si="19"/>
        <v>#N/A</v>
      </c>
    </row>
    <row r="86" spans="1:15" x14ac:dyDescent="0.35">
      <c r="A86" s="2">
        <f>Sheet1!A133</f>
        <v>0</v>
      </c>
      <c r="B86" s="2">
        <f>Sheet1!O133</f>
        <v>0</v>
      </c>
      <c r="C86" s="2" t="b">
        <f>IF($B$1=16,'16'!D84,IF($B$1=17,'17'!D85,IF('For Chart'!$B$1=18,'18'!D84,IF($B$1=14,'14'!D84,IF($B$1=20,'20'!D84,IF('For Chart'!$B$1=22,'22'!D84,IF('For Chart'!$B$1=24,'24'!D84,IF($B$1=26,'26'!D84,IF('For Chart'!$B$1=30,'30'!D84,IF('For Chart'!$B$1=28,'28'!D84,IF('For Chart'!$B$1=40,'40'!D84,IF($B$1="28-3 Blade",'28-3 blade'!D84,IF($B$1=32,'32'!D84)))))))))))))</f>
        <v>0</v>
      </c>
      <c r="D86" s="2">
        <f>Sheet1!P133</f>
        <v>0</v>
      </c>
      <c r="I86" s="2" t="e">
        <f t="shared" si="15"/>
        <v>#N/A</v>
      </c>
      <c r="J86" s="2" t="e">
        <f t="shared" si="16"/>
        <v>#N/A</v>
      </c>
      <c r="K86" s="2" t="e">
        <f t="shared" si="17"/>
        <v>#N/A</v>
      </c>
      <c r="L86" s="2" t="e">
        <f t="shared" si="18"/>
        <v>#N/A</v>
      </c>
      <c r="M86" s="2" t="e">
        <f t="shared" si="10"/>
        <v>#N/A</v>
      </c>
      <c r="N86" s="2" t="e">
        <f>L86/(Calculator!$E$26/100)</f>
        <v>#N/A</v>
      </c>
      <c r="O86" s="2" t="e">
        <f t="shared" si="19"/>
        <v>#N/A</v>
      </c>
    </row>
    <row r="87" spans="1:15" x14ac:dyDescent="0.35">
      <c r="A87" s="2">
        <f>Sheet1!A134</f>
        <v>0</v>
      </c>
      <c r="B87" s="2">
        <f>Sheet1!O134</f>
        <v>0</v>
      </c>
      <c r="C87" s="2" t="b">
        <f>IF($B$1=16,'16'!D85,IF($B$1=17,'17'!D86,IF('For Chart'!$B$1=18,'18'!D85,IF($B$1=14,'14'!D85,IF($B$1=20,'20'!D85,IF('For Chart'!$B$1=22,'22'!D85,IF('For Chart'!$B$1=24,'24'!D85,IF($B$1=26,'26'!D85,IF('For Chart'!$B$1=30,'30'!D85,IF('For Chart'!$B$1=28,'28'!D85,IF('For Chart'!$B$1=40,'40'!D85,IF($B$1="28-3 Blade",'28-3 blade'!D85,IF($B$1=32,'32'!D85)))))))))))))</f>
        <v>0</v>
      </c>
      <c r="D87" s="2">
        <f>Sheet1!P134</f>
        <v>0</v>
      </c>
      <c r="I87" s="2" t="e">
        <f t="shared" si="15"/>
        <v>#N/A</v>
      </c>
      <c r="J87" s="2" t="e">
        <f t="shared" si="16"/>
        <v>#N/A</v>
      </c>
      <c r="K87" s="2" t="e">
        <f t="shared" si="17"/>
        <v>#N/A</v>
      </c>
      <c r="L87" s="2" t="e">
        <f t="shared" si="18"/>
        <v>#N/A</v>
      </c>
      <c r="M87" s="2" t="e">
        <f t="shared" si="10"/>
        <v>#N/A</v>
      </c>
      <c r="N87" s="2" t="e">
        <f>L87/(Calculator!$E$26/100)</f>
        <v>#N/A</v>
      </c>
      <c r="O87" s="2" t="e">
        <f t="shared" si="19"/>
        <v>#N/A</v>
      </c>
    </row>
    <row r="88" spans="1:15" x14ac:dyDescent="0.35">
      <c r="A88" s="2">
        <f>Sheet1!A135</f>
        <v>0</v>
      </c>
      <c r="B88" s="2">
        <f>Sheet1!O135</f>
        <v>0</v>
      </c>
      <c r="C88" s="2" t="b">
        <f>IF($B$1=16,'16'!D86,IF($B$1=17,'17'!D87,IF('For Chart'!$B$1=18,'18'!D86,IF($B$1=14,'14'!D86,IF($B$1=20,'20'!D86,IF('For Chart'!$B$1=22,'22'!D86,IF('For Chart'!$B$1=24,'24'!D86,IF($B$1=26,'26'!D86,IF('For Chart'!$B$1=30,'30'!D86,IF('For Chart'!$B$1=28,'28'!D86,IF('For Chart'!$B$1=40,'40'!D86,IF($B$1="28-3 Blade",'28-3 blade'!D86,IF($B$1=32,'32'!D86)))))))))))))</f>
        <v>0</v>
      </c>
      <c r="D88" s="2">
        <f>Sheet1!P135</f>
        <v>0</v>
      </c>
      <c r="I88" s="2" t="e">
        <f t="shared" si="15"/>
        <v>#N/A</v>
      </c>
      <c r="J88" s="2" t="e">
        <f t="shared" si="16"/>
        <v>#N/A</v>
      </c>
      <c r="K88" s="2" t="e">
        <f t="shared" si="17"/>
        <v>#N/A</v>
      </c>
      <c r="L88" s="2" t="e">
        <f t="shared" si="18"/>
        <v>#N/A</v>
      </c>
      <c r="M88" s="2" t="e">
        <f t="shared" si="10"/>
        <v>#N/A</v>
      </c>
      <c r="N88" s="2" t="e">
        <f>L88/(Calculator!$E$26/100)</f>
        <v>#N/A</v>
      </c>
      <c r="O88" s="2" t="e">
        <f t="shared" si="19"/>
        <v>#N/A</v>
      </c>
    </row>
    <row r="89" spans="1:15" x14ac:dyDescent="0.35">
      <c r="A89" s="2">
        <f>Sheet1!A136</f>
        <v>0</v>
      </c>
      <c r="B89" s="2">
        <f>Sheet1!O136</f>
        <v>0</v>
      </c>
      <c r="C89" s="2" t="b">
        <f>IF($B$1=16,'16'!D87,IF($B$1=17,'17'!D88,IF('For Chart'!$B$1=18,'18'!D87,IF($B$1=14,'14'!D87,IF($B$1=20,'20'!D87,IF('For Chart'!$B$1=22,'22'!D87,IF('For Chart'!$B$1=24,'24'!D87,IF($B$1=26,'26'!D87,IF('For Chart'!$B$1=30,'30'!D87,IF('For Chart'!$B$1=28,'28'!D87,IF('For Chart'!$B$1=40,'40'!D87,IF($B$1="28-3 Blade",'28-3 blade'!D87,IF($B$1=32,'32'!D87)))))))))))))</f>
        <v>0</v>
      </c>
      <c r="D89" s="2">
        <f>Sheet1!P136</f>
        <v>0</v>
      </c>
      <c r="I89" s="2" t="e">
        <f t="shared" si="15"/>
        <v>#N/A</v>
      </c>
      <c r="J89" s="2" t="e">
        <f t="shared" si="16"/>
        <v>#N/A</v>
      </c>
      <c r="K89" s="2" t="e">
        <f t="shared" si="17"/>
        <v>#N/A</v>
      </c>
      <c r="L89" s="2" t="e">
        <f t="shared" si="18"/>
        <v>#N/A</v>
      </c>
      <c r="M89" s="2" t="e">
        <f t="shared" si="10"/>
        <v>#N/A</v>
      </c>
      <c r="N89" s="2" t="e">
        <f>L89/(Calculator!$E$26/100)</f>
        <v>#N/A</v>
      </c>
      <c r="O89" s="2" t="e">
        <f t="shared" si="19"/>
        <v>#N/A</v>
      </c>
    </row>
    <row r="90" spans="1:15" x14ac:dyDescent="0.35">
      <c r="A90" s="2">
        <f>Sheet1!A137</f>
        <v>0</v>
      </c>
      <c r="B90" s="2">
        <f>Sheet1!O137</f>
        <v>0</v>
      </c>
      <c r="C90" s="2" t="b">
        <f>IF($B$1=16,'16'!D88,IF($B$1=17,'17'!D89,IF('For Chart'!$B$1=18,'18'!D88,IF($B$1=14,'14'!D88,IF($B$1=20,'20'!D88,IF('For Chart'!$B$1=22,'22'!D88,IF('For Chart'!$B$1=24,'24'!D88,IF($B$1=26,'26'!D88,IF('For Chart'!$B$1=30,'30'!D88,IF('For Chart'!$B$1=28,'28'!D88,IF('For Chart'!$B$1=40,'40'!D88,IF($B$1="28-3 Blade",'28-3 blade'!D88,IF($B$1=32,'32'!D88)))))))))))))</f>
        <v>0</v>
      </c>
      <c r="D90" s="2">
        <f>Sheet1!P137</f>
        <v>0</v>
      </c>
      <c r="I90" s="2" t="e">
        <f t="shared" si="15"/>
        <v>#N/A</v>
      </c>
      <c r="J90" s="2" t="e">
        <f t="shared" si="16"/>
        <v>#N/A</v>
      </c>
      <c r="K90" s="2" t="e">
        <f t="shared" si="17"/>
        <v>#N/A</v>
      </c>
      <c r="L90" s="2" t="e">
        <f t="shared" si="18"/>
        <v>#N/A</v>
      </c>
      <c r="M90" s="2" t="e">
        <f t="shared" si="10"/>
        <v>#N/A</v>
      </c>
      <c r="N90" s="2" t="e">
        <f>L90/(Calculator!$E$26/100)</f>
        <v>#N/A</v>
      </c>
      <c r="O90" s="2" t="e">
        <f t="shared" si="19"/>
        <v>#N/A</v>
      </c>
    </row>
    <row r="91" spans="1:15" x14ac:dyDescent="0.35">
      <c r="A91" s="2">
        <f>Sheet1!A138</f>
        <v>0</v>
      </c>
      <c r="B91" s="2">
        <f>Sheet1!O138</f>
        <v>0</v>
      </c>
      <c r="C91" s="2" t="b">
        <f>IF($B$1=16,'16'!D89,IF($B$1=17,'17'!D90,IF('For Chart'!$B$1=18,'18'!D89,IF($B$1=14,'14'!D89,IF($B$1=20,'20'!D89,IF('For Chart'!$B$1=22,'22'!D89,IF('For Chart'!$B$1=24,'24'!D89,IF($B$1=26,'26'!D89,IF('For Chart'!$B$1=30,'30'!D89,IF('For Chart'!$B$1=28,'28'!D89,IF('For Chart'!$B$1=40,'40'!D89,IF($B$1="28-3 Blade",'28-3 blade'!D89,IF($B$1=32,'32'!D89)))))))))))))</f>
        <v>0</v>
      </c>
      <c r="D91" s="2">
        <f>Sheet1!P138</f>
        <v>0</v>
      </c>
      <c r="I91" s="2" t="e">
        <f t="shared" si="15"/>
        <v>#N/A</v>
      </c>
      <c r="J91" s="2" t="e">
        <f t="shared" si="16"/>
        <v>#N/A</v>
      </c>
      <c r="K91" s="2" t="e">
        <f t="shared" si="17"/>
        <v>#N/A</v>
      </c>
      <c r="L91" s="2" t="e">
        <f t="shared" si="18"/>
        <v>#N/A</v>
      </c>
      <c r="M91" s="2" t="e">
        <f t="shared" si="10"/>
        <v>#N/A</v>
      </c>
      <c r="N91" s="2" t="e">
        <f>L91/(Calculator!$E$26/100)</f>
        <v>#N/A</v>
      </c>
      <c r="O91" s="2" t="e">
        <f t="shared" si="19"/>
        <v>#N/A</v>
      </c>
    </row>
    <row r="92" spans="1:15" x14ac:dyDescent="0.35">
      <c r="A92" s="2">
        <f>Sheet1!A139</f>
        <v>0</v>
      </c>
      <c r="B92" s="2">
        <f>Sheet1!O139</f>
        <v>0</v>
      </c>
      <c r="C92" s="2" t="b">
        <f>IF($B$1=16,'16'!D90,IF($B$1=17,'17'!D91,IF('For Chart'!$B$1=18,'18'!D90,IF($B$1=14,'14'!D90,IF($B$1=20,'20'!D90,IF('For Chart'!$B$1=22,'22'!D90,IF('For Chart'!$B$1=24,'24'!D90,IF($B$1=26,'26'!D90,IF('For Chart'!$B$1=30,'30'!D90,IF('For Chart'!$B$1=28,'28'!D90,IF('For Chart'!$B$1=40,'40'!D90,IF($B$1="28-3 Blade",'28-3 blade'!D90,IF($B$1=32,'32'!D90)))))))))))))</f>
        <v>0</v>
      </c>
      <c r="D92" s="2">
        <f>Sheet1!P139</f>
        <v>0</v>
      </c>
      <c r="I92" s="2" t="e">
        <f t="shared" si="15"/>
        <v>#N/A</v>
      </c>
      <c r="J92" s="2" t="e">
        <f t="shared" si="16"/>
        <v>#N/A</v>
      </c>
      <c r="K92" s="2" t="e">
        <f t="shared" si="17"/>
        <v>#N/A</v>
      </c>
      <c r="L92" s="2" t="e">
        <f t="shared" si="18"/>
        <v>#N/A</v>
      </c>
      <c r="M92" s="2" t="e">
        <f t="shared" si="10"/>
        <v>#N/A</v>
      </c>
      <c r="N92" s="2" t="e">
        <f>L92/(Calculator!$E$26/100)</f>
        <v>#N/A</v>
      </c>
      <c r="O92" s="2" t="e">
        <f t="shared" si="19"/>
        <v>#N/A</v>
      </c>
    </row>
    <row r="93" spans="1:15" x14ac:dyDescent="0.35">
      <c r="A93" s="2">
        <f>Sheet1!A140</f>
        <v>0</v>
      </c>
      <c r="B93" s="2">
        <f>Sheet1!O140</f>
        <v>0</v>
      </c>
      <c r="C93" s="2" t="b">
        <f>IF($B$1=16,'16'!D91,IF($B$1=17,'17'!D92,IF('For Chart'!$B$1=18,'18'!D91,IF($B$1=14,'14'!D91,IF($B$1=20,'20'!D91,IF('For Chart'!$B$1=22,'22'!D91,IF('For Chart'!$B$1=24,'24'!D91,IF($B$1=26,'26'!D91,IF('For Chart'!$B$1=30,'30'!D91,IF('For Chart'!$B$1=28,'28'!D91,IF('For Chart'!$B$1=40,'40'!D91,IF($B$1="28-3 Blade",'28-3 blade'!D91,IF($B$1=32,'32'!D91)))))))))))))</f>
        <v>0</v>
      </c>
      <c r="D93" s="2">
        <f>Sheet1!P140</f>
        <v>0</v>
      </c>
      <c r="I93" s="2" t="e">
        <f t="shared" si="15"/>
        <v>#N/A</v>
      </c>
      <c r="J93" s="2" t="e">
        <f t="shared" si="16"/>
        <v>#N/A</v>
      </c>
      <c r="K93" s="2" t="e">
        <f t="shared" si="17"/>
        <v>#N/A</v>
      </c>
      <c r="L93" s="2" t="e">
        <f t="shared" si="18"/>
        <v>#N/A</v>
      </c>
      <c r="M93" s="2" t="e">
        <f t="shared" si="10"/>
        <v>#N/A</v>
      </c>
      <c r="N93" s="2" t="e">
        <f>L93/(Calculator!$E$26/100)</f>
        <v>#N/A</v>
      </c>
      <c r="O93" s="2" t="e">
        <f t="shared" si="19"/>
        <v>#N/A</v>
      </c>
    </row>
    <row r="94" spans="1:15" x14ac:dyDescent="0.35">
      <c r="A94" s="2">
        <f>Sheet1!A141</f>
        <v>0</v>
      </c>
      <c r="B94" s="2">
        <f>Sheet1!O141</f>
        <v>0</v>
      </c>
      <c r="C94" s="2" t="b">
        <f>IF($B$1=16,'16'!D92,IF($B$1=17,'17'!D93,IF('For Chart'!$B$1=18,'18'!D92,IF($B$1=14,'14'!D92,IF($B$1=20,'20'!D92,IF('For Chart'!$B$1=22,'22'!D92,IF('For Chart'!$B$1=24,'24'!D92,IF($B$1=26,'26'!D92,IF('For Chart'!$B$1=30,'30'!D92,IF('For Chart'!$B$1=28,'28'!D92,IF('For Chart'!$B$1=40,'40'!D92,IF($B$1="28-3 Blade",'28-3 blade'!D92,IF($B$1=32,'32'!D92)))))))))))))</f>
        <v>0</v>
      </c>
      <c r="D94" s="2">
        <f>Sheet1!P141</f>
        <v>0</v>
      </c>
      <c r="I94" s="2" t="e">
        <f t="shared" si="15"/>
        <v>#N/A</v>
      </c>
      <c r="J94" s="2" t="e">
        <f t="shared" si="16"/>
        <v>#N/A</v>
      </c>
      <c r="K94" s="2" t="e">
        <f t="shared" si="17"/>
        <v>#N/A</v>
      </c>
      <c r="L94" s="2" t="e">
        <f t="shared" si="18"/>
        <v>#N/A</v>
      </c>
      <c r="M94" s="2" t="e">
        <f t="shared" si="10"/>
        <v>#N/A</v>
      </c>
      <c r="N94" s="2" t="e">
        <f>L94/(Calculator!$E$26/100)</f>
        <v>#N/A</v>
      </c>
      <c r="O94" s="2" t="e">
        <f t="shared" si="19"/>
        <v>#N/A</v>
      </c>
    </row>
    <row r="95" spans="1:15" x14ac:dyDescent="0.35">
      <c r="A95" s="2">
        <f>Sheet1!A142</f>
        <v>0</v>
      </c>
      <c r="B95" s="2">
        <f>Sheet1!O142</f>
        <v>0</v>
      </c>
      <c r="C95" s="2" t="b">
        <f>IF($B$1=16,'16'!D93,IF($B$1=17,'17'!D94,IF('For Chart'!$B$1=18,'18'!D93,IF($B$1=14,'14'!D93,IF($B$1=20,'20'!D93,IF('For Chart'!$B$1=22,'22'!D93,IF('For Chart'!$B$1=24,'24'!D93,IF($B$1=26,'26'!D93,IF('For Chart'!$B$1=30,'30'!D93,IF('For Chart'!$B$1=28,'28'!D93,IF('For Chart'!$B$1=40,'40'!D93,IF($B$1="28-3 Blade",'28-3 blade'!D93,IF($B$1=32,'32'!D93)))))))))))))</f>
        <v>0</v>
      </c>
      <c r="D95" s="2">
        <f>Sheet1!P142</f>
        <v>0</v>
      </c>
      <c r="I95" s="2" t="e">
        <f t="shared" si="15"/>
        <v>#N/A</v>
      </c>
      <c r="J95" s="2" t="e">
        <f t="shared" si="16"/>
        <v>#N/A</v>
      </c>
      <c r="K95" s="2" t="e">
        <f t="shared" si="17"/>
        <v>#N/A</v>
      </c>
      <c r="L95" s="2" t="e">
        <f t="shared" si="18"/>
        <v>#N/A</v>
      </c>
      <c r="M95" s="2" t="e">
        <f t="shared" si="10"/>
        <v>#N/A</v>
      </c>
      <c r="N95" s="2" t="e">
        <f>L95/(Calculator!$E$26/100)</f>
        <v>#N/A</v>
      </c>
      <c r="O95" s="2" t="e">
        <f t="shared" si="19"/>
        <v>#N/A</v>
      </c>
    </row>
    <row r="96" spans="1:15" x14ac:dyDescent="0.35">
      <c r="A96" s="2">
        <f>Sheet1!A143</f>
        <v>0</v>
      </c>
      <c r="B96" s="2">
        <f>Sheet1!O143</f>
        <v>0</v>
      </c>
      <c r="C96" s="2" t="b">
        <f>IF($B$1=16,'16'!D94,IF($B$1=17,'17'!D95,IF('For Chart'!$B$1=18,'18'!D94,IF($B$1=14,'14'!D94,IF($B$1=20,'20'!D94,IF('For Chart'!$B$1=22,'22'!D94,IF('For Chart'!$B$1=24,'24'!D94,IF($B$1=26,'26'!D94,IF('For Chart'!$B$1=30,'30'!D94,IF('For Chart'!$B$1=28,'28'!D94,IF('For Chart'!$B$1=40,'40'!D94,IF($B$1="28-3 Blade",'28-3 blade'!D94,IF($B$1=32,'32'!D94)))))))))))))</f>
        <v>0</v>
      </c>
      <c r="D96" s="2">
        <f>Sheet1!P143</f>
        <v>0</v>
      </c>
      <c r="I96" s="2" t="e">
        <f t="shared" si="15"/>
        <v>#N/A</v>
      </c>
      <c r="J96" s="2" t="e">
        <f t="shared" si="16"/>
        <v>#N/A</v>
      </c>
      <c r="K96" s="2" t="e">
        <f t="shared" si="17"/>
        <v>#N/A</v>
      </c>
      <c r="L96" s="2" t="e">
        <f t="shared" si="18"/>
        <v>#N/A</v>
      </c>
      <c r="M96" s="2" t="e">
        <f t="shared" si="10"/>
        <v>#N/A</v>
      </c>
      <c r="N96" s="2" t="e">
        <f>L96/(Calculator!$E$26/100)</f>
        <v>#N/A</v>
      </c>
      <c r="O96" s="2" t="e">
        <f t="shared" si="19"/>
        <v>#N/A</v>
      </c>
    </row>
    <row r="97" spans="1:15" x14ac:dyDescent="0.35">
      <c r="A97" s="2">
        <f>Sheet1!A144</f>
        <v>0</v>
      </c>
      <c r="B97" s="2">
        <f>Sheet1!O144</f>
        <v>0</v>
      </c>
      <c r="C97" s="2" t="b">
        <f>IF($B$1=16,'16'!D95,IF($B$1=17,'17'!D96,IF('For Chart'!$B$1=18,'18'!D95,IF($B$1=14,'14'!D95,IF($B$1=20,'20'!D95,IF('For Chart'!$B$1=22,'22'!D95,IF('For Chart'!$B$1=24,'24'!D95,IF($B$1=26,'26'!D95,IF('For Chart'!$B$1=30,'30'!D95,IF('For Chart'!$B$1=28,'28'!D95,IF('For Chart'!$B$1=40,'40'!D95,IF($B$1="28-3 Blade",'28-3 blade'!D95,IF($B$1=32,'32'!D95)))))))))))))</f>
        <v>0</v>
      </c>
      <c r="D97" s="2">
        <f>Sheet1!P144</f>
        <v>0</v>
      </c>
      <c r="I97" s="2" t="e">
        <f t="shared" si="15"/>
        <v>#N/A</v>
      </c>
      <c r="J97" s="2" t="e">
        <f t="shared" si="16"/>
        <v>#N/A</v>
      </c>
      <c r="K97" s="2" t="e">
        <f t="shared" si="17"/>
        <v>#N/A</v>
      </c>
      <c r="L97" s="2" t="e">
        <f t="shared" si="18"/>
        <v>#N/A</v>
      </c>
      <c r="M97" s="2" t="e">
        <f t="shared" si="10"/>
        <v>#N/A</v>
      </c>
      <c r="N97" s="2" t="e">
        <f>L97/(Calculator!$E$26/100)</f>
        <v>#N/A</v>
      </c>
      <c r="O97" s="2" t="e">
        <f t="shared" si="19"/>
        <v>#N/A</v>
      </c>
    </row>
    <row r="98" spans="1:15" x14ac:dyDescent="0.35">
      <c r="A98" s="2">
        <f>Sheet1!A145</f>
        <v>0</v>
      </c>
      <c r="B98" s="2">
        <f>Sheet1!O145</f>
        <v>0</v>
      </c>
      <c r="C98" s="2" t="b">
        <f>IF($B$1=16,'16'!D96,IF($B$1=17,'17'!D97,IF('For Chart'!$B$1=18,'18'!D96,IF($B$1=14,'14'!D96,IF($B$1=20,'20'!D96,IF('For Chart'!$B$1=22,'22'!D96,IF('For Chart'!$B$1=24,'24'!D96,IF($B$1=26,'26'!D96,IF('For Chart'!$B$1=30,'30'!D96,IF('For Chart'!$B$1=28,'28'!D96,IF('For Chart'!$B$1=40,'40'!D96,IF($B$1="28-3 Blade",'28-3 blade'!D96,IF($B$1=32,'32'!D96)))))))))))))</f>
        <v>0</v>
      </c>
      <c r="D98" s="2">
        <f>Sheet1!P145</f>
        <v>0</v>
      </c>
      <c r="I98" s="2" t="e">
        <f t="shared" si="15"/>
        <v>#N/A</v>
      </c>
      <c r="J98" s="2" t="e">
        <f t="shared" si="16"/>
        <v>#N/A</v>
      </c>
      <c r="K98" s="2" t="e">
        <f t="shared" si="17"/>
        <v>#N/A</v>
      </c>
      <c r="L98" s="2" t="e">
        <f t="shared" si="18"/>
        <v>#N/A</v>
      </c>
      <c r="M98" s="2" t="e">
        <f t="shared" si="10"/>
        <v>#N/A</v>
      </c>
      <c r="N98" s="2" t="e">
        <f>L98/(Calculator!$E$26/100)</f>
        <v>#N/A</v>
      </c>
      <c r="O98" s="2" t="e">
        <f t="shared" si="19"/>
        <v>#N/A</v>
      </c>
    </row>
    <row r="99" spans="1:15" x14ac:dyDescent="0.35">
      <c r="A99" s="2">
        <f>Sheet1!A146</f>
        <v>0</v>
      </c>
      <c r="B99" s="2">
        <f>Sheet1!O146</f>
        <v>0</v>
      </c>
      <c r="C99" s="2" t="b">
        <f>IF($B$1=16,'16'!D97,IF($B$1=17,'17'!D98,IF('For Chart'!$B$1=18,'18'!D97,IF($B$1=14,'14'!D97,IF($B$1=20,'20'!D97,IF('For Chart'!$B$1=22,'22'!D97,IF('For Chart'!$B$1=24,'24'!D97,IF($B$1=26,'26'!D97,IF('For Chart'!$B$1=30,'30'!D97,IF('For Chart'!$B$1=28,'28'!D97,IF('For Chart'!$B$1=40,'40'!D97,IF($B$1="28-3 Blade",'28-3 blade'!D97,IF($B$1=32,'32'!D97)))))))))))))</f>
        <v>0</v>
      </c>
      <c r="D99" s="2">
        <f>Sheet1!P146</f>
        <v>0</v>
      </c>
      <c r="I99" s="2" t="e">
        <f t="shared" si="15"/>
        <v>#N/A</v>
      </c>
      <c r="J99" s="2" t="e">
        <f t="shared" si="16"/>
        <v>#N/A</v>
      </c>
      <c r="K99" s="2" t="e">
        <f t="shared" si="17"/>
        <v>#N/A</v>
      </c>
      <c r="L99" s="2" t="e">
        <f t="shared" si="18"/>
        <v>#N/A</v>
      </c>
      <c r="M99" s="2" t="e">
        <f t="shared" si="10"/>
        <v>#N/A</v>
      </c>
      <c r="N99" s="2" t="e">
        <f>L99/(Calculator!$E$26/100)</f>
        <v>#N/A</v>
      </c>
      <c r="O99" s="2" t="e">
        <f t="shared" si="19"/>
        <v>#N/A</v>
      </c>
    </row>
    <row r="100" spans="1:15" x14ac:dyDescent="0.35">
      <c r="A100" s="2">
        <f>Sheet1!A147</f>
        <v>0</v>
      </c>
      <c r="B100" s="2">
        <f>Sheet1!O147</f>
        <v>0</v>
      </c>
      <c r="C100" s="2" t="b">
        <f>IF($B$1=16,'16'!D98,IF($B$1=17,'17'!D99,IF('For Chart'!$B$1=18,'18'!D98,IF($B$1=14,'14'!D98,IF($B$1=20,'20'!D98,IF('For Chart'!$B$1=22,'22'!D98,IF('For Chart'!$B$1=24,'24'!D98,IF($B$1=26,'26'!D98,IF('For Chart'!$B$1=30,'30'!D98,IF('For Chart'!$B$1=28,'28'!D98,IF('For Chart'!$B$1=40,'40'!D98,IF($B$1="28-3 Blade",'28-3 blade'!D98,IF($B$1=32,'32'!D98)))))))))))))</f>
        <v>0</v>
      </c>
      <c r="D100" s="2">
        <f>Sheet1!P147</f>
        <v>0</v>
      </c>
      <c r="I100" s="2" t="e">
        <f t="shared" si="15"/>
        <v>#N/A</v>
      </c>
      <c r="J100" s="2" t="e">
        <f t="shared" si="16"/>
        <v>#N/A</v>
      </c>
      <c r="K100" s="2" t="e">
        <f t="shared" si="17"/>
        <v>#N/A</v>
      </c>
      <c r="L100" s="2" t="e">
        <f t="shared" si="18"/>
        <v>#N/A</v>
      </c>
      <c r="M100" s="2" t="e">
        <f t="shared" si="10"/>
        <v>#N/A</v>
      </c>
      <c r="N100" s="2" t="e">
        <f>L100/(Calculator!$E$26/100)</f>
        <v>#N/A</v>
      </c>
      <c r="O100" s="2" t="e">
        <f t="shared" si="19"/>
        <v>#N/A</v>
      </c>
    </row>
    <row r="101" spans="1:15" x14ac:dyDescent="0.35">
      <c r="A101" s="2">
        <f>Sheet1!A148</f>
        <v>0</v>
      </c>
      <c r="B101" s="2">
        <f>Sheet1!O148</f>
        <v>0</v>
      </c>
      <c r="C101" s="2" t="b">
        <f>IF($B$1=16,'16'!D99,IF($B$1=17,'17'!D100,IF('For Chart'!$B$1=18,'18'!D99,IF($B$1=14,'14'!D99,IF($B$1=20,'20'!D99,IF('For Chart'!$B$1=22,'22'!D99,IF('For Chart'!$B$1=24,'24'!D99,IF($B$1=26,'26'!D99,IF('For Chart'!$B$1=30,'30'!D99,IF('For Chart'!$B$1=28,'28'!D99,IF('For Chart'!$B$1=40,'40'!D99,IF($B$1="28-3 Blade",'28-3 blade'!D99,IF($B$1=32,'32'!D99)))))))))))))</f>
        <v>0</v>
      </c>
      <c r="D101" s="2">
        <f>Sheet1!P148</f>
        <v>0</v>
      </c>
      <c r="I101" s="2" t="e">
        <f t="shared" si="15"/>
        <v>#N/A</v>
      </c>
      <c r="J101" s="2" t="e">
        <f t="shared" si="16"/>
        <v>#N/A</v>
      </c>
      <c r="K101" s="2" t="e">
        <f t="shared" si="17"/>
        <v>#N/A</v>
      </c>
      <c r="L101" s="2" t="e">
        <f t="shared" si="18"/>
        <v>#N/A</v>
      </c>
      <c r="M101" s="2" t="e">
        <f t="shared" si="10"/>
        <v>#N/A</v>
      </c>
      <c r="N101" s="2" t="e">
        <f>L101/(Calculator!$E$26/100)</f>
        <v>#N/A</v>
      </c>
      <c r="O101" s="2" t="e">
        <f t="shared" si="19"/>
        <v>#N/A</v>
      </c>
    </row>
    <row r="102" spans="1:15" x14ac:dyDescent="0.35">
      <c r="A102" s="2">
        <f>Sheet1!A149</f>
        <v>0</v>
      </c>
      <c r="B102" s="2">
        <f>Sheet1!O149</f>
        <v>0</v>
      </c>
      <c r="C102" s="2" t="b">
        <f>IF($B$1=16,'16'!D100,IF($B$1=17,'17'!D101,IF('For Chart'!$B$1=18,'18'!D100,IF($B$1=14,'14'!D100,IF($B$1=20,'20'!D100,IF('For Chart'!$B$1=22,'22'!D100,IF('For Chart'!$B$1=24,'24'!D100,IF($B$1=26,'26'!D100,IF('For Chart'!$B$1=30,'30'!D100,IF('For Chart'!$B$1=28,'28'!D100,IF('For Chart'!$B$1=40,'40'!D100,IF($B$1="28-3 Blade",'28-3 blade'!D100,IF($B$1=32,'32'!D100)))))))))))))</f>
        <v>0</v>
      </c>
      <c r="D102" s="2">
        <f>Sheet1!P149</f>
        <v>0</v>
      </c>
      <c r="I102" s="2" t="e">
        <f t="shared" si="15"/>
        <v>#N/A</v>
      </c>
      <c r="J102" s="2" t="e">
        <f t="shared" si="16"/>
        <v>#N/A</v>
      </c>
      <c r="K102" s="2" t="e">
        <f t="shared" si="17"/>
        <v>#N/A</v>
      </c>
      <c r="L102" s="2" t="e">
        <f t="shared" si="18"/>
        <v>#N/A</v>
      </c>
      <c r="M102" s="2" t="e">
        <f t="shared" si="10"/>
        <v>#N/A</v>
      </c>
      <c r="N102" s="2" t="e">
        <f>L102/(Calculator!$E$26/100)</f>
        <v>#N/A</v>
      </c>
      <c r="O102" s="2" t="e">
        <f t="shared" si="19"/>
        <v>#N/A</v>
      </c>
    </row>
    <row r="103" spans="1:15" x14ac:dyDescent="0.35">
      <c r="A103" s="2">
        <f>Sheet1!A150</f>
        <v>0</v>
      </c>
      <c r="B103" s="2">
        <f>Sheet1!O150</f>
        <v>0</v>
      </c>
      <c r="C103" s="2" t="b">
        <f>IF($B$1=16,'16'!D101,IF($B$1=17,'17'!D102,IF('For Chart'!$B$1=18,'18'!D101,IF($B$1=14,'14'!D101,IF($B$1=20,'20'!D101,IF('For Chart'!$B$1=22,'22'!D101,IF('For Chart'!$B$1=24,'24'!D101,IF($B$1=26,'26'!D101,IF('For Chart'!$B$1=30,'30'!D101,IF('For Chart'!$B$1=28,'28'!D101,IF('For Chart'!$B$1=40,'40'!D101,IF($B$1="28-3 Blade",'28-3 blade'!D101,IF($B$1=32,'32'!D101)))))))))))))</f>
        <v>0</v>
      </c>
      <c r="D103" s="2">
        <f>Sheet1!P150</f>
        <v>0</v>
      </c>
      <c r="I103" s="2" t="e">
        <f t="shared" si="15"/>
        <v>#N/A</v>
      </c>
      <c r="J103" s="2" t="e">
        <f t="shared" si="16"/>
        <v>#N/A</v>
      </c>
      <c r="K103" s="2" t="e">
        <f t="shared" si="17"/>
        <v>#N/A</v>
      </c>
      <c r="L103" s="2" t="e">
        <f t="shared" si="18"/>
        <v>#N/A</v>
      </c>
      <c r="M103" s="2" t="e">
        <f t="shared" ref="M103:M166" si="20">J103*1000/L103</f>
        <v>#N/A</v>
      </c>
      <c r="N103" s="2" t="e">
        <f>L103/(Calculator!$E$26/100)</f>
        <v>#N/A</v>
      </c>
      <c r="O103" s="2" t="e">
        <f t="shared" si="19"/>
        <v>#N/A</v>
      </c>
    </row>
    <row r="104" spans="1:15" x14ac:dyDescent="0.35">
      <c r="A104" s="2">
        <f>Sheet1!A151</f>
        <v>0</v>
      </c>
      <c r="B104" s="2">
        <f>Sheet1!O151</f>
        <v>0</v>
      </c>
      <c r="C104" s="2" t="b">
        <f>IF($B$1=16,'16'!D102,IF($B$1=17,'17'!D103,IF('For Chart'!$B$1=18,'18'!D102,IF($B$1=14,'14'!D102,IF($B$1=20,'20'!D102,IF('For Chart'!$B$1=22,'22'!D102,IF('For Chart'!$B$1=24,'24'!D102,IF($B$1=26,'26'!D102,IF('For Chart'!$B$1=30,'30'!D102,IF('For Chart'!$B$1=28,'28'!D102,IF('For Chart'!$B$1=40,'40'!D102,IF($B$1="28-3 Blade",'28-3 blade'!D102,IF($B$1=32,'32'!D102)))))))))))))</f>
        <v>0</v>
      </c>
      <c r="D104" s="2">
        <f>Sheet1!P151</f>
        <v>0</v>
      </c>
      <c r="I104" s="2" t="e">
        <f t="shared" si="15"/>
        <v>#N/A</v>
      </c>
      <c r="J104" s="2" t="e">
        <f t="shared" si="16"/>
        <v>#N/A</v>
      </c>
      <c r="K104" s="2" t="e">
        <f t="shared" si="17"/>
        <v>#N/A</v>
      </c>
      <c r="L104" s="2" t="e">
        <f t="shared" si="18"/>
        <v>#N/A</v>
      </c>
      <c r="M104" s="2" t="e">
        <f t="shared" si="20"/>
        <v>#N/A</v>
      </c>
      <c r="N104" s="2" t="e">
        <f>L104/(Calculator!$E$26/100)</f>
        <v>#N/A</v>
      </c>
      <c r="O104" s="2" t="e">
        <f t="shared" si="19"/>
        <v>#N/A</v>
      </c>
    </row>
    <row r="105" spans="1:15" x14ac:dyDescent="0.35">
      <c r="A105" s="2">
        <f>Sheet1!A152</f>
        <v>0</v>
      </c>
      <c r="B105" s="2">
        <f>Sheet1!O152</f>
        <v>0</v>
      </c>
      <c r="C105" s="2" t="b">
        <f>IF($B$1=16,'16'!D103,IF($B$1=17,'17'!D104,IF('For Chart'!$B$1=18,'18'!D103,IF($B$1=14,'14'!D103,IF($B$1=20,'20'!D103,IF('For Chart'!$B$1=22,'22'!D103,IF('For Chart'!$B$1=24,'24'!D103,IF($B$1=26,'26'!D103,IF('For Chart'!$B$1=30,'30'!D103,IF('For Chart'!$B$1=28,'28'!D103,IF('For Chart'!$B$1=40,'40'!D103,IF($B$1="28-3 Blade",'28-3 blade'!D103,IF($B$1=32,'32'!D103)))))))))))))</f>
        <v>0</v>
      </c>
      <c r="D105" s="2">
        <f>Sheet1!P152</f>
        <v>0</v>
      </c>
      <c r="I105" s="2" t="e">
        <f t="shared" si="15"/>
        <v>#N/A</v>
      </c>
      <c r="J105" s="2" t="e">
        <f t="shared" si="16"/>
        <v>#N/A</v>
      </c>
      <c r="K105" s="2" t="e">
        <f t="shared" si="17"/>
        <v>#N/A</v>
      </c>
      <c r="L105" s="2" t="e">
        <f t="shared" si="18"/>
        <v>#N/A</v>
      </c>
      <c r="M105" s="2" t="e">
        <f t="shared" si="20"/>
        <v>#N/A</v>
      </c>
      <c r="N105" s="2" t="e">
        <f>L105/(Calculator!$E$26/100)</f>
        <v>#N/A</v>
      </c>
      <c r="O105" s="2" t="e">
        <f t="shared" si="19"/>
        <v>#N/A</v>
      </c>
    </row>
    <row r="106" spans="1:15" x14ac:dyDescent="0.35">
      <c r="A106" s="2">
        <f>Sheet1!A153</f>
        <v>0</v>
      </c>
      <c r="B106" s="2">
        <f>Sheet1!O153</f>
        <v>0</v>
      </c>
      <c r="C106" s="2" t="b">
        <f>IF($B$1=16,'16'!D104,IF($B$1=17,'17'!D105,IF('For Chart'!$B$1=18,'18'!D104,IF($B$1=14,'14'!D104,IF($B$1=20,'20'!D104,IF('For Chart'!$B$1=22,'22'!D104,IF('For Chart'!$B$1=24,'24'!D104,IF($B$1=26,'26'!D104,IF('For Chart'!$B$1=30,'30'!D104,IF('For Chart'!$B$1=28,'28'!D104,IF('For Chart'!$B$1=40,'40'!D104,IF($B$1="28-3 Blade",'28-3 blade'!D104,IF($B$1=32,'32'!D104)))))))))))))</f>
        <v>0</v>
      </c>
      <c r="D106" s="2">
        <f>Sheet1!P153</f>
        <v>0</v>
      </c>
      <c r="I106" s="2" t="e">
        <f t="shared" si="15"/>
        <v>#N/A</v>
      </c>
      <c r="J106" s="2" t="e">
        <f t="shared" si="16"/>
        <v>#N/A</v>
      </c>
      <c r="K106" s="2" t="e">
        <f t="shared" si="17"/>
        <v>#N/A</v>
      </c>
      <c r="L106" s="2" t="e">
        <f t="shared" si="18"/>
        <v>#N/A</v>
      </c>
      <c r="M106" s="2" t="e">
        <f t="shared" si="20"/>
        <v>#N/A</v>
      </c>
      <c r="N106" s="2" t="e">
        <f>L106/(Calculator!$E$26/100)</f>
        <v>#N/A</v>
      </c>
      <c r="O106" s="2" t="e">
        <f t="shared" si="19"/>
        <v>#N/A</v>
      </c>
    </row>
    <row r="107" spans="1:15" x14ac:dyDescent="0.35">
      <c r="A107" s="2">
        <f>Sheet1!A154</f>
        <v>0</v>
      </c>
      <c r="B107" s="2">
        <f>Sheet1!O154</f>
        <v>0</v>
      </c>
      <c r="C107" s="2" t="b">
        <f>IF($B$1=16,'16'!D105,IF($B$1=17,'17'!D106,IF('For Chart'!$B$1=18,'18'!D105,IF($B$1=14,'14'!D105,IF($B$1=20,'20'!D105,IF('For Chart'!$B$1=22,'22'!D105,IF('For Chart'!$B$1=24,'24'!D105,IF($B$1=26,'26'!D105,IF('For Chart'!$B$1=30,'30'!D105,IF('For Chart'!$B$1=28,'28'!D105,IF('For Chart'!$B$1=40,'40'!D105,IF($B$1="28-3 Blade",'28-3 blade'!D105,IF($B$1=32,'32'!D105)))))))))))))</f>
        <v>0</v>
      </c>
      <c r="D107" s="2">
        <f>Sheet1!P154</f>
        <v>0</v>
      </c>
      <c r="I107" s="2" t="e">
        <f t="shared" si="15"/>
        <v>#N/A</v>
      </c>
      <c r="J107" s="2" t="e">
        <f t="shared" si="16"/>
        <v>#N/A</v>
      </c>
      <c r="K107" s="2" t="e">
        <f t="shared" si="17"/>
        <v>#N/A</v>
      </c>
      <c r="L107" s="2" t="e">
        <f t="shared" si="18"/>
        <v>#N/A</v>
      </c>
      <c r="M107" s="2" t="e">
        <f t="shared" si="20"/>
        <v>#N/A</v>
      </c>
      <c r="N107" s="2" t="e">
        <f>L107/(Calculator!$E$26/100)</f>
        <v>#N/A</v>
      </c>
      <c r="O107" s="2" t="e">
        <f t="shared" si="19"/>
        <v>#N/A</v>
      </c>
    </row>
    <row r="108" spans="1:15" x14ac:dyDescent="0.35">
      <c r="A108" s="2">
        <f>Sheet1!A155</f>
        <v>0</v>
      </c>
      <c r="B108" s="2">
        <f>Sheet1!O155</f>
        <v>0</v>
      </c>
      <c r="C108" s="2" t="b">
        <f>IF($B$1=16,'16'!D106,IF($B$1=17,'17'!D107,IF('For Chart'!$B$1=18,'18'!D106,IF($B$1=14,'14'!D106,IF($B$1=20,'20'!D106,IF('For Chart'!$B$1=22,'22'!D106,IF('For Chart'!$B$1=24,'24'!D106,IF($B$1=26,'26'!D106,IF('For Chart'!$B$1=30,'30'!D106,IF('For Chart'!$B$1=28,'28'!D106,IF('For Chart'!$B$1=40,'40'!D106,IF($B$1="28-3 Blade",'28-3 blade'!D106,IF($B$1=32,'32'!D106)))))))))))))</f>
        <v>0</v>
      </c>
      <c r="D108" s="2">
        <f>Sheet1!P155</f>
        <v>0</v>
      </c>
      <c r="I108" s="2" t="e">
        <f t="shared" si="15"/>
        <v>#N/A</v>
      </c>
      <c r="J108" s="2" t="e">
        <f t="shared" si="16"/>
        <v>#N/A</v>
      </c>
      <c r="K108" s="2" t="e">
        <f t="shared" si="17"/>
        <v>#N/A</v>
      </c>
      <c r="L108" s="2" t="e">
        <f t="shared" si="18"/>
        <v>#N/A</v>
      </c>
      <c r="M108" s="2" t="e">
        <f t="shared" si="20"/>
        <v>#N/A</v>
      </c>
      <c r="N108" s="2" t="e">
        <f>L108/(Calculator!$E$26/100)</f>
        <v>#N/A</v>
      </c>
      <c r="O108" s="2" t="e">
        <f t="shared" si="19"/>
        <v>#N/A</v>
      </c>
    </row>
    <row r="109" spans="1:15" x14ac:dyDescent="0.35">
      <c r="A109" s="2">
        <f>Sheet1!A156</f>
        <v>0</v>
      </c>
      <c r="B109" s="2">
        <f>Sheet1!O156</f>
        <v>0</v>
      </c>
      <c r="C109" s="2" t="b">
        <f>IF($B$1=16,'16'!D107,IF($B$1=17,'17'!D108,IF('For Chart'!$B$1=18,'18'!D107,IF($B$1=14,'14'!D107,IF($B$1=20,'20'!D107,IF('For Chart'!$B$1=22,'22'!D107,IF('For Chart'!$B$1=24,'24'!D107,IF($B$1=26,'26'!D107,IF('For Chart'!$B$1=30,'30'!D107,IF('For Chart'!$B$1=28,'28'!D107,IF('For Chart'!$B$1=40,'40'!D107,IF($B$1="28-3 Blade",'28-3 blade'!D107,IF($B$1=32,'32'!D107)))))))))))))</f>
        <v>0</v>
      </c>
      <c r="D109" s="2">
        <f>Sheet1!P156</f>
        <v>0</v>
      </c>
      <c r="I109" s="2" t="e">
        <f t="shared" si="15"/>
        <v>#N/A</v>
      </c>
      <c r="J109" s="2" t="e">
        <f t="shared" si="16"/>
        <v>#N/A</v>
      </c>
      <c r="K109" s="2" t="e">
        <f t="shared" si="17"/>
        <v>#N/A</v>
      </c>
      <c r="L109" s="2" t="e">
        <f t="shared" si="18"/>
        <v>#N/A</v>
      </c>
      <c r="M109" s="2" t="e">
        <f t="shared" si="20"/>
        <v>#N/A</v>
      </c>
      <c r="N109" s="2" t="e">
        <f>L109/(Calculator!$E$26/100)</f>
        <v>#N/A</v>
      </c>
      <c r="O109" s="2" t="e">
        <f t="shared" si="19"/>
        <v>#N/A</v>
      </c>
    </row>
    <row r="110" spans="1:15" x14ac:dyDescent="0.35">
      <c r="A110" s="2">
        <f>Sheet1!A157</f>
        <v>0</v>
      </c>
      <c r="B110" s="2">
        <f>Sheet1!O157</f>
        <v>0</v>
      </c>
      <c r="C110" s="2" t="b">
        <f>IF($B$1=16,'16'!D108,IF($B$1=17,'17'!D109,IF('For Chart'!$B$1=18,'18'!D108,IF($B$1=14,'14'!D108,IF($B$1=20,'20'!D108,IF('For Chart'!$B$1=22,'22'!D108,IF('For Chart'!$B$1=24,'24'!D108,IF($B$1=26,'26'!D108,IF('For Chart'!$B$1=30,'30'!D108,IF('For Chart'!$B$1=28,'28'!D108,IF('For Chart'!$B$1=40,'40'!D108,IF($B$1="28-3 Blade",'28-3 blade'!D108,IF($B$1=32,'32'!D108)))))))))))))</f>
        <v>0</v>
      </c>
      <c r="D110" s="2">
        <f>Sheet1!P157</f>
        <v>0</v>
      </c>
      <c r="I110" s="2" t="e">
        <f t="shared" si="15"/>
        <v>#N/A</v>
      </c>
      <c r="J110" s="2" t="e">
        <f t="shared" si="16"/>
        <v>#N/A</v>
      </c>
      <c r="K110" s="2" t="e">
        <f t="shared" si="17"/>
        <v>#N/A</v>
      </c>
      <c r="L110" s="2" t="e">
        <f t="shared" si="18"/>
        <v>#N/A</v>
      </c>
      <c r="M110" s="2" t="e">
        <f t="shared" si="20"/>
        <v>#N/A</v>
      </c>
      <c r="N110" s="2" t="e">
        <f>L110/(Calculator!$E$26/100)</f>
        <v>#N/A</v>
      </c>
      <c r="O110" s="2" t="e">
        <f t="shared" si="19"/>
        <v>#N/A</v>
      </c>
    </row>
    <row r="111" spans="1:15" x14ac:dyDescent="0.35">
      <c r="A111" s="2">
        <f>Sheet1!A158</f>
        <v>0</v>
      </c>
      <c r="B111" s="2">
        <f>Sheet1!O158</f>
        <v>0</v>
      </c>
      <c r="C111" s="2" t="b">
        <f>IF($B$1=16,'16'!D109,IF($B$1=17,'17'!D110,IF('For Chart'!$B$1=18,'18'!D109,IF($B$1=14,'14'!D109,IF($B$1=20,'20'!D109,IF('For Chart'!$B$1=22,'22'!D109,IF('For Chart'!$B$1=24,'24'!D109,IF($B$1=26,'26'!D109,IF('For Chart'!$B$1=30,'30'!D109,IF('For Chart'!$B$1=28,'28'!D109,IF('For Chart'!$B$1=40,'40'!D109,IF($B$1="28-3 Blade",'28-3 blade'!D109,IF($B$1=32,'32'!D109)))))))))))))</f>
        <v>0</v>
      </c>
      <c r="D111" s="2">
        <f>Sheet1!P158</f>
        <v>0</v>
      </c>
      <c r="I111" s="2" t="e">
        <f t="shared" si="15"/>
        <v>#N/A</v>
      </c>
      <c r="J111" s="2" t="e">
        <f t="shared" si="16"/>
        <v>#N/A</v>
      </c>
      <c r="K111" s="2" t="e">
        <f t="shared" si="17"/>
        <v>#N/A</v>
      </c>
      <c r="L111" s="2" t="e">
        <f t="shared" si="18"/>
        <v>#N/A</v>
      </c>
      <c r="M111" s="2" t="e">
        <f t="shared" si="20"/>
        <v>#N/A</v>
      </c>
      <c r="N111" s="2" t="e">
        <f>L111/(Calculator!$E$26/100)</f>
        <v>#N/A</v>
      </c>
      <c r="O111" s="2" t="e">
        <f t="shared" si="19"/>
        <v>#N/A</v>
      </c>
    </row>
    <row r="112" spans="1:15" x14ac:dyDescent="0.35">
      <c r="A112" s="2">
        <f>Sheet1!A159</f>
        <v>0</v>
      </c>
      <c r="B112" s="2">
        <f>Sheet1!O159</f>
        <v>0</v>
      </c>
      <c r="C112" s="2" t="b">
        <f>IF($B$1=16,'16'!D110,IF($B$1=17,'17'!D111,IF('For Chart'!$B$1=18,'18'!D110,IF($B$1=14,'14'!D110,IF($B$1=20,'20'!D110,IF('For Chart'!$B$1=22,'22'!D110,IF('For Chart'!$B$1=24,'24'!D110,IF($B$1=26,'26'!D110,IF('For Chart'!$B$1=30,'30'!D110,IF('For Chart'!$B$1=28,'28'!D110,IF('For Chart'!$B$1=40,'40'!D110,IF($B$1="28-3 Blade",'28-3 blade'!D110,IF($B$1=32,'32'!D110)))))))))))))</f>
        <v>0</v>
      </c>
      <c r="D112" s="2">
        <f>Sheet1!P159</f>
        <v>0</v>
      </c>
      <c r="I112" s="2" t="e">
        <f t="shared" si="15"/>
        <v>#N/A</v>
      </c>
      <c r="J112" s="2" t="e">
        <f t="shared" si="16"/>
        <v>#N/A</v>
      </c>
      <c r="K112" s="2" t="e">
        <f t="shared" si="17"/>
        <v>#N/A</v>
      </c>
      <c r="L112" s="2" t="e">
        <f t="shared" si="18"/>
        <v>#N/A</v>
      </c>
      <c r="M112" s="2" t="e">
        <f t="shared" si="20"/>
        <v>#N/A</v>
      </c>
      <c r="N112" s="2" t="e">
        <f>L112/(Calculator!$E$26/100)</f>
        <v>#N/A</v>
      </c>
      <c r="O112" s="2" t="e">
        <f t="shared" si="19"/>
        <v>#N/A</v>
      </c>
    </row>
    <row r="113" spans="1:15" x14ac:dyDescent="0.35">
      <c r="A113" s="2">
        <f>Sheet1!A160</f>
        <v>0</v>
      </c>
      <c r="B113" s="2">
        <f>Sheet1!O160</f>
        <v>0</v>
      </c>
      <c r="C113" s="2" t="b">
        <f>IF($B$1=16,'16'!D111,IF($B$1=17,'17'!D112,IF('For Chart'!$B$1=18,'18'!D111,IF($B$1=14,'14'!D111,IF($B$1=20,'20'!D111,IF('For Chart'!$B$1=22,'22'!D111,IF('For Chart'!$B$1=24,'24'!D111,IF($B$1=26,'26'!D111,IF('For Chart'!$B$1=30,'30'!D111,IF('For Chart'!$B$1=28,'28'!D111,IF('For Chart'!$B$1=40,'40'!D111,IF($B$1="28-3 Blade",'28-3 blade'!D111,IF($B$1=32,'32'!D111)))))))))))))</f>
        <v>0</v>
      </c>
      <c r="D113" s="2">
        <f>Sheet1!P160</f>
        <v>0</v>
      </c>
      <c r="I113" s="2" t="e">
        <f t="shared" si="15"/>
        <v>#N/A</v>
      </c>
      <c r="J113" s="2" t="e">
        <f t="shared" si="16"/>
        <v>#N/A</v>
      </c>
      <c r="K113" s="2" t="e">
        <f t="shared" si="17"/>
        <v>#N/A</v>
      </c>
      <c r="L113" s="2" t="e">
        <f t="shared" si="18"/>
        <v>#N/A</v>
      </c>
      <c r="M113" s="2" t="e">
        <f t="shared" si="20"/>
        <v>#N/A</v>
      </c>
      <c r="N113" s="2" t="e">
        <f>L113/(Calculator!$E$26/100)</f>
        <v>#N/A</v>
      </c>
      <c r="O113" s="2" t="e">
        <f t="shared" si="19"/>
        <v>#N/A</v>
      </c>
    </row>
    <row r="114" spans="1:15" x14ac:dyDescent="0.35">
      <c r="A114" s="2">
        <f>Sheet1!A161</f>
        <v>0</v>
      </c>
      <c r="B114" s="2">
        <f>Sheet1!O161</f>
        <v>0</v>
      </c>
      <c r="C114" s="2" t="b">
        <f>IF($B$1=16,'16'!D112,IF($B$1=17,'17'!D113,IF('For Chart'!$B$1=18,'18'!D112,IF($B$1=14,'14'!D112,IF($B$1=20,'20'!D112,IF('For Chart'!$B$1=22,'22'!D112,IF('For Chart'!$B$1=24,'24'!D112,IF($B$1=26,'26'!D112,IF('For Chart'!$B$1=30,'30'!D112,IF('For Chart'!$B$1=28,'28'!D112,IF('For Chart'!$B$1=40,'40'!D112,IF($B$1="28-3 Blade",'28-3 blade'!D112,IF($B$1=32,'32'!D112)))))))))))))</f>
        <v>0</v>
      </c>
      <c r="D114" s="2">
        <f>Sheet1!P161</f>
        <v>0</v>
      </c>
      <c r="I114" s="2" t="e">
        <f t="shared" si="15"/>
        <v>#N/A</v>
      </c>
      <c r="J114" s="2" t="e">
        <f t="shared" si="16"/>
        <v>#N/A</v>
      </c>
      <c r="K114" s="2" t="e">
        <f t="shared" si="17"/>
        <v>#N/A</v>
      </c>
      <c r="L114" s="2" t="e">
        <f t="shared" si="18"/>
        <v>#N/A</v>
      </c>
      <c r="M114" s="2" t="e">
        <f t="shared" si="20"/>
        <v>#N/A</v>
      </c>
      <c r="N114" s="2" t="e">
        <f>L114/(Calculator!$E$26/100)</f>
        <v>#N/A</v>
      </c>
      <c r="O114" s="2" t="e">
        <f t="shared" si="19"/>
        <v>#N/A</v>
      </c>
    </row>
    <row r="115" spans="1:15" x14ac:dyDescent="0.35">
      <c r="A115" s="2">
        <f>Sheet1!A162</f>
        <v>0</v>
      </c>
      <c r="B115" s="2">
        <f>Sheet1!O162</f>
        <v>0</v>
      </c>
      <c r="C115" s="2" t="b">
        <f>IF($B$1=16,'16'!D113,IF($B$1=17,'17'!D114,IF('For Chart'!$B$1=18,'18'!D113,IF($B$1=14,'14'!D113,IF($B$1=20,'20'!D113,IF('For Chart'!$B$1=22,'22'!D113,IF('For Chart'!$B$1=24,'24'!D113,IF($B$1=26,'26'!D113,IF('For Chart'!$B$1=30,'30'!D113,IF('For Chart'!$B$1=28,'28'!D113,IF('For Chart'!$B$1=40,'40'!D113,IF($B$1="28-3 Blade",'28-3 blade'!D113,IF($B$1=32,'32'!D113)))))))))))))</f>
        <v>0</v>
      </c>
      <c r="D115" s="2">
        <f>Sheet1!P162</f>
        <v>0</v>
      </c>
      <c r="I115" s="2" t="e">
        <f t="shared" si="15"/>
        <v>#N/A</v>
      </c>
      <c r="J115" s="2" t="e">
        <f t="shared" si="16"/>
        <v>#N/A</v>
      </c>
      <c r="K115" s="2" t="e">
        <f t="shared" si="17"/>
        <v>#N/A</v>
      </c>
      <c r="L115" s="2" t="e">
        <f t="shared" si="18"/>
        <v>#N/A</v>
      </c>
      <c r="M115" s="2" t="e">
        <f t="shared" si="20"/>
        <v>#N/A</v>
      </c>
      <c r="N115" s="2" t="e">
        <f>L115/(Calculator!$E$26/100)</f>
        <v>#N/A</v>
      </c>
      <c r="O115" s="2" t="e">
        <f t="shared" si="19"/>
        <v>#N/A</v>
      </c>
    </row>
    <row r="116" spans="1:15" x14ac:dyDescent="0.35">
      <c r="A116" s="2">
        <f>Sheet1!A163</f>
        <v>0</v>
      </c>
      <c r="B116" s="2">
        <f>Sheet1!O163</f>
        <v>0</v>
      </c>
      <c r="C116" s="2" t="b">
        <f>IF($B$1=16,'16'!D114,IF($B$1=17,'17'!D115,IF('For Chart'!$B$1=18,'18'!D114,IF($B$1=14,'14'!D114,IF($B$1=20,'20'!D114,IF('For Chart'!$B$1=22,'22'!D114,IF('For Chart'!$B$1=24,'24'!D114,IF($B$1=26,'26'!D114,IF('For Chart'!$B$1=30,'30'!D114,IF('For Chart'!$B$1=28,'28'!D114,IF('For Chart'!$B$1=40,'40'!D114,IF($B$1="28-3 Blade",'28-3 blade'!D114,IF($B$1=32,'32'!D114)))))))))))))</f>
        <v>0</v>
      </c>
      <c r="D116" s="2">
        <f>Sheet1!P163</f>
        <v>0</v>
      </c>
      <c r="I116" s="2" t="e">
        <f t="shared" si="15"/>
        <v>#N/A</v>
      </c>
      <c r="J116" s="2" t="e">
        <f t="shared" si="16"/>
        <v>#N/A</v>
      </c>
      <c r="K116" s="2" t="e">
        <f t="shared" si="17"/>
        <v>#N/A</v>
      </c>
      <c r="L116" s="2" t="e">
        <f t="shared" si="18"/>
        <v>#N/A</v>
      </c>
      <c r="M116" s="2" t="e">
        <f t="shared" si="20"/>
        <v>#N/A</v>
      </c>
      <c r="N116" s="2" t="e">
        <f>L116/(Calculator!$E$26/100)</f>
        <v>#N/A</v>
      </c>
      <c r="O116" s="2" t="e">
        <f t="shared" si="19"/>
        <v>#N/A</v>
      </c>
    </row>
    <row r="117" spans="1:15" x14ac:dyDescent="0.35">
      <c r="A117" s="2">
        <f>Sheet1!A164</f>
        <v>0</v>
      </c>
      <c r="B117" s="2">
        <f>Sheet1!O164</f>
        <v>0</v>
      </c>
      <c r="C117" s="2" t="b">
        <f>IF($B$1=16,'16'!D115,IF($B$1=17,'17'!D116,IF('For Chart'!$B$1=18,'18'!D115,IF($B$1=14,'14'!D115,IF($B$1=20,'20'!D115,IF('For Chart'!$B$1=22,'22'!D115,IF('For Chart'!$B$1=24,'24'!D115,IF($B$1=26,'26'!D115,IF('For Chart'!$B$1=30,'30'!D115,IF('For Chart'!$B$1=28,'28'!D115,IF('For Chart'!$B$1=40,'40'!D115,IF($B$1="28-3 Blade",'28-3 blade'!D115,IF($B$1=32,'32'!D115)))))))))))))</f>
        <v>0</v>
      </c>
      <c r="D117" s="2">
        <f>Sheet1!P164</f>
        <v>0</v>
      </c>
      <c r="I117" s="2" t="e">
        <f t="shared" si="15"/>
        <v>#N/A</v>
      </c>
      <c r="J117" s="2" t="e">
        <f t="shared" si="16"/>
        <v>#N/A</v>
      </c>
      <c r="K117" s="2" t="e">
        <f t="shared" si="17"/>
        <v>#N/A</v>
      </c>
      <c r="L117" s="2" t="e">
        <f t="shared" si="18"/>
        <v>#N/A</v>
      </c>
      <c r="M117" s="2" t="e">
        <f t="shared" si="20"/>
        <v>#N/A</v>
      </c>
      <c r="N117" s="2" t="e">
        <f>L117/(Calculator!$E$26/100)</f>
        <v>#N/A</v>
      </c>
      <c r="O117" s="2" t="e">
        <f t="shared" si="19"/>
        <v>#N/A</v>
      </c>
    </row>
    <row r="118" spans="1:15" x14ac:dyDescent="0.35">
      <c r="A118" s="2">
        <f>Sheet1!A165</f>
        <v>0</v>
      </c>
      <c r="B118" s="2">
        <f>Sheet1!O165</f>
        <v>0</v>
      </c>
      <c r="C118" s="2" t="b">
        <f>IF($B$1=16,'16'!D116,IF($B$1=17,'17'!D117,IF('For Chart'!$B$1=18,'18'!D116,IF($B$1=14,'14'!D116,IF($B$1=20,'20'!D116,IF('For Chart'!$B$1=22,'22'!D116,IF('For Chart'!$B$1=24,'24'!D116,IF($B$1=26,'26'!D116,IF('For Chart'!$B$1=30,'30'!D116,IF('For Chart'!$B$1=28,'28'!D116,IF('For Chart'!$B$1=40,'40'!D116,IF($B$1="28-3 Blade",'28-3 blade'!D116,IF($B$1=32,'32'!D116)))))))))))))</f>
        <v>0</v>
      </c>
      <c r="D118" s="2">
        <f>Sheet1!P165</f>
        <v>0</v>
      </c>
      <c r="I118" s="2" t="e">
        <f t="shared" si="15"/>
        <v>#N/A</v>
      </c>
      <c r="J118" s="2" t="e">
        <f t="shared" si="16"/>
        <v>#N/A</v>
      </c>
      <c r="K118" s="2" t="e">
        <f t="shared" si="17"/>
        <v>#N/A</v>
      </c>
      <c r="L118" s="2" t="e">
        <f t="shared" si="18"/>
        <v>#N/A</v>
      </c>
      <c r="M118" s="2" t="e">
        <f t="shared" si="20"/>
        <v>#N/A</v>
      </c>
      <c r="N118" s="2" t="e">
        <f>L118/(Calculator!$E$26/100)</f>
        <v>#N/A</v>
      </c>
      <c r="O118" s="2" t="e">
        <f t="shared" si="19"/>
        <v>#N/A</v>
      </c>
    </row>
    <row r="119" spans="1:15" x14ac:dyDescent="0.35">
      <c r="A119" s="2">
        <f>Sheet1!A166</f>
        <v>0</v>
      </c>
      <c r="B119" s="2">
        <f>Sheet1!O166</f>
        <v>0</v>
      </c>
      <c r="C119" s="2" t="b">
        <f>IF($B$1=16,'16'!D117,IF($B$1=17,'17'!D118,IF('For Chart'!$B$1=18,'18'!D117,IF($B$1=14,'14'!D117,IF($B$1=20,'20'!D117,IF('For Chart'!$B$1=22,'22'!D117,IF('For Chart'!$B$1=24,'24'!D117,IF($B$1=26,'26'!D117,IF('For Chart'!$B$1=30,'30'!D117,IF('For Chart'!$B$1=28,'28'!D117,IF('For Chart'!$B$1=40,'40'!D117,IF($B$1="28-3 Blade",'28-3 blade'!D117,IF($B$1=32,'32'!D117)))))))))))))</f>
        <v>0</v>
      </c>
      <c r="D119" s="2">
        <f>Sheet1!P166</f>
        <v>0</v>
      </c>
      <c r="I119" s="2" t="e">
        <f t="shared" si="15"/>
        <v>#N/A</v>
      </c>
      <c r="J119" s="2" t="e">
        <f t="shared" si="16"/>
        <v>#N/A</v>
      </c>
      <c r="K119" s="2" t="e">
        <f t="shared" si="17"/>
        <v>#N/A</v>
      </c>
      <c r="L119" s="2" t="e">
        <f t="shared" si="18"/>
        <v>#N/A</v>
      </c>
      <c r="M119" s="2" t="e">
        <f t="shared" si="20"/>
        <v>#N/A</v>
      </c>
      <c r="N119" s="2" t="e">
        <f>L119/(Calculator!$E$26/100)</f>
        <v>#N/A</v>
      </c>
      <c r="O119" s="2" t="e">
        <f t="shared" si="19"/>
        <v>#N/A</v>
      </c>
    </row>
    <row r="120" spans="1:15" x14ac:dyDescent="0.35">
      <c r="A120" s="2">
        <f>Sheet1!A167</f>
        <v>0</v>
      </c>
      <c r="B120" s="2">
        <f>Sheet1!O167</f>
        <v>0</v>
      </c>
      <c r="C120" s="2" t="b">
        <f>IF($B$1=16,'16'!D118,IF($B$1=17,'17'!D119,IF('For Chart'!$B$1=18,'18'!D118,IF($B$1=14,'14'!D118,IF($B$1=20,'20'!D118,IF('For Chart'!$B$1=22,'22'!D118,IF('For Chart'!$B$1=24,'24'!D118,IF($B$1=26,'26'!D118,IF('For Chart'!$B$1=30,'30'!D118,IF('For Chart'!$B$1=28,'28'!D118,IF('For Chart'!$B$1=40,'40'!D118,IF($B$1="28-3 Blade",'28-3 blade'!D118,IF($B$1=32,'32'!D118)))))))))))))</f>
        <v>0</v>
      </c>
      <c r="D120" s="2">
        <f>Sheet1!P167</f>
        <v>0</v>
      </c>
      <c r="I120" s="2" t="e">
        <f t="shared" si="15"/>
        <v>#N/A</v>
      </c>
      <c r="J120" s="2" t="e">
        <f t="shared" si="16"/>
        <v>#N/A</v>
      </c>
      <c r="K120" s="2" t="e">
        <f t="shared" si="17"/>
        <v>#N/A</v>
      </c>
      <c r="L120" s="2" t="e">
        <f t="shared" si="18"/>
        <v>#N/A</v>
      </c>
      <c r="M120" s="2" t="e">
        <f t="shared" si="20"/>
        <v>#N/A</v>
      </c>
      <c r="N120" s="2" t="e">
        <f>L120/(Calculator!$E$26/100)</f>
        <v>#N/A</v>
      </c>
      <c r="O120" s="2" t="e">
        <f t="shared" si="19"/>
        <v>#N/A</v>
      </c>
    </row>
    <row r="121" spans="1:15" x14ac:dyDescent="0.35">
      <c r="A121" s="2">
        <f>Sheet1!A168</f>
        <v>0</v>
      </c>
      <c r="B121" s="2">
        <f>Sheet1!O168</f>
        <v>0</v>
      </c>
      <c r="C121" s="2" t="b">
        <f>IF($B$1=16,'16'!D119,IF($B$1=17,'17'!D120,IF('For Chart'!$B$1=18,'18'!D119,IF($B$1=14,'14'!D119,IF($B$1=20,'20'!D119,IF('For Chart'!$B$1=22,'22'!D119,IF('For Chart'!$B$1=24,'24'!D119,IF($B$1=26,'26'!D119,IF('For Chart'!$B$1=30,'30'!D119,IF('For Chart'!$B$1=28,'28'!D119,IF('For Chart'!$B$1=40,'40'!D119,IF($B$1="28-3 Blade",'28-3 blade'!D119,IF($B$1=32,'32'!D119)))))))))))))</f>
        <v>0</v>
      </c>
      <c r="D121" s="2">
        <f>Sheet1!P168</f>
        <v>0</v>
      </c>
      <c r="I121" s="2" t="e">
        <f t="shared" si="15"/>
        <v>#N/A</v>
      </c>
      <c r="J121" s="2" t="e">
        <f t="shared" si="16"/>
        <v>#N/A</v>
      </c>
      <c r="K121" s="2" t="e">
        <f t="shared" si="17"/>
        <v>#N/A</v>
      </c>
      <c r="L121" s="2" t="e">
        <f t="shared" si="18"/>
        <v>#N/A</v>
      </c>
      <c r="M121" s="2" t="e">
        <f t="shared" si="20"/>
        <v>#N/A</v>
      </c>
      <c r="N121" s="2" t="e">
        <f>L121/(Calculator!$E$26/100)</f>
        <v>#N/A</v>
      </c>
      <c r="O121" s="2" t="e">
        <f t="shared" si="19"/>
        <v>#N/A</v>
      </c>
    </row>
    <row r="122" spans="1:15" x14ac:dyDescent="0.35">
      <c r="A122" s="2">
        <f>Sheet1!A169</f>
        <v>0</v>
      </c>
      <c r="B122" s="2">
        <f>Sheet1!O169</f>
        <v>0</v>
      </c>
      <c r="C122" s="2" t="b">
        <f>IF($B$1=16,'16'!D120,IF($B$1=17,'17'!D121,IF('For Chart'!$B$1=18,'18'!D120,IF($B$1=14,'14'!D120,IF($B$1=20,'20'!D120,IF('For Chart'!$B$1=22,'22'!D120,IF('For Chart'!$B$1=24,'24'!D120,IF($B$1=26,'26'!D120,IF('For Chart'!$B$1=30,'30'!D120,IF('For Chart'!$B$1=28,'28'!D120,IF('For Chart'!$B$1=40,'40'!D120,IF($B$1="28-3 Blade",'28-3 blade'!D120,IF($B$1=32,'32'!D120)))))))))))))</f>
        <v>0</v>
      </c>
      <c r="D122" s="2">
        <f>Sheet1!P169</f>
        <v>0</v>
      </c>
      <c r="I122" s="2" t="e">
        <f t="shared" si="15"/>
        <v>#N/A</v>
      </c>
      <c r="J122" s="2" t="e">
        <f t="shared" si="16"/>
        <v>#N/A</v>
      </c>
      <c r="K122" s="2" t="e">
        <f t="shared" si="17"/>
        <v>#N/A</v>
      </c>
      <c r="L122" s="2" t="e">
        <f t="shared" si="18"/>
        <v>#N/A</v>
      </c>
      <c r="M122" s="2" t="e">
        <f t="shared" si="20"/>
        <v>#N/A</v>
      </c>
      <c r="N122" s="2" t="e">
        <f>L122/(Calculator!$E$26/100)</f>
        <v>#N/A</v>
      </c>
      <c r="O122" s="2" t="e">
        <f t="shared" si="19"/>
        <v>#N/A</v>
      </c>
    </row>
    <row r="123" spans="1:15" x14ac:dyDescent="0.35">
      <c r="A123" s="2">
        <f>Sheet1!A170</f>
        <v>0</v>
      </c>
      <c r="B123" s="2">
        <f>Sheet1!O170</f>
        <v>0</v>
      </c>
      <c r="C123" s="2" t="b">
        <f>IF($B$1=16,'16'!D121,IF($B$1=17,'17'!D122,IF('For Chart'!$B$1=18,'18'!D121,IF($B$1=14,'14'!D121,IF($B$1=20,'20'!D121,IF('For Chart'!$B$1=22,'22'!D121,IF('For Chart'!$B$1=24,'24'!D121,IF($B$1=26,'26'!D121,IF('For Chart'!$B$1=30,'30'!D121,IF('For Chart'!$B$1=28,'28'!D121,IF('For Chart'!$B$1=40,'40'!D121,IF($B$1="28-3 Blade",'28-3 blade'!D121,IF($B$1=32,'32'!D121)))))))))))))</f>
        <v>0</v>
      </c>
      <c r="D123" s="2">
        <f>Sheet1!P170</f>
        <v>0</v>
      </c>
      <c r="I123" s="2" t="e">
        <f t="shared" si="15"/>
        <v>#N/A</v>
      </c>
      <c r="J123" s="2" t="e">
        <f t="shared" si="16"/>
        <v>#N/A</v>
      </c>
      <c r="K123" s="2" t="e">
        <f t="shared" si="17"/>
        <v>#N/A</v>
      </c>
      <c r="L123" s="2" t="e">
        <f t="shared" si="18"/>
        <v>#N/A</v>
      </c>
      <c r="M123" s="2" t="e">
        <f t="shared" si="20"/>
        <v>#N/A</v>
      </c>
      <c r="N123" s="2" t="e">
        <f>L123/(Calculator!$E$26/100)</f>
        <v>#N/A</v>
      </c>
      <c r="O123" s="2" t="e">
        <f t="shared" si="19"/>
        <v>#N/A</v>
      </c>
    </row>
    <row r="124" spans="1:15" x14ac:dyDescent="0.35">
      <c r="A124" s="2">
        <f>Sheet1!A171</f>
        <v>0</v>
      </c>
      <c r="B124" s="2">
        <f>Sheet1!O171</f>
        <v>0</v>
      </c>
      <c r="C124" s="2" t="b">
        <f>IF($B$1=16,'16'!D122,IF($B$1=17,'17'!D123,IF('For Chart'!$B$1=18,'18'!D122,IF($B$1=14,'14'!D122,IF($B$1=20,'20'!D122,IF('For Chart'!$B$1=22,'22'!D122,IF('For Chart'!$B$1=24,'24'!D122,IF($B$1=26,'26'!D122,IF('For Chart'!$B$1=30,'30'!D122,IF('For Chart'!$B$1=28,'28'!D122,IF('For Chart'!$B$1=40,'40'!D122,IF($B$1="28-3 Blade",'28-3 blade'!D122,IF($B$1=32,'32'!D122)))))))))))))</f>
        <v>0</v>
      </c>
      <c r="D124" s="2">
        <f>Sheet1!P171</f>
        <v>0</v>
      </c>
      <c r="I124" s="2" t="e">
        <f t="shared" si="15"/>
        <v>#N/A</v>
      </c>
      <c r="J124" s="2" t="e">
        <f t="shared" si="16"/>
        <v>#N/A</v>
      </c>
      <c r="K124" s="2" t="e">
        <f t="shared" si="17"/>
        <v>#N/A</v>
      </c>
      <c r="L124" s="2" t="e">
        <f t="shared" si="18"/>
        <v>#N/A</v>
      </c>
      <c r="M124" s="2" t="e">
        <f t="shared" si="20"/>
        <v>#N/A</v>
      </c>
      <c r="N124" s="2" t="e">
        <f>L124/(Calculator!$E$26/100)</f>
        <v>#N/A</v>
      </c>
      <c r="O124" s="2" t="e">
        <f t="shared" si="19"/>
        <v>#N/A</v>
      </c>
    </row>
    <row r="125" spans="1:15" x14ac:dyDescent="0.35">
      <c r="A125" s="2">
        <f>Sheet1!A172</f>
        <v>0</v>
      </c>
      <c r="B125" s="2">
        <f>Sheet1!O172</f>
        <v>0</v>
      </c>
      <c r="C125" s="2" t="b">
        <f>IF($B$1=16,'16'!D123,IF($B$1=17,'17'!D124,IF('For Chart'!$B$1=18,'18'!D123,IF($B$1=14,'14'!D123,IF($B$1=20,'20'!D123,IF('For Chart'!$B$1=22,'22'!D123,IF('For Chart'!$B$1=24,'24'!D123,IF($B$1=26,'26'!D123,IF('For Chart'!$B$1=30,'30'!D123,IF('For Chart'!$B$1=28,'28'!D123,IF('For Chart'!$B$1=40,'40'!D123,IF($B$1="28-3 Blade",'28-3 blade'!D123,IF($B$1=32,'32'!D123)))))))))))))</f>
        <v>0</v>
      </c>
      <c r="D125" s="2">
        <f>Sheet1!P172</f>
        <v>0</v>
      </c>
      <c r="I125" s="2" t="e">
        <f t="shared" si="15"/>
        <v>#N/A</v>
      </c>
      <c r="J125" s="2" t="e">
        <f t="shared" si="16"/>
        <v>#N/A</v>
      </c>
      <c r="K125" s="2" t="e">
        <f t="shared" si="17"/>
        <v>#N/A</v>
      </c>
      <c r="L125" s="2" t="e">
        <f t="shared" si="18"/>
        <v>#N/A</v>
      </c>
      <c r="M125" s="2" t="e">
        <f t="shared" si="20"/>
        <v>#N/A</v>
      </c>
      <c r="N125" s="2" t="e">
        <f>L125/(Calculator!$E$26/100)</f>
        <v>#N/A</v>
      </c>
      <c r="O125" s="2" t="e">
        <f t="shared" si="19"/>
        <v>#N/A</v>
      </c>
    </row>
    <row r="126" spans="1:15" x14ac:dyDescent="0.35">
      <c r="A126" s="2">
        <f>Sheet1!A173</f>
        <v>0</v>
      </c>
      <c r="B126" s="2">
        <f>Sheet1!O173</f>
        <v>0</v>
      </c>
      <c r="C126" s="2" t="b">
        <f>IF($B$1=16,'16'!D124,IF($B$1=17,'17'!D125,IF('For Chart'!$B$1=18,'18'!D124,IF($B$1=14,'14'!D124,IF($B$1=20,'20'!D124,IF('For Chart'!$B$1=22,'22'!D124,IF('For Chart'!$B$1=24,'24'!D124,IF($B$1=26,'26'!D124,IF('For Chart'!$B$1=30,'30'!D124,IF('For Chart'!$B$1=28,'28'!D124,IF('For Chart'!$B$1=40,'40'!D124,IF($B$1="28-3 Blade",'28-3 blade'!D124,IF($B$1=32,'32'!D124)))))))))))))</f>
        <v>0</v>
      </c>
      <c r="D126" s="2">
        <f>Sheet1!P173</f>
        <v>0</v>
      </c>
      <c r="I126" s="2" t="e">
        <f t="shared" si="15"/>
        <v>#N/A</v>
      </c>
      <c r="J126" s="2" t="e">
        <f t="shared" si="16"/>
        <v>#N/A</v>
      </c>
      <c r="K126" s="2" t="e">
        <f t="shared" si="17"/>
        <v>#N/A</v>
      </c>
      <c r="L126" s="2" t="e">
        <f t="shared" si="18"/>
        <v>#N/A</v>
      </c>
      <c r="M126" s="2" t="e">
        <f t="shared" si="20"/>
        <v>#N/A</v>
      </c>
      <c r="N126" s="2" t="e">
        <f>L126/(Calculator!$E$26/100)</f>
        <v>#N/A</v>
      </c>
      <c r="O126" s="2" t="e">
        <f t="shared" si="19"/>
        <v>#N/A</v>
      </c>
    </row>
    <row r="127" spans="1:15" x14ac:dyDescent="0.35">
      <c r="A127" s="2">
        <f>Sheet1!A174</f>
        <v>0</v>
      </c>
      <c r="B127" s="2">
        <f>Sheet1!O174</f>
        <v>0</v>
      </c>
      <c r="C127" s="2" t="b">
        <f>IF($B$1=16,'16'!D125,IF($B$1=17,'17'!D126,IF('For Chart'!$B$1=18,'18'!D125,IF($B$1=14,'14'!D125,IF($B$1=20,'20'!D125,IF('For Chart'!$B$1=22,'22'!D125,IF('For Chart'!$B$1=24,'24'!D125,IF($B$1=26,'26'!D125,IF('For Chart'!$B$1=30,'30'!D125,IF('For Chart'!$B$1=28,'28'!D125,IF('For Chart'!$B$1=40,'40'!D125,IF($B$1="28-3 Blade",'28-3 blade'!D125,IF($B$1=32,'32'!D125)))))))))))))</f>
        <v>0</v>
      </c>
      <c r="D127" s="2">
        <f>Sheet1!P174</f>
        <v>0</v>
      </c>
      <c r="I127" s="2" t="e">
        <f t="shared" ref="I127:I172" si="21">IF(A127=0,#N/A,A127)</f>
        <v>#N/A</v>
      </c>
      <c r="J127" s="2" t="e">
        <f t="shared" ref="J127:J172" si="22">IF(A127=0,#N/A,B127)</f>
        <v>#N/A</v>
      </c>
      <c r="K127" s="2" t="e">
        <f t="shared" ref="K127:K172" si="23">IF(A127=0,#N/A,C127)</f>
        <v>#N/A</v>
      </c>
      <c r="L127" s="2" t="e">
        <f t="shared" ref="L127:L172" si="24">IF(D127=0,#N/A,D127)</f>
        <v>#N/A</v>
      </c>
      <c r="M127" s="2" t="e">
        <f t="shared" si="20"/>
        <v>#N/A</v>
      </c>
      <c r="N127" s="2" t="e">
        <f>L127/(Calculator!$E$26/100)</f>
        <v>#N/A</v>
      </c>
      <c r="O127" s="2" t="e">
        <f t="shared" si="19"/>
        <v>#N/A</v>
      </c>
    </row>
    <row r="128" spans="1:15" x14ac:dyDescent="0.35">
      <c r="A128" s="2">
        <f>Sheet1!A175</f>
        <v>0</v>
      </c>
      <c r="B128" s="2">
        <f>Sheet1!O175</f>
        <v>0</v>
      </c>
      <c r="C128" s="2" t="b">
        <f>IF($B$1=16,'16'!D126,IF($B$1=17,'17'!D127,IF('For Chart'!$B$1=18,'18'!D126,IF($B$1=14,'14'!D126,IF($B$1=20,'20'!D126,IF('For Chart'!$B$1=22,'22'!D126,IF('For Chart'!$B$1=24,'24'!D126,IF($B$1=26,'26'!D126,IF('For Chart'!$B$1=30,'30'!D126,IF('For Chart'!$B$1=28,'28'!D126,IF('For Chart'!$B$1=40,'40'!D126,IF($B$1="28-3 Blade",'28-3 blade'!D126,IF($B$1=32,'32'!D126)))))))))))))</f>
        <v>0</v>
      </c>
      <c r="D128" s="2">
        <f>Sheet1!P175</f>
        <v>0</v>
      </c>
      <c r="I128" s="2" t="e">
        <f t="shared" si="21"/>
        <v>#N/A</v>
      </c>
      <c r="J128" s="2" t="e">
        <f t="shared" si="22"/>
        <v>#N/A</v>
      </c>
      <c r="K128" s="2" t="e">
        <f t="shared" si="23"/>
        <v>#N/A</v>
      </c>
      <c r="L128" s="2" t="e">
        <f t="shared" si="24"/>
        <v>#N/A</v>
      </c>
      <c r="M128" s="2" t="e">
        <f t="shared" si="20"/>
        <v>#N/A</v>
      </c>
      <c r="N128" s="2" t="e">
        <f>L128/(Calculator!$E$26/100)</f>
        <v>#N/A</v>
      </c>
      <c r="O128" s="2" t="e">
        <f t="shared" si="19"/>
        <v>#N/A</v>
      </c>
    </row>
    <row r="129" spans="1:15" x14ac:dyDescent="0.35">
      <c r="A129" s="2">
        <f>Sheet1!A176</f>
        <v>0</v>
      </c>
      <c r="B129" s="2">
        <f>Sheet1!O176</f>
        <v>0</v>
      </c>
      <c r="C129" s="2" t="b">
        <f>IF($B$1=16,'16'!D127,IF($B$1=17,'17'!D128,IF('For Chart'!$B$1=18,'18'!D127,IF($B$1=14,'14'!D127,IF($B$1=20,'20'!D127,IF('For Chart'!$B$1=22,'22'!D127,IF('For Chart'!$B$1=24,'24'!D127,IF($B$1=26,'26'!D127,IF('For Chart'!$B$1=30,'30'!D127,IF('For Chart'!$B$1=28,'28'!D127,IF('For Chart'!$B$1=40,'40'!D127,IF($B$1="28-3 Blade",'28-3 blade'!D127,IF($B$1=32,'32'!D127)))))))))))))</f>
        <v>0</v>
      </c>
      <c r="D129" s="2">
        <f>Sheet1!P176</f>
        <v>0</v>
      </c>
      <c r="I129" s="2" t="e">
        <f t="shared" si="21"/>
        <v>#N/A</v>
      </c>
      <c r="J129" s="2" t="e">
        <f t="shared" si="22"/>
        <v>#N/A</v>
      </c>
      <c r="K129" s="2" t="e">
        <f t="shared" si="23"/>
        <v>#N/A</v>
      </c>
      <c r="L129" s="2" t="e">
        <f t="shared" si="24"/>
        <v>#N/A</v>
      </c>
      <c r="M129" s="2" t="e">
        <f t="shared" si="20"/>
        <v>#N/A</v>
      </c>
      <c r="N129" s="2" t="e">
        <f>L129/(Calculator!$E$26/100)</f>
        <v>#N/A</v>
      </c>
      <c r="O129" s="2" t="e">
        <f t="shared" si="19"/>
        <v>#N/A</v>
      </c>
    </row>
    <row r="130" spans="1:15" x14ac:dyDescent="0.35">
      <c r="A130" s="2">
        <f>Sheet1!A177</f>
        <v>0</v>
      </c>
      <c r="B130" s="2">
        <f>Sheet1!O177</f>
        <v>0</v>
      </c>
      <c r="C130" s="2" t="b">
        <f>IF($B$1=16,'16'!D128,IF($B$1=17,'17'!D129,IF('For Chart'!$B$1=18,'18'!D128,IF($B$1=14,'14'!D128,IF($B$1=20,'20'!D128,IF('For Chart'!$B$1=22,'22'!D128,IF('For Chart'!$B$1=24,'24'!D128,IF($B$1=26,'26'!D128,IF('For Chart'!$B$1=30,'30'!D128,IF('For Chart'!$B$1=28,'28'!D128,IF('For Chart'!$B$1=40,'40'!D128,IF($B$1="28-3 Blade",'28-3 blade'!D128,IF($B$1=32,'32'!D128)))))))))))))</f>
        <v>0</v>
      </c>
      <c r="D130" s="2">
        <f>Sheet1!P177</f>
        <v>0</v>
      </c>
      <c r="I130" s="2" t="e">
        <f t="shared" si="21"/>
        <v>#N/A</v>
      </c>
      <c r="J130" s="2" t="e">
        <f t="shared" si="22"/>
        <v>#N/A</v>
      </c>
      <c r="K130" s="2" t="e">
        <f t="shared" si="23"/>
        <v>#N/A</v>
      </c>
      <c r="L130" s="2" t="e">
        <f t="shared" si="24"/>
        <v>#N/A</v>
      </c>
      <c r="M130" s="2" t="e">
        <f t="shared" si="20"/>
        <v>#N/A</v>
      </c>
      <c r="N130" s="2" t="e">
        <f>L130/(Calculator!$E$26/100)</f>
        <v>#N/A</v>
      </c>
      <c r="O130" s="2" t="e">
        <f t="shared" si="19"/>
        <v>#N/A</v>
      </c>
    </row>
    <row r="131" spans="1:15" x14ac:dyDescent="0.35">
      <c r="A131" s="2">
        <f>Sheet1!A178</f>
        <v>0</v>
      </c>
      <c r="B131" s="2">
        <f>Sheet1!O178</f>
        <v>0</v>
      </c>
      <c r="C131" s="2" t="b">
        <f>IF($B$1=16,'16'!D129,IF($B$1=17,'17'!D130,IF('For Chart'!$B$1=18,'18'!D129,IF($B$1=14,'14'!D129,IF($B$1=20,'20'!D129,IF('For Chart'!$B$1=22,'22'!D129,IF('For Chart'!$B$1=24,'24'!D129,IF($B$1=26,'26'!D129,IF('For Chart'!$B$1=30,'30'!D129,IF('For Chart'!$B$1=28,'28'!D129,IF('For Chart'!$B$1=40,'40'!D129,IF($B$1="28-3 Blade",'28-3 blade'!D129,IF($B$1=32,'32'!D129)))))))))))))</f>
        <v>0</v>
      </c>
      <c r="D131" s="2">
        <f>Sheet1!P178</f>
        <v>0</v>
      </c>
      <c r="I131" s="2" t="e">
        <f t="shared" si="21"/>
        <v>#N/A</v>
      </c>
      <c r="J131" s="2" t="e">
        <f t="shared" si="22"/>
        <v>#N/A</v>
      </c>
      <c r="K131" s="2" t="e">
        <f t="shared" si="23"/>
        <v>#N/A</v>
      </c>
      <c r="L131" s="2" t="e">
        <f t="shared" si="24"/>
        <v>#N/A</v>
      </c>
      <c r="M131" s="2" t="e">
        <f t="shared" si="20"/>
        <v>#N/A</v>
      </c>
      <c r="N131" s="2" t="e">
        <f>L131/(Calculator!$E$26/100)</f>
        <v>#N/A</v>
      </c>
      <c r="O131" s="2" t="e">
        <f t="shared" si="19"/>
        <v>#N/A</v>
      </c>
    </row>
    <row r="132" spans="1:15" x14ac:dyDescent="0.35">
      <c r="A132" s="2">
        <f>Sheet1!A179</f>
        <v>0</v>
      </c>
      <c r="B132" s="2">
        <f>Sheet1!O179</f>
        <v>0</v>
      </c>
      <c r="C132" s="2" t="b">
        <f>IF($B$1=16,'16'!D130,IF($B$1=17,'17'!D131,IF('For Chart'!$B$1=18,'18'!D130,IF($B$1=14,'14'!D130,IF($B$1=20,'20'!D130,IF('For Chart'!$B$1=22,'22'!D130,IF('For Chart'!$B$1=24,'24'!D130,IF($B$1=26,'26'!D130,IF('For Chart'!$B$1=30,'30'!D130,IF('For Chart'!$B$1=28,'28'!D130,IF('For Chart'!$B$1=40,'40'!D130,IF($B$1="28-3 Blade",'28-3 blade'!D130,IF($B$1=32,'32'!D130)))))))))))))</f>
        <v>0</v>
      </c>
      <c r="D132" s="2">
        <f>Sheet1!P179</f>
        <v>0</v>
      </c>
      <c r="I132" s="2" t="e">
        <f t="shared" si="21"/>
        <v>#N/A</v>
      </c>
      <c r="J132" s="2" t="e">
        <f t="shared" si="22"/>
        <v>#N/A</v>
      </c>
      <c r="K132" s="2" t="e">
        <f t="shared" si="23"/>
        <v>#N/A</v>
      </c>
      <c r="L132" s="2" t="e">
        <f t="shared" si="24"/>
        <v>#N/A</v>
      </c>
      <c r="M132" s="2" t="e">
        <f t="shared" si="20"/>
        <v>#N/A</v>
      </c>
      <c r="N132" s="2" t="e">
        <f>L132/(Calculator!$E$26/100)</f>
        <v>#N/A</v>
      </c>
      <c r="O132" s="2" t="e">
        <f t="shared" si="19"/>
        <v>#N/A</v>
      </c>
    </row>
    <row r="133" spans="1:15" x14ac:dyDescent="0.35">
      <c r="A133" s="2">
        <f>Sheet1!A180</f>
        <v>0</v>
      </c>
      <c r="B133" s="2">
        <f>Sheet1!O180</f>
        <v>0</v>
      </c>
      <c r="C133" s="2" t="b">
        <f>IF($B$1=16,'16'!D131,IF($B$1=17,'17'!D132,IF('For Chart'!$B$1=18,'18'!D131,IF($B$1=14,'14'!D131,IF($B$1=20,'20'!D131,IF('For Chart'!$B$1=22,'22'!D131,IF('For Chart'!$B$1=24,'24'!D131,IF($B$1=26,'26'!D131,IF('For Chart'!$B$1=30,'30'!D131,IF('For Chart'!$B$1=28,'28'!D131,IF('For Chart'!$B$1=40,'40'!D131,IF($B$1="28-3 Blade",'28-3 blade'!D131,IF($B$1=32,'32'!D131)))))))))))))</f>
        <v>0</v>
      </c>
      <c r="D133" s="2">
        <f>Sheet1!P180</f>
        <v>0</v>
      </c>
      <c r="I133" s="2" t="e">
        <f t="shared" si="21"/>
        <v>#N/A</v>
      </c>
      <c r="J133" s="2" t="e">
        <f t="shared" si="22"/>
        <v>#N/A</v>
      </c>
      <c r="K133" s="2" t="e">
        <f t="shared" si="23"/>
        <v>#N/A</v>
      </c>
      <c r="L133" s="2" t="e">
        <f t="shared" si="24"/>
        <v>#N/A</v>
      </c>
      <c r="M133" s="2" t="e">
        <f t="shared" si="20"/>
        <v>#N/A</v>
      </c>
      <c r="N133" s="2" t="e">
        <f>L133/(Calculator!$E$26/100)</f>
        <v>#N/A</v>
      </c>
      <c r="O133" s="2" t="e">
        <f t="shared" ref="O133:O172" si="25">J133*1000/N133</f>
        <v>#N/A</v>
      </c>
    </row>
    <row r="134" spans="1:15" x14ac:dyDescent="0.35">
      <c r="A134" s="2">
        <f>Sheet1!A181</f>
        <v>0</v>
      </c>
      <c r="B134" s="2">
        <f>Sheet1!O181</f>
        <v>0</v>
      </c>
      <c r="C134" s="2" t="b">
        <f>IF($B$1=16,'16'!D132,IF($B$1=17,'17'!D133,IF('For Chart'!$B$1=18,'18'!D132,IF($B$1=14,'14'!D132,IF($B$1=20,'20'!D132,IF('For Chart'!$B$1=22,'22'!D132,IF('For Chart'!$B$1=24,'24'!D132,IF($B$1=26,'26'!D132,IF('For Chart'!$B$1=30,'30'!D132,IF('For Chart'!$B$1=28,'28'!D132,IF('For Chart'!$B$1=40,'40'!D132,IF($B$1="28-3 Blade",'28-3 blade'!D132,IF($B$1=32,'32'!D132)))))))))))))</f>
        <v>0</v>
      </c>
      <c r="D134" s="2">
        <f>Sheet1!P181</f>
        <v>0</v>
      </c>
      <c r="I134" s="2" t="e">
        <f t="shared" si="21"/>
        <v>#N/A</v>
      </c>
      <c r="J134" s="2" t="e">
        <f t="shared" si="22"/>
        <v>#N/A</v>
      </c>
      <c r="K134" s="2" t="e">
        <f t="shared" si="23"/>
        <v>#N/A</v>
      </c>
      <c r="L134" s="2" t="e">
        <f t="shared" si="24"/>
        <v>#N/A</v>
      </c>
      <c r="M134" s="2" t="e">
        <f t="shared" si="20"/>
        <v>#N/A</v>
      </c>
      <c r="N134" s="2" t="e">
        <f>L134/(Calculator!$E$26/100)</f>
        <v>#N/A</v>
      </c>
      <c r="O134" s="2" t="e">
        <f t="shared" si="25"/>
        <v>#N/A</v>
      </c>
    </row>
    <row r="135" spans="1:15" x14ac:dyDescent="0.35">
      <c r="A135" s="2">
        <f>Sheet1!A182</f>
        <v>0</v>
      </c>
      <c r="B135" s="2">
        <f>Sheet1!O182</f>
        <v>0</v>
      </c>
      <c r="C135" s="2" t="b">
        <f>IF($B$1=16,'16'!D133,IF($B$1=17,'17'!D134,IF('For Chart'!$B$1=18,'18'!D133,IF($B$1=14,'14'!D133,IF($B$1=20,'20'!D133,IF('For Chart'!$B$1=22,'22'!D133,IF('For Chart'!$B$1=24,'24'!D133,IF($B$1=26,'26'!D133,IF('For Chart'!$B$1=30,'30'!D133,IF('For Chart'!$B$1=28,'28'!D133,IF('For Chart'!$B$1=40,'40'!D133,IF($B$1="28-3 Blade",'28-3 blade'!D133,IF($B$1=32,'32'!D133)))))))))))))</f>
        <v>0</v>
      </c>
      <c r="D135" s="2">
        <f>Sheet1!P182</f>
        <v>0</v>
      </c>
      <c r="I135" s="2" t="e">
        <f t="shared" si="21"/>
        <v>#N/A</v>
      </c>
      <c r="J135" s="2" t="e">
        <f t="shared" si="22"/>
        <v>#N/A</v>
      </c>
      <c r="K135" s="2" t="e">
        <f t="shared" si="23"/>
        <v>#N/A</v>
      </c>
      <c r="L135" s="2" t="e">
        <f t="shared" si="24"/>
        <v>#N/A</v>
      </c>
      <c r="M135" s="2" t="e">
        <f t="shared" si="20"/>
        <v>#N/A</v>
      </c>
      <c r="N135" s="2" t="e">
        <f>L135/(Calculator!$E$26/100)</f>
        <v>#N/A</v>
      </c>
      <c r="O135" s="2" t="e">
        <f t="shared" si="25"/>
        <v>#N/A</v>
      </c>
    </row>
    <row r="136" spans="1:15" x14ac:dyDescent="0.35">
      <c r="A136" s="2">
        <f>Sheet1!A183</f>
        <v>0</v>
      </c>
      <c r="B136" s="2">
        <f>Sheet1!O183</f>
        <v>0</v>
      </c>
      <c r="C136" s="2" t="b">
        <f>IF($B$1=16,'16'!D134,IF($B$1=17,'17'!D135,IF('For Chart'!$B$1=18,'18'!D134,IF($B$1=14,'14'!D134,IF($B$1=20,'20'!D134,IF('For Chart'!$B$1=22,'22'!D134,IF('For Chart'!$B$1=24,'24'!D134,IF($B$1=26,'26'!D134,IF('For Chart'!$B$1=30,'30'!D134,IF('For Chart'!$B$1=28,'28'!D134,IF('For Chart'!$B$1=40,'40'!D134,IF($B$1="28-3 Blade",'28-3 blade'!D134,IF($B$1=32,'32'!D134)))))))))))))</f>
        <v>0</v>
      </c>
      <c r="D136" s="2">
        <f>Sheet1!P183</f>
        <v>0</v>
      </c>
      <c r="I136" s="2" t="e">
        <f t="shared" si="21"/>
        <v>#N/A</v>
      </c>
      <c r="J136" s="2" t="e">
        <f t="shared" si="22"/>
        <v>#N/A</v>
      </c>
      <c r="K136" s="2" t="e">
        <f t="shared" si="23"/>
        <v>#N/A</v>
      </c>
      <c r="L136" s="2" t="e">
        <f t="shared" si="24"/>
        <v>#N/A</v>
      </c>
      <c r="M136" s="2" t="e">
        <f t="shared" si="20"/>
        <v>#N/A</v>
      </c>
      <c r="N136" s="2" t="e">
        <f>L136/(Calculator!$E$26/100)</f>
        <v>#N/A</v>
      </c>
      <c r="O136" s="2" t="e">
        <f t="shared" si="25"/>
        <v>#N/A</v>
      </c>
    </row>
    <row r="137" spans="1:15" x14ac:dyDescent="0.35">
      <c r="A137" s="2">
        <f>Sheet1!A184</f>
        <v>0</v>
      </c>
      <c r="B137" s="2">
        <f>Sheet1!O184</f>
        <v>0</v>
      </c>
      <c r="C137" s="2" t="b">
        <f>IF($B$1=16,'16'!D135,IF($B$1=17,'17'!D136,IF('For Chart'!$B$1=18,'18'!D135,IF($B$1=14,'14'!D135,IF($B$1=20,'20'!D135,IF('For Chart'!$B$1=22,'22'!D135,IF('For Chart'!$B$1=24,'24'!D135,IF($B$1=26,'26'!D135,IF('For Chart'!$B$1=30,'30'!D135,IF('For Chart'!$B$1=28,'28'!D135,IF('For Chart'!$B$1=40,'40'!D135,IF($B$1="28-3 Blade",'28-3 blade'!D135,IF($B$1=32,'32'!D135)))))))))))))</f>
        <v>0</v>
      </c>
      <c r="D137" s="2">
        <f>Sheet1!P184</f>
        <v>0</v>
      </c>
      <c r="I137" s="2" t="e">
        <f t="shared" si="21"/>
        <v>#N/A</v>
      </c>
      <c r="J137" s="2" t="e">
        <f t="shared" si="22"/>
        <v>#N/A</v>
      </c>
      <c r="K137" s="2" t="e">
        <f t="shared" si="23"/>
        <v>#N/A</v>
      </c>
      <c r="L137" s="2" t="e">
        <f t="shared" si="24"/>
        <v>#N/A</v>
      </c>
      <c r="M137" s="2" t="e">
        <f t="shared" si="20"/>
        <v>#N/A</v>
      </c>
      <c r="N137" s="2" t="e">
        <f>L137/(Calculator!$E$26/100)</f>
        <v>#N/A</v>
      </c>
      <c r="O137" s="2" t="e">
        <f t="shared" si="25"/>
        <v>#N/A</v>
      </c>
    </row>
    <row r="138" spans="1:15" x14ac:dyDescent="0.35">
      <c r="A138" s="2">
        <f>Sheet1!A185</f>
        <v>0</v>
      </c>
      <c r="B138" s="2">
        <f>Sheet1!O185</f>
        <v>0</v>
      </c>
      <c r="C138" s="2" t="b">
        <f>IF($B$1=16,'16'!D136,IF($B$1=17,'17'!D137,IF('For Chart'!$B$1=18,'18'!D136,IF($B$1=14,'14'!D136,IF($B$1=20,'20'!D136,IF('For Chart'!$B$1=22,'22'!D136,IF('For Chart'!$B$1=24,'24'!D136,IF($B$1=26,'26'!D136,IF('For Chart'!$B$1=30,'30'!D136,IF('For Chart'!$B$1=28,'28'!D136,IF('For Chart'!$B$1=40,'40'!D136,IF($B$1="28-3 Blade",'28-3 blade'!D136,IF($B$1=32,'32'!D136)))))))))))))</f>
        <v>0</v>
      </c>
      <c r="D138" s="2">
        <f>Sheet1!P185</f>
        <v>0</v>
      </c>
      <c r="I138" s="2" t="e">
        <f t="shared" si="21"/>
        <v>#N/A</v>
      </c>
      <c r="J138" s="2" t="e">
        <f t="shared" si="22"/>
        <v>#N/A</v>
      </c>
      <c r="K138" s="2" t="e">
        <f t="shared" si="23"/>
        <v>#N/A</v>
      </c>
      <c r="L138" s="2" t="e">
        <f t="shared" si="24"/>
        <v>#N/A</v>
      </c>
      <c r="M138" s="2" t="e">
        <f t="shared" si="20"/>
        <v>#N/A</v>
      </c>
      <c r="N138" s="2" t="e">
        <f>L138/(Calculator!$E$26/100)</f>
        <v>#N/A</v>
      </c>
      <c r="O138" s="2" t="e">
        <f t="shared" si="25"/>
        <v>#N/A</v>
      </c>
    </row>
    <row r="139" spans="1:15" x14ac:dyDescent="0.35">
      <c r="A139" s="2">
        <f>Sheet1!A186</f>
        <v>0</v>
      </c>
      <c r="B139" s="2">
        <f>Sheet1!O186</f>
        <v>0</v>
      </c>
      <c r="C139" s="2" t="b">
        <f>IF($B$1=16,'16'!D137,IF($B$1=17,'17'!D138,IF('For Chart'!$B$1=18,'18'!D137,IF($B$1=14,'14'!D137,IF($B$1=20,'20'!D137,IF('For Chart'!$B$1=22,'22'!D137,IF('For Chart'!$B$1=24,'24'!D137,IF($B$1=26,'26'!D137,IF('For Chart'!$B$1=30,'30'!D137,IF('For Chart'!$B$1=28,'28'!D137,IF('For Chart'!$B$1=40,'40'!D137,IF($B$1="28-3 Blade",'28-3 blade'!D137,IF($B$1=32,'32'!D137)))))))))))))</f>
        <v>0</v>
      </c>
      <c r="D139" s="2">
        <f>Sheet1!P186</f>
        <v>0</v>
      </c>
      <c r="I139" s="2" t="e">
        <f t="shared" si="21"/>
        <v>#N/A</v>
      </c>
      <c r="J139" s="2" t="e">
        <f t="shared" si="22"/>
        <v>#N/A</v>
      </c>
      <c r="K139" s="2" t="e">
        <f t="shared" si="23"/>
        <v>#N/A</v>
      </c>
      <c r="L139" s="2" t="e">
        <f t="shared" si="24"/>
        <v>#N/A</v>
      </c>
      <c r="M139" s="2" t="e">
        <f t="shared" si="20"/>
        <v>#N/A</v>
      </c>
      <c r="N139" s="2" t="e">
        <f>L139/(Calculator!$E$26/100)</f>
        <v>#N/A</v>
      </c>
      <c r="O139" s="2" t="e">
        <f t="shared" si="25"/>
        <v>#N/A</v>
      </c>
    </row>
    <row r="140" spans="1:15" x14ac:dyDescent="0.35">
      <c r="A140" s="2">
        <f>Sheet1!A187</f>
        <v>0</v>
      </c>
      <c r="B140" s="2">
        <f>Sheet1!O187</f>
        <v>0</v>
      </c>
      <c r="C140" s="2" t="b">
        <f>IF($B$1=16,'16'!D138,IF($B$1=17,'17'!D139,IF('For Chart'!$B$1=18,'18'!D138,IF($B$1=14,'14'!D138,IF($B$1=20,'20'!D138,IF('For Chart'!$B$1=22,'22'!D138,IF('For Chart'!$B$1=24,'24'!D138,IF($B$1=26,'26'!D138,IF('For Chart'!$B$1=30,'30'!D138,IF('For Chart'!$B$1=28,'28'!D138,IF('For Chart'!$B$1=40,'40'!D138,IF($B$1="28-3 Blade",'28-3 blade'!D138,IF($B$1=32,'32'!D138)))))))))))))</f>
        <v>0</v>
      </c>
      <c r="D140" s="2">
        <f>Sheet1!P187</f>
        <v>0</v>
      </c>
      <c r="I140" s="2" t="e">
        <f t="shared" si="21"/>
        <v>#N/A</v>
      </c>
      <c r="J140" s="2" t="e">
        <f t="shared" si="22"/>
        <v>#N/A</v>
      </c>
      <c r="K140" s="2" t="e">
        <f t="shared" si="23"/>
        <v>#N/A</v>
      </c>
      <c r="L140" s="2" t="e">
        <f t="shared" si="24"/>
        <v>#N/A</v>
      </c>
      <c r="M140" s="2" t="e">
        <f t="shared" si="20"/>
        <v>#N/A</v>
      </c>
      <c r="N140" s="2" t="e">
        <f>L140/(Calculator!$E$26/100)</f>
        <v>#N/A</v>
      </c>
      <c r="O140" s="2" t="e">
        <f t="shared" si="25"/>
        <v>#N/A</v>
      </c>
    </row>
    <row r="141" spans="1:15" x14ac:dyDescent="0.35">
      <c r="A141" s="2">
        <f>Sheet1!A188</f>
        <v>0</v>
      </c>
      <c r="B141" s="2">
        <f>Sheet1!O188</f>
        <v>0</v>
      </c>
      <c r="C141" s="2" t="b">
        <f>IF($B$1=16,'16'!D139,IF($B$1=17,'17'!D140,IF('For Chart'!$B$1=18,'18'!D139,IF($B$1=14,'14'!D139,IF($B$1=20,'20'!D139,IF('For Chart'!$B$1=22,'22'!D139,IF('For Chart'!$B$1=24,'24'!D139,IF($B$1=26,'26'!D139,IF('For Chart'!$B$1=30,'30'!D139,IF('For Chart'!$B$1=28,'28'!D139,IF('For Chart'!$B$1=40,'40'!D139,IF($B$1="28-3 Blade",'28-3 blade'!D139,IF($B$1=32,'32'!D139)))))))))))))</f>
        <v>0</v>
      </c>
      <c r="D141" s="2">
        <f>Sheet1!P188</f>
        <v>0</v>
      </c>
      <c r="I141" s="2" t="e">
        <f t="shared" si="21"/>
        <v>#N/A</v>
      </c>
      <c r="J141" s="2" t="e">
        <f t="shared" si="22"/>
        <v>#N/A</v>
      </c>
      <c r="K141" s="2" t="e">
        <f t="shared" si="23"/>
        <v>#N/A</v>
      </c>
      <c r="L141" s="2" t="e">
        <f t="shared" si="24"/>
        <v>#N/A</v>
      </c>
      <c r="M141" s="2" t="e">
        <f t="shared" si="20"/>
        <v>#N/A</v>
      </c>
      <c r="N141" s="2" t="e">
        <f>L141/(Calculator!$E$26/100)</f>
        <v>#N/A</v>
      </c>
      <c r="O141" s="2" t="e">
        <f t="shared" si="25"/>
        <v>#N/A</v>
      </c>
    </row>
    <row r="142" spans="1:15" x14ac:dyDescent="0.35">
      <c r="A142" s="2">
        <f>Sheet1!A189</f>
        <v>0</v>
      </c>
      <c r="B142" s="2">
        <f>Sheet1!O189</f>
        <v>0</v>
      </c>
      <c r="C142" s="2" t="b">
        <f>IF($B$1=16,'16'!D140,IF($B$1=17,'17'!D141,IF('For Chart'!$B$1=18,'18'!D140,IF($B$1=14,'14'!D140,IF($B$1=20,'20'!D140,IF('For Chart'!$B$1=22,'22'!D140,IF('For Chart'!$B$1=24,'24'!D140,IF($B$1=26,'26'!D140,IF('For Chart'!$B$1=30,'30'!D140,IF('For Chart'!$B$1=28,'28'!D140,IF('For Chart'!$B$1=40,'40'!D140,IF($B$1="28-3 Blade",'28-3 blade'!D140,IF($B$1=32,'32'!D140)))))))))))))</f>
        <v>0</v>
      </c>
      <c r="D142" s="2">
        <f>Sheet1!P189</f>
        <v>0</v>
      </c>
      <c r="I142" s="2" t="e">
        <f t="shared" si="21"/>
        <v>#N/A</v>
      </c>
      <c r="J142" s="2" t="e">
        <f t="shared" si="22"/>
        <v>#N/A</v>
      </c>
      <c r="K142" s="2" t="e">
        <f t="shared" si="23"/>
        <v>#N/A</v>
      </c>
      <c r="L142" s="2" t="e">
        <f t="shared" si="24"/>
        <v>#N/A</v>
      </c>
      <c r="M142" s="2" t="e">
        <f t="shared" si="20"/>
        <v>#N/A</v>
      </c>
      <c r="N142" s="2" t="e">
        <f>L142/(Calculator!$E$26/100)</f>
        <v>#N/A</v>
      </c>
      <c r="O142" s="2" t="e">
        <f t="shared" si="25"/>
        <v>#N/A</v>
      </c>
    </row>
    <row r="143" spans="1:15" x14ac:dyDescent="0.35">
      <c r="A143" s="2">
        <f>Sheet1!A190</f>
        <v>0</v>
      </c>
      <c r="B143" s="2">
        <f>Sheet1!O190</f>
        <v>0</v>
      </c>
      <c r="C143" s="2" t="b">
        <f>IF($B$1=16,'16'!D141,IF($B$1=17,'17'!D142,IF('For Chart'!$B$1=18,'18'!D141,IF($B$1=14,'14'!D141,IF($B$1=20,'20'!D141,IF('For Chart'!$B$1=22,'22'!D141,IF('For Chart'!$B$1=24,'24'!D141,IF($B$1=26,'26'!D141,IF('For Chart'!$B$1=30,'30'!D141,IF('For Chart'!$B$1=28,'28'!D141,IF('For Chart'!$B$1=40,'40'!D141,IF($B$1="28-3 Blade",'28-3 blade'!D141,IF($B$1=32,'32'!D141)))))))))))))</f>
        <v>0</v>
      </c>
      <c r="D143" s="2">
        <f>Sheet1!P190</f>
        <v>0</v>
      </c>
      <c r="I143" s="2" t="e">
        <f t="shared" si="21"/>
        <v>#N/A</v>
      </c>
      <c r="J143" s="2" t="e">
        <f t="shared" si="22"/>
        <v>#N/A</v>
      </c>
      <c r="K143" s="2" t="e">
        <f t="shared" si="23"/>
        <v>#N/A</v>
      </c>
      <c r="L143" s="2" t="e">
        <f t="shared" si="24"/>
        <v>#N/A</v>
      </c>
      <c r="M143" s="2" t="e">
        <f t="shared" si="20"/>
        <v>#N/A</v>
      </c>
      <c r="N143" s="2" t="e">
        <f>L143/(Calculator!$E$26/100)</f>
        <v>#N/A</v>
      </c>
      <c r="O143" s="2" t="e">
        <f t="shared" si="25"/>
        <v>#N/A</v>
      </c>
    </row>
    <row r="144" spans="1:15" x14ac:dyDescent="0.35">
      <c r="A144" s="2">
        <f>Sheet1!A191</f>
        <v>0</v>
      </c>
      <c r="B144" s="2">
        <f>Sheet1!O191</f>
        <v>0</v>
      </c>
      <c r="C144" s="2" t="b">
        <f>IF($B$1=16,'16'!D142,IF($B$1=17,'17'!D143,IF('For Chart'!$B$1=18,'18'!D142,IF($B$1=14,'14'!D142,IF($B$1=20,'20'!D142,IF('For Chart'!$B$1=22,'22'!D142,IF('For Chart'!$B$1=24,'24'!D142,IF($B$1=26,'26'!D142,IF('For Chart'!$B$1=30,'30'!D142,IF('For Chart'!$B$1=28,'28'!D142,IF('For Chart'!$B$1=40,'40'!D142,IF($B$1="28-3 Blade",'28-3 blade'!D142,IF($B$1=32,'32'!D142)))))))))))))</f>
        <v>0</v>
      </c>
      <c r="D144" s="2">
        <f>Sheet1!P191</f>
        <v>0</v>
      </c>
      <c r="I144" s="2" t="e">
        <f t="shared" si="21"/>
        <v>#N/A</v>
      </c>
      <c r="J144" s="2" t="e">
        <f t="shared" si="22"/>
        <v>#N/A</v>
      </c>
      <c r="K144" s="2" t="e">
        <f t="shared" si="23"/>
        <v>#N/A</v>
      </c>
      <c r="L144" s="2" t="e">
        <f t="shared" si="24"/>
        <v>#N/A</v>
      </c>
      <c r="M144" s="2" t="e">
        <f t="shared" si="20"/>
        <v>#N/A</v>
      </c>
      <c r="N144" s="2" t="e">
        <f>L144/(Calculator!$E$26/100)</f>
        <v>#N/A</v>
      </c>
      <c r="O144" s="2" t="e">
        <f t="shared" si="25"/>
        <v>#N/A</v>
      </c>
    </row>
    <row r="145" spans="1:15" x14ac:dyDescent="0.35">
      <c r="A145" s="2">
        <f>Sheet1!A192</f>
        <v>0</v>
      </c>
      <c r="B145" s="2">
        <f>Sheet1!O192</f>
        <v>0</v>
      </c>
      <c r="C145" s="2" t="b">
        <f>IF($B$1=16,'16'!D143,IF($B$1=17,'17'!D144,IF('For Chart'!$B$1=18,'18'!D143,IF($B$1=14,'14'!D143,IF($B$1=20,'20'!D143,IF('For Chart'!$B$1=22,'22'!D143,IF('For Chart'!$B$1=24,'24'!D143,IF($B$1=26,'26'!D143,IF('For Chart'!$B$1=30,'30'!D143,IF('For Chart'!$B$1=28,'28'!D143,IF('For Chart'!$B$1=40,'40'!D143,IF($B$1="28-3 Blade",'28-3 blade'!D143,IF($B$1=32,'32'!D143)))))))))))))</f>
        <v>0</v>
      </c>
      <c r="D145" s="2">
        <f>Sheet1!P192</f>
        <v>0</v>
      </c>
      <c r="I145" s="2" t="e">
        <f t="shared" si="21"/>
        <v>#N/A</v>
      </c>
      <c r="J145" s="2" t="e">
        <f t="shared" si="22"/>
        <v>#N/A</v>
      </c>
      <c r="K145" s="2" t="e">
        <f t="shared" si="23"/>
        <v>#N/A</v>
      </c>
      <c r="L145" s="2" t="e">
        <f t="shared" si="24"/>
        <v>#N/A</v>
      </c>
      <c r="M145" s="2" t="e">
        <f t="shared" si="20"/>
        <v>#N/A</v>
      </c>
      <c r="N145" s="2" t="e">
        <f>L145/(Calculator!$E$26/100)</f>
        <v>#N/A</v>
      </c>
      <c r="O145" s="2" t="e">
        <f t="shared" si="25"/>
        <v>#N/A</v>
      </c>
    </row>
    <row r="146" spans="1:15" x14ac:dyDescent="0.35">
      <c r="A146" s="2">
        <f>Sheet1!A193</f>
        <v>0</v>
      </c>
      <c r="B146" s="2">
        <f>Sheet1!O193</f>
        <v>0</v>
      </c>
      <c r="C146" s="2" t="b">
        <f>IF($B$1=16,'16'!D144,IF($B$1=17,'17'!D145,IF('For Chart'!$B$1=18,'18'!D144,IF($B$1=14,'14'!D144,IF($B$1=20,'20'!D144,IF('For Chart'!$B$1=22,'22'!D144,IF('For Chart'!$B$1=24,'24'!D144,IF($B$1=26,'26'!D144,IF('For Chart'!$B$1=30,'30'!D144,IF('For Chart'!$B$1=28,'28'!D144,IF('For Chart'!$B$1=40,'40'!D144,IF($B$1="28-3 Blade",'28-3 blade'!D144,IF($B$1=32,'32'!D144)))))))))))))</f>
        <v>0</v>
      </c>
      <c r="D146" s="2">
        <f>Sheet1!P193</f>
        <v>0</v>
      </c>
      <c r="I146" s="2" t="e">
        <f t="shared" si="21"/>
        <v>#N/A</v>
      </c>
      <c r="J146" s="2" t="e">
        <f t="shared" si="22"/>
        <v>#N/A</v>
      </c>
      <c r="K146" s="2" t="e">
        <f t="shared" si="23"/>
        <v>#N/A</v>
      </c>
      <c r="L146" s="2" t="e">
        <f t="shared" si="24"/>
        <v>#N/A</v>
      </c>
      <c r="M146" s="2" t="e">
        <f t="shared" si="20"/>
        <v>#N/A</v>
      </c>
      <c r="N146" s="2" t="e">
        <f>L146/(Calculator!$E$26/100)</f>
        <v>#N/A</v>
      </c>
      <c r="O146" s="2" t="e">
        <f t="shared" si="25"/>
        <v>#N/A</v>
      </c>
    </row>
    <row r="147" spans="1:15" x14ac:dyDescent="0.35">
      <c r="A147" s="2">
        <f>Sheet1!A194</f>
        <v>0</v>
      </c>
      <c r="B147" s="2">
        <f>Sheet1!O194</f>
        <v>0</v>
      </c>
      <c r="C147" s="2" t="b">
        <f>IF($B$1=16,'16'!D145,IF($B$1=17,'17'!D146,IF('For Chart'!$B$1=18,'18'!D145,IF($B$1=14,'14'!D145,IF($B$1=20,'20'!D145,IF('For Chart'!$B$1=22,'22'!D145,IF('For Chart'!$B$1=24,'24'!D145,IF($B$1=26,'26'!D145,IF('For Chart'!$B$1=30,'30'!D145,IF('For Chart'!$B$1=28,'28'!D145,IF('For Chart'!$B$1=40,'40'!D145,IF($B$1="28-3 Blade",'28-3 blade'!D145,IF($B$1=32,'32'!D145)))))))))))))</f>
        <v>0</v>
      </c>
      <c r="D147" s="2">
        <f>Sheet1!P194</f>
        <v>0</v>
      </c>
      <c r="I147" s="2" t="e">
        <f t="shared" si="21"/>
        <v>#N/A</v>
      </c>
      <c r="J147" s="2" t="e">
        <f t="shared" si="22"/>
        <v>#N/A</v>
      </c>
      <c r="K147" s="2" t="e">
        <f t="shared" si="23"/>
        <v>#N/A</v>
      </c>
      <c r="L147" s="2" t="e">
        <f t="shared" si="24"/>
        <v>#N/A</v>
      </c>
      <c r="M147" s="2" t="e">
        <f t="shared" si="20"/>
        <v>#N/A</v>
      </c>
      <c r="N147" s="2" t="e">
        <f>L147/(Calculator!$E$26/100)</f>
        <v>#N/A</v>
      </c>
      <c r="O147" s="2" t="e">
        <f t="shared" si="25"/>
        <v>#N/A</v>
      </c>
    </row>
    <row r="148" spans="1:15" x14ac:dyDescent="0.35">
      <c r="A148" s="2">
        <f>Sheet1!A195</f>
        <v>0</v>
      </c>
      <c r="B148" s="2">
        <f>Sheet1!O195</f>
        <v>0</v>
      </c>
      <c r="C148" s="2" t="b">
        <f>IF($B$1=16,'16'!D146,IF($B$1=17,'17'!D147,IF('For Chart'!$B$1=18,'18'!D146,IF($B$1=14,'14'!D146,IF($B$1=20,'20'!D146,IF('For Chart'!$B$1=22,'22'!D146,IF('For Chart'!$B$1=24,'24'!D146,IF($B$1=26,'26'!D146,IF('For Chart'!$B$1=30,'30'!D146,IF('For Chart'!$B$1=28,'28'!D146,IF('For Chart'!$B$1=40,'40'!D146,IF($B$1="28-3 Blade",'28-3 blade'!D146,IF($B$1=32,'32'!D146)))))))))))))</f>
        <v>0</v>
      </c>
      <c r="D148" s="2">
        <f>Sheet1!P195</f>
        <v>0</v>
      </c>
      <c r="I148" s="2" t="e">
        <f t="shared" si="21"/>
        <v>#N/A</v>
      </c>
      <c r="J148" s="2" t="e">
        <f t="shared" si="22"/>
        <v>#N/A</v>
      </c>
      <c r="K148" s="2" t="e">
        <f t="shared" si="23"/>
        <v>#N/A</v>
      </c>
      <c r="L148" s="2" t="e">
        <f t="shared" si="24"/>
        <v>#N/A</v>
      </c>
      <c r="M148" s="2" t="e">
        <f t="shared" si="20"/>
        <v>#N/A</v>
      </c>
      <c r="N148" s="2" t="e">
        <f>L148/(Calculator!$E$26/100)</f>
        <v>#N/A</v>
      </c>
      <c r="O148" s="2" t="e">
        <f t="shared" si="25"/>
        <v>#N/A</v>
      </c>
    </row>
    <row r="149" spans="1:15" x14ac:dyDescent="0.35">
      <c r="A149" s="2">
        <f>Sheet1!A196</f>
        <v>0</v>
      </c>
      <c r="B149" s="2">
        <f>Sheet1!O196</f>
        <v>0</v>
      </c>
      <c r="C149" s="2" t="b">
        <f>IF($B$1=16,'16'!D147,IF($B$1=17,'17'!D148,IF('For Chart'!$B$1=18,'18'!D147,IF($B$1=14,'14'!D147,IF($B$1=20,'20'!D147,IF('For Chart'!$B$1=22,'22'!D147,IF('For Chart'!$B$1=24,'24'!D147,IF($B$1=26,'26'!D147,IF('For Chart'!$B$1=30,'30'!D147,IF('For Chart'!$B$1=28,'28'!D147,IF('For Chart'!$B$1=40,'40'!D147,IF($B$1="28-3 Blade",'28-3 blade'!D147,IF($B$1=32,'32'!D147)))))))))))))</f>
        <v>0</v>
      </c>
      <c r="D149" s="2">
        <f>Sheet1!P196</f>
        <v>0</v>
      </c>
      <c r="I149" s="2" t="e">
        <f t="shared" si="21"/>
        <v>#N/A</v>
      </c>
      <c r="J149" s="2" t="e">
        <f t="shared" si="22"/>
        <v>#N/A</v>
      </c>
      <c r="K149" s="2" t="e">
        <f t="shared" si="23"/>
        <v>#N/A</v>
      </c>
      <c r="L149" s="2" t="e">
        <f t="shared" si="24"/>
        <v>#N/A</v>
      </c>
      <c r="M149" s="2" t="e">
        <f t="shared" si="20"/>
        <v>#N/A</v>
      </c>
      <c r="N149" s="2" t="e">
        <f>L149/(Calculator!$E$26/100)</f>
        <v>#N/A</v>
      </c>
      <c r="O149" s="2" t="e">
        <f t="shared" si="25"/>
        <v>#N/A</v>
      </c>
    </row>
    <row r="150" spans="1:15" x14ac:dyDescent="0.35">
      <c r="A150" s="2">
        <f>Sheet1!A197</f>
        <v>0</v>
      </c>
      <c r="B150" s="2">
        <f>Sheet1!O197</f>
        <v>0</v>
      </c>
      <c r="C150" s="2" t="b">
        <f>IF($B$1=16,'16'!D148,IF($B$1=17,'17'!D149,IF('For Chart'!$B$1=18,'18'!D148,IF($B$1=14,'14'!D148,IF($B$1=20,'20'!D148,IF('For Chart'!$B$1=22,'22'!D148,IF('For Chart'!$B$1=24,'24'!D148,IF($B$1=26,'26'!D148,IF('For Chart'!$B$1=30,'30'!D148,IF('For Chart'!$B$1=28,'28'!D148,IF('For Chart'!$B$1=40,'40'!D148,IF($B$1="28-3 Blade",'28-3 blade'!D148,IF($B$1=32,'32'!D148)))))))))))))</f>
        <v>0</v>
      </c>
      <c r="D150" s="2">
        <f>Sheet1!P197</f>
        <v>0</v>
      </c>
      <c r="I150" s="2" t="e">
        <f t="shared" si="21"/>
        <v>#N/A</v>
      </c>
      <c r="J150" s="2" t="e">
        <f t="shared" si="22"/>
        <v>#N/A</v>
      </c>
      <c r="K150" s="2" t="e">
        <f t="shared" si="23"/>
        <v>#N/A</v>
      </c>
      <c r="L150" s="2" t="e">
        <f t="shared" si="24"/>
        <v>#N/A</v>
      </c>
      <c r="M150" s="2" t="e">
        <f t="shared" si="20"/>
        <v>#N/A</v>
      </c>
      <c r="N150" s="2" t="e">
        <f>L150/(Calculator!$E$26/100)</f>
        <v>#N/A</v>
      </c>
      <c r="O150" s="2" t="e">
        <f t="shared" si="25"/>
        <v>#N/A</v>
      </c>
    </row>
    <row r="151" spans="1:15" x14ac:dyDescent="0.35">
      <c r="A151" s="2">
        <f>Sheet1!A198</f>
        <v>0</v>
      </c>
      <c r="B151" s="2">
        <f>Sheet1!O198</f>
        <v>0</v>
      </c>
      <c r="C151" s="2" t="b">
        <f>IF($B$1=16,'16'!D149,IF($B$1=17,'17'!D150,IF('For Chart'!$B$1=18,'18'!D149,IF($B$1=14,'14'!D149,IF($B$1=20,'20'!D149,IF('For Chart'!$B$1=22,'22'!D149,IF('For Chart'!$B$1=24,'24'!D149,IF($B$1=26,'26'!D149,IF('For Chart'!$B$1=30,'30'!D149,IF('For Chart'!$B$1=28,'28'!D149,IF('For Chart'!$B$1=40,'40'!D149,IF($B$1="28-3 Blade",'28-3 blade'!D149,IF($B$1=32,'32'!D149)))))))))))))</f>
        <v>0</v>
      </c>
      <c r="D151" s="2">
        <f>Sheet1!P198</f>
        <v>0</v>
      </c>
      <c r="I151" s="2" t="e">
        <f t="shared" si="21"/>
        <v>#N/A</v>
      </c>
      <c r="J151" s="2" t="e">
        <f t="shared" si="22"/>
        <v>#N/A</v>
      </c>
      <c r="K151" s="2" t="e">
        <f t="shared" si="23"/>
        <v>#N/A</v>
      </c>
      <c r="L151" s="2" t="e">
        <f t="shared" si="24"/>
        <v>#N/A</v>
      </c>
      <c r="M151" s="2" t="e">
        <f t="shared" si="20"/>
        <v>#N/A</v>
      </c>
      <c r="N151" s="2" t="e">
        <f>L151/(Calculator!$E$26/100)</f>
        <v>#N/A</v>
      </c>
      <c r="O151" s="2" t="e">
        <f t="shared" si="25"/>
        <v>#N/A</v>
      </c>
    </row>
    <row r="152" spans="1:15" x14ac:dyDescent="0.35">
      <c r="A152" s="2">
        <f>Sheet1!A199</f>
        <v>0</v>
      </c>
      <c r="B152" s="2">
        <f>Sheet1!O199</f>
        <v>0</v>
      </c>
      <c r="C152" s="2" t="b">
        <f>IF($B$1=16,'16'!D150,IF($B$1=17,'17'!D151,IF('For Chart'!$B$1=18,'18'!D150,IF($B$1=14,'14'!D150,IF($B$1=20,'20'!D150,IF('For Chart'!$B$1=22,'22'!D150,IF('For Chart'!$B$1=24,'24'!D150,IF($B$1=26,'26'!D150,IF('For Chart'!$B$1=30,'30'!D150,IF('For Chart'!$B$1=28,'28'!D150,IF('For Chart'!$B$1=40,'40'!D150,IF($B$1="28-3 Blade",'28-3 blade'!D150,IF($B$1=32,'32'!D150)))))))))))))</f>
        <v>0</v>
      </c>
      <c r="D152" s="2">
        <f>Sheet1!P199</f>
        <v>0</v>
      </c>
      <c r="I152" s="2" t="e">
        <f t="shared" si="21"/>
        <v>#N/A</v>
      </c>
      <c r="J152" s="2" t="e">
        <f t="shared" si="22"/>
        <v>#N/A</v>
      </c>
      <c r="K152" s="2" t="e">
        <f t="shared" si="23"/>
        <v>#N/A</v>
      </c>
      <c r="L152" s="2" t="e">
        <f t="shared" si="24"/>
        <v>#N/A</v>
      </c>
      <c r="M152" s="2" t="e">
        <f t="shared" si="20"/>
        <v>#N/A</v>
      </c>
      <c r="N152" s="2" t="e">
        <f>L152/(Calculator!$E$26/100)</f>
        <v>#N/A</v>
      </c>
      <c r="O152" s="2" t="e">
        <f t="shared" si="25"/>
        <v>#N/A</v>
      </c>
    </row>
    <row r="153" spans="1:15" x14ac:dyDescent="0.35">
      <c r="A153" s="2">
        <f>Sheet1!A200</f>
        <v>0</v>
      </c>
      <c r="B153" s="2">
        <f>Sheet1!O200</f>
        <v>0</v>
      </c>
      <c r="C153" s="2" t="b">
        <f>IF($B$1=16,'16'!D151,IF($B$1=17,'17'!D152,IF('For Chart'!$B$1=18,'18'!D151,IF($B$1=14,'14'!D151,IF($B$1=20,'20'!D151,IF('For Chart'!$B$1=22,'22'!D151,IF('For Chart'!$B$1=24,'24'!D151,IF($B$1=26,'26'!D151,IF('For Chart'!$B$1=30,'30'!D151,IF('For Chart'!$B$1=28,'28'!D151,IF('For Chart'!$B$1=40,'40'!D151,IF($B$1="28-3 Blade",'28-3 blade'!D151,IF($B$1=32,'32'!D151)))))))))))))</f>
        <v>0</v>
      </c>
      <c r="D153" s="2">
        <f>Sheet1!P200</f>
        <v>0</v>
      </c>
      <c r="I153" s="2" t="e">
        <f t="shared" si="21"/>
        <v>#N/A</v>
      </c>
      <c r="J153" s="2" t="e">
        <f t="shared" si="22"/>
        <v>#N/A</v>
      </c>
      <c r="K153" s="2" t="e">
        <f t="shared" si="23"/>
        <v>#N/A</v>
      </c>
      <c r="L153" s="2" t="e">
        <f t="shared" si="24"/>
        <v>#N/A</v>
      </c>
      <c r="M153" s="2" t="e">
        <f t="shared" si="20"/>
        <v>#N/A</v>
      </c>
      <c r="N153" s="2" t="e">
        <f>L153/(Calculator!$E$26/100)</f>
        <v>#N/A</v>
      </c>
      <c r="O153" s="2" t="e">
        <f t="shared" si="25"/>
        <v>#N/A</v>
      </c>
    </row>
    <row r="154" spans="1:15" x14ac:dyDescent="0.35">
      <c r="A154" s="2">
        <f>Sheet1!A201</f>
        <v>0</v>
      </c>
      <c r="B154" s="2">
        <f>Sheet1!O201</f>
        <v>0</v>
      </c>
      <c r="C154" s="2" t="b">
        <f>IF($B$1=16,'16'!D152,IF($B$1=17,'17'!D153,IF('For Chart'!$B$1=18,'18'!D152,IF($B$1=14,'14'!D152,IF($B$1=20,'20'!D152,IF('For Chart'!$B$1=22,'22'!D152,IF('For Chart'!$B$1=24,'24'!D152,IF($B$1=26,'26'!D152,IF('For Chart'!$B$1=30,'30'!D152,IF('For Chart'!$B$1=28,'28'!D152,IF('For Chart'!$B$1=40,'40'!D152,IF($B$1="28-3 Blade",'28-3 blade'!D152,IF($B$1=32,'32'!D152)))))))))))))</f>
        <v>0</v>
      </c>
      <c r="D154" s="2">
        <f>Sheet1!P201</f>
        <v>0</v>
      </c>
      <c r="I154" s="2" t="e">
        <f t="shared" si="21"/>
        <v>#N/A</v>
      </c>
      <c r="J154" s="2" t="e">
        <f t="shared" si="22"/>
        <v>#N/A</v>
      </c>
      <c r="K154" s="2" t="e">
        <f t="shared" si="23"/>
        <v>#N/A</v>
      </c>
      <c r="L154" s="2" t="e">
        <f t="shared" si="24"/>
        <v>#N/A</v>
      </c>
      <c r="M154" s="2" t="e">
        <f t="shared" si="20"/>
        <v>#N/A</v>
      </c>
      <c r="N154" s="2" t="e">
        <f>L154/(Calculator!$E$26/100)</f>
        <v>#N/A</v>
      </c>
      <c r="O154" s="2" t="e">
        <f t="shared" si="25"/>
        <v>#N/A</v>
      </c>
    </row>
    <row r="155" spans="1:15" x14ac:dyDescent="0.35">
      <c r="A155" s="2">
        <f>Sheet1!A202</f>
        <v>0</v>
      </c>
      <c r="B155" s="2">
        <f>Sheet1!O202</f>
        <v>0</v>
      </c>
      <c r="C155" s="2" t="b">
        <f>IF($B$1=16,'16'!D153,IF($B$1=17,'17'!D154,IF('For Chart'!$B$1=18,'18'!D153,IF($B$1=14,'14'!D153,IF($B$1=20,'20'!D153,IF('For Chart'!$B$1=22,'22'!D153,IF('For Chart'!$B$1=24,'24'!D153,IF($B$1=26,'26'!D153,IF('For Chart'!$B$1=30,'30'!D153,IF('For Chart'!$B$1=28,'28'!D153,IF('For Chart'!$B$1=40,'40'!D153,IF($B$1="28-3 Blade",'28-3 blade'!D153,IF($B$1=32,'32'!D153)))))))))))))</f>
        <v>0</v>
      </c>
      <c r="D155" s="2">
        <f>Sheet1!P202</f>
        <v>0</v>
      </c>
      <c r="I155" s="2" t="e">
        <f t="shared" si="21"/>
        <v>#N/A</v>
      </c>
      <c r="J155" s="2" t="e">
        <f t="shared" si="22"/>
        <v>#N/A</v>
      </c>
      <c r="K155" s="2" t="e">
        <f t="shared" si="23"/>
        <v>#N/A</v>
      </c>
      <c r="L155" s="2" t="e">
        <f t="shared" si="24"/>
        <v>#N/A</v>
      </c>
      <c r="M155" s="2" t="e">
        <f t="shared" si="20"/>
        <v>#N/A</v>
      </c>
      <c r="N155" s="2" t="e">
        <f>L155/(Calculator!$E$26/100)</f>
        <v>#N/A</v>
      </c>
      <c r="O155" s="2" t="e">
        <f t="shared" si="25"/>
        <v>#N/A</v>
      </c>
    </row>
    <row r="156" spans="1:15" x14ac:dyDescent="0.35">
      <c r="A156" s="2">
        <f>Sheet1!A203</f>
        <v>0</v>
      </c>
      <c r="B156" s="2">
        <f>Sheet1!O203</f>
        <v>0</v>
      </c>
      <c r="C156" s="2" t="b">
        <f>IF($B$1=16,'16'!D154,IF($B$1=17,'17'!D155,IF('For Chart'!$B$1=18,'18'!D154,IF($B$1=14,'14'!D154,IF($B$1=20,'20'!D154,IF('For Chart'!$B$1=22,'22'!D154,IF('For Chart'!$B$1=24,'24'!D154,IF($B$1=26,'26'!D154,IF('For Chart'!$B$1=30,'30'!D154,IF('For Chart'!$B$1=28,'28'!D154,IF('For Chart'!$B$1=40,'40'!D154,IF($B$1="28-3 Blade",'28-3 blade'!D154,IF($B$1=32,'32'!D154)))))))))))))</f>
        <v>0</v>
      </c>
      <c r="D156" s="2">
        <f>Sheet1!P203</f>
        <v>0</v>
      </c>
      <c r="I156" s="2" t="e">
        <f t="shared" si="21"/>
        <v>#N/A</v>
      </c>
      <c r="J156" s="2" t="e">
        <f t="shared" si="22"/>
        <v>#N/A</v>
      </c>
      <c r="K156" s="2" t="e">
        <f t="shared" si="23"/>
        <v>#N/A</v>
      </c>
      <c r="L156" s="2" t="e">
        <f t="shared" si="24"/>
        <v>#N/A</v>
      </c>
      <c r="M156" s="2" t="e">
        <f t="shared" si="20"/>
        <v>#N/A</v>
      </c>
      <c r="N156" s="2" t="e">
        <f>L156/(Calculator!$E$26/100)</f>
        <v>#N/A</v>
      </c>
      <c r="O156" s="2" t="e">
        <f t="shared" si="25"/>
        <v>#N/A</v>
      </c>
    </row>
    <row r="157" spans="1:15" x14ac:dyDescent="0.35">
      <c r="A157" s="2">
        <f>Sheet1!A204</f>
        <v>0</v>
      </c>
      <c r="B157" s="2">
        <f>Sheet1!O204</f>
        <v>0</v>
      </c>
      <c r="C157" s="2" t="b">
        <f>IF($B$1=16,'16'!D155,IF($B$1=17,'17'!D156,IF('For Chart'!$B$1=18,'18'!D155,IF($B$1=14,'14'!D155,IF($B$1=20,'20'!D155,IF('For Chart'!$B$1=22,'22'!D155,IF('For Chart'!$B$1=24,'24'!D155,IF($B$1=26,'26'!D155,IF('For Chart'!$B$1=30,'30'!D155,IF('For Chart'!$B$1=28,'28'!D155,IF('For Chart'!$B$1=40,'40'!D155,IF($B$1="28-3 Blade",'28-3 blade'!D155,IF($B$1=32,'32'!D155)))))))))))))</f>
        <v>0</v>
      </c>
      <c r="D157" s="2">
        <f>Sheet1!P204</f>
        <v>0</v>
      </c>
      <c r="I157" s="2" t="e">
        <f t="shared" si="21"/>
        <v>#N/A</v>
      </c>
      <c r="J157" s="2" t="e">
        <f t="shared" si="22"/>
        <v>#N/A</v>
      </c>
      <c r="K157" s="2" t="e">
        <f t="shared" si="23"/>
        <v>#N/A</v>
      </c>
      <c r="L157" s="2" t="e">
        <f t="shared" si="24"/>
        <v>#N/A</v>
      </c>
      <c r="M157" s="2" t="e">
        <f t="shared" si="20"/>
        <v>#N/A</v>
      </c>
      <c r="N157" s="2" t="e">
        <f>L157/(Calculator!$E$26/100)</f>
        <v>#N/A</v>
      </c>
      <c r="O157" s="2" t="e">
        <f t="shared" si="25"/>
        <v>#N/A</v>
      </c>
    </row>
    <row r="158" spans="1:15" x14ac:dyDescent="0.35">
      <c r="A158" s="2">
        <f>Sheet1!A205</f>
        <v>0</v>
      </c>
      <c r="B158" s="2">
        <f>Sheet1!O205</f>
        <v>0</v>
      </c>
      <c r="C158" s="2" t="b">
        <f>IF($B$1=16,'16'!D156,IF($B$1=17,'17'!D157,IF('For Chart'!$B$1=18,'18'!D156,IF($B$1=14,'14'!D156,IF($B$1=20,'20'!D156,IF('For Chart'!$B$1=22,'22'!D156,IF('For Chart'!$B$1=24,'24'!D156,IF($B$1=26,'26'!D156,IF('For Chart'!$B$1=30,'30'!D156,IF('For Chart'!$B$1=28,'28'!D156,IF('For Chart'!$B$1=40,'40'!D156,IF($B$1="28-3 Blade",'28-3 blade'!D156,IF($B$1=32,'32'!D156)))))))))))))</f>
        <v>0</v>
      </c>
      <c r="D158" s="2">
        <f>Sheet1!P205</f>
        <v>0</v>
      </c>
      <c r="I158" s="2" t="e">
        <f t="shared" si="21"/>
        <v>#N/A</v>
      </c>
      <c r="J158" s="2" t="e">
        <f t="shared" si="22"/>
        <v>#N/A</v>
      </c>
      <c r="K158" s="2" t="e">
        <f t="shared" si="23"/>
        <v>#N/A</v>
      </c>
      <c r="L158" s="2" t="e">
        <f t="shared" si="24"/>
        <v>#N/A</v>
      </c>
      <c r="M158" s="2" t="e">
        <f t="shared" si="20"/>
        <v>#N/A</v>
      </c>
      <c r="N158" s="2" t="e">
        <f>L158/(Calculator!$E$26/100)</f>
        <v>#N/A</v>
      </c>
      <c r="O158" s="2" t="e">
        <f t="shared" si="25"/>
        <v>#N/A</v>
      </c>
    </row>
    <row r="159" spans="1:15" x14ac:dyDescent="0.35">
      <c r="A159" s="2">
        <f>Sheet1!A206</f>
        <v>0</v>
      </c>
      <c r="B159" s="2">
        <f>Sheet1!O206</f>
        <v>0</v>
      </c>
      <c r="C159" s="2" t="b">
        <f>IF($B$1=16,'16'!D157,IF($B$1=17,'17'!D158,IF('For Chart'!$B$1=18,'18'!D157,IF($B$1=14,'14'!D157,IF($B$1=20,'20'!D157,IF('For Chart'!$B$1=22,'22'!D157,IF('For Chart'!$B$1=24,'24'!D157,IF($B$1=26,'26'!D157,IF('For Chart'!$B$1=30,'30'!D157,IF('For Chart'!$B$1=28,'28'!D157,IF('For Chart'!$B$1=40,'40'!D157,IF($B$1="28-3 Blade",'28-3 blade'!D157,IF($B$1=32,'32'!D157)))))))))))))</f>
        <v>0</v>
      </c>
      <c r="D159" s="2">
        <f>Sheet1!P206</f>
        <v>0</v>
      </c>
      <c r="I159" s="2" t="e">
        <f t="shared" si="21"/>
        <v>#N/A</v>
      </c>
      <c r="J159" s="2" t="e">
        <f t="shared" si="22"/>
        <v>#N/A</v>
      </c>
      <c r="K159" s="2" t="e">
        <f t="shared" si="23"/>
        <v>#N/A</v>
      </c>
      <c r="L159" s="2" t="e">
        <f t="shared" si="24"/>
        <v>#N/A</v>
      </c>
      <c r="M159" s="2" t="e">
        <f t="shared" si="20"/>
        <v>#N/A</v>
      </c>
      <c r="N159" s="2" t="e">
        <f>L159/(Calculator!$E$26/100)</f>
        <v>#N/A</v>
      </c>
      <c r="O159" s="2" t="e">
        <f t="shared" si="25"/>
        <v>#N/A</v>
      </c>
    </row>
    <row r="160" spans="1:15" x14ac:dyDescent="0.35">
      <c r="A160" s="2">
        <f>Sheet1!A207</f>
        <v>0</v>
      </c>
      <c r="B160" s="2">
        <f>Sheet1!O207</f>
        <v>0</v>
      </c>
      <c r="C160" s="2" t="b">
        <f>IF($B$1=16,'16'!D158,IF($B$1=17,'17'!D159,IF('For Chart'!$B$1=18,'18'!D158,IF($B$1=14,'14'!D158,IF($B$1=20,'20'!D158,IF('For Chart'!$B$1=22,'22'!D158,IF('For Chart'!$B$1=24,'24'!D158,IF($B$1=26,'26'!D158,IF('For Chart'!$B$1=30,'30'!D158,IF('For Chart'!$B$1=28,'28'!D158,IF('For Chart'!$B$1=40,'40'!D158,IF($B$1="28-3 Blade",'28-3 blade'!D158,IF($B$1=32,'32'!D158)))))))))))))</f>
        <v>0</v>
      </c>
      <c r="D160" s="2">
        <f>Sheet1!P207</f>
        <v>0</v>
      </c>
      <c r="I160" s="2" t="e">
        <f t="shared" si="21"/>
        <v>#N/A</v>
      </c>
      <c r="J160" s="2" t="e">
        <f t="shared" si="22"/>
        <v>#N/A</v>
      </c>
      <c r="K160" s="2" t="e">
        <f t="shared" si="23"/>
        <v>#N/A</v>
      </c>
      <c r="L160" s="2" t="e">
        <f t="shared" si="24"/>
        <v>#N/A</v>
      </c>
      <c r="M160" s="2" t="e">
        <f t="shared" si="20"/>
        <v>#N/A</v>
      </c>
      <c r="N160" s="2" t="e">
        <f>L160/(Calculator!$E$26/100)</f>
        <v>#N/A</v>
      </c>
      <c r="O160" s="2" t="e">
        <f t="shared" si="25"/>
        <v>#N/A</v>
      </c>
    </row>
    <row r="161" spans="1:15" x14ac:dyDescent="0.35">
      <c r="A161" s="2">
        <f>Sheet1!A208</f>
        <v>0</v>
      </c>
      <c r="B161" s="2">
        <f>Sheet1!O208</f>
        <v>0</v>
      </c>
      <c r="C161" s="2" t="b">
        <f>IF($B$1=16,'16'!D159,IF($B$1=17,'17'!D160,IF('For Chart'!$B$1=18,'18'!D159,IF($B$1=14,'14'!D159,IF($B$1=20,'20'!D159,IF('For Chart'!$B$1=22,'22'!D159,IF('For Chart'!$B$1=24,'24'!D159,IF($B$1=26,'26'!D159,IF('For Chart'!$B$1=30,'30'!D159,IF('For Chart'!$B$1=28,'28'!D159,IF('For Chart'!$B$1=40,'40'!D159,IF($B$1="28-3 Blade",'28-3 blade'!D159,IF($B$1=32,'32'!D159)))))))))))))</f>
        <v>0</v>
      </c>
      <c r="D161" s="2">
        <f>Sheet1!P208</f>
        <v>0</v>
      </c>
      <c r="I161" s="2" t="e">
        <f t="shared" si="21"/>
        <v>#N/A</v>
      </c>
      <c r="J161" s="2" t="e">
        <f t="shared" si="22"/>
        <v>#N/A</v>
      </c>
      <c r="K161" s="2" t="e">
        <f t="shared" si="23"/>
        <v>#N/A</v>
      </c>
      <c r="L161" s="2" t="e">
        <f t="shared" si="24"/>
        <v>#N/A</v>
      </c>
      <c r="M161" s="2" t="e">
        <f t="shared" si="20"/>
        <v>#N/A</v>
      </c>
      <c r="N161" s="2" t="e">
        <f>L161/(Calculator!$E$26/100)</f>
        <v>#N/A</v>
      </c>
      <c r="O161" s="2" t="e">
        <f t="shared" si="25"/>
        <v>#N/A</v>
      </c>
    </row>
    <row r="162" spans="1:15" x14ac:dyDescent="0.35">
      <c r="A162" s="2">
        <f>Sheet1!A209</f>
        <v>0</v>
      </c>
      <c r="B162" s="2">
        <f>Sheet1!O209</f>
        <v>0</v>
      </c>
      <c r="C162" s="2" t="b">
        <f>IF($B$1=16,'16'!D160,IF($B$1=17,'17'!D161,IF('For Chart'!$B$1=18,'18'!D160,IF($B$1=14,'14'!D160,IF($B$1=20,'20'!D160,IF('For Chart'!$B$1=22,'22'!D160,IF('For Chart'!$B$1=24,'24'!D160,IF($B$1=26,'26'!D160,IF('For Chart'!$B$1=30,'30'!D160,IF('For Chart'!$B$1=28,'28'!D160,IF('For Chart'!$B$1=40,'40'!D160,IF($B$1="28-3 Blade",'28-3 blade'!D160,IF($B$1=32,'32'!D160)))))))))))))</f>
        <v>0</v>
      </c>
      <c r="D162" s="2">
        <f>Sheet1!P209</f>
        <v>0</v>
      </c>
      <c r="I162" s="2" t="e">
        <f t="shared" si="21"/>
        <v>#N/A</v>
      </c>
      <c r="J162" s="2" t="e">
        <f t="shared" si="22"/>
        <v>#N/A</v>
      </c>
      <c r="K162" s="2" t="e">
        <f t="shared" si="23"/>
        <v>#N/A</v>
      </c>
      <c r="L162" s="2" t="e">
        <f t="shared" si="24"/>
        <v>#N/A</v>
      </c>
      <c r="M162" s="2" t="e">
        <f t="shared" si="20"/>
        <v>#N/A</v>
      </c>
      <c r="N162" s="2" t="e">
        <f>L162/(Calculator!$E$26/100)</f>
        <v>#N/A</v>
      </c>
      <c r="O162" s="2" t="e">
        <f t="shared" si="25"/>
        <v>#N/A</v>
      </c>
    </row>
    <row r="163" spans="1:15" x14ac:dyDescent="0.35">
      <c r="A163" s="2">
        <f>Sheet1!A210</f>
        <v>0</v>
      </c>
      <c r="B163" s="2">
        <f>Sheet1!O210</f>
        <v>0</v>
      </c>
      <c r="C163" s="2" t="b">
        <f>IF($B$1=16,'16'!D161,IF($B$1=17,'17'!D162,IF('For Chart'!$B$1=18,'18'!D161,IF($B$1=14,'14'!D161,IF($B$1=20,'20'!D161,IF('For Chart'!$B$1=22,'22'!D161,IF('For Chart'!$B$1=24,'24'!D161,IF($B$1=26,'26'!D161,IF('For Chart'!$B$1=30,'30'!D161,IF('For Chart'!$B$1=28,'28'!D161,IF('For Chart'!$B$1=40,'40'!D161,IF($B$1="28-3 Blade",'28-3 blade'!D161,IF($B$1=32,'32'!D161)))))))))))))</f>
        <v>0</v>
      </c>
      <c r="D163" s="2">
        <f>Sheet1!P210</f>
        <v>0</v>
      </c>
      <c r="I163" s="2" t="e">
        <f t="shared" si="21"/>
        <v>#N/A</v>
      </c>
      <c r="J163" s="2" t="e">
        <f t="shared" si="22"/>
        <v>#N/A</v>
      </c>
      <c r="K163" s="2" t="e">
        <f t="shared" si="23"/>
        <v>#N/A</v>
      </c>
      <c r="L163" s="2" t="e">
        <f t="shared" si="24"/>
        <v>#N/A</v>
      </c>
      <c r="M163" s="2" t="e">
        <f t="shared" si="20"/>
        <v>#N/A</v>
      </c>
      <c r="N163" s="2" t="e">
        <f>L163/(Calculator!$E$26/100)</f>
        <v>#N/A</v>
      </c>
      <c r="O163" s="2" t="e">
        <f t="shared" si="25"/>
        <v>#N/A</v>
      </c>
    </row>
    <row r="164" spans="1:15" x14ac:dyDescent="0.35">
      <c r="A164" s="2">
        <f>Sheet1!A211</f>
        <v>0</v>
      </c>
      <c r="B164" s="2">
        <f>Sheet1!O211</f>
        <v>0</v>
      </c>
      <c r="C164" s="2" t="b">
        <f>IF($B$1=16,'16'!D162,IF($B$1=17,'17'!D163,IF('For Chart'!$B$1=18,'18'!D162,IF($B$1=14,'14'!D162,IF($B$1=20,'20'!D162,IF('For Chart'!$B$1=22,'22'!D162,IF('For Chart'!$B$1=24,'24'!D162,IF($B$1=26,'26'!D162,IF('For Chart'!$B$1=30,'30'!D162,IF('For Chart'!$B$1=28,'28'!D162,IF('For Chart'!$B$1=40,'40'!D162,IF($B$1="28-3 Blade",'28-3 blade'!D162,IF($B$1=32,'32'!D162)))))))))))))</f>
        <v>0</v>
      </c>
      <c r="D164" s="2">
        <f>Sheet1!P211</f>
        <v>0</v>
      </c>
      <c r="I164" s="2" t="e">
        <f t="shared" si="21"/>
        <v>#N/A</v>
      </c>
      <c r="J164" s="2" t="e">
        <f t="shared" si="22"/>
        <v>#N/A</v>
      </c>
      <c r="K164" s="2" t="e">
        <f t="shared" si="23"/>
        <v>#N/A</v>
      </c>
      <c r="L164" s="2" t="e">
        <f t="shared" si="24"/>
        <v>#N/A</v>
      </c>
      <c r="M164" s="2" t="e">
        <f t="shared" si="20"/>
        <v>#N/A</v>
      </c>
      <c r="N164" s="2" t="e">
        <f>L164/(Calculator!$E$26/100)</f>
        <v>#N/A</v>
      </c>
      <c r="O164" s="2" t="e">
        <f t="shared" si="25"/>
        <v>#N/A</v>
      </c>
    </row>
    <row r="165" spans="1:15" x14ac:dyDescent="0.35">
      <c r="A165" s="2">
        <f>Sheet1!A212</f>
        <v>0</v>
      </c>
      <c r="B165" s="2">
        <f>Sheet1!O212</f>
        <v>0</v>
      </c>
      <c r="C165" s="2" t="b">
        <f>IF($B$1=16,'16'!D163,IF($B$1=17,'17'!D164,IF('For Chart'!$B$1=18,'18'!D163,IF($B$1=14,'14'!D163,IF($B$1=20,'20'!D163,IF('For Chart'!$B$1=22,'22'!D163,IF('For Chart'!$B$1=24,'24'!D163,IF($B$1=26,'26'!D163,IF('For Chart'!$B$1=30,'30'!D163,IF('For Chart'!$B$1=28,'28'!D163,IF('For Chart'!$B$1=40,'40'!D163,IF($B$1="28-3 Blade",'28-3 blade'!D163,IF($B$1=32,'32'!D163)))))))))))))</f>
        <v>0</v>
      </c>
      <c r="D165" s="2">
        <f>Sheet1!P212</f>
        <v>0</v>
      </c>
      <c r="I165" s="2" t="e">
        <f t="shared" si="21"/>
        <v>#N/A</v>
      </c>
      <c r="J165" s="2" t="e">
        <f t="shared" si="22"/>
        <v>#N/A</v>
      </c>
      <c r="K165" s="2" t="e">
        <f t="shared" si="23"/>
        <v>#N/A</v>
      </c>
      <c r="L165" s="2" t="e">
        <f t="shared" si="24"/>
        <v>#N/A</v>
      </c>
      <c r="M165" s="2" t="e">
        <f t="shared" si="20"/>
        <v>#N/A</v>
      </c>
      <c r="N165" s="2" t="e">
        <f>L165/(Calculator!$E$26/100)</f>
        <v>#N/A</v>
      </c>
      <c r="O165" s="2" t="e">
        <f t="shared" si="25"/>
        <v>#N/A</v>
      </c>
    </row>
    <row r="166" spans="1:15" x14ac:dyDescent="0.35">
      <c r="A166" s="2">
        <f>Sheet1!A213</f>
        <v>0</v>
      </c>
      <c r="B166" s="2">
        <f>Sheet1!O213</f>
        <v>0</v>
      </c>
      <c r="C166" s="2" t="b">
        <f>IF($B$1=16,'16'!D164,IF($B$1=17,'17'!D165,IF('For Chart'!$B$1=18,'18'!D164,IF($B$1=14,'14'!D164,IF($B$1=20,'20'!D164,IF('For Chart'!$B$1=22,'22'!D164,IF('For Chart'!$B$1=24,'24'!D164,IF($B$1=26,'26'!D164,IF('For Chart'!$B$1=30,'30'!D164,IF('For Chart'!$B$1=28,'28'!D164,IF('For Chart'!$B$1=40,'40'!D164,IF($B$1="28-3 Blade",'28-3 blade'!D164,IF($B$1=32,'32'!D164)))))))))))))</f>
        <v>0</v>
      </c>
      <c r="D166" s="2">
        <f>Sheet1!P213</f>
        <v>0</v>
      </c>
      <c r="I166" s="2" t="e">
        <f t="shared" si="21"/>
        <v>#N/A</v>
      </c>
      <c r="J166" s="2" t="e">
        <f t="shared" si="22"/>
        <v>#N/A</v>
      </c>
      <c r="K166" s="2" t="e">
        <f t="shared" si="23"/>
        <v>#N/A</v>
      </c>
      <c r="L166" s="2" t="e">
        <f t="shared" si="24"/>
        <v>#N/A</v>
      </c>
      <c r="M166" s="2" t="e">
        <f t="shared" si="20"/>
        <v>#N/A</v>
      </c>
      <c r="N166" s="2" t="e">
        <f>L166/(Calculator!$E$26/100)</f>
        <v>#N/A</v>
      </c>
      <c r="O166" s="2" t="e">
        <f t="shared" si="25"/>
        <v>#N/A</v>
      </c>
    </row>
    <row r="167" spans="1:15" x14ac:dyDescent="0.35">
      <c r="A167" s="2">
        <f>Sheet1!A214</f>
        <v>0</v>
      </c>
      <c r="B167" s="2">
        <f>Sheet1!O214</f>
        <v>0</v>
      </c>
      <c r="C167" s="2" t="b">
        <f>IF($B$1=16,'16'!D165,IF($B$1=17,'17'!D166,IF('For Chart'!$B$1=18,'18'!D165,IF($B$1=14,'14'!D165,IF($B$1=20,'20'!D165,IF('For Chart'!$B$1=22,'22'!D165,IF('For Chart'!$B$1=24,'24'!D165,IF($B$1=26,'26'!D165,IF('For Chart'!$B$1=30,'30'!D165,IF('For Chart'!$B$1=28,'28'!D165,IF('For Chart'!$B$1=40,'40'!D165,IF($B$1="28-3 Blade",'28-3 blade'!D165,IF($B$1=32,'32'!D165)))))))))))))</f>
        <v>0</v>
      </c>
      <c r="D167" s="2">
        <f>Sheet1!P214</f>
        <v>0</v>
      </c>
      <c r="I167" s="2" t="e">
        <f t="shared" si="21"/>
        <v>#N/A</v>
      </c>
      <c r="J167" s="2" t="e">
        <f t="shared" si="22"/>
        <v>#N/A</v>
      </c>
      <c r="K167" s="2" t="e">
        <f t="shared" si="23"/>
        <v>#N/A</v>
      </c>
      <c r="L167" s="2" t="e">
        <f t="shared" si="24"/>
        <v>#N/A</v>
      </c>
      <c r="M167" s="2" t="e">
        <f t="shared" ref="M167:M172" si="26">J167*1000/L167</f>
        <v>#N/A</v>
      </c>
      <c r="N167" s="2" t="e">
        <f>L167/(Calculator!$E$26/100)</f>
        <v>#N/A</v>
      </c>
      <c r="O167" s="2" t="e">
        <f t="shared" si="25"/>
        <v>#N/A</v>
      </c>
    </row>
    <row r="168" spans="1:15" x14ac:dyDescent="0.35">
      <c r="A168" s="2">
        <f>Sheet1!A215</f>
        <v>0</v>
      </c>
      <c r="B168" s="2">
        <f>Sheet1!O215</f>
        <v>0</v>
      </c>
      <c r="C168" s="2" t="b">
        <f>IF($B$1=16,'16'!D166,IF($B$1=17,'17'!D167,IF('For Chart'!$B$1=18,'18'!D166,IF($B$1=14,'14'!D166,IF($B$1=20,'20'!D166,IF('For Chart'!$B$1=22,'22'!D166,IF('For Chart'!$B$1=24,'24'!D166,IF($B$1=26,'26'!D166,IF('For Chart'!$B$1=30,'30'!D166,IF('For Chart'!$B$1=28,'28'!D166,IF('For Chart'!$B$1=40,'40'!D166,IF($B$1="28-3 Blade",'28-3 blade'!D166,IF($B$1=32,'32'!D166)))))))))))))</f>
        <v>0</v>
      </c>
      <c r="D168" s="2">
        <f>Sheet1!P215</f>
        <v>0</v>
      </c>
      <c r="I168" s="2" t="e">
        <f t="shared" si="21"/>
        <v>#N/A</v>
      </c>
      <c r="J168" s="2" t="e">
        <f t="shared" si="22"/>
        <v>#N/A</v>
      </c>
      <c r="K168" s="2" t="e">
        <f t="shared" si="23"/>
        <v>#N/A</v>
      </c>
      <c r="L168" s="2" t="e">
        <f t="shared" si="24"/>
        <v>#N/A</v>
      </c>
      <c r="M168" s="2" t="e">
        <f t="shared" si="26"/>
        <v>#N/A</v>
      </c>
      <c r="N168" s="2" t="e">
        <f>L168/(Calculator!$E$26/100)</f>
        <v>#N/A</v>
      </c>
      <c r="O168" s="2" t="e">
        <f t="shared" si="25"/>
        <v>#N/A</v>
      </c>
    </row>
    <row r="169" spans="1:15" x14ac:dyDescent="0.35">
      <c r="A169" s="2">
        <f>Sheet1!A216</f>
        <v>0</v>
      </c>
      <c r="B169" s="2">
        <f>Sheet1!O216</f>
        <v>0</v>
      </c>
      <c r="C169" s="2" t="b">
        <f>IF($B$1=16,'16'!D167,IF($B$1=17,'17'!D168,IF('For Chart'!$B$1=18,'18'!D167,IF($B$1=14,'14'!D167,IF($B$1=20,'20'!D167,IF('For Chart'!$B$1=22,'22'!D167,IF('For Chart'!$B$1=24,'24'!D167,IF($B$1=26,'26'!D167,IF('For Chart'!$B$1=30,'30'!D167,IF('For Chart'!$B$1=28,'28'!D167,IF('For Chart'!$B$1=40,'40'!D167,IF($B$1="28-3 Blade",'28-3 blade'!D167,IF($B$1=32,'32'!D167)))))))))))))</f>
        <v>0</v>
      </c>
      <c r="D169" s="2">
        <f>Sheet1!P216</f>
        <v>0</v>
      </c>
      <c r="I169" s="2" t="e">
        <f t="shared" si="21"/>
        <v>#N/A</v>
      </c>
      <c r="J169" s="2" t="e">
        <f t="shared" si="22"/>
        <v>#N/A</v>
      </c>
      <c r="K169" s="2" t="e">
        <f t="shared" si="23"/>
        <v>#N/A</v>
      </c>
      <c r="L169" s="2" t="e">
        <f t="shared" si="24"/>
        <v>#N/A</v>
      </c>
      <c r="M169" s="2" t="e">
        <f t="shared" si="26"/>
        <v>#N/A</v>
      </c>
      <c r="N169" s="2" t="e">
        <f>L169/(Calculator!$E$26/100)</f>
        <v>#N/A</v>
      </c>
      <c r="O169" s="2" t="e">
        <f t="shared" si="25"/>
        <v>#N/A</v>
      </c>
    </row>
    <row r="170" spans="1:15" x14ac:dyDescent="0.35">
      <c r="A170" s="2">
        <f>Sheet1!A217</f>
        <v>0</v>
      </c>
      <c r="B170" s="2">
        <f>Sheet1!O217</f>
        <v>0</v>
      </c>
      <c r="C170" s="2" t="b">
        <f>IF($B$1=16,'16'!D168,IF($B$1=17,'17'!D169,IF('For Chart'!$B$1=18,'18'!D168,IF($B$1=14,'14'!D168,IF($B$1=20,'20'!D168,IF('For Chart'!$B$1=22,'22'!D168,IF('For Chart'!$B$1=24,'24'!D168,IF($B$1=26,'26'!D168,IF('For Chart'!$B$1=30,'30'!D168,IF('For Chart'!$B$1=28,'28'!D168,IF('For Chart'!$B$1=40,'40'!D168,IF($B$1="28-3 Blade",'28-3 blade'!D168,IF($B$1=32,'32'!D168)))))))))))))</f>
        <v>0</v>
      </c>
      <c r="D170" s="2">
        <f>Sheet1!P217</f>
        <v>0</v>
      </c>
      <c r="I170" s="2" t="e">
        <f t="shared" si="21"/>
        <v>#N/A</v>
      </c>
      <c r="J170" s="2" t="e">
        <f t="shared" si="22"/>
        <v>#N/A</v>
      </c>
      <c r="K170" s="2" t="e">
        <f t="shared" si="23"/>
        <v>#N/A</v>
      </c>
      <c r="L170" s="2" t="e">
        <f t="shared" si="24"/>
        <v>#N/A</v>
      </c>
      <c r="M170" s="2" t="e">
        <f t="shared" si="26"/>
        <v>#N/A</v>
      </c>
      <c r="N170" s="2" t="e">
        <f>L170/(Calculator!$E$26/100)</f>
        <v>#N/A</v>
      </c>
      <c r="O170" s="2" t="e">
        <f t="shared" si="25"/>
        <v>#N/A</v>
      </c>
    </row>
    <row r="171" spans="1:15" x14ac:dyDescent="0.35">
      <c r="A171" s="2">
        <f>Sheet1!A218</f>
        <v>0</v>
      </c>
      <c r="B171" s="2">
        <f>Sheet1!O218</f>
        <v>0</v>
      </c>
      <c r="C171" s="2" t="b">
        <f>IF($B$1=16,'16'!D169,IF($B$1=17,'17'!D170,IF('For Chart'!$B$1=18,'18'!D169,IF($B$1=14,'14'!D169,IF($B$1=20,'20'!D169,IF('For Chart'!$B$1=22,'22'!D169,IF('For Chart'!$B$1=24,'24'!D169,IF($B$1=26,'26'!D169,IF('For Chart'!$B$1=30,'30'!D169,IF('For Chart'!$B$1=28,'28'!D169,IF('For Chart'!$B$1=40,'40'!D169,IF($B$1="28-3 Blade",'28-3 blade'!D169,IF($B$1=32,'32'!D169)))))))))))))</f>
        <v>0</v>
      </c>
      <c r="D171" s="2">
        <f>Sheet1!P218</f>
        <v>0</v>
      </c>
      <c r="I171" s="2" t="e">
        <f t="shared" si="21"/>
        <v>#N/A</v>
      </c>
      <c r="J171" s="2" t="e">
        <f t="shared" si="22"/>
        <v>#N/A</v>
      </c>
      <c r="K171" s="2" t="e">
        <f t="shared" si="23"/>
        <v>#N/A</v>
      </c>
      <c r="L171" s="2" t="e">
        <f t="shared" si="24"/>
        <v>#N/A</v>
      </c>
      <c r="M171" s="2" t="e">
        <f t="shared" si="26"/>
        <v>#N/A</v>
      </c>
      <c r="N171" s="2" t="e">
        <f>L171/(Calculator!$E$26/100)</f>
        <v>#N/A</v>
      </c>
      <c r="O171" s="2" t="e">
        <f t="shared" si="25"/>
        <v>#N/A</v>
      </c>
    </row>
    <row r="172" spans="1:15" x14ac:dyDescent="0.35">
      <c r="A172" s="2">
        <f>Sheet1!A219</f>
        <v>0</v>
      </c>
      <c r="B172" s="2">
        <f>Sheet1!O219</f>
        <v>0</v>
      </c>
      <c r="C172" s="2" t="b">
        <f>IF($B$1=16,'16'!D170,IF($B$1=17,'17'!D171,IF('For Chart'!$B$1=18,'18'!D170,IF($B$1=14,'14'!D170,IF($B$1=20,'20'!D170,IF('For Chart'!$B$1=22,'22'!D170,IF('For Chart'!$B$1=24,'24'!D170,IF($B$1=26,'26'!D170,IF('For Chart'!$B$1=30,'30'!D170,IF('For Chart'!$B$1=28,'28'!D170,IF('For Chart'!$B$1=40,'40'!D170,IF($B$1="28-3 Blade",'28-3 blade'!D170,IF($B$1=32,'32'!D170)))))))))))))</f>
        <v>0</v>
      </c>
      <c r="D172" s="2">
        <f>Sheet1!P219</f>
        <v>0</v>
      </c>
      <c r="I172" s="2" t="e">
        <f t="shared" si="21"/>
        <v>#N/A</v>
      </c>
      <c r="J172" s="2" t="e">
        <f t="shared" si="22"/>
        <v>#N/A</v>
      </c>
      <c r="K172" s="2" t="e">
        <f t="shared" si="23"/>
        <v>#N/A</v>
      </c>
      <c r="L172" s="2" t="e">
        <f t="shared" si="24"/>
        <v>#N/A</v>
      </c>
      <c r="M172" s="2" t="e">
        <f t="shared" si="26"/>
        <v>#N/A</v>
      </c>
      <c r="N172" s="2" t="e">
        <f>L172/(Calculator!$E$26/100)</f>
        <v>#N/A</v>
      </c>
      <c r="O172" s="2" t="e">
        <f t="shared" si="25"/>
        <v>#N/A</v>
      </c>
    </row>
  </sheetData>
  <sheetProtection algorithmName="SHA-512" hashValue="p71EGwnUfwiBUZs8ulGxmGFUTW9hPJ5G8AtJMHfn11HApYar9El7/EuyCi8mZLkOM1Tab3pi+g1sN5YKqLl8zw==" saltValue="q1e8lhVQ50KzbLAMMvn4Kw==" spinCount="100000" sheet="1" objects="1" scenarios="1" selectLockedCells="1"/>
  <sortState xmlns:xlrd2="http://schemas.microsoft.com/office/spreadsheetml/2017/richdata2" ref="A4:D40">
    <sortCondition ref="A4:A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7862-5E66-4805-96AF-379250269DA5}">
  <sheetPr codeName="Sheet4"/>
  <dimension ref="A1:W29"/>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44</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40</v>
      </c>
      <c r="U1" s="2" t="s">
        <v>58</v>
      </c>
      <c r="V1" s="2">
        <f>T1*0.0254</f>
        <v>1.016</v>
      </c>
      <c r="W1" s="2" t="s">
        <v>59</v>
      </c>
    </row>
    <row r="2" spans="1:23" x14ac:dyDescent="0.35">
      <c r="C2" s="2">
        <v>0</v>
      </c>
      <c r="D2" s="2">
        <v>2.2781E-4</v>
      </c>
      <c r="E2" s="2">
        <v>-2.9333199999999999E-4</v>
      </c>
      <c r="F2" s="2">
        <v>25.233202819999999</v>
      </c>
      <c r="G2" s="2">
        <v>-3.4593332999999997E-2</v>
      </c>
      <c r="H2" s="2">
        <v>0</v>
      </c>
      <c r="I2" s="2">
        <v>0.87290053899999998</v>
      </c>
      <c r="J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C3" s="2">
        <v>4.6448949529355374</v>
      </c>
      <c r="D3" s="2">
        <v>0.2061051851958578</v>
      </c>
      <c r="E3" s="2">
        <f>C3/9.81</f>
        <v>0.47348572405051348</v>
      </c>
      <c r="F3" s="2">
        <v>51.771800000000006</v>
      </c>
      <c r="G3" s="2">
        <v>0.95299999999999996</v>
      </c>
      <c r="H3" s="2">
        <v>448.68</v>
      </c>
      <c r="I3" s="2">
        <f>G3*F3</f>
        <v>49.338525400000002</v>
      </c>
      <c r="J3" s="2">
        <f>D3*H3*2*PI()/60</f>
        <v>9.6839880996012244</v>
      </c>
      <c r="N3" s="2">
        <f t="shared" ref="N3:N11" si="0">E3*1000/J3</f>
        <v>48.893670580823105</v>
      </c>
      <c r="O3" s="2">
        <f t="shared" ref="O3:O10" si="1">+PI()*$V$1*H3/60*0.00291545</f>
        <v>6.958804555888147E-2</v>
      </c>
      <c r="P3" s="23">
        <f>(E3*9.81)/($T$2*(H3/60)^2*($V$1)^4)</f>
        <v>6.3634707835373727E-2</v>
      </c>
      <c r="Q3" s="23">
        <f>J3/($T$2*((H3/60)^3)*($V$1)^5)</f>
        <v>1.7461969936633487E-2</v>
      </c>
      <c r="R3" s="24">
        <f t="shared" ref="R3:R11" si="2">(P3^(3/2))/(Q3*SQRT(2))</f>
        <v>0.65002917255346981</v>
      </c>
    </row>
    <row r="4" spans="1:23" x14ac:dyDescent="0.35">
      <c r="C4" s="2">
        <v>26.538096127836553</v>
      </c>
      <c r="D4" s="2">
        <v>1.3365805673015967</v>
      </c>
      <c r="E4" s="2">
        <f t="shared" ref="E4:E11" si="3">C4/9.81</f>
        <v>2.7052085757223803</v>
      </c>
      <c r="F4" s="2">
        <v>51.586833333333338</v>
      </c>
      <c r="G4" s="2">
        <v>4.2061666666666673</v>
      </c>
      <c r="H4" s="2">
        <v>1024.3999999999967</v>
      </c>
      <c r="I4" s="2">
        <f t="shared" ref="I4:I11" si="4">G4*F4</f>
        <v>216.98281880555561</v>
      </c>
      <c r="J4" s="2">
        <f t="shared" ref="J4:J11" si="5">D4*H4*2*PI()/60</f>
        <v>143.38156961433336</v>
      </c>
      <c r="N4" s="2">
        <f t="shared" si="0"/>
        <v>18.867198782931652</v>
      </c>
      <c r="O4" s="2">
        <f t="shared" si="1"/>
        <v>0.15887936585209492</v>
      </c>
      <c r="P4" s="23">
        <f t="shared" ref="P4:P11" si="6">(E4*9.81)/($T$2*(H4/60)^2*($V$1)^4)</f>
        <v>6.9746465426792761E-2</v>
      </c>
      <c r="Q4" s="23">
        <f t="shared" ref="Q4:Q11" si="7">J4/($T$2*((H4/60)^3)*($V$1)^5)</f>
        <v>2.1723697350288923E-2</v>
      </c>
      <c r="R4" s="24">
        <f t="shared" si="2"/>
        <v>0.59956264086100219</v>
      </c>
    </row>
    <row r="5" spans="1:23" x14ac:dyDescent="0.35">
      <c r="C5" s="2">
        <v>56.839153466496597</v>
      </c>
      <c r="D5" s="2">
        <v>2.5251302150327142</v>
      </c>
      <c r="E5" s="2">
        <f t="shared" si="3"/>
        <v>5.7940013727315591</v>
      </c>
      <c r="F5" s="2">
        <v>51.126599999999996</v>
      </c>
      <c r="G5" s="2">
        <v>11.056400000000002</v>
      </c>
      <c r="H5" s="2">
        <v>1466.64</v>
      </c>
      <c r="I5" s="2">
        <f t="shared" si="4"/>
        <v>565.27614024000002</v>
      </c>
      <c r="J5" s="2">
        <f t="shared" si="5"/>
        <v>387.82510789262983</v>
      </c>
      <c r="N5" s="2">
        <f t="shared" si="0"/>
        <v>14.939727353432826</v>
      </c>
      <c r="O5" s="2">
        <f t="shared" si="1"/>
        <v>0.22746859931014962</v>
      </c>
      <c r="P5" s="23">
        <f t="shared" si="6"/>
        <v>7.2877275883282994E-2</v>
      </c>
      <c r="Q5" s="23">
        <f t="shared" si="7"/>
        <v>2.002232324294928E-2</v>
      </c>
      <c r="R5" s="24">
        <f t="shared" si="2"/>
        <v>0.69479827189696719</v>
      </c>
    </row>
    <row r="6" spans="1:23" x14ac:dyDescent="0.35">
      <c r="C6" s="2">
        <v>83.712440843331279</v>
      </c>
      <c r="D6" s="2">
        <v>3.6397145268772597</v>
      </c>
      <c r="E6" s="2">
        <f t="shared" si="3"/>
        <v>8.5333782714914648</v>
      </c>
      <c r="F6" s="2">
        <v>50.547666666666665</v>
      </c>
      <c r="G6" s="2">
        <v>19.055833333333336</v>
      </c>
      <c r="H6" s="2">
        <v>1766.2999999999984</v>
      </c>
      <c r="I6" s="2">
        <f t="shared" si="4"/>
        <v>963.22791138888897</v>
      </c>
      <c r="J6" s="2">
        <f t="shared" si="5"/>
        <v>673.2252696576445</v>
      </c>
      <c r="N6" s="2">
        <f t="shared" si="0"/>
        <v>12.675368344136796</v>
      </c>
      <c r="O6" s="2">
        <f t="shared" si="1"/>
        <v>0.27394438100796165</v>
      </c>
      <c r="P6" s="23">
        <f t="shared" si="6"/>
        <v>7.4003565986724848E-2</v>
      </c>
      <c r="Q6" s="23">
        <f t="shared" si="7"/>
        <v>1.9898306898346443E-2</v>
      </c>
      <c r="R6" s="24">
        <f t="shared" si="2"/>
        <v>0.7153982088837012</v>
      </c>
    </row>
    <row r="7" spans="1:23" x14ac:dyDescent="0.35">
      <c r="C7" s="2">
        <v>103.83958056334818</v>
      </c>
      <c r="D7" s="2">
        <v>4.4893584886176976</v>
      </c>
      <c r="E7" s="2">
        <f t="shared" si="3"/>
        <v>10.585074471289314</v>
      </c>
      <c r="F7" s="2">
        <v>50.184999999999995</v>
      </c>
      <c r="G7" s="2">
        <v>26.576666666666664</v>
      </c>
      <c r="H7" s="2">
        <v>1987.7999999999965</v>
      </c>
      <c r="I7" s="2">
        <f t="shared" si="4"/>
        <v>1333.7500166666664</v>
      </c>
      <c r="J7" s="2">
        <f t="shared" si="5"/>
        <v>934.51352398163738</v>
      </c>
      <c r="N7" s="2">
        <f t="shared" si="0"/>
        <v>11.326828558018068</v>
      </c>
      <c r="O7" s="2">
        <f t="shared" si="1"/>
        <v>0.30829793385473908</v>
      </c>
      <c r="P7" s="23">
        <f t="shared" si="6"/>
        <v>7.2478489365157661E-2</v>
      </c>
      <c r="Q7" s="23">
        <f t="shared" si="7"/>
        <v>1.9378343710384952E-2</v>
      </c>
      <c r="R7" s="24">
        <f t="shared" si="2"/>
        <v>0.71200336633481776</v>
      </c>
    </row>
    <row r="8" spans="1:23" x14ac:dyDescent="0.35">
      <c r="C8" s="2">
        <v>142.79830555969284</v>
      </c>
      <c r="D8" s="2">
        <v>6.1944101896419284</v>
      </c>
      <c r="E8" s="2">
        <f t="shared" si="3"/>
        <v>14.556402197726078</v>
      </c>
      <c r="F8" s="2">
        <v>49.658333333333331</v>
      </c>
      <c r="G8" s="2">
        <v>41.577000000000005</v>
      </c>
      <c r="H8" s="2">
        <v>2271.2000000000003</v>
      </c>
      <c r="I8" s="2">
        <f t="shared" si="4"/>
        <v>2064.6445250000002</v>
      </c>
      <c r="J8" s="2">
        <f t="shared" si="5"/>
        <v>1473.2754707877677</v>
      </c>
      <c r="N8" s="2">
        <f t="shared" si="0"/>
        <v>9.8802990250986102</v>
      </c>
      <c r="O8" s="2">
        <f t="shared" si="1"/>
        <v>0.35225187009300973</v>
      </c>
      <c r="P8" s="23">
        <f t="shared" si="6"/>
        <v>7.6349091809090053E-2</v>
      </c>
      <c r="Q8" s="23">
        <f t="shared" si="7"/>
        <v>2.048174440983443E-2</v>
      </c>
      <c r="R8" s="24">
        <f t="shared" si="2"/>
        <v>0.728322745107439</v>
      </c>
    </row>
    <row r="9" spans="1:23" x14ac:dyDescent="0.35">
      <c r="C9" s="2">
        <v>192.74605521627367</v>
      </c>
      <c r="D9" s="2">
        <v>8.6324301504342937</v>
      </c>
      <c r="E9" s="2">
        <f t="shared" si="3"/>
        <v>19.647915924186918</v>
      </c>
      <c r="F9" s="2">
        <v>49.018833333333333</v>
      </c>
      <c r="G9" s="2">
        <v>65.391666666666666</v>
      </c>
      <c r="H9" s="2">
        <v>2592.9999999999982</v>
      </c>
      <c r="I9" s="2">
        <f t="shared" si="4"/>
        <v>3205.4232097222221</v>
      </c>
      <c r="J9" s="2">
        <f t="shared" si="5"/>
        <v>2344.0356239466332</v>
      </c>
      <c r="N9" s="2">
        <f t="shared" si="0"/>
        <v>8.3820893008041786</v>
      </c>
      <c r="O9" s="2">
        <f t="shared" si="1"/>
        <v>0.40216145612503235</v>
      </c>
      <c r="P9" s="23">
        <f t="shared" si="6"/>
        <v>7.9062773496264324E-2</v>
      </c>
      <c r="Q9" s="23">
        <f t="shared" si="7"/>
        <v>2.1898066992959153E-2</v>
      </c>
      <c r="R9" s="24">
        <f t="shared" si="2"/>
        <v>0.71785592595369063</v>
      </c>
    </row>
    <row r="10" spans="1:23" x14ac:dyDescent="0.35">
      <c r="C10" s="2">
        <v>229.88923138145984</v>
      </c>
      <c r="D10" s="2">
        <v>10.335109108082568</v>
      </c>
      <c r="E10" s="2">
        <f t="shared" si="3"/>
        <v>23.434172414012213</v>
      </c>
      <c r="F10" s="2">
        <v>48.530499999999996</v>
      </c>
      <c r="G10" s="2">
        <v>87.626999999999995</v>
      </c>
      <c r="H10" s="2">
        <v>2808.6999999999971</v>
      </c>
      <c r="I10" s="2">
        <f t="shared" si="4"/>
        <v>4252.5821234999994</v>
      </c>
      <c r="J10" s="2">
        <f t="shared" si="5"/>
        <v>3039.8281896393582</v>
      </c>
      <c r="N10" s="2">
        <f t="shared" si="0"/>
        <v>7.7090450354670921</v>
      </c>
      <c r="O10" s="2">
        <f t="shared" si="1"/>
        <v>0.43561545770087851</v>
      </c>
      <c r="P10" s="23">
        <f t="shared" si="6"/>
        <v>8.0371023691265475E-2</v>
      </c>
      <c r="Q10" s="23">
        <f t="shared" si="7"/>
        <v>2.234508947488054E-2</v>
      </c>
      <c r="R10" s="24">
        <f t="shared" si="2"/>
        <v>0.7210280397770511</v>
      </c>
    </row>
    <row r="11" spans="1:23" x14ac:dyDescent="0.35">
      <c r="C11" s="2">
        <v>262.6040152614766</v>
      </c>
      <c r="D11" s="2">
        <v>11.817573299702179</v>
      </c>
      <c r="E11" s="2">
        <f t="shared" si="3"/>
        <v>26.769012768753985</v>
      </c>
      <c r="F11" s="2">
        <v>48.157200000000003</v>
      </c>
      <c r="G11" s="2">
        <v>111.28599999999999</v>
      </c>
      <c r="H11" s="2">
        <v>3016.32</v>
      </c>
      <c r="I11" s="2">
        <f t="shared" si="4"/>
        <v>5359.2221591999996</v>
      </c>
      <c r="J11" s="2">
        <f t="shared" si="5"/>
        <v>3732.796690955438</v>
      </c>
      <c r="N11" s="2">
        <f t="shared" si="0"/>
        <v>7.1713021053665402</v>
      </c>
      <c r="O11" s="2">
        <f>+PI()*$V$1*H11/60*0.00291545</f>
        <v>0.46781629129928987</v>
      </c>
      <c r="P11" s="23">
        <f t="shared" si="6"/>
        <v>7.960459094494525E-2</v>
      </c>
      <c r="Q11" s="23">
        <f t="shared" si="7"/>
        <v>2.2153952383983402E-2</v>
      </c>
      <c r="R11" s="24">
        <f t="shared" si="2"/>
        <v>0.71687090888963589</v>
      </c>
    </row>
    <row r="12" spans="1:23" x14ac:dyDescent="0.35">
      <c r="P12" s="23"/>
      <c r="Q12" s="23"/>
      <c r="R12" s="24"/>
    </row>
    <row r="13" spans="1:23" x14ac:dyDescent="0.35">
      <c r="P13" s="23"/>
      <c r="Q13" s="23"/>
      <c r="R13" s="24"/>
    </row>
    <row r="14" spans="1:23" x14ac:dyDescent="0.35">
      <c r="P14" s="23"/>
      <c r="Q14" s="23"/>
      <c r="R14" s="24"/>
    </row>
    <row r="15" spans="1:23" x14ac:dyDescent="0.35">
      <c r="P15" s="23"/>
      <c r="Q15" s="23"/>
      <c r="R15" s="24"/>
    </row>
    <row r="16" spans="1:23" x14ac:dyDescent="0.35">
      <c r="P16" s="23"/>
      <c r="Q16" s="23"/>
      <c r="R16" s="24"/>
    </row>
    <row r="17" spans="7:18" x14ac:dyDescent="0.35">
      <c r="P17" s="23"/>
      <c r="Q17" s="23"/>
      <c r="R17" s="24"/>
    </row>
    <row r="18" spans="7:18" x14ac:dyDescent="0.35">
      <c r="P18" s="23"/>
      <c r="Q18" s="23"/>
      <c r="R18" s="24"/>
    </row>
    <row r="19" spans="7:18" x14ac:dyDescent="0.35">
      <c r="P19" s="23"/>
      <c r="Q19" s="23"/>
      <c r="R19" s="24"/>
    </row>
    <row r="20" spans="7:18" x14ac:dyDescent="0.35">
      <c r="P20" s="23"/>
      <c r="Q20" s="23"/>
      <c r="R20" s="24"/>
    </row>
    <row r="21" spans="7:18" x14ac:dyDescent="0.35">
      <c r="P21" s="23"/>
      <c r="Q21" s="23"/>
      <c r="R21" s="24"/>
    </row>
    <row r="22" spans="7:18" x14ac:dyDescent="0.35">
      <c r="P22" s="23"/>
      <c r="Q22" s="23"/>
      <c r="R22" s="24"/>
    </row>
    <row r="23" spans="7:18" x14ac:dyDescent="0.35">
      <c r="P23" s="23"/>
      <c r="Q23" s="23"/>
      <c r="R23" s="24"/>
    </row>
    <row r="24" spans="7:18" x14ac:dyDescent="0.35">
      <c r="P24" s="23"/>
      <c r="Q24" s="23"/>
      <c r="R24" s="24"/>
    </row>
    <row r="25" spans="7:18" x14ac:dyDescent="0.35">
      <c r="P25" s="23"/>
      <c r="Q25" s="23"/>
      <c r="R25" s="24"/>
    </row>
    <row r="26" spans="7:18" x14ac:dyDescent="0.35">
      <c r="P26" s="23"/>
      <c r="Q26" s="23"/>
      <c r="R26" s="24"/>
    </row>
    <row r="27" spans="7:18" x14ac:dyDescent="0.35">
      <c r="P27" s="23"/>
      <c r="Q27" s="23"/>
      <c r="R27" s="24"/>
    </row>
    <row r="29" spans="7:18" x14ac:dyDescent="0.35">
      <c r="G29" s="23"/>
      <c r="H29" s="23"/>
      <c r="I29" s="24"/>
    </row>
  </sheetData>
  <sheetProtection algorithmName="SHA-512" hashValue="XJm1BPYppcCIAlGfck2X/AvKX+Pvm5g72HcU4eN8tRNg4ktMePKgNYK7DP3Wh26g0+kKPNn9mXEW6rn4suDu5g==" saltValue="2/5ecIG5mlGqAyF7yKhVVw=="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5C8C-8678-45D9-92EB-422E9E0BEFFB}">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32</v>
      </c>
      <c r="U1" s="2" t="s">
        <v>58</v>
      </c>
      <c r="V1" s="2">
        <f>T1*0.0254</f>
        <v>0.81279999999999997</v>
      </c>
      <c r="W1" s="2" t="s">
        <v>59</v>
      </c>
    </row>
    <row r="2" spans="1:23" x14ac:dyDescent="0.35">
      <c r="A2" s="2">
        <v>1.2638847499999999</v>
      </c>
      <c r="B2" s="2">
        <v>1000</v>
      </c>
      <c r="D2" s="25">
        <v>-5.6698999999999997E-6</v>
      </c>
      <c r="E2" s="2">
        <v>2.9285999999999998E-4</v>
      </c>
      <c r="F2" s="2">
        <v>49.733706179999999</v>
      </c>
      <c r="G2" s="2">
        <v>2.1944759999999999E-3</v>
      </c>
      <c r="H2" s="2">
        <v>0</v>
      </c>
      <c r="I2" s="2">
        <v>0.109139285</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1.2775345</v>
      </c>
      <c r="B3" s="2">
        <v>1040</v>
      </c>
      <c r="D3" s="2">
        <v>6.0306653000000002E-2</v>
      </c>
      <c r="E3" s="2">
        <v>0.124487763</v>
      </c>
      <c r="F3" s="2">
        <v>49.715435200000002</v>
      </c>
      <c r="G3" s="2">
        <v>0.28978294900000001</v>
      </c>
      <c r="H3" s="2">
        <v>367</v>
      </c>
      <c r="I3" s="2">
        <v>14.40668704</v>
      </c>
      <c r="J3" s="2">
        <v>2.317378063</v>
      </c>
      <c r="K3" s="2">
        <v>16.07670143</v>
      </c>
      <c r="L3" s="2">
        <v>5.4099862999999998E-2</v>
      </c>
      <c r="M3" s="2">
        <v>8.6445919999999996E-3</v>
      </c>
      <c r="N3" s="2">
        <f t="shared" ref="N3:N15" si="0">E3*1000/J3</f>
        <v>53.71922906650903</v>
      </c>
      <c r="O3" s="2">
        <f t="shared" ref="O3:O15" si="1">+PI()*$V$1*H3/60*0.00291545</f>
        <v>4.5535905714735668E-2</v>
      </c>
      <c r="P3" s="23">
        <f t="shared" ref="P3:P15" si="2">(E3*9.81)/($T$2*(H3/60)^2*($V$1)^4)</f>
        <v>6.1051336271410316E-2</v>
      </c>
      <c r="Q3" s="23">
        <f t="shared" ref="Q3:Q15" si="3">J3/($T$2*((H3/60)^3)*($V$1)^5)</f>
        <v>2.3302251565177429E-2</v>
      </c>
      <c r="R3" s="24">
        <f t="shared" ref="R3:R15" si="4">(P3^(3/2))/(Q3*SQRT(2))</f>
        <v>0.45775160613408916</v>
      </c>
    </row>
    <row r="4" spans="1:23" x14ac:dyDescent="0.35">
      <c r="A4" s="2">
        <v>5.0649039</v>
      </c>
      <c r="B4" s="2">
        <v>1051.4285709999999</v>
      </c>
      <c r="D4" s="2">
        <v>0.24969576299999999</v>
      </c>
      <c r="E4" s="2">
        <v>0.60484425399999997</v>
      </c>
      <c r="F4" s="2">
        <v>49.666074760000001</v>
      </c>
      <c r="G4" s="2">
        <v>1.004304069</v>
      </c>
      <c r="H4" s="2">
        <v>768</v>
      </c>
      <c r="I4" s="2">
        <v>49.87973057</v>
      </c>
      <c r="J4" s="2">
        <v>20.07927222</v>
      </c>
      <c r="K4" s="2">
        <v>40.254122420000002</v>
      </c>
      <c r="L4" s="2">
        <v>3.0158964999999999E-2</v>
      </c>
      <c r="M4" s="2">
        <v>1.2135478999999999E-2</v>
      </c>
      <c r="N4" s="2">
        <f t="shared" si="0"/>
        <v>30.122817568932785</v>
      </c>
      <c r="O4" s="2">
        <f t="shared" si="1"/>
        <v>9.5290396700046298E-2</v>
      </c>
      <c r="P4" s="23">
        <f t="shared" si="2"/>
        <v>6.7736345014592372E-2</v>
      </c>
      <c r="Q4" s="23">
        <f t="shared" si="3"/>
        <v>2.2032485616074845E-2</v>
      </c>
      <c r="R4" s="24">
        <f t="shared" si="4"/>
        <v>0.56578853812344665</v>
      </c>
    </row>
    <row r="5" spans="1:23" x14ac:dyDescent="0.35">
      <c r="A5" s="2">
        <v>8.8399628999999997</v>
      </c>
      <c r="B5" s="2">
        <v>1062.857143</v>
      </c>
      <c r="D5" s="2">
        <v>0.57726762799999998</v>
      </c>
      <c r="E5" s="2">
        <v>1.47870466</v>
      </c>
      <c r="F5" s="2">
        <v>49.55713677</v>
      </c>
      <c r="G5" s="2">
        <v>2.5018068260000002</v>
      </c>
      <c r="H5" s="2">
        <v>1169</v>
      </c>
      <c r="I5" s="2">
        <v>123.9822459</v>
      </c>
      <c r="J5" s="2">
        <v>70.656242169999999</v>
      </c>
      <c r="K5" s="2">
        <v>56.991870679999998</v>
      </c>
      <c r="L5" s="2">
        <v>2.0938979E-2</v>
      </c>
      <c r="M5" s="2">
        <v>1.1931001E-2</v>
      </c>
      <c r="N5" s="2">
        <f t="shared" si="0"/>
        <v>20.928153190516614</v>
      </c>
      <c r="O5" s="2">
        <f t="shared" si="1"/>
        <v>0.14504488768535692</v>
      </c>
      <c r="P5" s="23">
        <f t="shared" si="2"/>
        <v>7.1474818117456554E-2</v>
      </c>
      <c r="Q5" s="23">
        <f t="shared" si="3"/>
        <v>2.1983973413560544E-2</v>
      </c>
      <c r="R5" s="24">
        <f t="shared" si="4"/>
        <v>0.61462242291302582</v>
      </c>
    </row>
    <row r="6" spans="1:23" x14ac:dyDescent="0.35">
      <c r="A6" s="2">
        <v>12.6531582</v>
      </c>
      <c r="B6" s="2">
        <v>1074.2857140000001</v>
      </c>
      <c r="D6" s="2">
        <v>1.0434922440000001</v>
      </c>
      <c r="E6" s="2">
        <v>2.7191702210000002</v>
      </c>
      <c r="F6" s="2">
        <v>49.357654699999998</v>
      </c>
      <c r="G6" s="2">
        <v>5.1364901319999996</v>
      </c>
      <c r="H6" s="2">
        <v>1568</v>
      </c>
      <c r="I6" s="2">
        <v>253.5246468</v>
      </c>
      <c r="J6" s="2">
        <v>171.36458529999999</v>
      </c>
      <c r="K6" s="2">
        <v>67.602643929999999</v>
      </c>
      <c r="L6" s="2">
        <v>1.5868157000000001E-2</v>
      </c>
      <c r="M6" s="2">
        <v>1.0727403999999999E-2</v>
      </c>
      <c r="N6" s="2">
        <f t="shared" si="0"/>
        <v>15.867748964814847</v>
      </c>
      <c r="O6" s="2">
        <f t="shared" si="1"/>
        <v>0.19455122659592783</v>
      </c>
      <c r="P6" s="23">
        <f t="shared" si="2"/>
        <v>7.3054154440818961E-2</v>
      </c>
      <c r="Q6" s="23">
        <f t="shared" si="3"/>
        <v>2.2094393627742369E-2</v>
      </c>
      <c r="R6" s="24">
        <f t="shared" si="4"/>
        <v>0.63193191981650598</v>
      </c>
    </row>
    <row r="7" spans="1:23" x14ac:dyDescent="0.35">
      <c r="A7" s="2">
        <v>16.477052199999999</v>
      </c>
      <c r="B7" s="2">
        <v>1085.7142859999999</v>
      </c>
      <c r="D7" s="2">
        <v>1.5644658360000001</v>
      </c>
      <c r="E7" s="2">
        <v>4.1149604760000003</v>
      </c>
      <c r="F7" s="2">
        <v>49.08304115</v>
      </c>
      <c r="G7" s="2">
        <v>8.4612492019999994</v>
      </c>
      <c r="H7" s="2">
        <v>1912</v>
      </c>
      <c r="I7" s="2">
        <v>415.30257940000001</v>
      </c>
      <c r="J7" s="2">
        <v>313.24619460000002</v>
      </c>
      <c r="K7" s="2">
        <v>75.436450910000005</v>
      </c>
      <c r="L7" s="2">
        <v>1.3138627E-2</v>
      </c>
      <c r="M7" s="2">
        <v>9.9114140000000003E-3</v>
      </c>
      <c r="N7" s="2">
        <f t="shared" si="0"/>
        <v>13.136505876007854</v>
      </c>
      <c r="O7" s="2">
        <f t="shared" si="1"/>
        <v>0.23723338345115691</v>
      </c>
      <c r="P7" s="23">
        <f t="shared" si="2"/>
        <v>7.4351636515962841E-2</v>
      </c>
      <c r="Q7" s="23">
        <f t="shared" si="3"/>
        <v>2.2275185414047539E-2</v>
      </c>
      <c r="R7" s="24">
        <f t="shared" si="4"/>
        <v>0.64357545508647429</v>
      </c>
    </row>
    <row r="8" spans="1:23" x14ac:dyDescent="0.35">
      <c r="A8" s="2">
        <v>20.2974836</v>
      </c>
      <c r="B8" s="2">
        <v>1097.142857</v>
      </c>
      <c r="D8" s="2">
        <v>2.30459419</v>
      </c>
      <c r="E8" s="2">
        <v>6.0434578200000004</v>
      </c>
      <c r="F8" s="2">
        <v>48.620459619999998</v>
      </c>
      <c r="G8" s="2">
        <v>14.33390477</v>
      </c>
      <c r="H8" s="2">
        <v>2294</v>
      </c>
      <c r="I8" s="2">
        <v>696.92171699999994</v>
      </c>
      <c r="J8" s="2">
        <v>553.71461790000001</v>
      </c>
      <c r="K8" s="2">
        <v>79.452854729999999</v>
      </c>
      <c r="L8" s="2">
        <v>1.0914703E-2</v>
      </c>
      <c r="M8" s="2">
        <v>8.6719940000000006E-3</v>
      </c>
      <c r="N8" s="2">
        <f t="shared" si="0"/>
        <v>10.914390959950129</v>
      </c>
      <c r="O8" s="2">
        <f t="shared" si="1"/>
        <v>0.28463042972644043</v>
      </c>
      <c r="P8" s="23">
        <f t="shared" si="2"/>
        <v>7.5857636610389689E-2</v>
      </c>
      <c r="Q8" s="23">
        <f t="shared" si="3"/>
        <v>2.2798429756303598E-2</v>
      </c>
      <c r="R8" s="24">
        <f t="shared" si="4"/>
        <v>0.64800600137488129</v>
      </c>
    </row>
    <row r="9" spans="1:23" x14ac:dyDescent="0.35">
      <c r="A9" s="2">
        <v>24.15018615</v>
      </c>
      <c r="B9" s="2">
        <v>1108.5714290000001</v>
      </c>
      <c r="D9" s="2">
        <v>3.0736817279999999</v>
      </c>
      <c r="E9" s="2">
        <v>8.0387806659999992</v>
      </c>
      <c r="F9" s="2">
        <v>48.02345949</v>
      </c>
      <c r="G9" s="2">
        <v>21.660687920000001</v>
      </c>
      <c r="H9" s="2">
        <v>2624</v>
      </c>
      <c r="I9" s="2">
        <v>1040.2226230000001</v>
      </c>
      <c r="J9" s="2">
        <v>844.75857870000004</v>
      </c>
      <c r="K9" s="2">
        <v>81.209905370000001</v>
      </c>
      <c r="L9" s="2">
        <v>9.5162509999999999E-3</v>
      </c>
      <c r="M9" s="2">
        <v>7.7280969999999997E-3</v>
      </c>
      <c r="N9" s="2">
        <f t="shared" si="0"/>
        <v>9.5160686954737859</v>
      </c>
      <c r="O9" s="2">
        <f t="shared" si="1"/>
        <v>0.3255755220584915</v>
      </c>
      <c r="P9" s="23">
        <f t="shared" si="2"/>
        <v>7.7119313977479939E-2</v>
      </c>
      <c r="Q9" s="23">
        <f t="shared" si="3"/>
        <v>2.3240223828324191E-2</v>
      </c>
      <c r="R9" s="24">
        <f t="shared" si="4"/>
        <v>0.65161253787712614</v>
      </c>
    </row>
    <row r="10" spans="1:23" x14ac:dyDescent="0.35">
      <c r="A10" s="2">
        <v>28.026615150000001</v>
      </c>
      <c r="B10" s="2">
        <v>1120</v>
      </c>
      <c r="D10" s="2">
        <v>4.0079648470000002</v>
      </c>
      <c r="E10" s="2">
        <v>10.407081229999999</v>
      </c>
      <c r="F10" s="2">
        <v>47.206305870000001</v>
      </c>
      <c r="G10" s="2">
        <v>32.236866059999997</v>
      </c>
      <c r="H10" s="2">
        <v>2967</v>
      </c>
      <c r="I10" s="2">
        <v>1521.78784</v>
      </c>
      <c r="J10" s="2">
        <v>1245.2726720000001</v>
      </c>
      <c r="K10" s="2">
        <v>81.830076439999999</v>
      </c>
      <c r="L10" s="2">
        <v>8.3573780000000004E-3</v>
      </c>
      <c r="M10" s="2">
        <v>6.8388499999999996E-3</v>
      </c>
      <c r="N10" s="2">
        <f t="shared" si="0"/>
        <v>8.3572710330866382</v>
      </c>
      <c r="O10" s="2">
        <f t="shared" si="1"/>
        <v>0.36813360287635077</v>
      </c>
      <c r="P10" s="23">
        <f t="shared" si="2"/>
        <v>7.8089832522975189E-2</v>
      </c>
      <c r="Q10" s="23">
        <f t="shared" si="3"/>
        <v>2.3697962409024474E-2</v>
      </c>
      <c r="R10" s="24">
        <f t="shared" si="4"/>
        <v>0.65112704291554635</v>
      </c>
    </row>
    <row r="11" spans="1:23" x14ac:dyDescent="0.35">
      <c r="A11" s="2">
        <v>31.980556050000001</v>
      </c>
      <c r="B11" s="2">
        <v>1131.4285709999999</v>
      </c>
      <c r="D11" s="2">
        <v>4.8657691249999999</v>
      </c>
      <c r="E11" s="2">
        <v>12.58514125</v>
      </c>
      <c r="F11" s="2">
        <v>46.296246310000001</v>
      </c>
      <c r="G11" s="2">
        <v>43.702904840000002</v>
      </c>
      <c r="H11" s="2">
        <v>3253</v>
      </c>
      <c r="I11" s="2">
        <v>2023.2916379999999</v>
      </c>
      <c r="J11" s="2">
        <v>1657.7722819999999</v>
      </c>
      <c r="K11" s="2">
        <v>81.936185750000007</v>
      </c>
      <c r="L11" s="2">
        <v>7.5918130000000002E-3</v>
      </c>
      <c r="M11" s="2">
        <v>6.2204560000000001E-3</v>
      </c>
      <c r="N11" s="2">
        <f t="shared" si="0"/>
        <v>7.5915983073482218</v>
      </c>
      <c r="O11" s="2">
        <f t="shared" si="1"/>
        <v>0.40361934956412843</v>
      </c>
      <c r="P11" s="23">
        <f t="shared" si="2"/>
        <v>7.8558034205849725E-2</v>
      </c>
      <c r="Q11" s="23">
        <f t="shared" si="3"/>
        <v>2.3937118615205213E-2</v>
      </c>
      <c r="R11" s="24">
        <f t="shared" si="4"/>
        <v>0.65042771935762544</v>
      </c>
    </row>
    <row r="12" spans="1:23" x14ac:dyDescent="0.35">
      <c r="A12" s="2">
        <v>35.904111100000001</v>
      </c>
      <c r="B12" s="2">
        <v>1142.857143</v>
      </c>
      <c r="D12" s="2">
        <v>5.9408460590000001</v>
      </c>
      <c r="E12" s="2">
        <v>15.413808360000001</v>
      </c>
      <c r="F12" s="2">
        <v>45.060659800000003</v>
      </c>
      <c r="G12" s="2">
        <v>60.75150833</v>
      </c>
      <c r="H12" s="2">
        <v>3560</v>
      </c>
      <c r="I12" s="2">
        <v>2737.5080560000001</v>
      </c>
      <c r="J12" s="2">
        <v>2214.5369700000001</v>
      </c>
      <c r="K12" s="2">
        <v>80.896371130000006</v>
      </c>
      <c r="L12" s="2">
        <v>6.9604150000000002E-3</v>
      </c>
      <c r="M12" s="2">
        <v>5.6307049999999997E-3</v>
      </c>
      <c r="N12" s="2">
        <f t="shared" si="0"/>
        <v>6.9602849574464321</v>
      </c>
      <c r="O12" s="2">
        <f t="shared" si="1"/>
        <v>0.44171069303667293</v>
      </c>
      <c r="P12" s="23">
        <f t="shared" si="2"/>
        <v>8.0336073031832572E-2</v>
      </c>
      <c r="Q12" s="23">
        <f t="shared" si="3"/>
        <v>2.4396758586049273E-2</v>
      </c>
      <c r="R12" s="24">
        <f t="shared" si="4"/>
        <v>0.65996175945897984</v>
      </c>
    </row>
    <row r="13" spans="1:23" x14ac:dyDescent="0.35">
      <c r="A13" s="2">
        <v>39.854340950000001</v>
      </c>
      <c r="B13" s="2">
        <v>1154.2857140000001</v>
      </c>
      <c r="D13" s="2">
        <v>6.8205624120000001</v>
      </c>
      <c r="E13" s="2">
        <v>17.47452079</v>
      </c>
      <c r="F13" s="2">
        <v>43.482371790000002</v>
      </c>
      <c r="G13" s="2">
        <v>76.518459000000007</v>
      </c>
      <c r="H13" s="2">
        <v>3741</v>
      </c>
      <c r="I13" s="2">
        <v>3327.2905810000002</v>
      </c>
      <c r="J13" s="2">
        <v>2671.9899070000001</v>
      </c>
      <c r="K13" s="2">
        <v>80.305621610000003</v>
      </c>
      <c r="L13" s="2">
        <v>6.5398870000000003E-3</v>
      </c>
      <c r="M13" s="2">
        <v>5.2518820000000003E-3</v>
      </c>
      <c r="N13" s="2">
        <f t="shared" si="0"/>
        <v>6.5398902683804181</v>
      </c>
      <c r="O13" s="2">
        <f t="shared" si="1"/>
        <v>0.46416845580061611</v>
      </c>
      <c r="P13" s="23">
        <f t="shared" si="2"/>
        <v>8.2476552273927639E-2</v>
      </c>
      <c r="Q13" s="23">
        <f t="shared" si="3"/>
        <v>2.5367103244110397E-2</v>
      </c>
      <c r="R13" s="24">
        <f t="shared" si="4"/>
        <v>0.66025222401069894</v>
      </c>
    </row>
    <row r="14" spans="1:23" x14ac:dyDescent="0.35">
      <c r="A14" s="2">
        <v>43.82498485</v>
      </c>
      <c r="B14" s="2">
        <v>1165.7142859999999</v>
      </c>
      <c r="D14" s="2">
        <v>7.2206992850000002</v>
      </c>
      <c r="E14" s="2">
        <v>18.4139628</v>
      </c>
      <c r="F14" s="2">
        <v>41.245011329999997</v>
      </c>
      <c r="G14" s="2">
        <v>88.075914030000007</v>
      </c>
      <c r="H14" s="2">
        <v>3842</v>
      </c>
      <c r="I14" s="2">
        <v>3632.7531709999998</v>
      </c>
      <c r="J14" s="2">
        <v>2904.9077980000002</v>
      </c>
      <c r="K14" s="2">
        <v>79.964104890000002</v>
      </c>
      <c r="L14" s="2">
        <v>6.338916E-3</v>
      </c>
      <c r="M14" s="2">
        <v>5.0688290000000004E-3</v>
      </c>
      <c r="N14" s="2">
        <f t="shared" si="0"/>
        <v>6.3389147196609237</v>
      </c>
      <c r="O14" s="2">
        <f t="shared" si="1"/>
        <v>0.47670013557497121</v>
      </c>
      <c r="P14" s="23">
        <f t="shared" si="2"/>
        <v>8.2401132408548752E-2</v>
      </c>
      <c r="Q14" s="23">
        <f t="shared" si="3"/>
        <v>2.5460062097991596E-2</v>
      </c>
      <c r="R14" s="24">
        <f t="shared" si="4"/>
        <v>0.65693940638593329</v>
      </c>
    </row>
    <row r="15" spans="1:23" x14ac:dyDescent="0.35">
      <c r="A15" s="2">
        <v>51.793912900000002</v>
      </c>
      <c r="B15" s="2">
        <v>1188.5714290000001</v>
      </c>
      <c r="D15" s="2">
        <v>8.7620759079999999</v>
      </c>
      <c r="E15" s="2">
        <v>22.219069990000001</v>
      </c>
      <c r="F15" s="2">
        <v>39.202251269999998</v>
      </c>
      <c r="G15" s="2">
        <v>123.3551961</v>
      </c>
      <c r="H15" s="2">
        <v>4144</v>
      </c>
      <c r="I15" s="2">
        <v>4835.7896790000004</v>
      </c>
      <c r="J15" s="2">
        <v>3802.1302390000001</v>
      </c>
      <c r="K15" s="2">
        <v>78.625013999999993</v>
      </c>
      <c r="L15" s="2">
        <v>5.8438689999999998E-3</v>
      </c>
      <c r="M15" s="2">
        <v>4.5947169999999999E-3</v>
      </c>
      <c r="N15" s="2">
        <f t="shared" si="0"/>
        <v>5.8438476836195505</v>
      </c>
      <c r="O15" s="2">
        <f t="shared" si="1"/>
        <v>0.51417109886066648</v>
      </c>
      <c r="P15" s="23">
        <f t="shared" si="2"/>
        <v>8.546474933595137E-2</v>
      </c>
      <c r="Q15" s="23">
        <f t="shared" si="3"/>
        <v>2.6556261514685646E-2</v>
      </c>
      <c r="R15" s="24">
        <f t="shared" si="4"/>
        <v>0.66527101196463168</v>
      </c>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oNURfcLIzJCnBa+RoLMFme6PS4BkzR91KBCufUITAokbiC8nc5fHhb8ZZUhmlDqK0Dn5JQ7LmLKk3XfKWwxyYQ==" saltValue="0/PS4ibXF4rIVy5n1ykfkg=="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4378DD67EC344A916D46CA3EAD196B" ma:contentTypeVersion="11" ma:contentTypeDescription="Create a new document." ma:contentTypeScope="" ma:versionID="5d8c3809a37c2cad34fe8b79b5722c05">
  <xsd:schema xmlns:xsd="http://www.w3.org/2001/XMLSchema" xmlns:xs="http://www.w3.org/2001/XMLSchema" xmlns:p="http://schemas.microsoft.com/office/2006/metadata/properties" xmlns:ns2="53e77888-5bec-407a-a6fa-c2c7ee1e5467" xmlns:ns3="4548bcc8-bbdd-4d33-87dd-a61176a6844c" targetNamespace="http://schemas.microsoft.com/office/2006/metadata/properties" ma:root="true" ma:fieldsID="e14384a90a12b128e95202f65209c81b" ns2:_="" ns3:_="">
    <xsd:import namespace="53e77888-5bec-407a-a6fa-c2c7ee1e5467"/>
    <xsd:import namespace="4548bcc8-bbdd-4d33-87dd-a61176a684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77888-5bec-407a-a6fa-c2c7ee1e5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48bcc8-bbdd-4d33-87dd-a61176a684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0CE5D0-9C85-43E1-9AED-540A822003D7}">
  <ds:schemaRefs>
    <ds:schemaRef ds:uri="http://purl.org/dc/dcmitype/"/>
    <ds:schemaRef ds:uri="4548bcc8-bbdd-4d33-87dd-a61176a6844c"/>
    <ds:schemaRef ds:uri="http://purl.org/dc/terms/"/>
    <ds:schemaRef ds:uri="53e77888-5bec-407a-a6fa-c2c7ee1e5467"/>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02C0ABC-E1D1-4302-93BF-FB2A2A171540}">
  <ds:schemaRefs>
    <ds:schemaRef ds:uri="http://schemas.microsoft.com/sharepoint/v3/contenttype/forms"/>
  </ds:schemaRefs>
</ds:datastoreItem>
</file>

<file path=customXml/itemProps3.xml><?xml version="1.0" encoding="utf-8"?>
<ds:datastoreItem xmlns:ds="http://schemas.openxmlformats.org/officeDocument/2006/customXml" ds:itemID="{774CB936-FDD5-434F-85F8-0AF4DFC08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77888-5bec-407a-a6fa-c2c7ee1e5467"/>
    <ds:schemaRef ds:uri="4548bcc8-bbdd-4d33-87dd-a61176a68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Description</vt:lpstr>
      <vt:lpstr>User Mannual</vt:lpstr>
      <vt:lpstr>Calculator</vt:lpstr>
      <vt:lpstr>Propeller performance</vt:lpstr>
      <vt:lpstr>Sheet1</vt:lpstr>
      <vt:lpstr>OTS props</vt:lpstr>
      <vt:lpstr>For Chart</vt:lpstr>
      <vt:lpstr>40</vt:lpstr>
      <vt:lpstr>32</vt:lpstr>
      <vt:lpstr>30</vt:lpstr>
      <vt:lpstr>28-3 blade</vt:lpstr>
      <vt:lpstr>28</vt:lpstr>
      <vt:lpstr>26</vt:lpstr>
      <vt:lpstr>24</vt:lpstr>
      <vt:lpstr>22</vt:lpstr>
      <vt:lpstr>20</vt:lpstr>
      <vt:lpstr>14</vt:lpstr>
      <vt:lpstr>15</vt:lpstr>
      <vt:lpstr>16</vt:lpstr>
      <vt:lpstr>17</vt:lpstr>
      <vt:lpstr>18</vt:lpstr>
      <vt:lpstr>10</vt:lpstr>
      <vt:lpstr>Motor performance</vt:lpstr>
      <vt:lpstr>To add new prop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RAAM</dc:creator>
  <cp:keywords/>
  <dc:description/>
  <cp:lastModifiedBy>Houtenbos, Lasse</cp:lastModifiedBy>
  <cp:revision/>
  <dcterms:created xsi:type="dcterms:W3CDTF">2019-09-10T14:51:14Z</dcterms:created>
  <dcterms:modified xsi:type="dcterms:W3CDTF">2025-04-21T18:03:46Z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0x010100024378DD67EC344A916D46CA3EAD196B</vt:lpwstr>
  </property>
</Properties>
</file>