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r.Liu\Desktop\"/>
    </mc:Choice>
  </mc:AlternateContent>
  <xr:revisionPtr revIDLastSave="0" documentId="13_ncr:1_{889658D9-F404-40ED-9098-13E4AD85489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3" i="1" l="1"/>
  <c r="Q29" i="4"/>
  <c r="P24" i="4"/>
  <c r="P25" i="4"/>
  <c r="O25" i="4" s="1"/>
  <c r="P26" i="4"/>
  <c r="O26" i="4" s="1"/>
  <c r="P27" i="4"/>
  <c r="O23" i="4"/>
  <c r="O24" i="4"/>
  <c r="O27" i="4"/>
  <c r="P23" i="4"/>
  <c r="P22" i="4"/>
  <c r="O22" i="4"/>
  <c r="N24" i="4"/>
  <c r="N25" i="4"/>
  <c r="N26" i="4"/>
  <c r="N27" i="4"/>
  <c r="N28" i="4"/>
  <c r="M28" i="4"/>
  <c r="N23" i="4"/>
  <c r="M27" i="4"/>
  <c r="M26" i="4"/>
  <c r="M25" i="4"/>
  <c r="M24" i="4"/>
  <c r="M23" i="4"/>
  <c r="M22" i="4"/>
  <c r="M21" i="4"/>
  <c r="M20" i="4"/>
  <c r="J14" i="1"/>
  <c r="D16" i="5"/>
  <c r="D15" i="5"/>
  <c r="I11" i="5"/>
  <c r="I10" i="5"/>
  <c r="F11" i="5"/>
  <c r="F10" i="5"/>
  <c r="C11" i="5"/>
  <c r="C10" i="5"/>
  <c r="P15" i="4"/>
  <c r="Q8" i="4"/>
  <c r="Q9" i="4"/>
  <c r="Q10" i="4"/>
  <c r="Q11" i="4"/>
  <c r="Q12" i="4"/>
  <c r="Q13" i="4"/>
  <c r="Q14" i="4"/>
  <c r="Q7" i="4"/>
  <c r="P8" i="4"/>
  <c r="P9" i="4"/>
  <c r="P10" i="4"/>
  <c r="P11" i="4"/>
  <c r="P12" i="4"/>
  <c r="P13" i="4"/>
  <c r="P14" i="4"/>
  <c r="P7" i="4"/>
  <c r="J8" i="4"/>
  <c r="J9" i="4"/>
  <c r="J10" i="4"/>
  <c r="J11" i="4"/>
  <c r="J12" i="4"/>
  <c r="J7" i="4"/>
  <c r="I6" i="4"/>
  <c r="I7" i="4"/>
  <c r="I8" i="4"/>
  <c r="I9" i="4"/>
  <c r="I10" i="4"/>
  <c r="I11" i="4"/>
  <c r="I12" i="4"/>
  <c r="I5" i="4"/>
  <c r="G8" i="4"/>
  <c r="G9" i="4"/>
  <c r="G10" i="4"/>
  <c r="G11" i="4"/>
  <c r="G12" i="4"/>
  <c r="G13" i="4"/>
  <c r="G7" i="4"/>
  <c r="F6" i="4"/>
  <c r="F7" i="4"/>
  <c r="F8" i="4"/>
  <c r="F9" i="4"/>
  <c r="F10" i="4"/>
  <c r="F11" i="4"/>
  <c r="F12" i="4"/>
  <c r="F13" i="4"/>
  <c r="F5" i="4"/>
  <c r="J22" i="3"/>
  <c r="J18" i="3" a="1"/>
  <c r="J20" i="3" s="1"/>
  <c r="J14" i="3" a="1"/>
  <c r="P15" i="3" s="1"/>
  <c r="J10" i="3" a="1"/>
  <c r="K12" i="3" s="1"/>
  <c r="J6" i="3" a="1"/>
  <c r="K8" i="3" s="1"/>
  <c r="J2" i="3" a="1"/>
  <c r="Q2" i="3" s="1"/>
  <c r="C16" i="2"/>
  <c r="C14" i="2"/>
  <c r="C11" i="2"/>
  <c r="C10" i="2"/>
  <c r="K8" i="2"/>
  <c r="K7" i="2"/>
  <c r="D8" i="2"/>
  <c r="E8" i="2"/>
  <c r="F8" i="2"/>
  <c r="G8" i="2"/>
  <c r="H8" i="2"/>
  <c r="I8" i="2"/>
  <c r="J8" i="2"/>
  <c r="C8" i="2"/>
  <c r="D7" i="2"/>
  <c r="E7" i="2"/>
  <c r="F7" i="2"/>
  <c r="G7" i="2"/>
  <c r="H7" i="2"/>
  <c r="I7" i="2"/>
  <c r="J7" i="2"/>
  <c r="C7" i="2"/>
  <c r="L6" i="2"/>
  <c r="L5" i="2"/>
  <c r="K6" i="2"/>
  <c r="K5" i="2"/>
  <c r="D6" i="2"/>
  <c r="E6" i="2"/>
  <c r="F6" i="2"/>
  <c r="G6" i="2"/>
  <c r="H6" i="2"/>
  <c r="I6" i="2"/>
  <c r="J6" i="2"/>
  <c r="C6" i="2"/>
  <c r="I21" i="1"/>
  <c r="I20" i="1"/>
  <c r="Q15" i="1"/>
  <c r="S14" i="1"/>
  <c r="S4" i="1"/>
  <c r="S5" i="1"/>
  <c r="S6" i="1"/>
  <c r="S7" i="1"/>
  <c r="S8" i="1"/>
  <c r="S9" i="1"/>
  <c r="S10" i="1"/>
  <c r="S11" i="1"/>
  <c r="S12" i="1"/>
  <c r="S13" i="1"/>
  <c r="S3" i="1"/>
  <c r="R14" i="1"/>
  <c r="R4" i="1"/>
  <c r="R5" i="1"/>
  <c r="R6" i="1"/>
  <c r="R7" i="1"/>
  <c r="R8" i="1"/>
  <c r="R9" i="1"/>
  <c r="R10" i="1"/>
  <c r="R11" i="1"/>
  <c r="R12" i="1"/>
  <c r="R13" i="1"/>
  <c r="R3" i="1"/>
  <c r="Q4" i="1"/>
  <c r="Q5" i="1"/>
  <c r="Q6" i="1"/>
  <c r="Q7" i="1"/>
  <c r="Q8" i="1"/>
  <c r="Q9" i="1"/>
  <c r="Q10" i="1"/>
  <c r="Q11" i="1"/>
  <c r="Q12" i="1"/>
  <c r="Q13" i="1"/>
  <c r="Q3" i="1"/>
  <c r="I18" i="1"/>
  <c r="I19" i="1" s="1"/>
  <c r="K14" i="1"/>
  <c r="K4" i="1"/>
  <c r="K5" i="1"/>
  <c r="K6" i="1"/>
  <c r="K7" i="1"/>
  <c r="K8" i="1"/>
  <c r="K9" i="1"/>
  <c r="K10" i="1"/>
  <c r="K11" i="1"/>
  <c r="K12" i="1"/>
  <c r="K13" i="1"/>
  <c r="K3" i="1"/>
  <c r="J4" i="1"/>
  <c r="J5" i="1"/>
  <c r="J6" i="1"/>
  <c r="J7" i="1"/>
  <c r="J8" i="1"/>
  <c r="J9" i="1"/>
  <c r="J10" i="1"/>
  <c r="J11" i="1"/>
  <c r="J12" i="1"/>
  <c r="J13" i="1"/>
  <c r="J3" i="1"/>
  <c r="I15" i="1"/>
  <c r="H15" i="1"/>
  <c r="I14" i="1"/>
  <c r="H14" i="1"/>
  <c r="J25" i="1" l="1"/>
  <c r="I25" i="1"/>
  <c r="J18" i="3"/>
  <c r="J19" i="3"/>
  <c r="N16" i="3"/>
  <c r="O15" i="3"/>
  <c r="P14" i="3"/>
  <c r="L16" i="3"/>
  <c r="Q16" i="3"/>
  <c r="R15" i="3"/>
  <c r="J15" i="3"/>
  <c r="K14" i="3"/>
  <c r="P16" i="3"/>
  <c r="Q15" i="3"/>
  <c r="R14" i="3"/>
  <c r="J14" i="3"/>
  <c r="O16" i="3"/>
  <c r="Q14" i="3"/>
  <c r="M16" i="3"/>
  <c r="N15" i="3"/>
  <c r="O14" i="3"/>
  <c r="M15" i="3"/>
  <c r="K16" i="3"/>
  <c r="L15" i="3"/>
  <c r="M14" i="3"/>
  <c r="R16" i="3"/>
  <c r="J16" i="3"/>
  <c r="K15" i="3"/>
  <c r="L14" i="3"/>
  <c r="N14" i="3"/>
  <c r="J12" i="3"/>
  <c r="L11" i="3"/>
  <c r="J11" i="3"/>
  <c r="K11" i="3"/>
  <c r="L10" i="3"/>
  <c r="K10" i="3"/>
  <c r="L12" i="3"/>
  <c r="J10" i="3"/>
  <c r="J8" i="3"/>
  <c r="L8" i="3"/>
  <c r="J6" i="3"/>
  <c r="L7" i="3"/>
  <c r="K7" i="3"/>
  <c r="J7" i="3"/>
  <c r="K6" i="3"/>
  <c r="L6" i="3"/>
  <c r="N4" i="3"/>
  <c r="O3" i="3"/>
  <c r="P2" i="3"/>
  <c r="M4" i="3"/>
  <c r="N3" i="3"/>
  <c r="O2" i="3"/>
  <c r="L4" i="3"/>
  <c r="M3" i="3"/>
  <c r="N2" i="3"/>
  <c r="K4" i="3"/>
  <c r="L3" i="3"/>
  <c r="M2" i="3"/>
  <c r="R4" i="3"/>
  <c r="J4" i="3"/>
  <c r="K3" i="3"/>
  <c r="L2" i="3"/>
  <c r="Q4" i="3"/>
  <c r="R3" i="3"/>
  <c r="J3" i="3"/>
  <c r="K2" i="3"/>
  <c r="P4" i="3"/>
  <c r="Q3" i="3"/>
  <c r="R2" i="3"/>
  <c r="J2" i="3"/>
  <c r="O4" i="3"/>
  <c r="P3" i="3"/>
</calcChain>
</file>

<file path=xl/sharedStrings.xml><?xml version="1.0" encoding="utf-8"?>
<sst xmlns="http://schemas.openxmlformats.org/spreadsheetml/2006/main" count="91" uniqueCount="73">
  <si>
    <t>x</t>
    <phoneticPr fontId="1" type="noConversion"/>
  </si>
  <si>
    <t>y</t>
    <phoneticPr fontId="1" type="noConversion"/>
  </si>
  <si>
    <t>年份</t>
  </si>
  <si>
    <t>管道运输货运量（亿吨）</t>
  </si>
  <si>
    <t>将年份数据进行转换：</t>
    <phoneticPr fontId="1" type="noConversion"/>
  </si>
  <si>
    <t>求和</t>
    <phoneticPr fontId="1" type="noConversion"/>
  </si>
  <si>
    <t>平均数</t>
    <phoneticPr fontId="1" type="noConversion"/>
  </si>
  <si>
    <t>x*y</t>
    <phoneticPr fontId="1" type="noConversion"/>
  </si>
  <si>
    <t>x*x</t>
    <phoneticPr fontId="1" type="noConversion"/>
  </si>
  <si>
    <t>即：</t>
    <phoneticPr fontId="1" type="noConversion"/>
  </si>
  <si>
    <t>b=</t>
    <phoneticPr fontId="1" type="noConversion"/>
  </si>
  <si>
    <t>a=</t>
    <phoneticPr fontId="1" type="noConversion"/>
  </si>
  <si>
    <t>yi</t>
    <phoneticPr fontId="1" type="noConversion"/>
  </si>
  <si>
    <t>yi-y的平方</t>
    <phoneticPr fontId="1" type="noConversion"/>
  </si>
  <si>
    <t>yi-y平均的平方</t>
    <phoneticPr fontId="1" type="noConversion"/>
  </si>
  <si>
    <t>F=</t>
    <phoneticPr fontId="1" type="noConversion"/>
  </si>
  <si>
    <t>查表得</t>
    <phoneticPr fontId="1" type="noConversion"/>
  </si>
  <si>
    <t>F（1，9）=</t>
    <phoneticPr fontId="1" type="noConversion"/>
  </si>
  <si>
    <t>通过显著性检验</t>
    <phoneticPr fontId="1" type="noConversion"/>
  </si>
  <si>
    <t>标准差=</t>
    <phoneticPr fontId="1" type="noConversion"/>
  </si>
  <si>
    <t>方差=</t>
    <phoneticPr fontId="1" type="noConversion"/>
  </si>
  <si>
    <t>当x=12时</t>
    <phoneticPr fontId="1" type="noConversion"/>
  </si>
  <si>
    <t>y=</t>
    <phoneticPr fontId="1" type="noConversion"/>
  </si>
  <si>
    <t>前置区间</t>
    <phoneticPr fontId="1" type="noConversion"/>
  </si>
  <si>
    <t>后置区间</t>
    <phoneticPr fontId="1" type="noConversion"/>
  </si>
  <si>
    <t>取整：</t>
    <phoneticPr fontId="1" type="noConversion"/>
  </si>
  <si>
    <t>产量（万吨）</t>
  </si>
  <si>
    <t>经转换：</t>
    <phoneticPr fontId="1" type="noConversion"/>
  </si>
  <si>
    <t>即b=</t>
    <phoneticPr fontId="1" type="noConversion"/>
  </si>
  <si>
    <t>故当x=9时</t>
    <phoneticPr fontId="1" type="noConversion"/>
  </si>
  <si>
    <t>转化为产量即为：</t>
    <phoneticPr fontId="1" type="noConversion"/>
  </si>
  <si>
    <t>X1</t>
  </si>
  <si>
    <t>X2</t>
  </si>
  <si>
    <t>Y</t>
  </si>
  <si>
    <t>转化为矩阵运算：</t>
    <phoneticPr fontId="1" type="noConversion"/>
  </si>
  <si>
    <t>A:</t>
    <phoneticPr fontId="1" type="noConversion"/>
  </si>
  <si>
    <t>A的转置</t>
    <phoneticPr fontId="1" type="noConversion"/>
  </si>
  <si>
    <t>D:</t>
    <phoneticPr fontId="1" type="noConversion"/>
  </si>
  <si>
    <t>D的逆矩阵: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</si>
  <si>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</si>
  <si>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</si>
  <si>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</si>
  <si>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代入题设条件：</t>
    <phoneticPr fontId="1" type="noConversion"/>
  </si>
  <si>
    <t>年份</t>
    <phoneticPr fontId="1" type="noConversion"/>
  </si>
  <si>
    <t>运量</t>
    <phoneticPr fontId="1" type="noConversion"/>
  </si>
  <si>
    <t>N=3</t>
    <phoneticPr fontId="1" type="noConversion"/>
  </si>
  <si>
    <t>N=5</t>
    <phoneticPr fontId="1" type="noConversion"/>
  </si>
  <si>
    <t>明显发现，当N变大时，预测结果更加偏离</t>
  </si>
  <si>
    <t>N=3的误差</t>
    <phoneticPr fontId="1" type="noConversion"/>
  </si>
  <si>
    <t>N=4的误差</t>
    <phoneticPr fontId="1" type="noConversion"/>
  </si>
  <si>
    <t>即可进行加权平均处理a=0.5，b=1，c=1.5</t>
    <phoneticPr fontId="1" type="noConversion"/>
  </si>
  <si>
    <t>相对误差</t>
    <phoneticPr fontId="1" type="noConversion"/>
  </si>
  <si>
    <t>可见预测值将更加契合</t>
    <phoneticPr fontId="1" type="noConversion"/>
  </si>
  <si>
    <t>甲</t>
    <phoneticPr fontId="1" type="noConversion"/>
  </si>
  <si>
    <t>最少</t>
  </si>
  <si>
    <t>最多</t>
    <phoneticPr fontId="1" type="noConversion"/>
  </si>
  <si>
    <t>最有可能</t>
    <phoneticPr fontId="1" type="noConversion"/>
  </si>
  <si>
    <t>乙</t>
    <phoneticPr fontId="1" type="noConversion"/>
  </si>
  <si>
    <t>丙</t>
    <phoneticPr fontId="1" type="noConversion"/>
  </si>
  <si>
    <t>利用PERT预测方法</t>
    <phoneticPr fontId="1" type="noConversion"/>
  </si>
  <si>
    <t>对于甲</t>
    <phoneticPr fontId="1" type="noConversion"/>
  </si>
  <si>
    <t>平均销售量=</t>
    <phoneticPr fontId="1" type="noConversion"/>
  </si>
  <si>
    <t>对于乙</t>
    <phoneticPr fontId="1" type="noConversion"/>
  </si>
  <si>
    <t>对于丙</t>
    <phoneticPr fontId="1" type="noConversion"/>
  </si>
  <si>
    <t>假设其经验一致即：</t>
    <phoneticPr fontId="1" type="noConversion"/>
  </si>
  <si>
    <t>在销售量：</t>
    <phoneticPr fontId="1" type="noConversion"/>
  </si>
  <si>
    <t>均方差：</t>
    <phoneticPr fontId="1" type="noConversion"/>
  </si>
  <si>
    <t>民航运量剧增，也可采用二次平均值滑动</t>
    <phoneticPr fontId="1" type="noConversion"/>
  </si>
  <si>
    <t>一次滑动</t>
    <phoneticPr fontId="1" type="noConversion"/>
  </si>
  <si>
    <t>二次滑动</t>
    <phoneticPr fontId="1" type="noConversion"/>
  </si>
  <si>
    <t>a</t>
    <phoneticPr fontId="1" type="noConversion"/>
  </si>
  <si>
    <t>b</t>
    <phoneticPr fontId="1" type="noConversion"/>
  </si>
  <si>
    <t>预测值=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</si>
</sst>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 "/>
    <numFmt numFmtId="181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80" fontId="0" fillId="0" borderId="0" xfId="0" applyNumberFormat="1"/>
    <xf numFmtId="180" fontId="4" fillId="0" borderId="0" xfId="0" applyNumberFormat="1" applyFont="1"/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0" xfId="0" applyNumberFormat="1"/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181" fontId="0" fillId="0" borderId="0" xfId="0" applyNumberFormat="1"/>
    <xf numFmtId="181" fontId="4" fillId="0" borderId="0" xfId="0" applyNumberFormat="1" applyFont="1"/>
    <xf numFmtId="0" fontId="6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6"/>
  <sheetViews>
    <sheetView workbookViewId="0">
      <selection activeCell="L23" sqref="L23"/>
    </sheetView>
  </sheetViews>
  <sheetFormatPr defaultRowHeight="13.8" x14ac:dyDescent="0.25"/>
  <cols>
    <col min="3" max="3" width="15.109375" customWidth="1"/>
    <col min="18" max="18" width="10.33203125" customWidth="1"/>
    <col min="19" max="19" width="8.33203125" customWidth="1"/>
  </cols>
  <sheetData>
    <row r="1" spans="2:19" ht="14.4" thickBot="1" x14ac:dyDescent="0.3"/>
    <row r="2" spans="2:19" ht="30.6" customHeight="1" thickBot="1" x14ac:dyDescent="0.3">
      <c r="B2" s="5" t="s">
        <v>2</v>
      </c>
      <c r="C2" s="6" t="s">
        <v>3</v>
      </c>
      <c r="E2" t="s">
        <v>4</v>
      </c>
      <c r="H2" s="8" t="s">
        <v>0</v>
      </c>
      <c r="I2" s="8" t="s">
        <v>1</v>
      </c>
      <c r="J2" s="8" t="s">
        <v>7</v>
      </c>
      <c r="K2" s="8" t="s">
        <v>8</v>
      </c>
      <c r="O2" s="8" t="s">
        <v>0</v>
      </c>
      <c r="P2" s="8" t="s">
        <v>1</v>
      </c>
      <c r="Q2" t="s">
        <v>12</v>
      </c>
      <c r="R2" t="s">
        <v>13</v>
      </c>
      <c r="S2" t="s">
        <v>14</v>
      </c>
    </row>
    <row r="3" spans="2:19" ht="16.2" thickBot="1" x14ac:dyDescent="0.3">
      <c r="B3" s="1">
        <v>2009</v>
      </c>
      <c r="C3" s="2">
        <v>44598</v>
      </c>
      <c r="H3">
        <v>1</v>
      </c>
      <c r="I3" s="7">
        <v>44598</v>
      </c>
      <c r="J3">
        <f>H3*I3</f>
        <v>44598</v>
      </c>
      <c r="K3">
        <f>H3*H3</f>
        <v>1</v>
      </c>
      <c r="O3">
        <v>1</v>
      </c>
      <c r="P3" s="7">
        <v>44598</v>
      </c>
      <c r="Q3">
        <f>42376.69+4509.99*O3</f>
        <v>46886.68</v>
      </c>
      <c r="R3">
        <f>POWER((Q3-P3),2)</f>
        <v>5238056.1424000012</v>
      </c>
      <c r="S3">
        <f>POWER(Q3-763803,2)</f>
        <v>513969009882.34235</v>
      </c>
    </row>
    <row r="4" spans="2:19" ht="16.2" thickBot="1" x14ac:dyDescent="0.3">
      <c r="B4" s="3">
        <v>2010</v>
      </c>
      <c r="C4" s="4">
        <v>49972</v>
      </c>
      <c r="H4">
        <v>2</v>
      </c>
      <c r="I4" s="7">
        <v>49972</v>
      </c>
      <c r="J4">
        <f t="shared" ref="J4:J13" si="0">H4*I4</f>
        <v>99944</v>
      </c>
      <c r="K4">
        <f t="shared" ref="K4:K13" si="1">H4*H4</f>
        <v>4</v>
      </c>
      <c r="O4">
        <v>2</v>
      </c>
      <c r="P4" s="7">
        <v>49972</v>
      </c>
      <c r="Q4">
        <f t="shared" ref="Q4:Q13" si="2">42376.69+4509.99*O4</f>
        <v>51396.67</v>
      </c>
      <c r="R4">
        <f t="shared" ref="R4:R13" si="3">POWER((Q4-P4),2)</f>
        <v>2029684.608899995</v>
      </c>
      <c r="S4">
        <f t="shared" ref="S4:S13" si="4">POWER(Q4-763803,2)</f>
        <v>507522779024.06885</v>
      </c>
    </row>
    <row r="5" spans="2:19" ht="16.2" thickBot="1" x14ac:dyDescent="0.3">
      <c r="B5" s="3">
        <v>2011</v>
      </c>
      <c r="C5" s="4">
        <v>57073</v>
      </c>
      <c r="H5">
        <v>3</v>
      </c>
      <c r="I5" s="7">
        <v>57073</v>
      </c>
      <c r="J5">
        <f t="shared" si="0"/>
        <v>171219</v>
      </c>
      <c r="K5">
        <f t="shared" si="1"/>
        <v>9</v>
      </c>
      <c r="O5">
        <v>3</v>
      </c>
      <c r="P5" s="7">
        <v>57073</v>
      </c>
      <c r="Q5">
        <f t="shared" si="2"/>
        <v>55906.66</v>
      </c>
      <c r="R5">
        <f t="shared" si="3"/>
        <v>1360348.9955999919</v>
      </c>
      <c r="S5">
        <f t="shared" si="4"/>
        <v>501117228185.39557</v>
      </c>
    </row>
    <row r="6" spans="2:19" ht="16.2" thickBot="1" x14ac:dyDescent="0.3">
      <c r="B6" s="3">
        <v>2012</v>
      </c>
      <c r="C6" s="4">
        <v>62274</v>
      </c>
      <c r="H6">
        <v>4</v>
      </c>
      <c r="I6" s="7">
        <v>62274</v>
      </c>
      <c r="J6">
        <f t="shared" si="0"/>
        <v>249096</v>
      </c>
      <c r="K6">
        <f t="shared" si="1"/>
        <v>16</v>
      </c>
      <c r="O6">
        <v>4</v>
      </c>
      <c r="P6" s="7">
        <v>62274</v>
      </c>
      <c r="Q6">
        <f t="shared" si="2"/>
        <v>60416.65</v>
      </c>
      <c r="R6">
        <f t="shared" si="3"/>
        <v>3449749.0224999944</v>
      </c>
      <c r="S6">
        <f t="shared" si="4"/>
        <v>494752357366.32245</v>
      </c>
    </row>
    <row r="7" spans="2:19" ht="16.2" thickBot="1" x14ac:dyDescent="0.3">
      <c r="B7" s="3">
        <v>2013</v>
      </c>
      <c r="C7" s="4">
        <v>65209</v>
      </c>
      <c r="H7">
        <v>5</v>
      </c>
      <c r="I7" s="7">
        <v>65209</v>
      </c>
      <c r="J7">
        <f t="shared" si="0"/>
        <v>326045</v>
      </c>
      <c r="K7">
        <f t="shared" si="1"/>
        <v>25</v>
      </c>
      <c r="O7">
        <v>5</v>
      </c>
      <c r="P7" s="7">
        <v>65209</v>
      </c>
      <c r="Q7">
        <f t="shared" si="2"/>
        <v>64926.64</v>
      </c>
      <c r="R7">
        <f t="shared" si="3"/>
        <v>79727.169600000329</v>
      </c>
      <c r="S7">
        <f t="shared" si="4"/>
        <v>488428166566.84961</v>
      </c>
    </row>
    <row r="8" spans="2:19" ht="16.2" thickBot="1" x14ac:dyDescent="0.3">
      <c r="B8" s="3">
        <v>2014</v>
      </c>
      <c r="C8" s="4">
        <v>73752</v>
      </c>
      <c r="H8">
        <v>6</v>
      </c>
      <c r="I8" s="7">
        <v>73752</v>
      </c>
      <c r="J8">
        <f t="shared" si="0"/>
        <v>442512</v>
      </c>
      <c r="K8">
        <f t="shared" si="1"/>
        <v>36</v>
      </c>
      <c r="O8">
        <v>6</v>
      </c>
      <c r="P8" s="7">
        <v>73752</v>
      </c>
      <c r="Q8">
        <f t="shared" si="2"/>
        <v>69436.63</v>
      </c>
      <c r="R8">
        <f t="shared" si="3"/>
        <v>18622418.236899961</v>
      </c>
      <c r="S8">
        <f t="shared" si="4"/>
        <v>482144655786.97687</v>
      </c>
    </row>
    <row r="9" spans="2:19" ht="16.2" thickBot="1" x14ac:dyDescent="0.3">
      <c r="B9" s="3">
        <v>2015</v>
      </c>
      <c r="C9" s="4">
        <v>75870</v>
      </c>
      <c r="H9">
        <v>7</v>
      </c>
      <c r="I9" s="7">
        <v>75870</v>
      </c>
      <c r="J9">
        <f t="shared" si="0"/>
        <v>531090</v>
      </c>
      <c r="K9">
        <f t="shared" si="1"/>
        <v>49</v>
      </c>
      <c r="O9">
        <v>7</v>
      </c>
      <c r="P9" s="7">
        <v>75870</v>
      </c>
      <c r="Q9">
        <f t="shared" si="2"/>
        <v>73946.62</v>
      </c>
      <c r="R9">
        <f t="shared" si="3"/>
        <v>3699390.6244000178</v>
      </c>
      <c r="S9">
        <f t="shared" si="4"/>
        <v>475901825026.70441</v>
      </c>
    </row>
    <row r="10" spans="2:19" ht="16.2" thickBot="1" x14ac:dyDescent="0.3">
      <c r="B10" s="3">
        <v>2016</v>
      </c>
      <c r="C10" s="4">
        <v>73411</v>
      </c>
      <c r="H10">
        <v>8</v>
      </c>
      <c r="I10" s="7">
        <v>73411</v>
      </c>
      <c r="J10">
        <f t="shared" si="0"/>
        <v>587288</v>
      </c>
      <c r="K10">
        <f t="shared" si="1"/>
        <v>64</v>
      </c>
      <c r="O10">
        <v>8</v>
      </c>
      <c r="P10" s="7">
        <v>73411</v>
      </c>
      <c r="Q10">
        <f t="shared" si="2"/>
        <v>78456.61</v>
      </c>
      <c r="R10">
        <f t="shared" si="3"/>
        <v>25458180.272100005</v>
      </c>
      <c r="S10">
        <f t="shared" si="4"/>
        <v>469699674286.0321</v>
      </c>
    </row>
    <row r="11" spans="2:19" ht="16.2" thickBot="1" x14ac:dyDescent="0.3">
      <c r="B11" s="3">
        <v>2017</v>
      </c>
      <c r="C11" s="4">
        <v>80576</v>
      </c>
      <c r="H11">
        <v>9</v>
      </c>
      <c r="I11" s="7">
        <v>80576</v>
      </c>
      <c r="J11">
        <f t="shared" si="0"/>
        <v>725184</v>
      </c>
      <c r="K11">
        <f t="shared" si="1"/>
        <v>81</v>
      </c>
      <c r="O11">
        <v>9</v>
      </c>
      <c r="P11" s="7">
        <v>80576</v>
      </c>
      <c r="Q11">
        <f t="shared" si="2"/>
        <v>82966.600000000006</v>
      </c>
      <c r="R11">
        <f t="shared" si="3"/>
        <v>5714968.3600000283</v>
      </c>
      <c r="S11">
        <f t="shared" si="4"/>
        <v>463538203564.96002</v>
      </c>
    </row>
    <row r="12" spans="2:19" ht="16.2" thickBot="1" x14ac:dyDescent="0.3">
      <c r="B12" s="3">
        <v>2018</v>
      </c>
      <c r="C12" s="4">
        <v>89807</v>
      </c>
      <c r="H12">
        <v>10</v>
      </c>
      <c r="I12" s="7">
        <v>89807</v>
      </c>
      <c r="J12">
        <f t="shared" si="0"/>
        <v>898070</v>
      </c>
      <c r="K12">
        <f t="shared" si="1"/>
        <v>100</v>
      </c>
      <c r="O12">
        <v>10</v>
      </c>
      <c r="P12" s="7">
        <v>89807</v>
      </c>
      <c r="Q12">
        <f t="shared" si="2"/>
        <v>87476.59</v>
      </c>
      <c r="R12">
        <f t="shared" si="3"/>
        <v>5430810.7681000158</v>
      </c>
      <c r="S12">
        <f t="shared" si="4"/>
        <v>457417412863.48816</v>
      </c>
    </row>
    <row r="13" spans="2:19" ht="16.2" thickBot="1" x14ac:dyDescent="0.3">
      <c r="B13" s="3">
        <v>2019</v>
      </c>
      <c r="C13" s="4">
        <v>91261</v>
      </c>
      <c r="H13">
        <v>11</v>
      </c>
      <c r="I13" s="7">
        <v>91261</v>
      </c>
      <c r="J13">
        <f t="shared" si="0"/>
        <v>1003871</v>
      </c>
      <c r="K13">
        <f t="shared" si="1"/>
        <v>121</v>
      </c>
      <c r="O13">
        <v>11</v>
      </c>
      <c r="P13" s="7">
        <v>91261</v>
      </c>
      <c r="Q13">
        <f t="shared" si="2"/>
        <v>91986.58</v>
      </c>
      <c r="R13">
        <f t="shared" si="3"/>
        <v>526466.33640000259</v>
      </c>
      <c r="S13">
        <f t="shared" si="4"/>
        <v>451337302181.61646</v>
      </c>
    </row>
    <row r="14" spans="2:19" x14ac:dyDescent="0.25">
      <c r="G14" t="s">
        <v>5</v>
      </c>
      <c r="H14">
        <f>SUM(H3:H13)</f>
        <v>66</v>
      </c>
      <c r="I14">
        <f>SUM(I3:I13)</f>
        <v>763803</v>
      </c>
      <c r="J14">
        <f>SUM(J3:J13)</f>
        <v>5078917</v>
      </c>
      <c r="K14">
        <f>SUM(K3:K13)</f>
        <v>506</v>
      </c>
      <c r="N14" t="s">
        <v>5</v>
      </c>
      <c r="R14">
        <f>SUM(R3:R13)</f>
        <v>71609800.536900014</v>
      </c>
      <c r="S14">
        <f>SUM(S3:S13)</f>
        <v>5305828614734.7568</v>
      </c>
    </row>
    <row r="15" spans="2:19" x14ac:dyDescent="0.25">
      <c r="G15" t="s">
        <v>6</v>
      </c>
      <c r="H15">
        <f>AVERAGE(H3:H13)</f>
        <v>6</v>
      </c>
      <c r="I15">
        <f>AVERAGE(I3:I13)</f>
        <v>69436.636363636368</v>
      </c>
      <c r="P15" t="s">
        <v>15</v>
      </c>
      <c r="Q15" s="9">
        <f>S14*9/R14</f>
        <v>666842.48768443801</v>
      </c>
    </row>
    <row r="16" spans="2:19" x14ac:dyDescent="0.25">
      <c r="P16" t="s">
        <v>16</v>
      </c>
    </row>
    <row r="17" spans="8:17" x14ac:dyDescent="0.25">
      <c r="H17" t="s">
        <v>9</v>
      </c>
      <c r="O17" t="s">
        <v>17</v>
      </c>
      <c r="Q17">
        <v>5.12</v>
      </c>
    </row>
    <row r="18" spans="8:17" x14ac:dyDescent="0.25">
      <c r="H18" t="s">
        <v>10</v>
      </c>
      <c r="I18" s="9">
        <f>(J14-H15*I14)/(K14-H15*H14)</f>
        <v>4509.9909090909086</v>
      </c>
      <c r="P18" t="s">
        <v>18</v>
      </c>
    </row>
    <row r="19" spans="8:17" x14ac:dyDescent="0.25">
      <c r="H19" t="s">
        <v>11</v>
      </c>
      <c r="I19" s="9">
        <f>I15-H15*I18</f>
        <v>42376.690909090918</v>
      </c>
    </row>
    <row r="20" spans="8:17" x14ac:dyDescent="0.25">
      <c r="H20" t="s">
        <v>20</v>
      </c>
      <c r="I20">
        <f>R14/9</f>
        <v>7956644.5041000014</v>
      </c>
    </row>
    <row r="21" spans="8:17" x14ac:dyDescent="0.25">
      <c r="H21" t="s">
        <v>19</v>
      </c>
      <c r="I21">
        <f>POWER(I20,0.5)</f>
        <v>2820.7524712565619</v>
      </c>
    </row>
    <row r="23" spans="8:17" x14ac:dyDescent="0.25">
      <c r="H23" t="s">
        <v>21</v>
      </c>
      <c r="I23" t="s">
        <v>22</v>
      </c>
      <c r="J23" s="20">
        <f>I19+12*I18</f>
        <v>96496.581818181818</v>
      </c>
    </row>
    <row r="24" spans="8:17" x14ac:dyDescent="0.25">
      <c r="I24" t="s">
        <v>23</v>
      </c>
      <c r="J24" t="s">
        <v>24</v>
      </c>
    </row>
    <row r="25" spans="8:17" x14ac:dyDescent="0.25">
      <c r="I25">
        <f>J23-2*I21</f>
        <v>90855.076875668688</v>
      </c>
      <c r="J25">
        <f>J23+2*I21</f>
        <v>102138.08676069495</v>
      </c>
    </row>
    <row r="26" spans="8:17" x14ac:dyDescent="0.25">
      <c r="H26" t="s">
        <v>25</v>
      </c>
      <c r="I26" s="9">
        <v>90855</v>
      </c>
      <c r="J26" s="9">
        <v>102138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8699-02C5-4809-AEE7-26FEDBE81B49}">
  <dimension ref="A1:L16"/>
  <sheetViews>
    <sheetView workbookViewId="0">
      <selection activeCell="C16" sqref="C16"/>
    </sheetView>
  </sheetViews>
  <sheetFormatPr defaultRowHeight="13.8" x14ac:dyDescent="0.25"/>
  <cols>
    <col min="1" max="1" width="15.88671875" customWidth="1"/>
  </cols>
  <sheetData>
    <row r="1" spans="1:12" ht="14.4" thickBot="1" x14ac:dyDescent="0.3"/>
    <row r="2" spans="1:12" ht="16.2" thickBot="1" x14ac:dyDescent="0.3">
      <c r="A2" s="5" t="s">
        <v>2</v>
      </c>
      <c r="B2" s="2">
        <v>2011</v>
      </c>
      <c r="C2" s="2">
        <v>2012</v>
      </c>
      <c r="D2" s="2">
        <v>2013</v>
      </c>
      <c r="E2" s="2">
        <v>2014</v>
      </c>
      <c r="F2" s="2">
        <v>2015</v>
      </c>
      <c r="G2" s="2">
        <v>2016</v>
      </c>
      <c r="H2" s="2">
        <v>2017</v>
      </c>
      <c r="I2" s="2">
        <v>2018</v>
      </c>
    </row>
    <row r="3" spans="1:12" ht="28.2" customHeight="1" thickBot="1" x14ac:dyDescent="0.3">
      <c r="A3" s="11" t="s">
        <v>26</v>
      </c>
      <c r="B3" s="10">
        <v>2</v>
      </c>
      <c r="C3" s="10">
        <v>4.8</v>
      </c>
      <c r="D3" s="10">
        <v>8.3000000000000007</v>
      </c>
      <c r="E3" s="10">
        <v>17.5</v>
      </c>
      <c r="F3" s="10">
        <v>22.6</v>
      </c>
      <c r="G3" s="10">
        <v>52.4</v>
      </c>
      <c r="H3" s="10">
        <v>108.8</v>
      </c>
      <c r="I3" s="10">
        <v>251.7</v>
      </c>
    </row>
    <row r="4" spans="1:12" x14ac:dyDescent="0.25">
      <c r="K4" t="s">
        <v>5</v>
      </c>
      <c r="L4" t="s">
        <v>6</v>
      </c>
    </row>
    <row r="5" spans="1:12" x14ac:dyDescent="0.25">
      <c r="A5" t="s">
        <v>27</v>
      </c>
      <c r="B5" t="s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f>SUM(C5:J5)</f>
        <v>36</v>
      </c>
      <c r="L5">
        <f>AVERAGE(C5:J5)</f>
        <v>4.5</v>
      </c>
    </row>
    <row r="6" spans="1:12" x14ac:dyDescent="0.25">
      <c r="B6" t="s">
        <v>1</v>
      </c>
      <c r="C6" s="12">
        <f>LN(B3)</f>
        <v>0.69314718055994529</v>
      </c>
      <c r="D6" s="12">
        <f t="shared" ref="D6:J6" si="0">LN(C3)</f>
        <v>1.5686159179138452</v>
      </c>
      <c r="E6" s="12">
        <f t="shared" si="0"/>
        <v>2.1162555148025524</v>
      </c>
      <c r="F6" s="12">
        <f t="shared" si="0"/>
        <v>2.8622008809294686</v>
      </c>
      <c r="G6" s="12">
        <f t="shared" si="0"/>
        <v>3.1179499062782403</v>
      </c>
      <c r="H6" s="12">
        <f t="shared" si="0"/>
        <v>3.9589065913269965</v>
      </c>
      <c r="I6" s="12">
        <f t="shared" si="0"/>
        <v>4.6895113344218426</v>
      </c>
      <c r="J6" s="12">
        <f t="shared" si="0"/>
        <v>5.52823790214127</v>
      </c>
      <c r="K6" s="12">
        <f>SUM(C6:J6)</f>
        <v>24.53482522837416</v>
      </c>
      <c r="L6" s="12">
        <f>AVERAGE(C6:J6)</f>
        <v>3.06685315354677</v>
      </c>
    </row>
    <row r="7" spans="1:12" x14ac:dyDescent="0.25">
      <c r="B7" t="s">
        <v>7</v>
      </c>
      <c r="C7" s="12">
        <f>C5*C6</f>
        <v>0.69314718055994529</v>
      </c>
      <c r="D7" s="12">
        <f t="shared" ref="D7:L7" si="1">D5*D6</f>
        <v>3.1372318358276905</v>
      </c>
      <c r="E7" s="12">
        <f t="shared" si="1"/>
        <v>6.3487665444076571</v>
      </c>
      <c r="F7" s="12">
        <f t="shared" si="1"/>
        <v>11.448803523717874</v>
      </c>
      <c r="G7" s="12">
        <f t="shared" si="1"/>
        <v>15.589749531391202</v>
      </c>
      <c r="H7" s="12">
        <f t="shared" si="1"/>
        <v>23.753439547961978</v>
      </c>
      <c r="I7" s="12">
        <f t="shared" si="1"/>
        <v>32.826579340952897</v>
      </c>
      <c r="J7" s="12">
        <f t="shared" si="1"/>
        <v>44.22590321713016</v>
      </c>
      <c r="K7" s="12">
        <f>SUM(C7:J7)</f>
        <v>138.02362072194941</v>
      </c>
      <c r="L7" s="12"/>
    </row>
    <row r="8" spans="1:12" x14ac:dyDescent="0.25">
      <c r="B8" t="s">
        <v>8</v>
      </c>
      <c r="C8">
        <f>C5*C5</f>
        <v>1</v>
      </c>
      <c r="D8">
        <f t="shared" ref="D8:J8" si="2">D5*D5</f>
        <v>4</v>
      </c>
      <c r="E8">
        <f t="shared" si="2"/>
        <v>9</v>
      </c>
      <c r="F8">
        <f t="shared" si="2"/>
        <v>16</v>
      </c>
      <c r="G8">
        <f t="shared" si="2"/>
        <v>25</v>
      </c>
      <c r="H8">
        <f t="shared" si="2"/>
        <v>36</v>
      </c>
      <c r="I8">
        <f t="shared" si="2"/>
        <v>49</v>
      </c>
      <c r="J8">
        <f t="shared" si="2"/>
        <v>64</v>
      </c>
      <c r="K8">
        <f>SUM(C8:J8)</f>
        <v>204</v>
      </c>
    </row>
    <row r="10" spans="1:12" x14ac:dyDescent="0.25">
      <c r="B10" t="s">
        <v>28</v>
      </c>
      <c r="C10" s="13">
        <f>(K7-L5*K6)/(K8-L5*K5)</f>
        <v>0.65754540938727835</v>
      </c>
    </row>
    <row r="11" spans="1:12" x14ac:dyDescent="0.25">
      <c r="B11" t="s">
        <v>11</v>
      </c>
      <c r="C11" s="13">
        <f>L6-L5*C10</f>
        <v>0.10789881130401735</v>
      </c>
    </row>
    <row r="13" spans="1:12" x14ac:dyDescent="0.25">
      <c r="B13" t="s">
        <v>29</v>
      </c>
    </row>
    <row r="14" spans="1:12" x14ac:dyDescent="0.25">
      <c r="B14" t="s">
        <v>22</v>
      </c>
      <c r="C14" s="13">
        <f>C11+C10*9</f>
        <v>6.0258074957895227</v>
      </c>
    </row>
    <row r="15" spans="1:12" x14ac:dyDescent="0.25">
      <c r="B15" t="s">
        <v>30</v>
      </c>
    </row>
    <row r="16" spans="1:12" x14ac:dyDescent="0.25">
      <c r="C16" s="13">
        <f>POWER(2.72,C14)</f>
        <v>415.55504517593187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8683-9388-4196-9A07-01903A4AC32D}">
  <dimension ref="A1:R22"/>
  <sheetViews>
    <sheetView tabSelected="1" workbookViewId="0">
      <selection activeCell="E27" sqref="E27"/>
    </sheetView>
  </sheetViews>
  <sheetFormatPr defaultRowHeight="13.8" x14ac:dyDescent="0.25"/>
  <cols>
    <col min="1" max="8" width="8.88671875" style="16"/>
    <col min="9" max="9" width="10.5546875" style="16" customWidth="1"/>
    <col min="10" max="16384" width="8.88671875" style="16"/>
  </cols>
  <sheetData>
    <row r="1" spans="1:18" ht="16.2" thickBot="1" x14ac:dyDescent="0.3">
      <c r="A1" s="14" t="s">
        <v>31</v>
      </c>
      <c r="B1" s="15" t="s">
        <v>32</v>
      </c>
      <c r="C1" s="15" t="s">
        <v>33</v>
      </c>
      <c r="E1" s="16" t="s">
        <v>34</v>
      </c>
    </row>
    <row r="2" spans="1:18" ht="16.2" thickBot="1" x14ac:dyDescent="0.3">
      <c r="A2" s="17">
        <v>3.1</v>
      </c>
      <c r="B2" s="18">
        <v>25</v>
      </c>
      <c r="C2" s="18">
        <v>578</v>
      </c>
      <c r="D2" s="16" t="s">
        <v>35</v>
      </c>
      <c r="E2" s="16">
        <v>1</v>
      </c>
      <c r="F2" s="16">
        <v>3.1</v>
      </c>
      <c r="G2" s="16">
        <v>25</v>
      </c>
      <c r="I2" s="16" t="s">
        <v>36</v>
      </c>
      <c r="J2" s="16">
        <f t="array" ref="J2:R4">TRANSPOSE(E2:G10)</f>
        <v>1</v>
      </c>
      <c r="K2" s="16">
        <v>1</v>
      </c>
      <c r="L2" s="16">
        <v>1</v>
      </c>
      <c r="M2" s="16">
        <v>1</v>
      </c>
      <c r="N2" s="16">
        <v>1</v>
      </c>
      <c r="O2" s="16">
        <v>1</v>
      </c>
      <c r="P2" s="16">
        <v>1</v>
      </c>
      <c r="Q2" s="16">
        <v>1</v>
      </c>
      <c r="R2" s="16">
        <v>1</v>
      </c>
    </row>
    <row r="3" spans="1:18" ht="16.2" thickBot="1" x14ac:dyDescent="0.3">
      <c r="A3" s="17">
        <v>5.7</v>
      </c>
      <c r="B3" s="18">
        <v>29</v>
      </c>
      <c r="C3" s="18">
        <v>862</v>
      </c>
      <c r="E3" s="16">
        <v>1</v>
      </c>
      <c r="F3" s="16">
        <v>5.7</v>
      </c>
      <c r="G3" s="16">
        <v>29</v>
      </c>
      <c r="J3" s="16">
        <v>3.1</v>
      </c>
      <c r="K3" s="16">
        <v>5.7</v>
      </c>
      <c r="L3" s="16">
        <v>6.4</v>
      </c>
      <c r="M3" s="16">
        <v>8.1999999999999993</v>
      </c>
      <c r="N3" s="16">
        <v>9.8000000000000007</v>
      </c>
      <c r="O3" s="16">
        <v>10.6</v>
      </c>
      <c r="P3" s="16">
        <v>12.5</v>
      </c>
      <c r="Q3" s="16">
        <v>13.8</v>
      </c>
      <c r="R3" s="16">
        <v>15.2</v>
      </c>
    </row>
    <row r="4" spans="1:18" ht="16.2" thickBot="1" x14ac:dyDescent="0.3">
      <c r="A4" s="17">
        <v>6.4</v>
      </c>
      <c r="B4" s="18">
        <v>34</v>
      </c>
      <c r="C4" s="18">
        <v>1002</v>
      </c>
      <c r="E4" s="16">
        <v>1</v>
      </c>
      <c r="F4" s="16">
        <v>6.4</v>
      </c>
      <c r="G4" s="16">
        <v>34</v>
      </c>
      <c r="J4" s="16">
        <v>25</v>
      </c>
      <c r="K4" s="16">
        <v>29</v>
      </c>
      <c r="L4" s="16">
        <v>34</v>
      </c>
      <c r="M4" s="16">
        <v>46</v>
      </c>
      <c r="N4" s="16">
        <v>59</v>
      </c>
      <c r="O4" s="16">
        <v>73</v>
      </c>
      <c r="P4" s="16">
        <v>86</v>
      </c>
      <c r="Q4" s="16">
        <v>102</v>
      </c>
      <c r="R4" s="16">
        <v>133</v>
      </c>
    </row>
    <row r="5" spans="1:18" ht="16.2" thickBot="1" x14ac:dyDescent="0.3">
      <c r="A5" s="17">
        <v>8.1999999999999993</v>
      </c>
      <c r="B5" s="18">
        <v>46</v>
      </c>
      <c r="C5" s="18">
        <v>1383</v>
      </c>
      <c r="E5" s="16">
        <v>1</v>
      </c>
      <c r="F5" s="16">
        <v>8.1999999999999993</v>
      </c>
      <c r="G5" s="16">
        <v>46</v>
      </c>
    </row>
    <row r="6" spans="1:18" ht="16.2" thickBot="1" x14ac:dyDescent="0.3">
      <c r="A6" s="17">
        <v>9.8000000000000007</v>
      </c>
      <c r="B6" s="18">
        <v>59</v>
      </c>
      <c r="C6" s="18">
        <v>1655</v>
      </c>
      <c r="E6" s="16">
        <v>1</v>
      </c>
      <c r="F6" s="16">
        <v>9.8000000000000007</v>
      </c>
      <c r="G6" s="16">
        <v>59</v>
      </c>
      <c r="I6" s="16" t="s">
        <v>37</v>
      </c>
      <c r="J6" s="16">
        <f t="array" ref="J6:L8">MMULT(J2:R4,E2:G10)</f>
        <v>9</v>
      </c>
      <c r="K6" s="16">
        <v>85.300000000000011</v>
      </c>
      <c r="L6" s="16">
        <v>587</v>
      </c>
    </row>
    <row r="7" spans="1:18" ht="16.2" thickBot="1" x14ac:dyDescent="0.3">
      <c r="A7" s="17">
        <v>10.6</v>
      </c>
      <c r="B7" s="18">
        <v>73</v>
      </c>
      <c r="C7" s="18">
        <v>1984</v>
      </c>
      <c r="E7" s="16">
        <v>1</v>
      </c>
      <c r="F7" s="16">
        <v>10.6</v>
      </c>
      <c r="G7" s="16">
        <v>73</v>
      </c>
      <c r="J7" s="16">
        <v>85.300000000000011</v>
      </c>
      <c r="K7" s="16">
        <v>936.43000000000006</v>
      </c>
      <c r="L7" s="16">
        <v>6693.8000000000011</v>
      </c>
    </row>
    <row r="8" spans="1:18" ht="16.2" thickBot="1" x14ac:dyDescent="0.3">
      <c r="A8" s="17">
        <v>12.5</v>
      </c>
      <c r="B8" s="18">
        <v>86</v>
      </c>
      <c r="C8" s="18">
        <v>2310</v>
      </c>
      <c r="E8" s="16">
        <v>1</v>
      </c>
      <c r="F8" s="16">
        <v>12.5</v>
      </c>
      <c r="G8" s="16">
        <v>86</v>
      </c>
      <c r="J8" s="16">
        <v>587</v>
      </c>
      <c r="K8" s="16">
        <v>6693.8000000000011</v>
      </c>
      <c r="L8" s="16">
        <v>49037</v>
      </c>
    </row>
    <row r="9" spans="1:18" ht="16.2" thickBot="1" x14ac:dyDescent="0.3">
      <c r="A9" s="17">
        <v>13.8</v>
      </c>
      <c r="B9" s="18">
        <v>102</v>
      </c>
      <c r="C9" s="18">
        <v>2618</v>
      </c>
      <c r="E9" s="16">
        <v>1</v>
      </c>
      <c r="F9" s="16">
        <v>13.8</v>
      </c>
      <c r="G9" s="16">
        <v>102</v>
      </c>
    </row>
    <row r="10" spans="1:18" ht="16.2" thickBot="1" x14ac:dyDescent="0.3">
      <c r="A10" s="17">
        <v>15.2</v>
      </c>
      <c r="B10" s="18">
        <v>133</v>
      </c>
      <c r="C10" s="18">
        <v>3002</v>
      </c>
      <c r="E10" s="16">
        <v>1</v>
      </c>
      <c r="F10" s="16">
        <v>15.2</v>
      </c>
      <c r="G10" s="16">
        <v>133</v>
      </c>
      <c r="I10" s="16" t="s">
        <v>38</v>
      </c>
      <c r="J10" s="12">
        <f t="array" ref="J10:L12">MINVERSE(J6:L8)</f>
        <v>1.258322763154005</v>
      </c>
      <c r="K10" s="12">
        <v>-0.28676906275479741</v>
      </c>
      <c r="L10" s="12">
        <v>2.408261700953692E-2</v>
      </c>
    </row>
    <row r="11" spans="1:18" x14ac:dyDescent="0.25">
      <c r="J11" s="12">
        <v>-0.28676906275479691</v>
      </c>
      <c r="K11" s="12">
        <v>0.10942197944523936</v>
      </c>
      <c r="L11" s="12">
        <v>-1.1503872711900761E-2</v>
      </c>
    </row>
    <row r="12" spans="1:18" x14ac:dyDescent="0.25">
      <c r="E12" s="16">
        <v>578</v>
      </c>
      <c r="J12" s="12">
        <v>2.4082617009536858E-2</v>
      </c>
      <c r="K12" s="12">
        <v>-1.1503872711900754E-2</v>
      </c>
      <c r="L12" s="12">
        <v>1.3024476818386758E-3</v>
      </c>
    </row>
    <row r="13" spans="1:18" x14ac:dyDescent="0.25">
      <c r="E13" s="16">
        <v>862</v>
      </c>
    </row>
    <row r="14" spans="1:18" x14ac:dyDescent="0.25">
      <c r="E14" s="16">
        <v>1002</v>
      </c>
      <c r="J14" s="12">
        <f t="array" ref="J14:R16">MMULT(J10:L12,J2:R4)</f>
        <v>0.97140409385255599</v>
      </c>
      <c r="K14" s="12">
        <v>0.32213499872823037</v>
      </c>
      <c r="L14" s="12">
        <v>0.24180973984755683</v>
      </c>
      <c r="M14" s="12">
        <v>1.461683100336475E-2</v>
      </c>
      <c r="N14" s="12">
        <v>-0.13113964828033131</v>
      </c>
      <c r="O14" s="12">
        <v>-2.3398260350651956E-2</v>
      </c>
      <c r="P14" s="12">
        <v>-0.25518545846078755</v>
      </c>
      <c r="Q14" s="12">
        <v>-0.24266336788943343</v>
      </c>
      <c r="R14" s="12">
        <v>0.10242107154949531</v>
      </c>
    </row>
    <row r="15" spans="1:18" x14ac:dyDescent="0.25">
      <c r="E15" s="16">
        <v>1383</v>
      </c>
      <c r="J15" s="12">
        <v>-0.23515774427207387</v>
      </c>
      <c r="K15" s="12">
        <v>3.3239114379454704E-3</v>
      </c>
      <c r="L15" s="12">
        <v>2.2399933490109214E-2</v>
      </c>
      <c r="M15" s="12">
        <v>8.1313023948730856E-2</v>
      </c>
      <c r="N15" s="12">
        <v>0.1068378458064041</v>
      </c>
      <c r="O15" s="12">
        <v>3.3321211395984762E-2</v>
      </c>
      <c r="P15" s="12">
        <v>9.1672627087229674E-2</v>
      </c>
      <c r="Q15" s="12">
        <v>4.9859236975628773E-2</v>
      </c>
      <c r="R15" s="12">
        <v>-0.15357004586995981</v>
      </c>
    </row>
    <row r="16" spans="1:18" x14ac:dyDescent="0.25">
      <c r="E16" s="16">
        <v>1655</v>
      </c>
      <c r="J16" s="12">
        <v>2.0981803648611415E-2</v>
      </c>
      <c r="K16" s="12">
        <v>-3.7184746749758385E-3</v>
      </c>
      <c r="L16" s="12">
        <v>-5.2589471641130009E-3</v>
      </c>
      <c r="M16" s="12">
        <v>-1.0336545863470228E-2</v>
      </c>
      <c r="N16" s="12">
        <v>-1.181092233860867E-2</v>
      </c>
      <c r="O16" s="12">
        <v>-2.7797529623877909E-3</v>
      </c>
      <c r="P16" s="12">
        <v>-7.7052912510964383E-3</v>
      </c>
      <c r="Q16" s="12">
        <v>-1.8211628671486457E-3</v>
      </c>
      <c r="R16" s="12">
        <v>2.2449293473189275E-2</v>
      </c>
    </row>
    <row r="17" spans="5:10" x14ac:dyDescent="0.25">
      <c r="E17" s="16">
        <v>1984</v>
      </c>
    </row>
    <row r="18" spans="5:10" x14ac:dyDescent="0.25">
      <c r="E18" s="16">
        <v>2310</v>
      </c>
      <c r="I18" s="16" t="s">
        <v>39</v>
      </c>
      <c r="J18" s="13">
        <f t="array" ref="J18:J20">MMULT(J14:R16,E12:E20)</f>
        <v>-79.10094407159562</v>
      </c>
    </row>
    <row r="19" spans="5:10" x14ac:dyDescent="0.25">
      <c r="E19" s="16">
        <v>2618</v>
      </c>
      <c r="I19" s="16" t="s">
        <v>40</v>
      </c>
      <c r="J19" s="13">
        <v>126.04857243974436</v>
      </c>
    </row>
    <row r="20" spans="5:10" x14ac:dyDescent="0.25">
      <c r="E20" s="16">
        <v>3002</v>
      </c>
      <c r="I20" s="16" t="s">
        <v>41</v>
      </c>
      <c r="J20" s="13">
        <v>9.1208948339592197</v>
      </c>
    </row>
    <row r="22" spans="5:10" x14ac:dyDescent="0.25">
      <c r="H22" s="16" t="s">
        <v>42</v>
      </c>
      <c r="J22" s="13">
        <f>J18+18*J19+J20*150</f>
        <v>3557.9075849376859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5947-AE28-4D39-94E1-D97006EF6626}">
  <dimension ref="A1:S29"/>
  <sheetViews>
    <sheetView workbookViewId="0">
      <selection activeCell="Q29" sqref="Q29"/>
    </sheetView>
  </sheetViews>
  <sheetFormatPr defaultRowHeight="13.8" x14ac:dyDescent="0.25"/>
  <cols>
    <col min="2" max="2" width="8.88671875" customWidth="1"/>
    <col min="9" max="9" width="11.109375" customWidth="1"/>
    <col min="10" max="10" width="10.5546875" customWidth="1"/>
  </cols>
  <sheetData>
    <row r="1" spans="1:19" ht="14.4" thickBot="1" x14ac:dyDescent="0.3">
      <c r="A1" t="s">
        <v>43</v>
      </c>
      <c r="B1" t="s">
        <v>44</v>
      </c>
      <c r="F1" s="9" t="s">
        <v>45</v>
      </c>
      <c r="G1" s="21" t="s">
        <v>46</v>
      </c>
      <c r="I1" t="s">
        <v>48</v>
      </c>
      <c r="J1" t="s">
        <v>49</v>
      </c>
      <c r="N1" s="22" t="s">
        <v>47</v>
      </c>
      <c r="O1" s="22"/>
      <c r="P1" s="22"/>
      <c r="Q1" s="22"/>
      <c r="R1" s="22"/>
    </row>
    <row r="2" spans="1:19" ht="16.2" thickBot="1" x14ac:dyDescent="0.3">
      <c r="A2" s="1">
        <v>2009</v>
      </c>
      <c r="B2" s="2">
        <v>23052</v>
      </c>
      <c r="D2">
        <v>2009</v>
      </c>
      <c r="E2">
        <v>23052</v>
      </c>
      <c r="N2" s="22" t="s">
        <v>50</v>
      </c>
      <c r="O2" s="22"/>
      <c r="P2" s="22"/>
      <c r="Q2" s="22"/>
      <c r="R2" s="22"/>
    </row>
    <row r="3" spans="1:19" ht="16.2" thickBot="1" x14ac:dyDescent="0.3">
      <c r="A3" s="3">
        <v>2010</v>
      </c>
      <c r="B3" s="4">
        <v>26769</v>
      </c>
      <c r="D3">
        <v>2010</v>
      </c>
      <c r="E3">
        <v>26769</v>
      </c>
      <c r="P3" s="9" t="s">
        <v>45</v>
      </c>
      <c r="Q3" t="s">
        <v>51</v>
      </c>
    </row>
    <row r="4" spans="1:19" ht="16.2" thickBot="1" x14ac:dyDescent="0.3">
      <c r="A4" s="3">
        <v>2011</v>
      </c>
      <c r="B4" s="4">
        <v>29317</v>
      </c>
      <c r="D4">
        <v>2011</v>
      </c>
      <c r="E4">
        <v>29317</v>
      </c>
      <c r="N4">
        <v>2009</v>
      </c>
      <c r="O4">
        <v>23052</v>
      </c>
    </row>
    <row r="5" spans="1:19" ht="16.2" thickBot="1" x14ac:dyDescent="0.3">
      <c r="A5" s="3">
        <v>2012</v>
      </c>
      <c r="B5" s="4">
        <v>31936</v>
      </c>
      <c r="D5">
        <v>2012</v>
      </c>
      <c r="E5">
        <v>31936</v>
      </c>
      <c r="F5" s="19">
        <f>(E2+E3+E4)/3</f>
        <v>26379.333333333332</v>
      </c>
      <c r="G5" s="19"/>
      <c r="I5" s="19">
        <f>F5-E5</f>
        <v>-5556.6666666666679</v>
      </c>
      <c r="N5">
        <v>2010</v>
      </c>
      <c r="O5">
        <v>26769</v>
      </c>
    </row>
    <row r="6" spans="1:19" ht="16.2" thickBot="1" x14ac:dyDescent="0.3">
      <c r="A6" s="3">
        <v>2013</v>
      </c>
      <c r="B6" s="4">
        <v>35397</v>
      </c>
      <c r="D6">
        <v>2013</v>
      </c>
      <c r="E6">
        <v>35397</v>
      </c>
      <c r="F6" s="19">
        <f t="shared" ref="F6:F13" si="0">(E3+E4+E5)/3</f>
        <v>29340.666666666668</v>
      </c>
      <c r="G6" s="19"/>
      <c r="I6" s="19">
        <f t="shared" ref="I6:I12" si="1">F6-E6</f>
        <v>-6056.3333333333321</v>
      </c>
      <c r="N6">
        <v>2011</v>
      </c>
      <c r="O6">
        <v>29317</v>
      </c>
    </row>
    <row r="7" spans="1:19" ht="16.2" thickBot="1" x14ac:dyDescent="0.3">
      <c r="A7" s="3">
        <v>2014</v>
      </c>
      <c r="B7" s="4">
        <v>39195</v>
      </c>
      <c r="D7">
        <v>2014</v>
      </c>
      <c r="E7">
        <v>39195</v>
      </c>
      <c r="F7" s="19">
        <f t="shared" si="0"/>
        <v>32216.666666666668</v>
      </c>
      <c r="G7" s="19">
        <f>(E2+E3+E4+E5+E6)/5</f>
        <v>29294.2</v>
      </c>
      <c r="I7" s="19">
        <f t="shared" si="1"/>
        <v>-6978.3333333333321</v>
      </c>
      <c r="J7" s="19">
        <f>G7-E7</f>
        <v>-9900.7999999999993</v>
      </c>
      <c r="N7">
        <v>2012</v>
      </c>
      <c r="O7">
        <v>31936</v>
      </c>
      <c r="P7">
        <f>(0.5*O4+O5+1.5*O6)/3</f>
        <v>27423.5</v>
      </c>
      <c r="Q7">
        <f>P7-O7</f>
        <v>-4512.5</v>
      </c>
    </row>
    <row r="8" spans="1:19" ht="16.2" thickBot="1" x14ac:dyDescent="0.3">
      <c r="A8" s="3">
        <v>2015</v>
      </c>
      <c r="B8" s="4">
        <v>43618</v>
      </c>
      <c r="D8">
        <v>2015</v>
      </c>
      <c r="E8">
        <v>43618</v>
      </c>
      <c r="F8" s="19">
        <f t="shared" si="0"/>
        <v>35509.333333333336</v>
      </c>
      <c r="G8" s="19">
        <f t="shared" ref="G8:G13" si="2">(E3+E4+E5+E6+E7)/5</f>
        <v>32522.799999999999</v>
      </c>
      <c r="I8" s="19">
        <f t="shared" si="1"/>
        <v>-8108.6666666666642</v>
      </c>
      <c r="J8" s="19">
        <f t="shared" ref="J8:J12" si="3">G8-E8</f>
        <v>-11095.2</v>
      </c>
      <c r="N8">
        <v>2013</v>
      </c>
      <c r="O8">
        <v>35397</v>
      </c>
      <c r="P8">
        <f t="shared" ref="P8:P15" si="4">(0.5*O5+O6+1.5*O7)/3</f>
        <v>30201.833333333332</v>
      </c>
      <c r="Q8">
        <f t="shared" ref="Q8:Q14" si="5">P8-O8</f>
        <v>-5195.1666666666679</v>
      </c>
    </row>
    <row r="9" spans="1:19" ht="16.2" thickBot="1" x14ac:dyDescent="0.3">
      <c r="A9" s="3">
        <v>2016</v>
      </c>
      <c r="B9" s="4">
        <v>48796</v>
      </c>
      <c r="D9">
        <v>2016</v>
      </c>
      <c r="E9">
        <v>48796</v>
      </c>
      <c r="F9" s="19">
        <f t="shared" si="0"/>
        <v>39403.333333333336</v>
      </c>
      <c r="G9" s="19">
        <f t="shared" si="2"/>
        <v>35892.6</v>
      </c>
      <c r="I9" s="19">
        <f t="shared" si="1"/>
        <v>-9392.6666666666642</v>
      </c>
      <c r="J9" s="19">
        <f t="shared" si="3"/>
        <v>-12903.400000000001</v>
      </c>
      <c r="N9">
        <v>2014</v>
      </c>
      <c r="O9">
        <v>39195</v>
      </c>
      <c r="P9">
        <f t="shared" si="4"/>
        <v>33230</v>
      </c>
      <c r="Q9">
        <f t="shared" si="5"/>
        <v>-5965</v>
      </c>
    </row>
    <row r="10" spans="1:19" ht="16.2" thickBot="1" x14ac:dyDescent="0.3">
      <c r="A10" s="3">
        <v>2017</v>
      </c>
      <c r="B10" s="4">
        <v>55156</v>
      </c>
      <c r="D10">
        <v>2017</v>
      </c>
      <c r="E10">
        <v>55156</v>
      </c>
      <c r="F10" s="19">
        <f t="shared" si="0"/>
        <v>43869.666666666664</v>
      </c>
      <c r="G10" s="19">
        <f t="shared" si="2"/>
        <v>39788.400000000001</v>
      </c>
      <c r="I10" s="19">
        <f t="shared" si="1"/>
        <v>-11286.333333333336</v>
      </c>
      <c r="J10" s="19">
        <f t="shared" si="3"/>
        <v>-15367.599999999999</v>
      </c>
      <c r="N10">
        <v>2015</v>
      </c>
      <c r="O10">
        <v>43618</v>
      </c>
      <c r="P10">
        <f t="shared" si="4"/>
        <v>36719.166666666664</v>
      </c>
      <c r="Q10">
        <f t="shared" si="5"/>
        <v>-6898.8333333333358</v>
      </c>
    </row>
    <row r="11" spans="1:19" ht="16.2" thickBot="1" x14ac:dyDescent="0.3">
      <c r="A11" s="3">
        <v>2018</v>
      </c>
      <c r="B11" s="4">
        <v>61174</v>
      </c>
      <c r="D11">
        <v>2018</v>
      </c>
      <c r="E11">
        <v>61174</v>
      </c>
      <c r="F11" s="19">
        <f t="shared" si="0"/>
        <v>49190</v>
      </c>
      <c r="G11" s="19">
        <f t="shared" si="2"/>
        <v>44432.4</v>
      </c>
      <c r="I11" s="19">
        <f t="shared" si="1"/>
        <v>-11984</v>
      </c>
      <c r="J11" s="19">
        <f t="shared" si="3"/>
        <v>-16741.599999999999</v>
      </c>
      <c r="N11">
        <v>2016</v>
      </c>
      <c r="O11">
        <v>48796</v>
      </c>
      <c r="P11">
        <f t="shared" si="4"/>
        <v>40773.5</v>
      </c>
      <c r="Q11">
        <f t="shared" si="5"/>
        <v>-8022.5</v>
      </c>
    </row>
    <row r="12" spans="1:19" ht="16.2" thickBot="1" x14ac:dyDescent="0.3">
      <c r="A12" s="3">
        <v>2019</v>
      </c>
      <c r="B12" s="4">
        <v>65993</v>
      </c>
      <c r="D12">
        <v>2019</v>
      </c>
      <c r="E12">
        <v>65993</v>
      </c>
      <c r="F12" s="19">
        <f t="shared" si="0"/>
        <v>55042</v>
      </c>
      <c r="G12" s="19">
        <f t="shared" si="2"/>
        <v>49587.8</v>
      </c>
      <c r="I12" s="19">
        <f t="shared" si="1"/>
        <v>-10951</v>
      </c>
      <c r="J12" s="19">
        <f t="shared" si="3"/>
        <v>-16405.199999999997</v>
      </c>
      <c r="N12">
        <v>2017</v>
      </c>
      <c r="O12">
        <v>55156</v>
      </c>
      <c r="P12">
        <f t="shared" si="4"/>
        <v>45469.833333333336</v>
      </c>
      <c r="Q12">
        <f t="shared" si="5"/>
        <v>-9686.1666666666642</v>
      </c>
    </row>
    <row r="13" spans="1:19" x14ac:dyDescent="0.25">
      <c r="D13" s="9">
        <v>2020</v>
      </c>
      <c r="F13" s="20">
        <f t="shared" si="0"/>
        <v>60774.333333333336</v>
      </c>
      <c r="G13" s="20">
        <f t="shared" si="2"/>
        <v>54947.4</v>
      </c>
      <c r="N13">
        <v>2018</v>
      </c>
      <c r="O13">
        <v>61174</v>
      </c>
      <c r="P13">
        <f t="shared" si="4"/>
        <v>51113</v>
      </c>
      <c r="Q13">
        <f t="shared" si="5"/>
        <v>-10061</v>
      </c>
    </row>
    <row r="14" spans="1:19" x14ac:dyDescent="0.25">
      <c r="N14">
        <v>2019</v>
      </c>
      <c r="O14">
        <v>65993</v>
      </c>
      <c r="P14">
        <f t="shared" si="4"/>
        <v>57105</v>
      </c>
      <c r="Q14">
        <f t="shared" si="5"/>
        <v>-8888</v>
      </c>
      <c r="S14" t="s">
        <v>52</v>
      </c>
    </row>
    <row r="15" spans="1:19" x14ac:dyDescent="0.25">
      <c r="N15" s="9">
        <v>2020</v>
      </c>
      <c r="P15" s="9">
        <f t="shared" si="4"/>
        <v>62580.5</v>
      </c>
    </row>
    <row r="16" spans="1:19" x14ac:dyDescent="0.25">
      <c r="M16" t="s">
        <v>68</v>
      </c>
      <c r="N16" t="s">
        <v>69</v>
      </c>
      <c r="O16" s="8" t="s">
        <v>70</v>
      </c>
      <c r="P16" s="8" t="s">
        <v>71</v>
      </c>
    </row>
    <row r="17" spans="7:17" x14ac:dyDescent="0.25">
      <c r="G17" s="22" t="s">
        <v>67</v>
      </c>
      <c r="H17" s="22"/>
      <c r="I17" s="22"/>
      <c r="J17" s="22"/>
      <c r="K17">
        <v>2009</v>
      </c>
      <c r="L17">
        <v>23052</v>
      </c>
    </row>
    <row r="18" spans="7:17" x14ac:dyDescent="0.25">
      <c r="K18">
        <v>2010</v>
      </c>
      <c r="L18">
        <v>26769</v>
      </c>
    </row>
    <row r="19" spans="7:17" x14ac:dyDescent="0.25">
      <c r="K19">
        <v>2011</v>
      </c>
      <c r="L19">
        <v>29317</v>
      </c>
    </row>
    <row r="20" spans="7:17" x14ac:dyDescent="0.25">
      <c r="K20">
        <v>2012</v>
      </c>
      <c r="L20">
        <v>31936</v>
      </c>
      <c r="M20">
        <f>(0.5*L17+L18+1.5*L19)/3</f>
        <v>27423.5</v>
      </c>
    </row>
    <row r="21" spans="7:17" x14ac:dyDescent="0.25">
      <c r="K21">
        <v>2013</v>
      </c>
      <c r="L21">
        <v>35397</v>
      </c>
      <c r="M21">
        <f t="shared" ref="M21:M28" si="6">(0.5*L18+L19+1.5*L20)/3</f>
        <v>30201.833333333332</v>
      </c>
    </row>
    <row r="22" spans="7:17" x14ac:dyDescent="0.25">
      <c r="K22">
        <v>2014</v>
      </c>
      <c r="L22">
        <v>39195</v>
      </c>
      <c r="M22">
        <f t="shared" si="6"/>
        <v>33230</v>
      </c>
      <c r="O22">
        <f>2*M23-N23-P22</f>
        <v>39936.194444444438</v>
      </c>
      <c r="P22">
        <f>2*(M23-N23)/4</f>
        <v>3217.0277777777774</v>
      </c>
    </row>
    <row r="23" spans="7:17" x14ac:dyDescent="0.25">
      <c r="K23">
        <v>2015</v>
      </c>
      <c r="L23">
        <v>43618</v>
      </c>
      <c r="M23">
        <f t="shared" si="6"/>
        <v>36719.166666666664</v>
      </c>
      <c r="N23">
        <f>(M20+M21+M22)/3</f>
        <v>30285.111111111109</v>
      </c>
      <c r="O23">
        <f t="shared" ref="O23:O28" si="7">2*M24-N24-P23</f>
        <v>44468.416666666672</v>
      </c>
      <c r="P23">
        <f>2*(M24-N24)/4</f>
        <v>3694.9166666666679</v>
      </c>
    </row>
    <row r="24" spans="7:17" x14ac:dyDescent="0.25">
      <c r="K24">
        <v>2016</v>
      </c>
      <c r="L24">
        <v>48796</v>
      </c>
      <c r="M24">
        <f t="shared" si="6"/>
        <v>40773.5</v>
      </c>
      <c r="N24">
        <f t="shared" ref="N24:N28" si="8">(M21+M22+M23)/3</f>
        <v>33383.666666666664</v>
      </c>
      <c r="O24">
        <f t="shared" si="7"/>
        <v>49750.972222222226</v>
      </c>
      <c r="P24">
        <f t="shared" ref="P24:P28" si="9">2*(M25-N25)/4</f>
        <v>4281.1388888888905</v>
      </c>
    </row>
    <row r="25" spans="7:17" x14ac:dyDescent="0.25">
      <c r="K25">
        <v>2017</v>
      </c>
      <c r="L25">
        <v>55156</v>
      </c>
      <c r="M25">
        <f t="shared" si="6"/>
        <v>45469.833333333336</v>
      </c>
      <c r="N25">
        <f t="shared" si="8"/>
        <v>36907.555555555555</v>
      </c>
      <c r="O25">
        <f t="shared" si="7"/>
        <v>56175.75</v>
      </c>
      <c r="P25">
        <f t="shared" si="9"/>
        <v>5062.75</v>
      </c>
    </row>
    <row r="26" spans="7:17" x14ac:dyDescent="0.25">
      <c r="K26">
        <v>2018</v>
      </c>
      <c r="L26">
        <v>61174</v>
      </c>
      <c r="M26">
        <f t="shared" si="6"/>
        <v>51113</v>
      </c>
      <c r="N26">
        <f t="shared" si="8"/>
        <v>40987.5</v>
      </c>
      <c r="O26">
        <f t="shared" si="7"/>
        <v>62764.777777777781</v>
      </c>
      <c r="P26">
        <f t="shared" si="9"/>
        <v>5659.7777777777774</v>
      </c>
    </row>
    <row r="27" spans="7:17" x14ac:dyDescent="0.25">
      <c r="K27">
        <v>2019</v>
      </c>
      <c r="L27">
        <v>65993</v>
      </c>
      <c r="M27">
        <f t="shared" si="6"/>
        <v>57105</v>
      </c>
      <c r="N27">
        <f t="shared" si="8"/>
        <v>45785.444444444445</v>
      </c>
      <c r="O27" s="9">
        <f t="shared" si="7"/>
        <v>68256.111111111109</v>
      </c>
      <c r="P27" s="9">
        <f t="shared" si="9"/>
        <v>5675.6111111111095</v>
      </c>
    </row>
    <row r="28" spans="7:17" x14ac:dyDescent="0.25">
      <c r="M28">
        <f t="shared" si="6"/>
        <v>62580.5</v>
      </c>
      <c r="N28">
        <f t="shared" si="8"/>
        <v>51229.277777777781</v>
      </c>
    </row>
    <row r="29" spans="7:17" x14ac:dyDescent="0.25">
      <c r="P29" t="s">
        <v>72</v>
      </c>
      <c r="Q29" s="9">
        <f>O27+P27*1</f>
        <v>73931.722222222219</v>
      </c>
    </row>
  </sheetData>
  <mergeCells count="3">
    <mergeCell ref="N1:R1"/>
    <mergeCell ref="N2:R2"/>
    <mergeCell ref="G17:J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2CF8-27CC-460B-A72B-98F21487F7DF}">
  <dimension ref="B2:I16"/>
  <sheetViews>
    <sheetView workbookViewId="0">
      <selection activeCell="I10" sqref="I10"/>
    </sheetView>
  </sheetViews>
  <sheetFormatPr defaultRowHeight="13.8" x14ac:dyDescent="0.25"/>
  <cols>
    <col min="2" max="2" width="11.88671875" customWidth="1"/>
    <col min="3" max="3" width="11.6640625" customWidth="1"/>
    <col min="4" max="4" width="11.44140625" customWidth="1"/>
    <col min="5" max="5" width="11.88671875" customWidth="1"/>
    <col min="7" max="7" width="12.21875" customWidth="1"/>
    <col min="8" max="8" width="12.33203125" customWidth="1"/>
  </cols>
  <sheetData>
    <row r="2" spans="2:9" x14ac:dyDescent="0.25">
      <c r="B2" s="8"/>
      <c r="C2" s="8" t="s">
        <v>54</v>
      </c>
      <c r="D2" s="8" t="s">
        <v>55</v>
      </c>
      <c r="E2" s="8" t="s">
        <v>56</v>
      </c>
    </row>
    <row r="3" spans="2:9" x14ac:dyDescent="0.25">
      <c r="B3" s="8" t="s">
        <v>53</v>
      </c>
      <c r="C3" s="8">
        <v>5000</v>
      </c>
      <c r="D3" s="8">
        <v>10000</v>
      </c>
      <c r="E3" s="8">
        <v>8000</v>
      </c>
    </row>
    <row r="4" spans="2:9" x14ac:dyDescent="0.25">
      <c r="B4" s="8" t="s">
        <v>57</v>
      </c>
      <c r="C4" s="8">
        <v>7000</v>
      </c>
      <c r="D4" s="8">
        <v>8000</v>
      </c>
      <c r="E4" s="8">
        <v>7500</v>
      </c>
    </row>
    <row r="5" spans="2:9" x14ac:dyDescent="0.25">
      <c r="B5" s="8" t="s">
        <v>58</v>
      </c>
      <c r="C5" s="8">
        <v>8000</v>
      </c>
      <c r="D5" s="8">
        <v>10000</v>
      </c>
      <c r="E5" s="8">
        <v>9000</v>
      </c>
    </row>
    <row r="7" spans="2:9" x14ac:dyDescent="0.25">
      <c r="B7" s="22" t="s">
        <v>59</v>
      </c>
      <c r="C7" s="22"/>
    </row>
    <row r="9" spans="2:9" x14ac:dyDescent="0.25">
      <c r="B9" t="s">
        <v>60</v>
      </c>
      <c r="E9" t="s">
        <v>62</v>
      </c>
      <c r="H9" t="s">
        <v>63</v>
      </c>
    </row>
    <row r="10" spans="2:9" x14ac:dyDescent="0.25">
      <c r="B10" t="s">
        <v>61</v>
      </c>
      <c r="C10" s="20">
        <f>(D3+C3+4*E3)/6</f>
        <v>7833.333333333333</v>
      </c>
      <c r="E10" t="s">
        <v>61</v>
      </c>
      <c r="F10" s="20">
        <f>(C4+D4+4*E4)/6</f>
        <v>7500</v>
      </c>
      <c r="H10" t="s">
        <v>61</v>
      </c>
      <c r="I10" s="20">
        <f>(C5+D5+4*E5)/6</f>
        <v>9000</v>
      </c>
    </row>
    <row r="11" spans="2:9" x14ac:dyDescent="0.25">
      <c r="B11" t="s">
        <v>20</v>
      </c>
      <c r="C11" s="20">
        <f>POWER((D3-C3),2)/36</f>
        <v>694444.4444444445</v>
      </c>
      <c r="E11" t="s">
        <v>20</v>
      </c>
      <c r="F11" s="20">
        <f>POWER((D4-C4),2)/36</f>
        <v>27777.777777777777</v>
      </c>
      <c r="H11" t="s">
        <v>20</v>
      </c>
      <c r="I11" s="20">
        <f>POWER((D5-C5),2)/36</f>
        <v>111111.11111111111</v>
      </c>
    </row>
    <row r="14" spans="2:9" x14ac:dyDescent="0.25">
      <c r="B14" t="s">
        <v>64</v>
      </c>
    </row>
    <row r="15" spans="2:9" x14ac:dyDescent="0.25">
      <c r="C15" t="s">
        <v>65</v>
      </c>
      <c r="D15" s="20">
        <f>(C10+F10+I10)/3</f>
        <v>8111.1111111111104</v>
      </c>
    </row>
    <row r="16" spans="2:9" x14ac:dyDescent="0.25">
      <c r="C16" t="s">
        <v>66</v>
      </c>
      <c r="D16" s="20">
        <f>(C11+F11+I11)/9</f>
        <v>92592.592592592599</v>
      </c>
    </row>
  </sheetData>
  <mergeCells count="1">
    <mergeCell ref="B7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Mr.Liu</dc:creator>
  <cp:lastModifiedBy>Mr.Liu</cp:lastModifiedBy>
  <dcterms:created xsi:type="dcterms:W3CDTF">2015-06-05T18:19:34Z</dcterms:created>
  <dcterms:modified xsi:type="dcterms:W3CDTF">2021-11-01T09:37:49Z</dcterms:modified>
</cp:coreProperties>
</file>