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Liu\Desktop\预测作业\"/>
    </mc:Choice>
  </mc:AlternateContent>
  <xr:revisionPtr revIDLastSave="0" documentId="13_ncr:1_{0A7D412E-E7D0-4BB7-8363-670765EC21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单回归显著性检验" sheetId="1" r:id="rId1"/>
    <sheet name="单回归置信区间" sheetId="4" r:id="rId2"/>
    <sheet name="双回归" sheetId="3" r:id="rId3"/>
    <sheet name="指数变化拟合" sheetId="5" r:id="rId4"/>
    <sheet name="时间预测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/>
  <c r="H13" i="7"/>
  <c r="H4" i="7"/>
  <c r="H5" i="7"/>
  <c r="H6" i="7"/>
  <c r="H7" i="7"/>
  <c r="H8" i="7"/>
  <c r="H9" i="7"/>
  <c r="H10" i="7"/>
  <c r="H11" i="7"/>
  <c r="H12" i="7"/>
  <c r="H3" i="7"/>
  <c r="G13" i="7"/>
  <c r="G4" i="7"/>
  <c r="G5" i="7"/>
  <c r="G6" i="7"/>
  <c r="G7" i="7"/>
  <c r="G8" i="7"/>
  <c r="G9" i="7"/>
  <c r="G10" i="7"/>
  <c r="G11" i="7"/>
  <c r="G12" i="7"/>
  <c r="G3" i="7"/>
  <c r="F4" i="7"/>
  <c r="F5" i="7"/>
  <c r="F6" i="7"/>
  <c r="F7" i="7"/>
  <c r="F8" i="7"/>
  <c r="F9" i="7"/>
  <c r="F10" i="7"/>
  <c r="F11" i="7"/>
  <c r="F12" i="7"/>
  <c r="F3" i="7"/>
  <c r="E16" i="7"/>
  <c r="C14" i="7"/>
  <c r="E15" i="7"/>
  <c r="E13" i="7"/>
  <c r="D13" i="7"/>
  <c r="E4" i="7"/>
  <c r="E5" i="7"/>
  <c r="E6" i="7"/>
  <c r="E7" i="7"/>
  <c r="E8" i="7"/>
  <c r="E9" i="7"/>
  <c r="E10" i="7"/>
  <c r="E11" i="7"/>
  <c r="E12" i="7"/>
  <c r="E3" i="7"/>
  <c r="D4" i="7"/>
  <c r="D5" i="7"/>
  <c r="D6" i="7"/>
  <c r="D7" i="7"/>
  <c r="D8" i="7"/>
  <c r="D9" i="7"/>
  <c r="D10" i="7"/>
  <c r="D11" i="7"/>
  <c r="D12" i="7"/>
  <c r="D3" i="7"/>
  <c r="C13" i="7"/>
  <c r="B14" i="7"/>
  <c r="B13" i="7"/>
  <c r="G31" i="6"/>
  <c r="G30" i="6"/>
  <c r="G29" i="6"/>
  <c r="F25" i="6"/>
  <c r="F26" i="6"/>
  <c r="F27" i="6"/>
  <c r="F24" i="6"/>
  <c r="E25" i="6"/>
  <c r="E26" i="6"/>
  <c r="E27" i="6"/>
  <c r="E24" i="6"/>
  <c r="D26" i="6"/>
  <c r="D27" i="6"/>
  <c r="D28" i="6"/>
  <c r="D25" i="6"/>
  <c r="C28" i="6"/>
  <c r="C23" i="6"/>
  <c r="C24" i="6"/>
  <c r="C25" i="6"/>
  <c r="C26" i="6"/>
  <c r="C27" i="6"/>
  <c r="C22" i="6"/>
  <c r="L12" i="6"/>
  <c r="J12" i="6"/>
  <c r="I13" i="6" s="1"/>
  <c r="J13" i="6" s="1"/>
  <c r="I14" i="6" s="1"/>
  <c r="J14" i="6" s="1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H5" i="6"/>
  <c r="H6" i="6"/>
  <c r="H7" i="6"/>
  <c r="H8" i="6"/>
  <c r="H9" i="6"/>
  <c r="H10" i="6"/>
  <c r="H11" i="6"/>
  <c r="H12" i="6"/>
  <c r="H13" i="6"/>
  <c r="H14" i="6"/>
  <c r="H4" i="6"/>
  <c r="D7" i="6"/>
  <c r="D8" i="6"/>
  <c r="D9" i="6"/>
  <c r="D10" i="6"/>
  <c r="D11" i="6"/>
  <c r="D12" i="6"/>
  <c r="D13" i="6"/>
  <c r="D14" i="6"/>
  <c r="D6" i="6"/>
  <c r="G34" i="3" a="1"/>
  <c r="G34" i="3" s="1"/>
  <c r="G29" i="3" a="1"/>
  <c r="H29" i="3" s="1"/>
  <c r="C29" i="3" a="1"/>
  <c r="C29" i="3" s="1"/>
  <c r="C25" i="3" a="1"/>
  <c r="C26" i="3" s="1"/>
  <c r="K21" i="5"/>
  <c r="K17" i="4"/>
  <c r="N22" i="5"/>
  <c r="N21" i="5"/>
  <c r="K20" i="5"/>
  <c r="G25" i="5"/>
  <c r="F25" i="5"/>
  <c r="G18" i="5"/>
  <c r="G19" i="5"/>
  <c r="G20" i="5"/>
  <c r="G21" i="5"/>
  <c r="G22" i="5"/>
  <c r="G23" i="5"/>
  <c r="G24" i="5"/>
  <c r="G17" i="5"/>
  <c r="F18" i="5"/>
  <c r="F19" i="5"/>
  <c r="F20" i="5"/>
  <c r="F21" i="5"/>
  <c r="F22" i="5"/>
  <c r="F23" i="5"/>
  <c r="F24" i="5"/>
  <c r="F17" i="5"/>
  <c r="E26" i="5"/>
  <c r="E25" i="5"/>
  <c r="D26" i="5"/>
  <c r="D25" i="5"/>
  <c r="E18" i="5"/>
  <c r="E19" i="5"/>
  <c r="E20" i="5"/>
  <c r="E21" i="5"/>
  <c r="E22" i="5"/>
  <c r="E23" i="5"/>
  <c r="E24" i="5"/>
  <c r="E17" i="5"/>
  <c r="K16" i="4"/>
  <c r="F26" i="4"/>
  <c r="F25" i="4"/>
  <c r="F23" i="4"/>
  <c r="F17" i="4"/>
  <c r="F18" i="4"/>
  <c r="F19" i="4"/>
  <c r="F20" i="4"/>
  <c r="F21" i="4"/>
  <c r="F22" i="4"/>
  <c r="F16" i="4"/>
  <c r="E17" i="4"/>
  <c r="E18" i="4"/>
  <c r="E19" i="4"/>
  <c r="E20" i="4"/>
  <c r="E21" i="4"/>
  <c r="E22" i="4"/>
  <c r="E16" i="4"/>
  <c r="D17" i="4"/>
  <c r="D18" i="4"/>
  <c r="D19" i="4"/>
  <c r="D20" i="4"/>
  <c r="D21" i="4"/>
  <c r="D22" i="4"/>
  <c r="D16" i="4"/>
  <c r="C12" i="4"/>
  <c r="C13" i="4"/>
  <c r="E9" i="4"/>
  <c r="E3" i="4"/>
  <c r="E4" i="4"/>
  <c r="E5" i="4"/>
  <c r="E6" i="4"/>
  <c r="E7" i="4"/>
  <c r="E8" i="4"/>
  <c r="E2" i="4"/>
  <c r="D9" i="4"/>
  <c r="C10" i="4"/>
  <c r="B10" i="4"/>
  <c r="C9" i="4"/>
  <c r="B9" i="4"/>
  <c r="D3" i="4"/>
  <c r="D4" i="4"/>
  <c r="D5" i="4"/>
  <c r="D6" i="4"/>
  <c r="D7" i="4"/>
  <c r="D8" i="4"/>
  <c r="D2" i="4"/>
  <c r="D21" i="3" a="1"/>
  <c r="F21" i="3" s="1"/>
  <c r="C19" i="3"/>
  <c r="C18" i="3"/>
  <c r="C17" i="3"/>
  <c r="C16" i="3"/>
  <c r="C15" i="3"/>
  <c r="C14" i="3"/>
  <c r="C13" i="3"/>
  <c r="C12" i="3"/>
  <c r="C3" i="3"/>
  <c r="C4" i="3"/>
  <c r="C5" i="3"/>
  <c r="C6" i="3"/>
  <c r="C7" i="3"/>
  <c r="C8" i="3"/>
  <c r="C9" i="3"/>
  <c r="C2" i="3"/>
  <c r="L16" i="1"/>
  <c r="K16" i="1"/>
  <c r="L13" i="1"/>
  <c r="L12" i="1"/>
  <c r="L11" i="1"/>
  <c r="L3" i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D21" i="1"/>
  <c r="G2" i="1"/>
  <c r="D23" i="1"/>
  <c r="C17" i="1"/>
  <c r="D20" i="1"/>
  <c r="E16" i="1"/>
  <c r="D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B17" i="1"/>
  <c r="C16" i="1"/>
  <c r="B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6" i="1" s="1"/>
  <c r="G36" i="3" l="1"/>
  <c r="G35" i="3"/>
  <c r="M31" i="3"/>
  <c r="M30" i="3"/>
  <c r="M29" i="3"/>
  <c r="L31" i="3"/>
  <c r="L30" i="3"/>
  <c r="L29" i="3"/>
  <c r="G31" i="3"/>
  <c r="G29" i="3"/>
  <c r="N31" i="3"/>
  <c r="N29" i="3"/>
  <c r="K30" i="3"/>
  <c r="J31" i="3"/>
  <c r="J30" i="3"/>
  <c r="J29" i="3"/>
  <c r="G30" i="3"/>
  <c r="N30" i="3"/>
  <c r="K31" i="3"/>
  <c r="K29" i="3"/>
  <c r="I31" i="3"/>
  <c r="I30" i="3"/>
  <c r="I29" i="3"/>
  <c r="H31" i="3"/>
  <c r="H30" i="3"/>
  <c r="C31" i="3"/>
  <c r="E30" i="3"/>
  <c r="C30" i="3"/>
  <c r="D31" i="3"/>
  <c r="E29" i="3"/>
  <c r="D30" i="3"/>
  <c r="D29" i="3"/>
  <c r="E31" i="3"/>
  <c r="C27" i="3"/>
  <c r="E25" i="3"/>
  <c r="D25" i="3"/>
  <c r="E27" i="3"/>
  <c r="C25" i="3"/>
  <c r="D27" i="3"/>
  <c r="E26" i="3"/>
  <c r="D26" i="3"/>
  <c r="J23" i="3"/>
  <c r="J22" i="3"/>
  <c r="J21" i="3"/>
  <c r="E23" i="3"/>
  <c r="E22" i="3"/>
  <c r="E21" i="3"/>
  <c r="D23" i="3"/>
  <c r="D22" i="3"/>
  <c r="D21" i="3"/>
  <c r="K23" i="3"/>
  <c r="K22" i="3"/>
  <c r="K21" i="3"/>
  <c r="I23" i="3"/>
  <c r="I22" i="3"/>
  <c r="I21" i="3"/>
  <c r="H23" i="3"/>
  <c r="H22" i="3"/>
  <c r="H21" i="3"/>
  <c r="G23" i="3"/>
  <c r="G22" i="3"/>
  <c r="G21" i="3"/>
  <c r="F23" i="3"/>
  <c r="F22" i="3"/>
</calcChain>
</file>

<file path=xl/sharedStrings.xml><?xml version="1.0" encoding="utf-8"?>
<sst xmlns="http://schemas.openxmlformats.org/spreadsheetml/2006/main" count="86" uniqueCount="62">
  <si>
    <t>X</t>
    <phoneticPr fontId="1" type="noConversion"/>
  </si>
  <si>
    <t>Y</t>
    <phoneticPr fontId="1" type="noConversion"/>
  </si>
  <si>
    <t>XY</t>
    <phoneticPr fontId="1" type="noConversion"/>
  </si>
  <si>
    <t>求和</t>
    <phoneticPr fontId="1" type="noConversion"/>
  </si>
  <si>
    <t>平均值</t>
    <phoneticPr fontId="1" type="noConversion"/>
  </si>
  <si>
    <t>XX</t>
    <phoneticPr fontId="1" type="noConversion"/>
  </si>
  <si>
    <t>b</t>
    <phoneticPr fontId="1" type="noConversion"/>
  </si>
  <si>
    <t>a</t>
    <phoneticPr fontId="1" type="noConversion"/>
  </si>
  <si>
    <t>显著性检验</t>
    <phoneticPr fontId="1" type="noConversion"/>
  </si>
  <si>
    <t>F</t>
    <phoneticPr fontId="1" type="noConversion"/>
  </si>
  <si>
    <t>U</t>
    <phoneticPr fontId="1" type="noConversion"/>
  </si>
  <si>
    <t>Q</t>
    <phoneticPr fontId="1" type="noConversion"/>
  </si>
  <si>
    <t>R</t>
    <phoneticPr fontId="1" type="noConversion"/>
  </si>
  <si>
    <t>Yi</t>
    <phoneticPr fontId="1" type="noConversion"/>
  </si>
  <si>
    <t>F(1-12)</t>
    <phoneticPr fontId="1" type="noConversion"/>
  </si>
  <si>
    <t>X=9.2</t>
    <phoneticPr fontId="1" type="noConversion"/>
  </si>
  <si>
    <t>方差</t>
    <phoneticPr fontId="1" type="noConversion"/>
  </si>
  <si>
    <t>标准差</t>
    <phoneticPr fontId="1" type="noConversion"/>
  </si>
  <si>
    <t>X*X</t>
    <phoneticPr fontId="1" type="noConversion"/>
  </si>
  <si>
    <t>求和</t>
  </si>
  <si>
    <t>xx</t>
    <phoneticPr fontId="1" type="noConversion"/>
  </si>
  <si>
    <t>xy</t>
    <phoneticPr fontId="1" type="noConversion"/>
  </si>
  <si>
    <t>y</t>
    <phoneticPr fontId="1" type="noConversion"/>
  </si>
  <si>
    <t>x</t>
    <phoneticPr fontId="1" type="noConversion"/>
  </si>
  <si>
    <t>b=</t>
    <phoneticPr fontId="1" type="noConversion"/>
  </si>
  <si>
    <t>a=</t>
    <phoneticPr fontId="1" type="noConversion"/>
  </si>
  <si>
    <t>yi</t>
    <phoneticPr fontId="1" type="noConversion"/>
  </si>
  <si>
    <t>y-yi</t>
    <phoneticPr fontId="1" type="noConversion"/>
  </si>
  <si>
    <t>（y-yi）平方</t>
    <phoneticPr fontId="1" type="noConversion"/>
  </si>
  <si>
    <t>方差=</t>
    <phoneticPr fontId="1" type="noConversion"/>
  </si>
  <si>
    <t>标准差=</t>
    <phoneticPr fontId="1" type="noConversion"/>
  </si>
  <si>
    <t>即：</t>
    <phoneticPr fontId="1" type="noConversion"/>
  </si>
  <si>
    <t>x1=</t>
    <phoneticPr fontId="1" type="noConversion"/>
  </si>
  <si>
    <t>x2=</t>
    <phoneticPr fontId="1" type="noConversion"/>
  </si>
  <si>
    <t>即在（x1，x2）范围内即可</t>
    <phoneticPr fontId="1" type="noConversion"/>
  </si>
  <si>
    <t>年份x</t>
    <phoneticPr fontId="1" type="noConversion"/>
  </si>
  <si>
    <t>生产量y</t>
    <phoneticPr fontId="1" type="noConversion"/>
  </si>
  <si>
    <t>将自变量转化：</t>
    <phoneticPr fontId="1" type="noConversion"/>
  </si>
  <si>
    <t>x1</t>
    <phoneticPr fontId="1" type="noConversion"/>
  </si>
  <si>
    <t>对于该拟合指数曲线，可以转化为：lny=lna+lnb*x</t>
    <phoneticPr fontId="1" type="noConversion"/>
  </si>
  <si>
    <t>即设y1=lny</t>
    <phoneticPr fontId="1" type="noConversion"/>
  </si>
  <si>
    <t>y1</t>
    <phoneticPr fontId="1" type="noConversion"/>
  </si>
  <si>
    <t>均值</t>
    <phoneticPr fontId="1" type="noConversion"/>
  </si>
  <si>
    <t>x1*y1</t>
    <phoneticPr fontId="1" type="noConversion"/>
  </si>
  <si>
    <t>x1*x1</t>
    <phoneticPr fontId="1" type="noConversion"/>
  </si>
  <si>
    <t>若求2006年的产量则令x=2006，此时x1=9</t>
    <phoneticPr fontId="1" type="noConversion"/>
  </si>
  <si>
    <t>y1=</t>
    <phoneticPr fontId="1" type="noConversion"/>
  </si>
  <si>
    <t>y=</t>
    <phoneticPr fontId="1" type="noConversion"/>
  </si>
  <si>
    <t>lnb=</t>
    <phoneticPr fontId="1" type="noConversion"/>
  </si>
  <si>
    <t>lna=</t>
    <phoneticPr fontId="1" type="noConversion"/>
  </si>
  <si>
    <t>N=3</t>
    <phoneticPr fontId="1" type="noConversion"/>
  </si>
  <si>
    <t>移动平均法</t>
    <phoneticPr fontId="1" type="noConversion"/>
  </si>
  <si>
    <t>指数平滑预测法</t>
    <phoneticPr fontId="1" type="noConversion"/>
  </si>
  <si>
    <t>a*上月实际销售</t>
    <phoneticPr fontId="1" type="noConversion"/>
  </si>
  <si>
    <t>本月预测</t>
    <phoneticPr fontId="1" type="noConversion"/>
  </si>
  <si>
    <t>二次移动平均</t>
    <phoneticPr fontId="1" type="noConversion"/>
  </si>
  <si>
    <t>例题1</t>
    <phoneticPr fontId="1" type="noConversion"/>
  </si>
  <si>
    <t>平均数</t>
    <phoneticPr fontId="1" type="noConversion"/>
  </si>
  <si>
    <t>x*y</t>
    <phoneticPr fontId="1" type="noConversion"/>
  </si>
  <si>
    <t>x*x</t>
    <phoneticPr fontId="1" type="noConversion"/>
  </si>
  <si>
    <t>则F（1，8）</t>
    <phoneticPr fontId="1" type="noConversion"/>
  </si>
  <si>
    <t>F=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</si>
</sst>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workbookViewId="0">
      <selection activeCell="L8" sqref="L8"/>
    </sheetView>
  </sheetViews>
  <sheetFormatPr defaultRowHeight="13.8" x14ac:dyDescent="0.25"/>
  <cols>
    <col min="10" max="10" width="12.77734375" customWidth="1"/>
    <col min="11" max="11" width="10.77734375" customWidth="1"/>
    <col min="12" max="12" width="9.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5</v>
      </c>
      <c r="G1" t="s">
        <v>13</v>
      </c>
      <c r="K1" t="s">
        <v>8</v>
      </c>
    </row>
    <row r="2" spans="1:12" x14ac:dyDescent="0.25">
      <c r="B2" s="2">
        <v>2.8</v>
      </c>
      <c r="C2" s="2">
        <v>6.7</v>
      </c>
      <c r="D2">
        <f>B2*C2</f>
        <v>18.759999999999998</v>
      </c>
      <c r="E2">
        <f>B2*B2</f>
        <v>7.839999999999999</v>
      </c>
      <c r="G2">
        <f>D21*B2+D23</f>
        <v>7.1241278723657606</v>
      </c>
      <c r="H2">
        <f>(C2-G2)*(C2-G2)</f>
        <v>0.17988445211750678</v>
      </c>
      <c r="I2">
        <f>(G2-9.435714)*(G2-9.435714)</f>
        <v>5.3434304254710616</v>
      </c>
    </row>
    <row r="3" spans="1:12" x14ac:dyDescent="0.25">
      <c r="B3" s="2">
        <v>2.8</v>
      </c>
      <c r="C3" s="2">
        <v>6.9</v>
      </c>
      <c r="D3">
        <f t="shared" ref="D3:D15" si="0">B3*C3</f>
        <v>19.32</v>
      </c>
      <c r="E3">
        <f t="shared" ref="E3:E15" si="1">B3*B3</f>
        <v>7.839999999999999</v>
      </c>
      <c r="G3">
        <f>1.431956*B3+3.114651</f>
        <v>7.1241278000000001</v>
      </c>
      <c r="H3">
        <f t="shared" ref="H3:H15" si="2">(C3-G3)*(C3-G3)</f>
        <v>5.0233270732839896E-2</v>
      </c>
      <c r="I3">
        <f t="shared" ref="I3:I15" si="3">(G3-9.435714)*(G3-9.435714)</f>
        <v>5.3434307600304436</v>
      </c>
      <c r="K3" t="s">
        <v>9</v>
      </c>
      <c r="L3" s="1">
        <f>L4/(L5/12)</f>
        <v>300.33670780356624</v>
      </c>
    </row>
    <row r="4" spans="1:12" x14ac:dyDescent="0.25">
      <c r="B4" s="2">
        <v>3</v>
      </c>
      <c r="C4" s="2">
        <v>7.2</v>
      </c>
      <c r="D4">
        <f t="shared" si="0"/>
        <v>21.6</v>
      </c>
      <c r="E4">
        <f t="shared" si="1"/>
        <v>9</v>
      </c>
      <c r="G4">
        <f t="shared" ref="G4:G15" si="4">1.431956*B4+3.114651</f>
        <v>7.4105190000000007</v>
      </c>
      <c r="H4">
        <f t="shared" si="2"/>
        <v>4.4318249361000241E-2</v>
      </c>
      <c r="I4">
        <f t="shared" si="3"/>
        <v>4.101414788025</v>
      </c>
      <c r="K4" t="s">
        <v>10</v>
      </c>
      <c r="L4">
        <v>49.206090000000003</v>
      </c>
    </row>
    <row r="5" spans="1:12" x14ac:dyDescent="0.25">
      <c r="B5" s="2">
        <v>2.9</v>
      </c>
      <c r="C5" s="2">
        <v>7.3</v>
      </c>
      <c r="D5">
        <f t="shared" si="0"/>
        <v>21.169999999999998</v>
      </c>
      <c r="E5">
        <f t="shared" si="1"/>
        <v>8.41</v>
      </c>
      <c r="G5">
        <f t="shared" si="4"/>
        <v>7.2673234000000004</v>
      </c>
      <c r="H5">
        <f t="shared" si="2"/>
        <v>1.06776018755996E-3</v>
      </c>
      <c r="I5">
        <f t="shared" si="3"/>
        <v>4.7019177941683621</v>
      </c>
      <c r="K5" t="s">
        <v>11</v>
      </c>
      <c r="L5">
        <v>1.966037</v>
      </c>
    </row>
    <row r="6" spans="1:12" x14ac:dyDescent="0.25">
      <c r="B6" s="2">
        <v>3.4</v>
      </c>
      <c r="C6" s="2">
        <v>8.4</v>
      </c>
      <c r="D6">
        <f t="shared" si="0"/>
        <v>28.56</v>
      </c>
      <c r="E6">
        <f t="shared" si="1"/>
        <v>11.559999999999999</v>
      </c>
      <c r="G6">
        <f t="shared" si="4"/>
        <v>7.9833014000000002</v>
      </c>
      <c r="H6">
        <f t="shared" si="2"/>
        <v>0.17363772324196011</v>
      </c>
      <c r="I6">
        <f t="shared" si="3"/>
        <v>2.109502360638762</v>
      </c>
      <c r="K6" t="s">
        <v>12</v>
      </c>
    </row>
    <row r="7" spans="1:12" x14ac:dyDescent="0.25">
      <c r="B7" s="2">
        <v>3.9</v>
      </c>
      <c r="C7" s="2">
        <v>8.8000000000000007</v>
      </c>
      <c r="D7">
        <f t="shared" si="0"/>
        <v>34.32</v>
      </c>
      <c r="E7">
        <f t="shared" si="1"/>
        <v>15.209999999999999</v>
      </c>
      <c r="G7">
        <f t="shared" si="4"/>
        <v>8.6992794</v>
      </c>
      <c r="H7">
        <f t="shared" si="2"/>
        <v>1.0144639264360144E-2</v>
      </c>
      <c r="I7">
        <f t="shared" si="3"/>
        <v>0.54233592007716125</v>
      </c>
    </row>
    <row r="8" spans="1:12" x14ac:dyDescent="0.25">
      <c r="B8" s="2">
        <v>4</v>
      </c>
      <c r="C8" s="2">
        <v>9.1</v>
      </c>
      <c r="D8">
        <f t="shared" si="0"/>
        <v>36.4</v>
      </c>
      <c r="E8">
        <f t="shared" si="1"/>
        <v>16</v>
      </c>
      <c r="G8">
        <f t="shared" si="4"/>
        <v>8.8424750000000003</v>
      </c>
      <c r="H8">
        <f t="shared" si="2"/>
        <v>6.6319125624999656E-2</v>
      </c>
      <c r="I8">
        <f t="shared" si="3"/>
        <v>0.3519325111210006</v>
      </c>
      <c r="K8" t="s">
        <v>14</v>
      </c>
      <c r="L8" s="1">
        <v>4.75</v>
      </c>
    </row>
    <row r="9" spans="1:12" x14ac:dyDescent="0.25">
      <c r="B9" s="2">
        <v>4.8</v>
      </c>
      <c r="C9" s="2">
        <v>9.8000000000000007</v>
      </c>
      <c r="D9">
        <f t="shared" si="0"/>
        <v>47.04</v>
      </c>
      <c r="E9">
        <f t="shared" si="1"/>
        <v>23.04</v>
      </c>
      <c r="G9">
        <f t="shared" si="4"/>
        <v>9.9880397999999992</v>
      </c>
      <c r="H9">
        <f t="shared" si="2"/>
        <v>3.5358966384039452E-2</v>
      </c>
      <c r="I9">
        <f t="shared" si="3"/>
        <v>0.30506378934563827</v>
      </c>
    </row>
    <row r="10" spans="1:12" x14ac:dyDescent="0.25">
      <c r="B10" s="2">
        <v>4.9000000000000004</v>
      </c>
      <c r="C10" s="2">
        <v>9.8000000000000007</v>
      </c>
      <c r="D10">
        <f t="shared" si="0"/>
        <v>48.02000000000001</v>
      </c>
      <c r="E10">
        <f t="shared" si="1"/>
        <v>24.010000000000005</v>
      </c>
      <c r="G10">
        <f t="shared" si="4"/>
        <v>10.1312354</v>
      </c>
      <c r="H10">
        <f t="shared" si="2"/>
        <v>0.10971689021315924</v>
      </c>
      <c r="I10">
        <f t="shared" si="3"/>
        <v>0.48375001785795824</v>
      </c>
    </row>
    <row r="11" spans="1:12" x14ac:dyDescent="0.25">
      <c r="B11" s="2">
        <v>5.2</v>
      </c>
      <c r="C11" s="2">
        <v>10.7</v>
      </c>
      <c r="D11">
        <f t="shared" si="0"/>
        <v>55.64</v>
      </c>
      <c r="E11">
        <f t="shared" si="1"/>
        <v>27.040000000000003</v>
      </c>
      <c r="G11">
        <f t="shared" si="4"/>
        <v>10.5608222</v>
      </c>
      <c r="H11">
        <f t="shared" si="2"/>
        <v>1.9370460012839666E-2</v>
      </c>
      <c r="I11">
        <f t="shared" si="3"/>
        <v>1.2658684617072393</v>
      </c>
      <c r="K11" t="s">
        <v>15</v>
      </c>
      <c r="L11" s="1">
        <f>D21*9.2+D23</f>
        <v>16.288647458030702</v>
      </c>
    </row>
    <row r="12" spans="1:12" x14ac:dyDescent="0.25">
      <c r="B12" s="2">
        <v>5.4</v>
      </c>
      <c r="C12" s="2">
        <v>11.1</v>
      </c>
      <c r="D12">
        <f t="shared" si="0"/>
        <v>59.940000000000005</v>
      </c>
      <c r="E12">
        <f t="shared" si="1"/>
        <v>29.160000000000004</v>
      </c>
      <c r="G12">
        <f t="shared" si="4"/>
        <v>10.847213400000001</v>
      </c>
      <c r="H12">
        <f t="shared" si="2"/>
        <v>6.390106513955926E-2</v>
      </c>
      <c r="I12">
        <f t="shared" si="3"/>
        <v>1.9923305562003608</v>
      </c>
      <c r="K12" t="s">
        <v>16</v>
      </c>
      <c r="L12">
        <f>L5/12</f>
        <v>0.16383641666666668</v>
      </c>
    </row>
    <row r="13" spans="1:12" x14ac:dyDescent="0.25">
      <c r="B13" s="2">
        <v>5.5</v>
      </c>
      <c r="C13" s="2">
        <v>11.8</v>
      </c>
      <c r="D13">
        <f t="shared" si="0"/>
        <v>64.900000000000006</v>
      </c>
      <c r="E13">
        <f t="shared" si="1"/>
        <v>30.25</v>
      </c>
      <c r="G13">
        <f t="shared" si="4"/>
        <v>10.990409</v>
      </c>
      <c r="H13">
        <f t="shared" si="2"/>
        <v>0.65543758728100177</v>
      </c>
      <c r="I13">
        <f t="shared" si="3"/>
        <v>2.4170765430249963</v>
      </c>
      <c r="K13" t="s">
        <v>17</v>
      </c>
      <c r="L13">
        <f>POWER(L12,0.5)</f>
        <v>0.40476711411213567</v>
      </c>
    </row>
    <row r="14" spans="1:12" x14ac:dyDescent="0.25">
      <c r="B14" s="2">
        <v>6.2</v>
      </c>
      <c r="C14" s="2">
        <v>12.1</v>
      </c>
      <c r="D14">
        <f t="shared" si="0"/>
        <v>75.02</v>
      </c>
      <c r="E14">
        <f t="shared" si="1"/>
        <v>38.440000000000005</v>
      </c>
      <c r="G14">
        <f t="shared" si="4"/>
        <v>11.9927782</v>
      </c>
      <c r="H14">
        <f t="shared" si="2"/>
        <v>1.1496514395239911E-2</v>
      </c>
      <c r="I14">
        <f t="shared" si="3"/>
        <v>6.5385773229216362</v>
      </c>
    </row>
    <row r="15" spans="1:12" x14ac:dyDescent="0.25">
      <c r="B15" s="2">
        <v>7</v>
      </c>
      <c r="C15" s="2">
        <v>12.4</v>
      </c>
      <c r="D15">
        <f t="shared" si="0"/>
        <v>86.8</v>
      </c>
      <c r="E15">
        <f t="shared" si="1"/>
        <v>49</v>
      </c>
      <c r="G15">
        <f t="shared" si="4"/>
        <v>13.138343000000001</v>
      </c>
      <c r="H15">
        <f t="shared" si="2"/>
        <v>0.54515038564900065</v>
      </c>
      <c r="I15">
        <f t="shared" si="3"/>
        <v>13.709461511640999</v>
      </c>
    </row>
    <row r="16" spans="1:12" x14ac:dyDescent="0.25">
      <c r="A16" t="s">
        <v>3</v>
      </c>
      <c r="B16">
        <f>SUM(B2:B15)</f>
        <v>61.800000000000004</v>
      </c>
      <c r="C16">
        <f>SUM(C2:C15)</f>
        <v>132.1</v>
      </c>
      <c r="D16" s="3">
        <f>SUM(D2:D15)</f>
        <v>617.4899999999999</v>
      </c>
      <c r="E16">
        <f>SUM(E2:E15)</f>
        <v>296.8</v>
      </c>
      <c r="H16">
        <f>SUM(H2:H15)</f>
        <v>1.966037089605067</v>
      </c>
      <c r="I16">
        <f>SUM(I2:I15)</f>
        <v>49.206092762230611</v>
      </c>
      <c r="K16">
        <f>L11-2*L13</f>
        <v>15.479113229806432</v>
      </c>
      <c r="L16">
        <f>L11+2*L13</f>
        <v>17.098181686254975</v>
      </c>
    </row>
    <row r="17" spans="1:4" x14ac:dyDescent="0.25">
      <c r="A17" t="s">
        <v>4</v>
      </c>
      <c r="B17">
        <f>AVERAGE(B2:B15)</f>
        <v>4.4142857142857146</v>
      </c>
      <c r="C17">
        <f>AVERAGE(C2:C15)</f>
        <v>9.4357142857142851</v>
      </c>
    </row>
    <row r="19" spans="1:4" x14ac:dyDescent="0.25">
      <c r="D19">
        <f>D16-B17*C16</f>
        <v>34.362857142857024</v>
      </c>
    </row>
    <row r="20" spans="1:4" x14ac:dyDescent="0.25">
      <c r="D20">
        <f>E16-B17*B16</f>
        <v>23.997142857142819</v>
      </c>
    </row>
    <row r="21" spans="1:4" x14ac:dyDescent="0.25">
      <c r="C21" t="s">
        <v>6</v>
      </c>
      <c r="D21">
        <f>D19/D20</f>
        <v>1.4319561852601472</v>
      </c>
    </row>
    <row r="23" spans="1:4" x14ac:dyDescent="0.25">
      <c r="C23" t="s">
        <v>7</v>
      </c>
      <c r="D23">
        <f>C17-D21*B17</f>
        <v>3.1146505536373486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A2B5-E4CF-40A9-B198-383CF7F85E47}">
  <sheetPr codeName="Sheet4"/>
  <dimension ref="A1:K26"/>
  <sheetViews>
    <sheetView tabSelected="1" workbookViewId="0">
      <selection activeCell="F25" sqref="F25"/>
    </sheetView>
  </sheetViews>
  <sheetFormatPr defaultRowHeight="13.8" x14ac:dyDescent="0.25"/>
  <cols>
    <col min="6" max="6" width="13.6640625" customWidth="1"/>
  </cols>
  <sheetData>
    <row r="1" spans="1:11" x14ac:dyDescent="0.25">
      <c r="B1" t="s">
        <v>23</v>
      </c>
      <c r="C1" t="s">
        <v>22</v>
      </c>
      <c r="D1" t="s">
        <v>21</v>
      </c>
      <c r="E1" t="s">
        <v>20</v>
      </c>
    </row>
    <row r="2" spans="1:11" x14ac:dyDescent="0.25">
      <c r="B2">
        <v>1.5</v>
      </c>
      <c r="C2">
        <v>35</v>
      </c>
      <c r="D2">
        <f>B2*C2</f>
        <v>52.5</v>
      </c>
      <c r="E2">
        <f>B2*B2</f>
        <v>2.25</v>
      </c>
    </row>
    <row r="3" spans="1:11" x14ac:dyDescent="0.25">
      <c r="B3">
        <v>1.8</v>
      </c>
      <c r="C3">
        <v>32</v>
      </c>
      <c r="D3">
        <f t="shared" ref="D3:D8" si="0">B3*C3</f>
        <v>57.6</v>
      </c>
      <c r="E3">
        <f t="shared" ref="E3:E8" si="1">B3*B3</f>
        <v>3.24</v>
      </c>
    </row>
    <row r="4" spans="1:11" x14ac:dyDescent="0.25">
      <c r="B4">
        <v>2</v>
      </c>
      <c r="C4">
        <v>30</v>
      </c>
      <c r="D4">
        <f t="shared" si="0"/>
        <v>60</v>
      </c>
      <c r="E4">
        <f t="shared" si="1"/>
        <v>4</v>
      </c>
    </row>
    <row r="5" spans="1:11" x14ac:dyDescent="0.25">
      <c r="B5">
        <v>2.1</v>
      </c>
      <c r="C5">
        <v>29</v>
      </c>
      <c r="D5">
        <f t="shared" si="0"/>
        <v>60.900000000000006</v>
      </c>
      <c r="E5">
        <f t="shared" si="1"/>
        <v>4.41</v>
      </c>
    </row>
    <row r="6" spans="1:11" x14ac:dyDescent="0.25">
      <c r="B6">
        <v>2.2999999999999998</v>
      </c>
      <c r="C6">
        <v>27</v>
      </c>
      <c r="D6">
        <f t="shared" si="0"/>
        <v>62.099999999999994</v>
      </c>
      <c r="E6">
        <f t="shared" si="1"/>
        <v>5.2899999999999991</v>
      </c>
    </row>
    <row r="7" spans="1:11" x14ac:dyDescent="0.25">
      <c r="B7">
        <v>2.5</v>
      </c>
      <c r="C7">
        <v>24</v>
      </c>
      <c r="D7">
        <f t="shared" si="0"/>
        <v>60</v>
      </c>
      <c r="E7">
        <f t="shared" si="1"/>
        <v>6.25</v>
      </c>
    </row>
    <row r="8" spans="1:11" x14ac:dyDescent="0.25">
      <c r="B8">
        <v>2.8</v>
      </c>
      <c r="C8">
        <v>21</v>
      </c>
      <c r="D8">
        <f t="shared" si="0"/>
        <v>58.8</v>
      </c>
      <c r="E8">
        <f t="shared" si="1"/>
        <v>7.839999999999999</v>
      </c>
    </row>
    <row r="9" spans="1:11" x14ac:dyDescent="0.25">
      <c r="A9" t="s">
        <v>19</v>
      </c>
      <c r="B9">
        <f>SUM(B2:B8)</f>
        <v>15</v>
      </c>
      <c r="C9">
        <f>SUM(C2:C8)</f>
        <v>198</v>
      </c>
      <c r="D9">
        <f>SUM(D2:D8)</f>
        <v>411.90000000000003</v>
      </c>
      <c r="E9">
        <f>SUM(E2:E8)</f>
        <v>33.279999999999994</v>
      </c>
    </row>
    <row r="10" spans="1:11" x14ac:dyDescent="0.25">
      <c r="A10" t="s">
        <v>4</v>
      </c>
      <c r="B10">
        <f>AVERAGE(B2:B8)</f>
        <v>2.1428571428571428</v>
      </c>
      <c r="C10">
        <f>AVERAGE(C2:C8)</f>
        <v>28.285714285714285</v>
      </c>
    </row>
    <row r="12" spans="1:11" x14ac:dyDescent="0.25">
      <c r="B12" s="4" t="s">
        <v>24</v>
      </c>
      <c r="C12" s="1">
        <f>(D9-B10*C9)/(E9-B9*B10)</f>
        <v>-10.891959798994955</v>
      </c>
    </row>
    <row r="13" spans="1:11" x14ac:dyDescent="0.25">
      <c r="B13" s="4" t="s">
        <v>25</v>
      </c>
      <c r="C13" s="1">
        <f>C10-C12*B10</f>
        <v>51.625628140703469</v>
      </c>
    </row>
    <row r="15" spans="1:11" x14ac:dyDescent="0.25">
      <c r="B15" t="s">
        <v>23</v>
      </c>
      <c r="C15" t="s">
        <v>22</v>
      </c>
      <c r="D15" t="s">
        <v>26</v>
      </c>
      <c r="E15" t="s">
        <v>27</v>
      </c>
      <c r="F15" t="s">
        <v>28</v>
      </c>
    </row>
    <row r="16" spans="1:11" x14ac:dyDescent="0.25">
      <c r="B16">
        <v>1.5</v>
      </c>
      <c r="C16">
        <v>35</v>
      </c>
      <c r="D16">
        <f t="shared" ref="D16:D22" si="2">51.62563+(-10.892)*B16</f>
        <v>35.28763</v>
      </c>
      <c r="E16">
        <f>C16-D16</f>
        <v>-0.28763000000000005</v>
      </c>
      <c r="F16">
        <f>E16*E16</f>
        <v>8.2731016900000023E-2</v>
      </c>
      <c r="I16" t="s">
        <v>31</v>
      </c>
      <c r="J16" t="s">
        <v>32</v>
      </c>
      <c r="K16" s="1">
        <f>(18+2*F26-C13)/C12</f>
        <v>3.027761108017021</v>
      </c>
    </row>
    <row r="17" spans="1:11" x14ac:dyDescent="0.25">
      <c r="B17">
        <v>1.8</v>
      </c>
      <c r="C17">
        <v>32</v>
      </c>
      <c r="D17">
        <f t="shared" si="2"/>
        <v>32.020030000000006</v>
      </c>
      <c r="E17">
        <f t="shared" ref="E17:E22" si="3">C17-D17</f>
        <v>-2.0030000000005543E-2</v>
      </c>
      <c r="F17">
        <f t="shared" ref="F17:F22" si="4">E17*E17</f>
        <v>4.0120090000022207E-4</v>
      </c>
      <c r="J17" t="s">
        <v>33</v>
      </c>
      <c r="K17" s="1">
        <f>(20-2*F26-C13)/C12</f>
        <v>2.9630116716830961</v>
      </c>
    </row>
    <row r="18" spans="1:11" x14ac:dyDescent="0.25">
      <c r="B18">
        <v>2</v>
      </c>
      <c r="C18">
        <v>30</v>
      </c>
      <c r="D18">
        <f t="shared" si="2"/>
        <v>29.841630000000002</v>
      </c>
      <c r="E18">
        <f t="shared" si="3"/>
        <v>0.1583699999999979</v>
      </c>
      <c r="F18">
        <f t="shared" si="4"/>
        <v>2.5081056899999336E-2</v>
      </c>
    </row>
    <row r="19" spans="1:11" x14ac:dyDescent="0.25">
      <c r="B19">
        <v>2.1</v>
      </c>
      <c r="C19">
        <v>29</v>
      </c>
      <c r="D19">
        <f t="shared" si="2"/>
        <v>28.75243</v>
      </c>
      <c r="E19">
        <f t="shared" si="3"/>
        <v>0.24756999999999962</v>
      </c>
      <c r="F19">
        <f t="shared" si="4"/>
        <v>6.1290904899999811E-2</v>
      </c>
    </row>
    <row r="20" spans="1:11" x14ac:dyDescent="0.25">
      <c r="B20">
        <v>2.2999999999999998</v>
      </c>
      <c r="C20">
        <v>27</v>
      </c>
      <c r="D20">
        <f t="shared" si="2"/>
        <v>26.574030000000004</v>
      </c>
      <c r="E20">
        <f t="shared" si="3"/>
        <v>0.42596999999999596</v>
      </c>
      <c r="F20">
        <f t="shared" si="4"/>
        <v>0.18145044089999657</v>
      </c>
    </row>
    <row r="21" spans="1:11" x14ac:dyDescent="0.25">
      <c r="B21">
        <v>2.5</v>
      </c>
      <c r="C21">
        <v>24</v>
      </c>
      <c r="D21">
        <f t="shared" si="2"/>
        <v>24.395630000000004</v>
      </c>
      <c r="E21">
        <f t="shared" si="3"/>
        <v>-0.39563000000000415</v>
      </c>
      <c r="F21">
        <f t="shared" si="4"/>
        <v>0.15652309690000327</v>
      </c>
    </row>
    <row r="22" spans="1:11" x14ac:dyDescent="0.25">
      <c r="B22">
        <v>2.8</v>
      </c>
      <c r="C22">
        <v>21</v>
      </c>
      <c r="D22">
        <f t="shared" si="2"/>
        <v>21.128030000000006</v>
      </c>
      <c r="E22">
        <f t="shared" si="3"/>
        <v>-0.12803000000000608</v>
      </c>
      <c r="F22">
        <f t="shared" si="4"/>
        <v>1.6391680900001558E-2</v>
      </c>
      <c r="J22" t="s">
        <v>34</v>
      </c>
    </row>
    <row r="23" spans="1:11" x14ac:dyDescent="0.25">
      <c r="A23" t="s">
        <v>3</v>
      </c>
      <c r="F23">
        <f>SUM(F16:F22)</f>
        <v>0.52386939830000068</v>
      </c>
    </row>
    <row r="25" spans="1:11" x14ac:dyDescent="0.25">
      <c r="E25" t="s">
        <v>29</v>
      </c>
      <c r="F25">
        <f>F23/5</f>
        <v>0.10477387966000014</v>
      </c>
    </row>
    <row r="26" spans="1:11" x14ac:dyDescent="0.25">
      <c r="E26" t="s">
        <v>30</v>
      </c>
      <c r="F26" s="1">
        <f>POWER(F25,0.5)</f>
        <v>0.32368793561082893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CAEA-FE7C-44DD-B08F-EF209C66132F}">
  <sheetPr codeName="Sheet3"/>
  <dimension ref="A1:N36"/>
  <sheetViews>
    <sheetView topLeftCell="A10" workbookViewId="0">
      <selection activeCell="G39" sqref="G39"/>
    </sheetView>
  </sheetViews>
  <sheetFormatPr defaultRowHeight="13.8" x14ac:dyDescent="0.25"/>
  <cols>
    <col min="3" max="4" width="9.109375" bestFit="1" customWidth="1"/>
    <col min="7" max="7" width="9.109375" bestFit="1" customWidth="1"/>
  </cols>
  <sheetData>
    <row r="1" spans="1:6" x14ac:dyDescent="0.25">
      <c r="B1" t="s">
        <v>0</v>
      </c>
      <c r="C1" t="s">
        <v>18</v>
      </c>
      <c r="D1" t="s">
        <v>1</v>
      </c>
    </row>
    <row r="2" spans="1:6" x14ac:dyDescent="0.25">
      <c r="B2">
        <v>1.2</v>
      </c>
      <c r="C2">
        <f>POWER(B2,2)</f>
        <v>1.44</v>
      </c>
      <c r="D2">
        <v>4.5</v>
      </c>
    </row>
    <row r="3" spans="1:6" x14ac:dyDescent="0.25">
      <c r="B3">
        <v>1.8</v>
      </c>
      <c r="C3">
        <f t="shared" ref="C3:C9" si="0">POWER(B3,2)</f>
        <v>3.24</v>
      </c>
      <c r="D3">
        <v>5.9</v>
      </c>
    </row>
    <row r="4" spans="1:6" x14ac:dyDescent="0.25">
      <c r="B4">
        <v>3.1</v>
      </c>
      <c r="C4">
        <f t="shared" si="0"/>
        <v>9.6100000000000012</v>
      </c>
      <c r="D4">
        <v>7</v>
      </c>
    </row>
    <row r="5" spans="1:6" x14ac:dyDescent="0.25">
      <c r="B5">
        <v>4.9000000000000004</v>
      </c>
      <c r="C5">
        <f t="shared" si="0"/>
        <v>24.010000000000005</v>
      </c>
      <c r="D5">
        <v>7.8</v>
      </c>
    </row>
    <row r="6" spans="1:6" x14ac:dyDescent="0.25">
      <c r="B6">
        <v>5.7</v>
      </c>
      <c r="C6">
        <f t="shared" si="0"/>
        <v>32.49</v>
      </c>
      <c r="D6">
        <v>7.2</v>
      </c>
    </row>
    <row r="7" spans="1:6" x14ac:dyDescent="0.25">
      <c r="B7">
        <v>7.1</v>
      </c>
      <c r="C7">
        <f t="shared" si="0"/>
        <v>50.41</v>
      </c>
      <c r="D7">
        <v>6.8</v>
      </c>
    </row>
    <row r="8" spans="1:6" x14ac:dyDescent="0.25">
      <c r="B8">
        <v>8.6</v>
      </c>
      <c r="C8">
        <f t="shared" si="0"/>
        <v>73.959999999999994</v>
      </c>
      <c r="D8">
        <v>4.5</v>
      </c>
    </row>
    <row r="9" spans="1:6" x14ac:dyDescent="0.25">
      <c r="B9">
        <v>9.8000000000000007</v>
      </c>
      <c r="C9">
        <f t="shared" si="0"/>
        <v>96.04000000000002</v>
      </c>
      <c r="D9">
        <v>2.7</v>
      </c>
    </row>
    <row r="12" spans="1:6" x14ac:dyDescent="0.25">
      <c r="A12">
        <v>1</v>
      </c>
      <c r="B12">
        <v>1.2</v>
      </c>
      <c r="C12">
        <f>POWER(B12,2)</f>
        <v>1.44</v>
      </c>
      <c r="F12">
        <v>4.5</v>
      </c>
    </row>
    <row r="13" spans="1:6" x14ac:dyDescent="0.25">
      <c r="A13">
        <v>1</v>
      </c>
      <c r="B13">
        <v>1.8</v>
      </c>
      <c r="C13">
        <f t="shared" ref="C13:C19" si="1">POWER(B13,2)</f>
        <v>3.24</v>
      </c>
      <c r="F13">
        <v>5.9</v>
      </c>
    </row>
    <row r="14" spans="1:6" x14ac:dyDescent="0.25">
      <c r="A14">
        <v>1</v>
      </c>
      <c r="B14">
        <v>3.1</v>
      </c>
      <c r="C14">
        <f t="shared" si="1"/>
        <v>9.6100000000000012</v>
      </c>
      <c r="F14">
        <v>7</v>
      </c>
    </row>
    <row r="15" spans="1:6" x14ac:dyDescent="0.25">
      <c r="A15">
        <v>1</v>
      </c>
      <c r="B15">
        <v>4.9000000000000004</v>
      </c>
      <c r="C15">
        <f t="shared" si="1"/>
        <v>24.010000000000005</v>
      </c>
      <c r="F15">
        <v>7.8</v>
      </c>
    </row>
    <row r="16" spans="1:6" x14ac:dyDescent="0.25">
      <c r="A16">
        <v>1</v>
      </c>
      <c r="B16">
        <v>5.7</v>
      </c>
      <c r="C16">
        <f t="shared" si="1"/>
        <v>32.49</v>
      </c>
      <c r="F16">
        <v>7.2</v>
      </c>
    </row>
    <row r="17" spans="1:14" x14ac:dyDescent="0.25">
      <c r="A17">
        <v>1</v>
      </c>
      <c r="B17">
        <v>7.1</v>
      </c>
      <c r="C17">
        <f t="shared" si="1"/>
        <v>50.41</v>
      </c>
      <c r="F17">
        <v>6.8</v>
      </c>
    </row>
    <row r="18" spans="1:14" x14ac:dyDescent="0.25">
      <c r="A18">
        <v>1</v>
      </c>
      <c r="B18">
        <v>8.6</v>
      </c>
      <c r="C18">
        <f t="shared" si="1"/>
        <v>73.959999999999994</v>
      </c>
      <c r="F18">
        <v>4.5</v>
      </c>
    </row>
    <row r="19" spans="1:14" x14ac:dyDescent="0.25">
      <c r="A19">
        <v>1</v>
      </c>
      <c r="B19">
        <v>9.8000000000000007</v>
      </c>
      <c r="C19">
        <f t="shared" si="1"/>
        <v>96.04000000000002</v>
      </c>
      <c r="F19">
        <v>2.7</v>
      </c>
    </row>
    <row r="21" spans="1:14" x14ac:dyDescent="0.25">
      <c r="D21">
        <f t="array" ref="D21:K23">TRANSPOSE(A12:C19)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4" x14ac:dyDescent="0.25">
      <c r="D22">
        <v>1.2</v>
      </c>
      <c r="E22">
        <v>1.8</v>
      </c>
      <c r="F22">
        <v>3.1</v>
      </c>
      <c r="G22">
        <v>4.9000000000000004</v>
      </c>
      <c r="H22">
        <v>5.7</v>
      </c>
      <c r="I22">
        <v>7.1</v>
      </c>
      <c r="J22">
        <v>8.6</v>
      </c>
      <c r="K22">
        <v>9.8000000000000007</v>
      </c>
    </row>
    <row r="23" spans="1:14" x14ac:dyDescent="0.25">
      <c r="D23">
        <v>1.44</v>
      </c>
      <c r="E23">
        <v>3.24</v>
      </c>
      <c r="F23">
        <v>9.6100000000000012</v>
      </c>
      <c r="G23">
        <v>24.010000000000005</v>
      </c>
      <c r="H23">
        <v>32.49</v>
      </c>
      <c r="I23">
        <v>50.41</v>
      </c>
      <c r="J23">
        <v>73.959999999999994</v>
      </c>
      <c r="K23">
        <v>96.04000000000002</v>
      </c>
    </row>
    <row r="25" spans="1:14" x14ac:dyDescent="0.25">
      <c r="C25">
        <f t="array" ref="C25:E27">MMULT(D21:K23,A12:C19)</f>
        <v>8</v>
      </c>
      <c r="D25">
        <v>42.2</v>
      </c>
      <c r="E25">
        <v>291.20000000000005</v>
      </c>
    </row>
    <row r="26" spans="1:14" x14ac:dyDescent="0.25">
      <c r="C26">
        <v>42.2</v>
      </c>
      <c r="D26">
        <v>291.20000000000005</v>
      </c>
      <c r="E26">
        <v>2275.3519999999999</v>
      </c>
    </row>
    <row r="27" spans="1:14" x14ac:dyDescent="0.25">
      <c r="C27">
        <v>291.20000000000005</v>
      </c>
      <c r="D27">
        <v>2275.3519999999999</v>
      </c>
      <c r="E27">
        <v>18971.934800000003</v>
      </c>
    </row>
    <row r="29" spans="1:14" x14ac:dyDescent="0.25">
      <c r="C29">
        <f t="array" ref="C29:E31">MINVERSE(C25:E27)</f>
        <v>1.563643652191852</v>
      </c>
      <c r="D29">
        <v>-0.62128446801478054</v>
      </c>
      <c r="E29">
        <v>5.0511865840277871E-2</v>
      </c>
      <c r="G29">
        <f t="array" ref="G29:N31">MMULT(C29:E31,D21:K23)</f>
        <v>0.89083937738411545</v>
      </c>
      <c r="H29">
        <v>0.60899005508774717</v>
      </c>
      <c r="I29">
        <v>0.12308083207110265</v>
      </c>
      <c r="J29">
        <v>-0.26786034225550104</v>
      </c>
      <c r="K29">
        <v>-0.33654729434176889</v>
      </c>
      <c r="L29">
        <v>-0.30117291370468235</v>
      </c>
      <c r="M29">
        <v>-4.3545175188309138E-2</v>
      </c>
      <c r="N29">
        <v>0.32621546094729048</v>
      </c>
    </row>
    <row r="30" spans="1:14" x14ac:dyDescent="0.25">
      <c r="C30">
        <v>-0.62128446801478043</v>
      </c>
      <c r="D30">
        <v>0.30146682962498589</v>
      </c>
      <c r="E30">
        <v>-2.6619589512555497E-2</v>
      </c>
      <c r="G30">
        <v>-0.29785648136287729</v>
      </c>
      <c r="H30">
        <v>-0.16489164471048559</v>
      </c>
      <c r="I30">
        <v>5.7448448607017477E-2</v>
      </c>
      <c r="J30">
        <v>0.21676665295119302</v>
      </c>
      <c r="K30">
        <v>0.23220599758471094</v>
      </c>
      <c r="L30">
        <v>0.17723651499469684</v>
      </c>
      <c r="M30">
        <v>2.5454264114936898E-3</v>
      </c>
      <c r="N30">
        <v>-0.22345491447574872</v>
      </c>
    </row>
    <row r="31" spans="1:14" x14ac:dyDescent="0.25">
      <c r="C31">
        <v>5.0511865840277878E-2</v>
      </c>
      <c r="D31">
        <v>-2.6619589512555497E-2</v>
      </c>
      <c r="E31">
        <v>2.4699579351223177E-3</v>
      </c>
      <c r="G31">
        <v>2.2125097851787422E-2</v>
      </c>
      <c r="H31">
        <v>1.0599268427474292E-2</v>
      </c>
      <c r="I31">
        <v>-8.2725658921186905E-3</v>
      </c>
      <c r="J31">
        <v>-2.062043274895721E-2</v>
      </c>
      <c r="K31">
        <v>-2.0970861069164348E-2</v>
      </c>
      <c r="L31">
        <v>-1.3976640189350104E-2</v>
      </c>
      <c r="M31">
        <v>4.2614849139472333E-3</v>
      </c>
      <c r="N31">
        <v>2.6854648706381434E-2</v>
      </c>
    </row>
    <row r="34" spans="7:7" x14ac:dyDescent="0.25">
      <c r="G34">
        <f t="array" ref="G34:G36">MMULT(G29:N31,D2:D9)</f>
        <v>2.5877858019087556</v>
      </c>
    </row>
    <row r="35" spans="7:7" x14ac:dyDescent="0.25">
      <c r="G35">
        <v>2.0649217976846717</v>
      </c>
    </row>
    <row r="36" spans="7:7" x14ac:dyDescent="0.25">
      <c r="G36">
        <v>-0.2109958319971269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026-FA56-450E-B0EA-43C15B5FF220}">
  <sheetPr codeName="Sheet5"/>
  <dimension ref="C2:N26"/>
  <sheetViews>
    <sheetView workbookViewId="0">
      <selection activeCell="J11" sqref="J11"/>
    </sheetView>
  </sheetViews>
  <sheetFormatPr defaultRowHeight="13.8" x14ac:dyDescent="0.25"/>
  <cols>
    <col min="10" max="10" width="7.88671875" customWidth="1"/>
    <col min="14" max="14" width="9.109375" bestFit="1" customWidth="1"/>
  </cols>
  <sheetData>
    <row r="2" spans="3:14" x14ac:dyDescent="0.25">
      <c r="C2" t="s">
        <v>35</v>
      </c>
      <c r="D2" t="s">
        <v>36</v>
      </c>
      <c r="I2" s="4" t="s">
        <v>38</v>
      </c>
      <c r="J2" s="4" t="s">
        <v>22</v>
      </c>
    </row>
    <row r="3" spans="3:14" x14ac:dyDescent="0.25">
      <c r="C3">
        <v>1998</v>
      </c>
      <c r="D3">
        <v>1</v>
      </c>
      <c r="I3">
        <v>1</v>
      </c>
      <c r="J3">
        <v>1</v>
      </c>
    </row>
    <row r="4" spans="3:14" x14ac:dyDescent="0.25">
      <c r="C4">
        <v>1999</v>
      </c>
      <c r="D4">
        <v>1.2</v>
      </c>
      <c r="I4">
        <v>2</v>
      </c>
      <c r="J4">
        <v>1.2</v>
      </c>
    </row>
    <row r="5" spans="3:14" x14ac:dyDescent="0.25">
      <c r="C5">
        <v>2000</v>
      </c>
      <c r="D5">
        <v>1.8</v>
      </c>
      <c r="F5" t="s">
        <v>37</v>
      </c>
      <c r="I5">
        <v>3</v>
      </c>
      <c r="J5">
        <v>1.8</v>
      </c>
    </row>
    <row r="6" spans="3:14" x14ac:dyDescent="0.25">
      <c r="C6">
        <v>2001</v>
      </c>
      <c r="D6">
        <v>2.5</v>
      </c>
      <c r="I6">
        <v>4</v>
      </c>
      <c r="J6">
        <v>2.5</v>
      </c>
    </row>
    <row r="7" spans="3:14" x14ac:dyDescent="0.25">
      <c r="C7">
        <v>2002</v>
      </c>
      <c r="D7">
        <v>3.6</v>
      </c>
      <c r="I7">
        <v>5</v>
      </c>
      <c r="J7">
        <v>3.6</v>
      </c>
    </row>
    <row r="8" spans="3:14" x14ac:dyDescent="0.25">
      <c r="C8">
        <v>2003</v>
      </c>
      <c r="D8">
        <v>4.7</v>
      </c>
      <c r="I8">
        <v>6</v>
      </c>
      <c r="J8">
        <v>4.7</v>
      </c>
    </row>
    <row r="9" spans="3:14" x14ac:dyDescent="0.25">
      <c r="C9">
        <v>2004</v>
      </c>
      <c r="D9">
        <v>6.6</v>
      </c>
      <c r="I9">
        <v>7</v>
      </c>
      <c r="J9">
        <v>6.6</v>
      </c>
    </row>
    <row r="10" spans="3:14" x14ac:dyDescent="0.25">
      <c r="C10">
        <v>2005</v>
      </c>
      <c r="D10">
        <v>9.1</v>
      </c>
      <c r="I10">
        <v>8</v>
      </c>
      <c r="J10">
        <v>9.1</v>
      </c>
    </row>
    <row r="13" spans="3:14" x14ac:dyDescent="0.25">
      <c r="C13" t="s">
        <v>39</v>
      </c>
    </row>
    <row r="14" spans="3:14" x14ac:dyDescent="0.25">
      <c r="C14" t="s">
        <v>40</v>
      </c>
    </row>
    <row r="15" spans="3:14" x14ac:dyDescent="0.25">
      <c r="C15" t="s">
        <v>31</v>
      </c>
    </row>
    <row r="16" spans="3:14" x14ac:dyDescent="0.25">
      <c r="D16" s="4" t="s">
        <v>38</v>
      </c>
      <c r="E16" s="4" t="s">
        <v>41</v>
      </c>
      <c r="F16" s="5" t="s">
        <v>43</v>
      </c>
      <c r="G16" s="5" t="s">
        <v>44</v>
      </c>
      <c r="N16" s="4"/>
    </row>
    <row r="17" spans="3:14" x14ac:dyDescent="0.25">
      <c r="D17">
        <v>1</v>
      </c>
      <c r="E17">
        <f>LN(J3)</f>
        <v>0</v>
      </c>
      <c r="F17">
        <f>D17*E17</f>
        <v>0</v>
      </c>
      <c r="G17">
        <f>D17*D17</f>
        <v>1</v>
      </c>
    </row>
    <row r="18" spans="3:14" x14ac:dyDescent="0.25">
      <c r="D18">
        <v>2</v>
      </c>
      <c r="E18">
        <f t="shared" ref="E18:E24" si="0">LN(J4)</f>
        <v>0.18232155679395459</v>
      </c>
      <c r="F18">
        <f t="shared" ref="F18:F24" si="1">D18*E18</f>
        <v>0.36464311358790918</v>
      </c>
      <c r="G18">
        <f t="shared" ref="G18:G24" si="2">D18*D18</f>
        <v>4</v>
      </c>
    </row>
    <row r="19" spans="3:14" x14ac:dyDescent="0.25">
      <c r="D19">
        <v>3</v>
      </c>
      <c r="E19">
        <f t="shared" si="0"/>
        <v>0.58778666490211906</v>
      </c>
      <c r="F19">
        <f t="shared" si="1"/>
        <v>1.7633599947063572</v>
      </c>
      <c r="G19">
        <f t="shared" si="2"/>
        <v>9</v>
      </c>
    </row>
    <row r="20" spans="3:14" x14ac:dyDescent="0.25">
      <c r="D20">
        <v>4</v>
      </c>
      <c r="E20">
        <f t="shared" si="0"/>
        <v>0.91629073187415511</v>
      </c>
      <c r="F20">
        <f t="shared" si="1"/>
        <v>3.6651629274966204</v>
      </c>
      <c r="G20">
        <f t="shared" si="2"/>
        <v>16</v>
      </c>
      <c r="I20" t="s">
        <v>31</v>
      </c>
      <c r="J20" s="4" t="s">
        <v>48</v>
      </c>
      <c r="K20" s="1">
        <f>(F25-D26*E25)/(G25-D25*D26)</f>
        <v>0.32411466667715888</v>
      </c>
      <c r="M20" t="s">
        <v>45</v>
      </c>
    </row>
    <row r="21" spans="3:14" x14ac:dyDescent="0.25">
      <c r="D21">
        <v>5</v>
      </c>
      <c r="E21">
        <f t="shared" si="0"/>
        <v>1.2809338454620642</v>
      </c>
      <c r="F21">
        <f t="shared" si="1"/>
        <v>6.404669227310321</v>
      </c>
      <c r="G21">
        <f t="shared" si="2"/>
        <v>25</v>
      </c>
      <c r="J21" s="4" t="s">
        <v>49</v>
      </c>
      <c r="K21" s="1">
        <f>E26-K20*D26</f>
        <v>-0.38223607875927867</v>
      </c>
      <c r="M21" s="4" t="s">
        <v>46</v>
      </c>
      <c r="N21">
        <f>K21+K20*9</f>
        <v>2.5347959213351512</v>
      </c>
    </row>
    <row r="22" spans="3:14" x14ac:dyDescent="0.25">
      <c r="D22">
        <v>6</v>
      </c>
      <c r="E22">
        <f t="shared" si="0"/>
        <v>1.547562508716013</v>
      </c>
      <c r="F22">
        <f t="shared" si="1"/>
        <v>9.2853750522960787</v>
      </c>
      <c r="G22">
        <f t="shared" si="2"/>
        <v>36</v>
      </c>
      <c r="M22" s="4" t="s">
        <v>47</v>
      </c>
      <c r="N22" s="1">
        <f>POWER(2.718281828459,N21)</f>
        <v>12.613856366381063</v>
      </c>
    </row>
    <row r="23" spans="3:14" x14ac:dyDescent="0.25">
      <c r="D23">
        <v>7</v>
      </c>
      <c r="E23">
        <f t="shared" si="0"/>
        <v>1.8870696490323797</v>
      </c>
      <c r="F23">
        <f t="shared" si="1"/>
        <v>13.209487543226658</v>
      </c>
      <c r="G23">
        <f t="shared" si="2"/>
        <v>49</v>
      </c>
    </row>
    <row r="24" spans="3:14" x14ac:dyDescent="0.25">
      <c r="D24">
        <v>8</v>
      </c>
      <c r="E24">
        <f t="shared" si="0"/>
        <v>2.2082744135228043</v>
      </c>
      <c r="F24">
        <f t="shared" si="1"/>
        <v>17.666195308182434</v>
      </c>
      <c r="G24">
        <f t="shared" si="2"/>
        <v>64</v>
      </c>
    </row>
    <row r="25" spans="3:14" x14ac:dyDescent="0.25">
      <c r="C25" t="s">
        <v>3</v>
      </c>
      <c r="D25">
        <f>SUM(D17:D24)</f>
        <v>36</v>
      </c>
      <c r="E25">
        <f>SUM(E17:E24)</f>
        <v>8.610239370303491</v>
      </c>
      <c r="F25">
        <f>SUM(F17:F24)</f>
        <v>52.358893166806382</v>
      </c>
      <c r="G25">
        <f>SUM(G17:G24)</f>
        <v>204</v>
      </c>
    </row>
    <row r="26" spans="3:14" x14ac:dyDescent="0.25">
      <c r="C26" t="s">
        <v>42</v>
      </c>
      <c r="D26">
        <f>AVERAGE(D17:D24)</f>
        <v>4.5</v>
      </c>
      <c r="E26">
        <f>AVERAGE(E17:E24)</f>
        <v>1.0762799212879364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8B0B-4C9C-4402-853E-5A384330B2B1}">
  <dimension ref="A1:L31"/>
  <sheetViews>
    <sheetView topLeftCell="A7" workbookViewId="0">
      <selection activeCell="S31" sqref="S31"/>
    </sheetView>
  </sheetViews>
  <sheetFormatPr defaultRowHeight="13.8" x14ac:dyDescent="0.25"/>
  <cols>
    <col min="8" max="8" width="14.33203125" customWidth="1"/>
  </cols>
  <sheetData>
    <row r="1" spans="2:12" x14ac:dyDescent="0.25">
      <c r="B1" t="s">
        <v>51</v>
      </c>
      <c r="F1" t="s">
        <v>52</v>
      </c>
    </row>
    <row r="2" spans="2:12" x14ac:dyDescent="0.25">
      <c r="B2" t="s">
        <v>23</v>
      </c>
      <c r="C2" t="s">
        <v>22</v>
      </c>
      <c r="D2" t="s">
        <v>50</v>
      </c>
      <c r="F2" t="s">
        <v>23</v>
      </c>
      <c r="G2" t="s">
        <v>22</v>
      </c>
      <c r="H2" t="s">
        <v>53</v>
      </c>
      <c r="J2" t="s">
        <v>54</v>
      </c>
    </row>
    <row r="3" spans="2:12" x14ac:dyDescent="0.25">
      <c r="B3">
        <v>1</v>
      </c>
      <c r="C3">
        <v>20</v>
      </c>
      <c r="F3">
        <v>1</v>
      </c>
      <c r="G3">
        <v>10</v>
      </c>
      <c r="J3">
        <v>11</v>
      </c>
    </row>
    <row r="4" spans="2:12" x14ac:dyDescent="0.25">
      <c r="B4">
        <v>2</v>
      </c>
      <c r="C4">
        <v>21</v>
      </c>
      <c r="F4">
        <v>2</v>
      </c>
      <c r="G4">
        <v>12</v>
      </c>
      <c r="H4">
        <f>0.4*G3</f>
        <v>4</v>
      </c>
      <c r="I4">
        <f>0.6*J3</f>
        <v>6.6</v>
      </c>
      <c r="J4">
        <f>H4+I4</f>
        <v>10.6</v>
      </c>
    </row>
    <row r="5" spans="2:12" x14ac:dyDescent="0.25">
      <c r="B5">
        <v>3</v>
      </c>
      <c r="C5">
        <v>23</v>
      </c>
      <c r="F5">
        <v>3</v>
      </c>
      <c r="G5">
        <v>13</v>
      </c>
      <c r="H5">
        <f t="shared" ref="H5:H14" si="0">0.4*G4</f>
        <v>4.8000000000000007</v>
      </c>
      <c r="I5">
        <f>0.6*J4</f>
        <v>6.3599999999999994</v>
      </c>
      <c r="J5">
        <f>H5+I5</f>
        <v>11.16</v>
      </c>
    </row>
    <row r="6" spans="2:12" x14ac:dyDescent="0.25">
      <c r="B6">
        <v>4</v>
      </c>
      <c r="C6">
        <v>24</v>
      </c>
      <c r="D6">
        <f>(C3+C4+C5)/3</f>
        <v>21.333333333333332</v>
      </c>
      <c r="F6">
        <v>4</v>
      </c>
      <c r="G6">
        <v>16</v>
      </c>
      <c r="H6">
        <f t="shared" si="0"/>
        <v>5.2</v>
      </c>
      <c r="I6">
        <f>0.6*J5</f>
        <v>6.6959999999999997</v>
      </c>
      <c r="J6">
        <f>H6+I6</f>
        <v>11.896000000000001</v>
      </c>
    </row>
    <row r="7" spans="2:12" x14ac:dyDescent="0.25">
      <c r="B7">
        <v>5</v>
      </c>
      <c r="C7">
        <v>25</v>
      </c>
      <c r="D7">
        <f t="shared" ref="D7:D14" si="1">(C4+C5+C6)/3</f>
        <v>22.666666666666668</v>
      </c>
      <c r="F7">
        <v>5</v>
      </c>
      <c r="G7">
        <v>19</v>
      </c>
      <c r="H7">
        <f t="shared" si="0"/>
        <v>6.4</v>
      </c>
      <c r="I7">
        <f>0.6*J6</f>
        <v>7.1375999999999999</v>
      </c>
      <c r="J7">
        <f>H7+I7</f>
        <v>13.537600000000001</v>
      </c>
    </row>
    <row r="8" spans="2:12" x14ac:dyDescent="0.25">
      <c r="B8">
        <v>6</v>
      </c>
      <c r="C8">
        <v>27</v>
      </c>
      <c r="D8">
        <f t="shared" si="1"/>
        <v>24</v>
      </c>
      <c r="F8">
        <v>6</v>
      </c>
      <c r="G8">
        <v>23</v>
      </c>
      <c r="H8">
        <f t="shared" si="0"/>
        <v>7.6000000000000005</v>
      </c>
      <c r="I8">
        <f>0.6*J7</f>
        <v>8.12256</v>
      </c>
      <c r="J8">
        <f>H8+I8</f>
        <v>15.722560000000001</v>
      </c>
    </row>
    <row r="9" spans="2:12" x14ac:dyDescent="0.25">
      <c r="B9">
        <v>7</v>
      </c>
      <c r="C9">
        <v>26</v>
      </c>
      <c r="D9">
        <f t="shared" si="1"/>
        <v>25.333333333333332</v>
      </c>
      <c r="F9">
        <v>7</v>
      </c>
      <c r="G9">
        <v>26</v>
      </c>
      <c r="H9">
        <f t="shared" si="0"/>
        <v>9.2000000000000011</v>
      </c>
      <c r="I9">
        <f>0.6*J8</f>
        <v>9.4335360000000001</v>
      </c>
      <c r="J9">
        <f>H9+I9</f>
        <v>18.633535999999999</v>
      </c>
    </row>
    <row r="10" spans="2:12" x14ac:dyDescent="0.25">
      <c r="B10">
        <v>8</v>
      </c>
      <c r="C10">
        <v>25</v>
      </c>
      <c r="D10">
        <f t="shared" si="1"/>
        <v>26</v>
      </c>
      <c r="F10">
        <v>8</v>
      </c>
      <c r="G10">
        <v>30</v>
      </c>
      <c r="H10">
        <f t="shared" si="0"/>
        <v>10.4</v>
      </c>
      <c r="I10">
        <f>0.6*J9</f>
        <v>11.1801216</v>
      </c>
      <c r="J10">
        <f>H10+I10</f>
        <v>21.580121599999998</v>
      </c>
    </row>
    <row r="11" spans="2:12" x14ac:dyDescent="0.25">
      <c r="B11">
        <v>9</v>
      </c>
      <c r="C11">
        <v>26</v>
      </c>
      <c r="D11">
        <f t="shared" si="1"/>
        <v>26</v>
      </c>
      <c r="F11">
        <v>9</v>
      </c>
      <c r="G11">
        <v>28</v>
      </c>
      <c r="H11">
        <f t="shared" si="0"/>
        <v>12</v>
      </c>
      <c r="I11">
        <f>0.6*J10</f>
        <v>12.948072959999999</v>
      </c>
      <c r="J11">
        <f>H11+I11</f>
        <v>24.948072959999998</v>
      </c>
    </row>
    <row r="12" spans="2:12" x14ac:dyDescent="0.25">
      <c r="B12">
        <v>10</v>
      </c>
      <c r="C12">
        <v>28</v>
      </c>
      <c r="D12">
        <f t="shared" si="1"/>
        <v>25.666666666666668</v>
      </c>
      <c r="F12">
        <v>10</v>
      </c>
      <c r="G12">
        <v>18</v>
      </c>
      <c r="H12">
        <f t="shared" si="0"/>
        <v>11.200000000000001</v>
      </c>
      <c r="I12">
        <f t="shared" ref="I12:I14" si="2">0.6*J11</f>
        <v>14.968843775999998</v>
      </c>
      <c r="J12">
        <f t="shared" ref="J12:J14" si="3">H12+I12</f>
        <v>26.168843775999999</v>
      </c>
      <c r="L12">
        <f>0.4*G14+0.6*J14</f>
        <v>17.684470255615999</v>
      </c>
    </row>
    <row r="13" spans="2:12" x14ac:dyDescent="0.25">
      <c r="B13">
        <v>11</v>
      </c>
      <c r="C13">
        <v>27</v>
      </c>
      <c r="D13">
        <f t="shared" si="1"/>
        <v>26.333333333333332</v>
      </c>
      <c r="F13">
        <v>11</v>
      </c>
      <c r="G13">
        <v>16</v>
      </c>
      <c r="H13">
        <f t="shared" si="0"/>
        <v>7.2</v>
      </c>
      <c r="I13">
        <f t="shared" si="2"/>
        <v>15.7013062656</v>
      </c>
      <c r="J13">
        <f t="shared" si="3"/>
        <v>22.901306265599999</v>
      </c>
    </row>
    <row r="14" spans="2:12" x14ac:dyDescent="0.25">
      <c r="B14">
        <v>12</v>
      </c>
      <c r="C14">
        <v>29</v>
      </c>
      <c r="D14">
        <f t="shared" si="1"/>
        <v>27</v>
      </c>
      <c r="F14">
        <v>12</v>
      </c>
      <c r="G14">
        <v>14</v>
      </c>
      <c r="H14">
        <f t="shared" si="0"/>
        <v>6.4</v>
      </c>
      <c r="I14">
        <f t="shared" si="2"/>
        <v>13.740783759359999</v>
      </c>
      <c r="J14">
        <f t="shared" si="3"/>
        <v>20.140783759359998</v>
      </c>
    </row>
    <row r="17" spans="1:7" x14ac:dyDescent="0.25">
      <c r="B17" t="s">
        <v>55</v>
      </c>
    </row>
    <row r="18" spans="1:7" x14ac:dyDescent="0.25">
      <c r="B18" t="s">
        <v>22</v>
      </c>
      <c r="C18">
        <v>1</v>
      </c>
      <c r="D18">
        <v>2</v>
      </c>
      <c r="E18" t="s">
        <v>6</v>
      </c>
      <c r="F18" t="s">
        <v>7</v>
      </c>
    </row>
    <row r="19" spans="1:7" x14ac:dyDescent="0.25">
      <c r="B19">
        <v>265.08</v>
      </c>
    </row>
    <row r="20" spans="1:7" x14ac:dyDescent="0.25">
      <c r="B20">
        <v>304.27</v>
      </c>
    </row>
    <row r="21" spans="1:7" x14ac:dyDescent="0.25">
      <c r="B21">
        <v>332.37</v>
      </c>
    </row>
    <row r="22" spans="1:7" x14ac:dyDescent="0.25">
      <c r="B22">
        <v>366.78</v>
      </c>
      <c r="C22">
        <f>(B19+B20+B21)/3</f>
        <v>300.57333333333332</v>
      </c>
    </row>
    <row r="23" spans="1:7" x14ac:dyDescent="0.25">
      <c r="B23">
        <v>409.58</v>
      </c>
      <c r="C23">
        <f t="shared" ref="C23:D28" si="4">(B20+B21+B22)/3</f>
        <v>334.4733333333333</v>
      </c>
    </row>
    <row r="24" spans="1:7" x14ac:dyDescent="0.25">
      <c r="B24">
        <v>452.84</v>
      </c>
      <c r="C24">
        <f t="shared" si="4"/>
        <v>369.57666666666665</v>
      </c>
      <c r="E24">
        <f>2*(C25-D25)/4</f>
        <v>37.429444444444442</v>
      </c>
      <c r="F24">
        <f>2*C25-D25-E24</f>
        <v>447.16277777777771</v>
      </c>
    </row>
    <row r="25" spans="1:7" x14ac:dyDescent="0.25">
      <c r="B25">
        <v>536.29</v>
      </c>
      <c r="C25">
        <f t="shared" si="4"/>
        <v>409.73333333333329</v>
      </c>
      <c r="D25">
        <f>(C22+C23+C24)/3</f>
        <v>334.87444444444441</v>
      </c>
      <c r="E25">
        <f t="shared" ref="E25:E28" si="5">2*(C26-D26)/4</f>
        <v>47.487777777777779</v>
      </c>
      <c r="F25">
        <f t="shared" ref="F25:F27" si="6">2*C26-D26-E25</f>
        <v>513.72444444444443</v>
      </c>
    </row>
    <row r="26" spans="1:7" x14ac:dyDescent="0.25">
      <c r="B26">
        <v>620.01</v>
      </c>
      <c r="C26">
        <f t="shared" si="4"/>
        <v>466.23666666666668</v>
      </c>
      <c r="D26">
        <f t="shared" si="4"/>
        <v>371.26111111111112</v>
      </c>
      <c r="E26">
        <f t="shared" si="5"/>
        <v>60.598888888888894</v>
      </c>
      <c r="F26">
        <f t="shared" si="6"/>
        <v>596.97888888888883</v>
      </c>
    </row>
    <row r="27" spans="1:7" x14ac:dyDescent="0.25">
      <c r="A27">
        <v>2005</v>
      </c>
      <c r="B27">
        <v>675.67</v>
      </c>
      <c r="C27">
        <f t="shared" si="4"/>
        <v>536.38</v>
      </c>
      <c r="D27">
        <f t="shared" si="4"/>
        <v>415.18222222222221</v>
      </c>
      <c r="E27">
        <f t="shared" si="5"/>
        <v>69.936666666666667</v>
      </c>
      <c r="F27">
        <f t="shared" si="6"/>
        <v>680.59333333333325</v>
      </c>
    </row>
    <row r="28" spans="1:7" x14ac:dyDescent="0.25">
      <c r="A28">
        <v>2006</v>
      </c>
      <c r="C28">
        <f t="shared" si="4"/>
        <v>610.65666666666664</v>
      </c>
      <c r="D28">
        <f t="shared" si="4"/>
        <v>470.7833333333333</v>
      </c>
    </row>
    <row r="29" spans="1:7" x14ac:dyDescent="0.25">
      <c r="A29">
        <v>2007</v>
      </c>
      <c r="G29">
        <f>F27+2*E27</f>
        <v>820.46666666666658</v>
      </c>
    </row>
    <row r="30" spans="1:7" x14ac:dyDescent="0.25">
      <c r="A30">
        <v>2008</v>
      </c>
      <c r="G30">
        <f>F27+E27*3</f>
        <v>890.40333333333319</v>
      </c>
    </row>
    <row r="31" spans="1:7" x14ac:dyDescent="0.25">
      <c r="A31">
        <v>2009</v>
      </c>
      <c r="G31">
        <f>F27+E27*4</f>
        <v>960.33999999999992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99D0-A863-4142-A470-7BE93D49AD34}">
  <dimension ref="A1:H18"/>
  <sheetViews>
    <sheetView workbookViewId="0">
      <selection activeCell="E18" sqref="E18"/>
    </sheetView>
  </sheetViews>
  <sheetFormatPr defaultRowHeight="13.8" x14ac:dyDescent="0.25"/>
  <sheetData>
    <row r="1" spans="1:8" x14ac:dyDescent="0.25">
      <c r="A1" t="s">
        <v>56</v>
      </c>
    </row>
    <row r="2" spans="1:8" x14ac:dyDescent="0.25">
      <c r="B2" t="s">
        <v>23</v>
      </c>
      <c r="C2" t="s">
        <v>22</v>
      </c>
      <c r="D2" t="s">
        <v>58</v>
      </c>
      <c r="E2" t="s">
        <v>59</v>
      </c>
      <c r="F2" t="s">
        <v>26</v>
      </c>
    </row>
    <row r="3" spans="1:8" x14ac:dyDescent="0.25">
      <c r="A3">
        <v>1</v>
      </c>
      <c r="B3">
        <v>32.799999999999997</v>
      </c>
      <c r="C3">
        <v>40.1</v>
      </c>
      <c r="D3">
        <f>B3*C3</f>
        <v>1315.28</v>
      </c>
      <c r="E3">
        <f>B3*B3</f>
        <v>1075.8399999999999</v>
      </c>
      <c r="F3">
        <f>-282.871+9.847068*B3</f>
        <v>40.112830400000007</v>
      </c>
      <c r="G3">
        <f>POWER(F3-C3,2)</f>
        <v>1.6461916416014581E-4</v>
      </c>
      <c r="H3">
        <f>POWER(F3-62.17,2)</f>
        <v>486.51873076316394</v>
      </c>
    </row>
    <row r="4" spans="1:8" x14ac:dyDescent="0.25">
      <c r="A4">
        <v>2</v>
      </c>
      <c r="B4">
        <v>33.4</v>
      </c>
      <c r="C4">
        <v>44.7</v>
      </c>
      <c r="D4">
        <f t="shared" ref="D4:D12" si="0">B4*C4</f>
        <v>1492.98</v>
      </c>
      <c r="E4">
        <f t="shared" ref="E4:E12" si="1">B4*B4</f>
        <v>1115.56</v>
      </c>
      <c r="F4">
        <f t="shared" ref="F4:F12" si="2">-282.871+9.847068*B4</f>
        <v>46.021071199999994</v>
      </c>
      <c r="G4">
        <f t="shared" ref="G4:G12" si="3">POWER(F4-C4,2)</f>
        <v>1.7452291154694177</v>
      </c>
      <c r="H4">
        <f t="shared" ref="H4:H12" si="4">POWER(F4-62.17,2)</f>
        <v>260.78790138746967</v>
      </c>
    </row>
    <row r="5" spans="1:8" x14ac:dyDescent="0.25">
      <c r="A5">
        <v>3</v>
      </c>
      <c r="B5">
        <v>33.9</v>
      </c>
      <c r="C5">
        <v>45.4</v>
      </c>
      <c r="D5">
        <f t="shared" si="0"/>
        <v>1539.06</v>
      </c>
      <c r="E5">
        <f t="shared" si="1"/>
        <v>1149.2099999999998</v>
      </c>
      <c r="F5">
        <f t="shared" si="2"/>
        <v>50.944605200000012</v>
      </c>
      <c r="G5">
        <f t="shared" si="3"/>
        <v>30.74264682386719</v>
      </c>
      <c r="H5">
        <f t="shared" si="4"/>
        <v>126.0094884158668</v>
      </c>
    </row>
    <row r="6" spans="1:8" x14ac:dyDescent="0.25">
      <c r="A6">
        <v>4</v>
      </c>
      <c r="B6">
        <v>34.1</v>
      </c>
      <c r="C6">
        <v>49.8</v>
      </c>
      <c r="D6">
        <f t="shared" si="0"/>
        <v>1698.18</v>
      </c>
      <c r="E6">
        <f t="shared" si="1"/>
        <v>1162.8100000000002</v>
      </c>
      <c r="F6">
        <f t="shared" si="2"/>
        <v>52.914018800000065</v>
      </c>
      <c r="G6">
        <f t="shared" si="3"/>
        <v>9.6971130867538609</v>
      </c>
      <c r="H6">
        <f t="shared" si="4"/>
        <v>85.673187974752267</v>
      </c>
    </row>
    <row r="7" spans="1:8" x14ac:dyDescent="0.25">
      <c r="A7">
        <v>5</v>
      </c>
      <c r="B7">
        <v>34.299999999999997</v>
      </c>
      <c r="C7">
        <v>56.3</v>
      </c>
      <c r="D7">
        <f t="shared" si="0"/>
        <v>1931.0899999999997</v>
      </c>
      <c r="E7">
        <f t="shared" si="1"/>
        <v>1176.4899999999998</v>
      </c>
      <c r="F7">
        <f t="shared" si="2"/>
        <v>54.883432400000004</v>
      </c>
      <c r="G7">
        <f t="shared" si="3"/>
        <v>2.0066637653697414</v>
      </c>
      <c r="H7">
        <f t="shared" si="4"/>
        <v>53.094067389369727</v>
      </c>
    </row>
    <row r="8" spans="1:8" x14ac:dyDescent="0.25">
      <c r="A8">
        <v>6</v>
      </c>
      <c r="B8">
        <v>34.6</v>
      </c>
      <c r="C8">
        <v>63.8</v>
      </c>
      <c r="D8">
        <f t="shared" si="0"/>
        <v>2207.48</v>
      </c>
      <c r="E8">
        <f t="shared" si="1"/>
        <v>1197.1600000000001</v>
      </c>
      <c r="F8">
        <f t="shared" si="2"/>
        <v>57.837552800000026</v>
      </c>
      <c r="G8">
        <f t="shared" si="3"/>
        <v>35.550776612787494</v>
      </c>
      <c r="H8">
        <f t="shared" si="4"/>
        <v>18.770098740787631</v>
      </c>
    </row>
    <row r="9" spans="1:8" x14ac:dyDescent="0.25">
      <c r="A9">
        <v>7</v>
      </c>
      <c r="B9">
        <v>35.299999999999997</v>
      </c>
      <c r="C9">
        <v>70.8</v>
      </c>
      <c r="D9">
        <f t="shared" si="0"/>
        <v>2499.2399999999998</v>
      </c>
      <c r="E9">
        <f t="shared" si="1"/>
        <v>1246.0899999999997</v>
      </c>
      <c r="F9">
        <f t="shared" si="2"/>
        <v>64.730500399999983</v>
      </c>
      <c r="G9">
        <f t="shared" si="3"/>
        <v>36.838825394400338</v>
      </c>
      <c r="H9">
        <f t="shared" si="4"/>
        <v>6.5561622984000625</v>
      </c>
    </row>
    <row r="10" spans="1:8" x14ac:dyDescent="0.25">
      <c r="A10">
        <v>8</v>
      </c>
      <c r="B10">
        <v>36.4</v>
      </c>
      <c r="C10">
        <v>75.8</v>
      </c>
      <c r="D10">
        <f t="shared" si="0"/>
        <v>2759.12</v>
      </c>
      <c r="E10">
        <f t="shared" si="1"/>
        <v>1324.9599999999998</v>
      </c>
      <c r="F10">
        <f t="shared" si="2"/>
        <v>75.562275199999988</v>
      </c>
      <c r="G10">
        <f t="shared" si="3"/>
        <v>5.6513080535044467E-2</v>
      </c>
      <c r="H10">
        <f t="shared" si="4"/>
        <v>179.35303503253468</v>
      </c>
    </row>
    <row r="11" spans="1:8" x14ac:dyDescent="0.25">
      <c r="A11">
        <v>9</v>
      </c>
      <c r="B11">
        <v>37.4</v>
      </c>
      <c r="C11">
        <v>82.9</v>
      </c>
      <c r="D11">
        <f t="shared" si="0"/>
        <v>3100.46</v>
      </c>
      <c r="E11">
        <f t="shared" si="1"/>
        <v>1398.76</v>
      </c>
      <c r="F11">
        <f t="shared" si="2"/>
        <v>85.409343200000023</v>
      </c>
      <c r="G11">
        <f t="shared" si="3"/>
        <v>6.2968032953863293</v>
      </c>
      <c r="H11">
        <f t="shared" si="4"/>
        <v>540.06707236738725</v>
      </c>
    </row>
    <row r="12" spans="1:8" x14ac:dyDescent="0.25">
      <c r="A12">
        <v>10</v>
      </c>
      <c r="B12">
        <v>38.200000000000003</v>
      </c>
      <c r="C12">
        <v>92.1</v>
      </c>
      <c r="D12">
        <f t="shared" si="0"/>
        <v>3518.2200000000003</v>
      </c>
      <c r="E12">
        <f t="shared" si="1"/>
        <v>1459.2400000000002</v>
      </c>
      <c r="F12">
        <f t="shared" si="2"/>
        <v>93.286997600000063</v>
      </c>
      <c r="G12">
        <f t="shared" si="3"/>
        <v>1.4089633024059238</v>
      </c>
      <c r="H12">
        <f t="shared" si="4"/>
        <v>968.26753963840963</v>
      </c>
    </row>
    <row r="13" spans="1:8" x14ac:dyDescent="0.25">
      <c r="A13" t="s">
        <v>3</v>
      </c>
      <c r="B13">
        <f>SUM(B3:B12)</f>
        <v>350.39999999999992</v>
      </c>
      <c r="C13">
        <f>SUM(C3:C12)</f>
        <v>621.70000000000005</v>
      </c>
      <c r="D13">
        <f>SUM(D3:D12)</f>
        <v>22061.11</v>
      </c>
      <c r="E13">
        <f>SUM(E3:E12)</f>
        <v>12306.119999999999</v>
      </c>
      <c r="G13">
        <f>SUM(G3:G12)</f>
        <v>124.3436990961395</v>
      </c>
      <c r="H13">
        <f>SUM(H3:H12)</f>
        <v>2725.0972840081417</v>
      </c>
    </row>
    <row r="14" spans="1:8" x14ac:dyDescent="0.25">
      <c r="A14" t="s">
        <v>57</v>
      </c>
      <c r="B14">
        <f>AVERAGE(B3:B12)</f>
        <v>35.039999999999992</v>
      </c>
      <c r="C14">
        <f>AVERAGE(C3:C12)</f>
        <v>62.17</v>
      </c>
    </row>
    <row r="15" spans="1:8" x14ac:dyDescent="0.25">
      <c r="D15" t="s">
        <v>24</v>
      </c>
      <c r="E15">
        <f>(D13-B14*C13)/(E13-B14*B13)</f>
        <v>9.8470680330187239</v>
      </c>
    </row>
    <row r="16" spans="1:8" x14ac:dyDescent="0.25">
      <c r="D16" t="s">
        <v>25</v>
      </c>
      <c r="E16">
        <f>C14-B14*E15</f>
        <v>-282.871263876976</v>
      </c>
    </row>
    <row r="17" spans="4:5" x14ac:dyDescent="0.25">
      <c r="D17" t="s">
        <v>60</v>
      </c>
    </row>
    <row r="18" spans="4:5" x14ac:dyDescent="0.25">
      <c r="D18" t="s">
        <v>61</v>
      </c>
      <c r="E18">
        <f>H13*8/G13</f>
        <v>175.32676308116993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E3A83-A0CA-496B-9612-3D81382E51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单回归显著性检验</vt:lpstr>
      <vt:lpstr>单回归置信区间</vt:lpstr>
      <vt:lpstr>双回归</vt:lpstr>
      <vt:lpstr>指数变化拟合</vt:lpstr>
      <vt:lpstr>时间预测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2021-10-31T08:33:20Z</dcterms:modified>
</cp:coreProperties>
</file>