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ateef\Desktop\Portfolio Projects\Excel Projects\"/>
    </mc:Choice>
  </mc:AlternateContent>
  <xr:revisionPtr revIDLastSave="0" documentId="13_ncr:1_{5A3A559F-439B-4382-83C4-3A3F04DF592A}" xr6:coauthVersionLast="47" xr6:coauthVersionMax="47" xr10:uidLastSave="{00000000-0000-0000-0000-000000000000}"/>
  <bookViews>
    <workbookView xWindow="-120" yWindow="-120" windowWidth="20730" windowHeight="11160" firstSheet="1" activeTab="3" xr2:uid="{26D4546B-D2A1-4444-8EAF-A6228F96F0C1}"/>
  </bookViews>
  <sheets>
    <sheet name="NZ Staff" sheetId="1" r:id="rId1"/>
    <sheet name="India Staff" sheetId="2" r:id="rId2"/>
    <sheet name="All Staff" sheetId="4" r:id="rId3"/>
    <sheet name="Employee Report Dashboard" sheetId="10" r:id="rId4"/>
    <sheet name="Male vs. Female" sheetId="5" r:id="rId5"/>
    <sheet name="Salary Distribution" sheetId="6" r:id="rId6"/>
    <sheet name="Salary vs. Rating" sheetId="7" r:id="rId7"/>
    <sheet name="Employee Trend" sheetId="9" r:id="rId8"/>
    <sheet name="Sheet1" sheetId="11" r:id="rId9"/>
    <sheet name="Rating Count" sheetId="8" r:id="rId10"/>
  </sheets>
  <definedNames>
    <definedName name="_xlnm._FilterDatabase" localSheetId="1" hidden="1">'India Staff'!$B$2:$H$114</definedName>
    <definedName name="_xlnm._FilterDatabase" localSheetId="0" hidden="1">'NZ Staff'!$C$5:$I$105</definedName>
    <definedName name="_xlchart.v1.0" hidden="1">'All Staff'!$F$2:$F$184</definedName>
    <definedName name="_xlchart.v1.1" hidden="1">'All Staff'!$F$2:$F$184</definedName>
    <definedName name="_xlchart.v1.2" hidden="1">'All Staff'!$F$2:$F$184</definedName>
    <definedName name="_xlcn.WorksheetConnection_blankdatafile1.xlsxStaff1" hidden="1">Staff[]</definedName>
    <definedName name="ExternalData_1" localSheetId="2" hidden="1">'All Staff'!$A$1:$H$184</definedName>
    <definedName name="Slicer_Country1">#N/A</definedName>
  </definedNames>
  <calcPr calcId="181029"/>
  <pivotCaches>
    <pivotCache cacheId="4" r:id="rId11"/>
    <pivotCache cacheId="56" r:id="rId12"/>
    <pivotCache cacheId="59" r:id="rId13"/>
    <pivotCache cacheId="62" r:id="rId14"/>
    <pivotCache cacheId="65" r:id="rId15"/>
  </pivotCaches>
  <extLst>
    <ext xmlns:x14="http://schemas.microsoft.com/office/spreadsheetml/2009/9/main" uri="{876F7934-8845-4945-9796-88D515C7AA90}">
      <x14:pivotCaches>
        <pivotCache cacheId="5"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Z_Staff_cf40f7e2-6d5a-45ef-9be6-4c1cbf1203ba" name="NZ_Staff" connection="Query - NZ_Staff"/>
          <x15:modelTable id="India_Staff_c6db7dd3-1ba1-4428-8c99-85d585d3c25b" name="India_Staff" connection="Query - India_Staff"/>
          <x15:modelTable id="Staff" name="Staff" connection="WorksheetConnection_blank-data-file (1).xlsx!Staff"/>
        </x15:modelTables>
        <x15:extLst>
          <ext xmlns:x16="http://schemas.microsoft.com/office/spreadsheetml/2014/11/main" uri="{9835A34E-60A6-4A7C-AAB8-D5F71C897F49}">
            <x16:modelTimeGroupings>
              <x16:modelTimeGrouping tableName="Staff"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Lst>
</workbook>
</file>

<file path=xl/calcChain.xml><?xml version="1.0" encoding="utf-8"?>
<calcChain xmlns="http://schemas.openxmlformats.org/spreadsheetml/2006/main">
  <c r="I165" i="4" l="1"/>
  <c r="J165" i="4" s="1"/>
  <c r="I86" i="4"/>
  <c r="J86" i="4" s="1"/>
  <c r="I36" i="4"/>
  <c r="J36" i="4" s="1"/>
  <c r="I175" i="4"/>
  <c r="J175" i="4" s="1"/>
  <c r="I38" i="4"/>
  <c r="J38" i="4" s="1"/>
  <c r="I160" i="4"/>
  <c r="J160" i="4" s="1"/>
  <c r="I26" i="4"/>
  <c r="J26" i="4" s="1"/>
  <c r="I62" i="4"/>
  <c r="J62" i="4" s="1"/>
  <c r="I42" i="4"/>
  <c r="J42" i="4" s="1"/>
  <c r="I183" i="4"/>
  <c r="I158" i="4"/>
  <c r="J158" i="4" s="1"/>
  <c r="I68" i="4"/>
  <c r="J68" i="4" s="1"/>
  <c r="I78" i="4"/>
  <c r="J78" i="4" s="1"/>
  <c r="I152" i="4"/>
  <c r="I18" i="4"/>
  <c r="J18" i="4" s="1"/>
  <c r="I136" i="4"/>
  <c r="J136" i="4" s="1"/>
  <c r="I8" i="4"/>
  <c r="J8" i="4" s="1"/>
  <c r="I48" i="4"/>
  <c r="J48" i="4" s="1"/>
  <c r="I14" i="4"/>
  <c r="J14" i="4" s="1"/>
  <c r="I98" i="4"/>
  <c r="J98" i="4" s="1"/>
  <c r="I52" i="4"/>
  <c r="J52" i="4" s="1"/>
  <c r="I72" i="4"/>
  <c r="J72" i="4" s="1"/>
  <c r="I50" i="4"/>
  <c r="J50" i="4" s="1"/>
  <c r="I30" i="4"/>
  <c r="J30" i="4" s="1"/>
  <c r="I64" i="4"/>
  <c r="J64" i="4" s="1"/>
  <c r="I92" i="4"/>
  <c r="I118" i="4"/>
  <c r="J118" i="4" s="1"/>
  <c r="I4" i="4"/>
  <c r="J4" i="4" s="1"/>
  <c r="I100" i="4"/>
  <c r="J100" i="4" s="1"/>
  <c r="I58" i="4"/>
  <c r="I96" i="4"/>
  <c r="J96" i="4" s="1"/>
  <c r="I177" i="4"/>
  <c r="J177" i="4" s="1"/>
  <c r="I106" i="4"/>
  <c r="J106" i="4" s="1"/>
  <c r="I156" i="4"/>
  <c r="J156" i="4" s="1"/>
  <c r="I32" i="4"/>
  <c r="J32" i="4" s="1"/>
  <c r="I138" i="4"/>
  <c r="J138" i="4" s="1"/>
  <c r="I132" i="4"/>
  <c r="J132" i="4" s="1"/>
  <c r="I142" i="4"/>
  <c r="J142" i="4" s="1"/>
  <c r="I28" i="4"/>
  <c r="J28" i="4" s="1"/>
  <c r="I34" i="4"/>
  <c r="J34" i="4" s="1"/>
  <c r="I104" i="4"/>
  <c r="J104" i="4" s="1"/>
  <c r="I116" i="4"/>
  <c r="I112" i="4"/>
  <c r="J112" i="4" s="1"/>
  <c r="I128" i="4"/>
  <c r="J128" i="4" s="1"/>
  <c r="I162" i="4"/>
  <c r="J162" i="4" s="1"/>
  <c r="I108" i="4"/>
  <c r="J108" i="4" s="1"/>
  <c r="I76" i="4"/>
  <c r="J76" i="4" s="1"/>
  <c r="I110" i="4"/>
  <c r="J110" i="4" s="1"/>
  <c r="I54" i="4"/>
  <c r="J54" i="4" s="1"/>
  <c r="I181" i="4"/>
  <c r="J181" i="4" s="1"/>
  <c r="I24" i="4"/>
  <c r="J24" i="4" s="1"/>
  <c r="I20" i="4"/>
  <c r="J20" i="4" s="1"/>
  <c r="I173" i="4"/>
  <c r="J173" i="4" s="1"/>
  <c r="I82" i="4"/>
  <c r="J82" i="4" s="1"/>
  <c r="I88" i="4"/>
  <c r="J88" i="4" s="1"/>
  <c r="I154" i="4"/>
  <c r="J154" i="4" s="1"/>
  <c r="I167" i="4"/>
  <c r="J167" i="4" s="1"/>
  <c r="I80" i="4"/>
  <c r="I179" i="4"/>
  <c r="I102" i="4"/>
  <c r="J102" i="4" s="1"/>
  <c r="I171" i="4"/>
  <c r="J171" i="4" s="1"/>
  <c r="I124" i="4"/>
  <c r="J124" i="4" s="1"/>
  <c r="I148" i="4"/>
  <c r="J148" i="4" s="1"/>
  <c r="I44" i="4"/>
  <c r="J44" i="4" s="1"/>
  <c r="I122" i="4"/>
  <c r="J122" i="4" s="1"/>
  <c r="I46" i="4"/>
  <c r="J46" i="4" s="1"/>
  <c r="I130" i="4"/>
  <c r="J130" i="4" s="1"/>
  <c r="I70" i="4"/>
  <c r="J70" i="4" s="1"/>
  <c r="I22" i="4"/>
  <c r="J22" i="4" s="1"/>
  <c r="I60" i="4"/>
  <c r="I144" i="4"/>
  <c r="J144" i="4" s="1"/>
  <c r="I120" i="4"/>
  <c r="J120" i="4" s="1"/>
  <c r="I140" i="4"/>
  <c r="J140" i="4" s="1"/>
  <c r="I169" i="4"/>
  <c r="J169" i="4" s="1"/>
  <c r="I2" i="4"/>
  <c r="J2" i="4" s="1"/>
  <c r="I150" i="4"/>
  <c r="J150" i="4" s="1"/>
  <c r="I10" i="4"/>
  <c r="J10" i="4" s="1"/>
  <c r="I126" i="4"/>
  <c r="J126" i="4" s="1"/>
  <c r="I6" i="4"/>
  <c r="J6" i="4" s="1"/>
  <c r="I146" i="4"/>
  <c r="J146" i="4" s="1"/>
  <c r="I134" i="4"/>
  <c r="J134" i="4" s="1"/>
  <c r="I114" i="4"/>
  <c r="J114" i="4" s="1"/>
  <c r="I16" i="4"/>
  <c r="J16" i="4" s="1"/>
  <c r="I56" i="4"/>
  <c r="J56" i="4" s="1"/>
  <c r="I66" i="4"/>
  <c r="J66" i="4" s="1"/>
  <c r="I12" i="4"/>
  <c r="I94" i="4"/>
  <c r="J94" i="4" s="1"/>
  <c r="I90" i="4"/>
  <c r="J90" i="4" s="1"/>
  <c r="I74" i="4"/>
  <c r="J74" i="4" s="1"/>
  <c r="I84" i="4"/>
  <c r="I39" i="4"/>
  <c r="J39" i="4" s="1"/>
  <c r="I163" i="4"/>
  <c r="J163" i="4" s="1"/>
  <c r="I19" i="4"/>
  <c r="J19" i="4" s="1"/>
  <c r="I143" i="4"/>
  <c r="J143" i="4" s="1"/>
  <c r="I21" i="4"/>
  <c r="J21" i="4" s="1"/>
  <c r="I176" i="4"/>
  <c r="J176" i="4" s="1"/>
  <c r="I47" i="4"/>
  <c r="J47" i="4" s="1"/>
  <c r="I131" i="4"/>
  <c r="J131" i="4" s="1"/>
  <c r="I125" i="4"/>
  <c r="J125" i="4" s="1"/>
  <c r="I91" i="4"/>
  <c r="J91" i="4" s="1"/>
  <c r="I157" i="4"/>
  <c r="J157" i="4" s="1"/>
  <c r="I147" i="4"/>
  <c r="I135" i="4"/>
  <c r="J135" i="4" s="1"/>
  <c r="I25" i="4"/>
  <c r="J25" i="4" s="1"/>
  <c r="I9" i="4"/>
  <c r="J9" i="4" s="1"/>
  <c r="I164" i="4"/>
  <c r="J164" i="4" s="1"/>
  <c r="I33" i="4"/>
  <c r="J33" i="4" s="1"/>
  <c r="I182" i="4"/>
  <c r="J182" i="4" s="1"/>
  <c r="I83" i="4"/>
  <c r="J83" i="4" s="1"/>
  <c r="I109" i="4"/>
  <c r="J109" i="4" s="1"/>
  <c r="I103" i="4"/>
  <c r="J103" i="4" s="1"/>
  <c r="I45" i="4"/>
  <c r="J45" i="4" s="1"/>
  <c r="I121" i="4"/>
  <c r="J121" i="4" s="1"/>
  <c r="I7" i="4"/>
  <c r="J7" i="4" s="1"/>
  <c r="I93" i="4"/>
  <c r="J93" i="4" s="1"/>
  <c r="I11" i="4"/>
  <c r="J11" i="4" s="1"/>
  <c r="I141" i="4"/>
  <c r="J141" i="4" s="1"/>
  <c r="I51" i="4"/>
  <c r="I172" i="4"/>
  <c r="J172" i="4" s="1"/>
  <c r="I13" i="4"/>
  <c r="J13" i="4" s="1"/>
  <c r="I161" i="4"/>
  <c r="J161" i="4" s="1"/>
  <c r="I23" i="4"/>
  <c r="I71" i="4"/>
  <c r="J71" i="4" s="1"/>
  <c r="I139" i="4"/>
  <c r="J139" i="4" s="1"/>
  <c r="I111" i="4"/>
  <c r="J111" i="4" s="1"/>
  <c r="I35" i="4"/>
  <c r="J35" i="4" s="1"/>
  <c r="I159" i="4"/>
  <c r="J159" i="4" s="1"/>
  <c r="I184" i="4"/>
  <c r="J184" i="4" s="1"/>
  <c r="I166" i="4"/>
  <c r="J166" i="4" s="1"/>
  <c r="I174" i="4"/>
  <c r="J174" i="4" s="1"/>
  <c r="I31" i="4"/>
  <c r="J31" i="4" s="1"/>
  <c r="I99" i="4"/>
  <c r="J99" i="4" s="1"/>
  <c r="I37" i="4"/>
  <c r="J37" i="4" s="1"/>
  <c r="I115" i="4"/>
  <c r="I3" i="4"/>
  <c r="J3" i="4" s="1"/>
  <c r="I95" i="4"/>
  <c r="J95" i="4" s="1"/>
  <c r="I53" i="4"/>
  <c r="J53" i="4" s="1"/>
  <c r="I149" i="4"/>
  <c r="J149" i="4" s="1"/>
  <c r="I49" i="4"/>
  <c r="J49" i="4" s="1"/>
  <c r="I127" i="4"/>
  <c r="J127" i="4" s="1"/>
  <c r="I85" i="4"/>
  <c r="J85" i="4" s="1"/>
  <c r="I101" i="4"/>
  <c r="J101" i="4" s="1"/>
  <c r="I123" i="4"/>
  <c r="J123" i="4" s="1"/>
  <c r="I61" i="4"/>
  <c r="J61" i="4" s="1"/>
  <c r="I178" i="4"/>
  <c r="J178" i="4" s="1"/>
  <c r="I67" i="4"/>
  <c r="J67" i="4" s="1"/>
  <c r="I65" i="4"/>
  <c r="J65" i="4" s="1"/>
  <c r="I129" i="4"/>
  <c r="J129" i="4" s="1"/>
  <c r="I29" i="4"/>
  <c r="J29" i="4" s="1"/>
  <c r="I113" i="4"/>
  <c r="I119" i="4"/>
  <c r="J119" i="4" s="1"/>
  <c r="I77" i="4"/>
  <c r="J77" i="4" s="1"/>
  <c r="I40" i="4"/>
  <c r="J40" i="4" s="1"/>
  <c r="I17" i="4"/>
  <c r="I155" i="4"/>
  <c r="J155" i="4" s="1"/>
  <c r="I137" i="4"/>
  <c r="J137" i="4" s="1"/>
  <c r="I15" i="4"/>
  <c r="J15" i="4" s="1"/>
  <c r="I89" i="4"/>
  <c r="J89" i="4" s="1"/>
  <c r="I168" i="4"/>
  <c r="J168" i="4" s="1"/>
  <c r="I117" i="4"/>
  <c r="J117" i="4" s="1"/>
  <c r="I41" i="4"/>
  <c r="J41" i="4" s="1"/>
  <c r="I79" i="4"/>
  <c r="J79" i="4" s="1"/>
  <c r="I73" i="4"/>
  <c r="J73" i="4" s="1"/>
  <c r="I81" i="4"/>
  <c r="J81" i="4" s="1"/>
  <c r="I59" i="4"/>
  <c r="J59" i="4" s="1"/>
  <c r="I151" i="4"/>
  <c r="J151" i="4" s="1"/>
  <c r="I180" i="4"/>
  <c r="J180" i="4" s="1"/>
  <c r="I105" i="4"/>
  <c r="J105" i="4" s="1"/>
  <c r="I170" i="4"/>
  <c r="J170" i="4" s="1"/>
  <c r="I145" i="4"/>
  <c r="I75" i="4"/>
  <c r="J75" i="4" s="1"/>
  <c r="I5" i="4"/>
  <c r="J5" i="4" s="1"/>
  <c r="I63" i="4"/>
  <c r="J63" i="4" s="1"/>
  <c r="I153" i="4"/>
  <c r="J153" i="4" s="1"/>
  <c r="I69" i="4"/>
  <c r="J69" i="4" s="1"/>
  <c r="I97" i="4"/>
  <c r="J97" i="4" s="1"/>
  <c r="I43" i="4"/>
  <c r="J43" i="4" s="1"/>
  <c r="I107" i="4"/>
  <c r="J107" i="4" s="1"/>
  <c r="I55" i="4"/>
  <c r="J55" i="4" s="1"/>
  <c r="I87" i="4"/>
  <c r="J87" i="4" s="1"/>
  <c r="I57" i="4"/>
  <c r="J57" i="4" s="1"/>
  <c r="I27" i="4"/>
  <c r="J27" i="4" s="1"/>
  <c r="I133" i="4"/>
  <c r="J133" i="4" s="1"/>
  <c r="J183" i="4"/>
  <c r="J152" i="4"/>
  <c r="J92" i="4"/>
  <c r="J58" i="4"/>
  <c r="J116" i="4"/>
  <c r="J80" i="4"/>
  <c r="J179" i="4"/>
  <c r="J60" i="4"/>
  <c r="J12" i="4"/>
  <c r="J84" i="4"/>
  <c r="J147" i="4"/>
  <c r="J51" i="4"/>
  <c r="J23" i="4"/>
  <c r="J115" i="4"/>
  <c r="J113" i="4"/>
  <c r="J17" i="4"/>
  <c r="J145" i="4"/>
  <c r="K165" i="4"/>
  <c r="K86" i="4"/>
  <c r="K36" i="4"/>
  <c r="K175" i="4"/>
  <c r="K38" i="4"/>
  <c r="K160" i="4"/>
  <c r="K26" i="4"/>
  <c r="K62" i="4"/>
  <c r="K42" i="4"/>
  <c r="K183" i="4"/>
  <c r="K158" i="4"/>
  <c r="K68" i="4"/>
  <c r="K78" i="4"/>
  <c r="K152" i="4"/>
  <c r="K18" i="4"/>
  <c r="K136" i="4"/>
  <c r="K8" i="4"/>
  <c r="K48" i="4"/>
  <c r="K14" i="4"/>
  <c r="K98" i="4"/>
  <c r="K52" i="4"/>
  <c r="K72" i="4"/>
  <c r="K50" i="4"/>
  <c r="K30" i="4"/>
  <c r="K64" i="4"/>
  <c r="K92" i="4"/>
  <c r="K118" i="4"/>
  <c r="K4" i="4"/>
  <c r="K100" i="4"/>
  <c r="K58" i="4"/>
  <c r="K96" i="4"/>
  <c r="K177" i="4"/>
  <c r="K106" i="4"/>
  <c r="K156" i="4"/>
  <c r="K32" i="4"/>
  <c r="K138" i="4"/>
  <c r="K132" i="4"/>
  <c r="K142" i="4"/>
  <c r="K28" i="4"/>
  <c r="K34" i="4"/>
  <c r="K104" i="4"/>
  <c r="K116" i="4"/>
  <c r="K112" i="4"/>
  <c r="K128" i="4"/>
  <c r="K162" i="4"/>
  <c r="K108" i="4"/>
  <c r="K76" i="4"/>
  <c r="K110" i="4"/>
  <c r="K54" i="4"/>
  <c r="K181" i="4"/>
  <c r="K24" i="4"/>
  <c r="K20" i="4"/>
  <c r="K173" i="4"/>
  <c r="K82" i="4"/>
  <c r="K88" i="4"/>
  <c r="K154" i="4"/>
  <c r="K167" i="4"/>
  <c r="K80" i="4"/>
  <c r="K179" i="4"/>
  <c r="K102" i="4"/>
  <c r="K171" i="4"/>
  <c r="K124" i="4"/>
  <c r="K148" i="4"/>
  <c r="K44" i="4"/>
  <c r="K122" i="4"/>
  <c r="K46" i="4"/>
  <c r="K130" i="4"/>
  <c r="K70" i="4"/>
  <c r="K22" i="4"/>
  <c r="K60" i="4"/>
  <c r="K144" i="4"/>
  <c r="K120" i="4"/>
  <c r="K140" i="4"/>
  <c r="K169" i="4"/>
  <c r="K2" i="4"/>
  <c r="K150" i="4"/>
  <c r="K10" i="4"/>
  <c r="K126" i="4"/>
  <c r="K6" i="4"/>
  <c r="K146" i="4"/>
  <c r="K134" i="4"/>
  <c r="K114" i="4"/>
  <c r="K16" i="4"/>
  <c r="K56" i="4"/>
  <c r="K66" i="4"/>
  <c r="K12" i="4"/>
  <c r="K94" i="4"/>
  <c r="K90" i="4"/>
  <c r="K74" i="4"/>
  <c r="K84" i="4"/>
  <c r="K39" i="4"/>
  <c r="K163" i="4"/>
  <c r="K19" i="4"/>
  <c r="K143" i="4"/>
  <c r="K21" i="4"/>
  <c r="K176" i="4"/>
  <c r="K47" i="4"/>
  <c r="K131" i="4"/>
  <c r="K125" i="4"/>
  <c r="K91" i="4"/>
  <c r="K157" i="4"/>
  <c r="K147" i="4"/>
  <c r="K135" i="4"/>
  <c r="K25" i="4"/>
  <c r="K9" i="4"/>
  <c r="K164" i="4"/>
  <c r="K33" i="4"/>
  <c r="K182" i="4"/>
  <c r="K83" i="4"/>
  <c r="K109" i="4"/>
  <c r="K103" i="4"/>
  <c r="K45" i="4"/>
  <c r="K121" i="4"/>
  <c r="K7" i="4"/>
  <c r="K93" i="4"/>
  <c r="K11" i="4"/>
  <c r="K141" i="4"/>
  <c r="K51" i="4"/>
  <c r="K172" i="4"/>
  <c r="K13" i="4"/>
  <c r="K161" i="4"/>
  <c r="K23" i="4"/>
  <c r="K71" i="4"/>
  <c r="K139" i="4"/>
  <c r="K111" i="4"/>
  <c r="K35" i="4"/>
  <c r="K159" i="4"/>
  <c r="K184" i="4"/>
  <c r="K166" i="4"/>
  <c r="K174" i="4"/>
  <c r="K31" i="4"/>
  <c r="K99" i="4"/>
  <c r="K37" i="4"/>
  <c r="K115" i="4"/>
  <c r="K3" i="4"/>
  <c r="K95" i="4"/>
  <c r="K53" i="4"/>
  <c r="K149" i="4"/>
  <c r="K49" i="4"/>
  <c r="K127" i="4"/>
  <c r="K85" i="4"/>
  <c r="K101" i="4"/>
  <c r="K123" i="4"/>
  <c r="K61" i="4"/>
  <c r="K178" i="4"/>
  <c r="K67" i="4"/>
  <c r="K65" i="4"/>
  <c r="K129" i="4"/>
  <c r="K29" i="4"/>
  <c r="K113" i="4"/>
  <c r="K119" i="4"/>
  <c r="K77" i="4"/>
  <c r="K40" i="4"/>
  <c r="K17" i="4"/>
  <c r="K155" i="4"/>
  <c r="K137" i="4"/>
  <c r="K15" i="4"/>
  <c r="K89" i="4"/>
  <c r="K168" i="4"/>
  <c r="K117" i="4"/>
  <c r="K41" i="4"/>
  <c r="K79" i="4"/>
  <c r="K73" i="4"/>
  <c r="K81" i="4"/>
  <c r="K59" i="4"/>
  <c r="K151" i="4"/>
  <c r="K180" i="4"/>
  <c r="K105" i="4"/>
  <c r="K170" i="4"/>
  <c r="K145" i="4"/>
  <c r="K75" i="4"/>
  <c r="K5" i="4"/>
  <c r="K63" i="4"/>
  <c r="K153" i="4"/>
  <c r="K69" i="4"/>
  <c r="K97" i="4"/>
  <c r="K43" i="4"/>
  <c r="K107" i="4"/>
  <c r="K55" i="4"/>
  <c r="K87" i="4"/>
  <c r="K57" i="4"/>
  <c r="K27" i="4"/>
  <c r="K133" i="4"/>
  <c r="Q6" i="9"/>
  <c r="Q7" i="9"/>
  <c r="Q8" i="9"/>
  <c r="Q9" i="9"/>
  <c r="R9" i="9" s="1"/>
  <c r="Q10" i="9"/>
  <c r="Q11" i="9"/>
  <c r="Q12" i="9"/>
  <c r="Q13" i="9"/>
  <c r="R13" i="9" s="1"/>
  <c r="Q14" i="9"/>
  <c r="Q15" i="9"/>
  <c r="Q16" i="9"/>
  <c r="Q17" i="9"/>
  <c r="R17" i="9" s="1"/>
  <c r="Q18" i="9"/>
  <c r="Q19" i="9"/>
  <c r="Q20" i="9"/>
  <c r="Q21" i="9"/>
  <c r="R21" i="9" s="1"/>
  <c r="Q22" i="9"/>
  <c r="Q23" i="9"/>
  <c r="Q24" i="9"/>
  <c r="Q25" i="9"/>
  <c r="R25" i="9" s="1"/>
  <c r="Q26" i="9"/>
  <c r="Q27" i="9"/>
  <c r="Q28" i="9"/>
  <c r="Q29" i="9"/>
  <c r="R29" i="9" s="1"/>
  <c r="Q30" i="9"/>
  <c r="Q31" i="9"/>
  <c r="Q32" i="9"/>
  <c r="Q33" i="9"/>
  <c r="R33" i="9" s="1"/>
  <c r="Q34" i="9"/>
  <c r="Q35" i="9"/>
  <c r="Q36" i="9"/>
  <c r="Q37" i="9"/>
  <c r="R37" i="9" s="1"/>
  <c r="Q38" i="9"/>
  <c r="Q39" i="9"/>
  <c r="Q40" i="9"/>
  <c r="F6" i="10"/>
  <c r="D6" i="10"/>
  <c r="B6" i="10"/>
  <c r="H6" i="10" s="1"/>
  <c r="R6" i="9"/>
  <c r="R7" i="9"/>
  <c r="R8" i="9"/>
  <c r="R10" i="9"/>
  <c r="R11" i="9"/>
  <c r="R12" i="9"/>
  <c r="R14" i="9"/>
  <c r="R15" i="9"/>
  <c r="R16" i="9"/>
  <c r="R18" i="9"/>
  <c r="R19" i="9"/>
  <c r="R20" i="9"/>
  <c r="R22" i="9"/>
  <c r="R23" i="9"/>
  <c r="R24" i="9"/>
  <c r="R26" i="9"/>
  <c r="R27" i="9"/>
  <c r="R28" i="9"/>
  <c r="R30" i="9"/>
  <c r="R31" i="9"/>
  <c r="R32" i="9"/>
  <c r="R34" i="9"/>
  <c r="R35" i="9"/>
  <c r="R36" i="9"/>
  <c r="R38" i="9"/>
  <c r="R39" i="9"/>
  <c r="R40" i="9"/>
  <c r="R5" i="9"/>
  <c r="S5" i="9" s="1"/>
  <c r="Q5" i="9"/>
  <c r="O30" i="4"/>
  <c r="O29" i="4"/>
  <c r="O28" i="4"/>
  <c r="O27" i="4"/>
  <c r="O26" i="4"/>
  <c r="O25" i="4"/>
  <c r="O24" i="4"/>
  <c r="R29" i="4"/>
  <c r="R28" i="4"/>
  <c r="R27" i="4"/>
  <c r="R26" i="4"/>
  <c r="R25" i="4"/>
  <c r="R15" i="4"/>
  <c r="R31" i="4" s="1"/>
  <c r="R19" i="4"/>
  <c r="R18" i="4"/>
  <c r="R17" i="4"/>
  <c r="R16" i="4"/>
  <c r="O16" i="4"/>
  <c r="O14" i="4"/>
  <c r="O12" i="4"/>
  <c r="O11" i="4"/>
  <c r="O10" i="4"/>
  <c r="O9" i="4"/>
  <c r="O8" i="4"/>
  <c r="S7" i="9" l="1"/>
  <c r="S38" i="9"/>
  <c r="S34" i="9"/>
  <c r="S30" i="9"/>
  <c r="S26" i="9"/>
  <c r="S22" i="9"/>
  <c r="S18" i="9"/>
  <c r="S14" i="9"/>
  <c r="S10" i="9"/>
  <c r="S6" i="9"/>
  <c r="S37" i="9"/>
  <c r="S33" i="9"/>
  <c r="S29" i="9"/>
  <c r="S25" i="9"/>
  <c r="S21" i="9"/>
  <c r="S17" i="9"/>
  <c r="S13" i="9"/>
  <c r="S9" i="9"/>
  <c r="S40" i="9"/>
  <c r="S36" i="9"/>
  <c r="S32" i="9"/>
  <c r="S28" i="9"/>
  <c r="S24" i="9"/>
  <c r="S20" i="9"/>
  <c r="S16" i="9"/>
  <c r="S12" i="9"/>
  <c r="S8" i="9"/>
  <c r="S39" i="9"/>
  <c r="S35" i="9"/>
  <c r="S31" i="9"/>
  <c r="S27" i="9"/>
  <c r="S23" i="9"/>
  <c r="S19" i="9"/>
  <c r="S15" i="9"/>
  <c r="S11" i="9"/>
  <c r="O17" i="4"/>
  <c r="R21" i="4"/>
  <c r="O15" i="4"/>
  <c r="R32" i="4"/>
  <c r="R30" i="4"/>
  <c r="R20" i="4"/>
  <c r="R22" i="4"/>
  <c r="O31" i="4"/>
  <c r="O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B65D9E-24A5-41B4-AD46-BF7398557C0A}" name="Query - India_Staff" description="Connection to the 'India_Staff' query in the workbook." type="100" refreshedVersion="8" minRefreshableVersion="5">
    <extLst>
      <ext xmlns:x15="http://schemas.microsoft.com/office/spreadsheetml/2010/11/main" uri="{DE250136-89BD-433C-8126-D09CA5730AF9}">
        <x15:connection id="ff2bd3b6-3837-4a97-bd0c-e678953e5b53"/>
      </ext>
    </extLst>
  </connection>
  <connection id="2" xr16:uid="{AE85C168-8A60-4ACE-98C4-0DF872E85D32}" name="Query - NZ_Staff" description="Connection to the 'NZ_Staff' query in the workbook." type="100" refreshedVersion="8" minRefreshableVersion="5">
    <extLst>
      <ext xmlns:x15="http://schemas.microsoft.com/office/spreadsheetml/2010/11/main" uri="{DE250136-89BD-433C-8126-D09CA5730AF9}">
        <x15:connection id="ff808f1f-1f7a-4f01-aec5-82244bef0563"/>
      </ext>
    </extLst>
  </connection>
  <connection id="3" xr16:uid="{7F4B8E49-0FF2-4472-A570-2770F1094450}" keepAlive="1" name="Query - Staff" description="Connection to the 'Staff' query in the workbook." type="5" refreshedVersion="8" background="1" saveData="1">
    <dbPr connection="Provider=Microsoft.Mashup.OleDb.1;Data Source=$Workbook$;Location=Staff;Extended Properties=&quot;&quot;" command="SELECT * FROM [Staff]"/>
  </connection>
  <connection id="4" xr16:uid="{A2015323-3846-44AC-B765-A011F9C3316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025C330E-C94E-49D0-8612-3A0AADB5CD82}" name="WorksheetConnection_blank-data-file (1).xlsx!Staff" type="102" refreshedVersion="7" minRefreshableVersion="5">
    <extLst>
      <ext xmlns:x15="http://schemas.microsoft.com/office/spreadsheetml/2010/11/main" uri="{DE250136-89BD-433C-8126-D09CA5730AF9}">
        <x15:connection id="Staff" autoDelete="1">
          <x15:rangePr sourceName="_xlcn.WorksheetConnection_blankdatafile1.xlsxStaff1"/>
        </x15:connection>
      </ext>
    </extLst>
  </connection>
</connections>
</file>

<file path=xl/sharedStrings.xml><?xml version="1.0" encoding="utf-8"?>
<sst xmlns="http://schemas.openxmlformats.org/spreadsheetml/2006/main" count="1875" uniqueCount="265">
  <si>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</si>
  <si>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</si>
  <si>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</si>
  <si>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</si>
  <si>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</si>
  <si>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</si>
  <si>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</si>
  <si>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</si>
  <si>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</si>
  <si>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</si>
  <si>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</si>
  <si>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</si>
  <si>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</si>
  <si>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</si>
  <si>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</si>
  <si>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</si>
  <si>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</si>
  <si>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</si>
  <si>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</si>
  <si>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</si>
  <si>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</si>
  <si>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</si>
  <si>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</si>
  <si>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</si>
  <si>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</si>
  <si>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</si>
  <si>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</si>
  <si>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</si>
  <si>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</si>
  <si>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</si>
  <si>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</si>
  <si>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</si>
  <si>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</si>
  <si>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</si>
  <si>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</si>
  <si>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</si>
  <si>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</si>
  <si>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</si>
  <si>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</si>
  <si>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</si>
  <si>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</si>
  <si>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</si>
  <si>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</si>
  <si>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</si>
  <si>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</si>
  <si>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</si>
  <si>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</si>
  <si>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</si>
  <si>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</si>
  <si>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</si>
  <si>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</si>
  <si>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</si>
  <si>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</si>
  <si>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</si>
  <si>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</si>
  <si>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</si>
  <si>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</si>
  <si>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</si>
  <si>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</si>
  <si>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</si>
  <si>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</si>
  <si>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</si>
  <si>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</si>
  <si>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</si>
  <si>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</si>
  <si>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</si>
  <si>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</si>
  <si>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</si>
  <si>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</si>
  <si>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</si>
  <si>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</si>
  <si>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</si>
  <si>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</si>
  <si>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</si>
  <si>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</si>
  <si>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</si>
  <si>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</si>
  <si>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</si>
  <si>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</si>
  <si>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</si>
  <si>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</si>
  <si>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</si>
  <si>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</si>
  <si>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</si>
  <si>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</si>
  <si>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</si>
  <si>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</si>
  <si>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</si>
  <si>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</si>
  <si>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</si>
  <si>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</si>
  <si>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</si>
  <si>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</si>
  <si>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</si>
  <si>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</si>
  <si>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</si>
  <si>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</si>
  <si>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</si>
  <si>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</si>
  <si>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</si>
  <si>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</si>
  <si>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</si>
  <si>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</si>
  <si>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</si>
  <si>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</si>
  <si>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</si>
  <si>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</si>
  <si>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</si>
  <si>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</si>
  <si>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</si>
  <si>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</si>
  <si>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</si>
  <si>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</si>
  <si>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</si>
  <si>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</si>
  <si>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</si>
  <si>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</si>
  <si>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</si>
  <si>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</si>
  <si>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</si>
  <si>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</si>
  <si>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</si>
  <si>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</si>
  <si>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</si>
  <si>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</si>
  <si>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</si>
  <si>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</si>
  <si>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</si>
  <si>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</si>
  <si>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</si>
  <si>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</si>
  <si>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</si>
  <si>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</si>
  <si>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</si>
  <si>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</si>
  <si>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</si>
  <si>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</si>
  <si>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</si>
  <si>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</si>
  <si>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</si>
  <si>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</si>
  <si>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</si>
  <si>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</si>
  <si>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</si>
  <si>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</si>
  <si>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</si>
  <si>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</si>
  <si>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</si>
  <si>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</si>
  <si>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</si>
  <si>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</si>
  <si>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</si>
  <si>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</si>
  <si>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</si>
  <si>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</si>
  <si>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</si>
  <si>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</si>
  <si>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</si>
  <si>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</si>
  <si>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</si>
  <si>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</si>
  <si>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</si>
  <si>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</si>
  <si>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</si>
  <si>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</si>
  <si>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</si>
  <si>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</si>
  <si>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</si>
  <si>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</si>
  <si>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</si>
  <si>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</si>
  <si>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</si>
  <si>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</si>
  <si>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</si>
  <si>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</si>
  <si>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</si>
  <si>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</si>
  <si>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</si>
  <si>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</si>
  <si>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</si>
  <si>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</si>
  <si>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</si>
  <si>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</si>
  <si>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</si>
  <si>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</si>
  <si>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</si>
  <si>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</si>
  <si>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</si>
  <si>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</si>
  <si>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</si>
  <si>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</si>
  <si>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</si>
  <si>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</si>
  <si>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</si>
  <si>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</si>
  <si>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</si>
  <si>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</si>
  <si>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</si>
  <si>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</si>
  <si>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</si>
  <si>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</si>
  <si>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</si>
  <si>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</si>
  <si>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Country</t>
  </si>
  <si>
    <t>NZ</t>
  </si>
  <si>
    <t>Other</t>
  </si>
  <si>
    <t>IND</t>
  </si>
  <si>
    <t>Count of employees</t>
  </si>
  <si>
    <t>Average salary</t>
  </si>
  <si>
    <t>Average Age</t>
  </si>
  <si>
    <t>Average Tenure</t>
  </si>
  <si>
    <t>Female Count</t>
  </si>
  <si>
    <t>Ratio %</t>
  </si>
  <si>
    <t>Median Salary</t>
  </si>
  <si>
    <t>Median Age</t>
  </si>
  <si>
    <t>Tenure</t>
  </si>
  <si>
    <t>Date of Join</t>
  </si>
  <si>
    <t>Salary &gt;=90,000</t>
  </si>
  <si>
    <t>Ratio of &gt;=90,000 salary</t>
  </si>
  <si>
    <t>Staff Name</t>
  </si>
  <si>
    <t>Data Summary</t>
  </si>
  <si>
    <t>No. of Staff (IND)</t>
  </si>
  <si>
    <t>Avg. Salary (IND)</t>
  </si>
  <si>
    <t>Avg Age (IND)</t>
  </si>
  <si>
    <t>Ratio of Average Rating (IND)</t>
  </si>
  <si>
    <t>Ratio of Poor Rating (IND)</t>
  </si>
  <si>
    <t>Highest salary (IND)</t>
  </si>
  <si>
    <t>Lowest Salary (IND)</t>
  </si>
  <si>
    <t>Staff Tenure &gt;2 (IND)</t>
  </si>
  <si>
    <t>No. of Staff (NZ)</t>
  </si>
  <si>
    <t>Avg. Salary (NZ)</t>
  </si>
  <si>
    <t>Highest salary (NZ)</t>
  </si>
  <si>
    <t>Lowest Salary (NZ)</t>
  </si>
  <si>
    <t>Avg Age (NZ)</t>
  </si>
  <si>
    <t>Ratio of Average Rating (NZ)</t>
  </si>
  <si>
    <t>Ratio of Poor Rating (NZ)</t>
  </si>
  <si>
    <t>Staff Tenure &gt;2 (NZ)</t>
  </si>
  <si>
    <t>Information Finder (STAFF)</t>
  </si>
  <si>
    <t>Information Finder (DEPARTMENT)</t>
  </si>
  <si>
    <t>PROcurement</t>
  </si>
  <si>
    <t>Column Labels</t>
  </si>
  <si>
    <t>Grand Total</t>
  </si>
  <si>
    <t>Values</t>
  </si>
  <si>
    <t>Row Labels</t>
  </si>
  <si>
    <t>Average of Tenure</t>
  </si>
  <si>
    <t>Average of Salary</t>
  </si>
  <si>
    <t>Average of Age</t>
  </si>
  <si>
    <t>Count of Name</t>
  </si>
  <si>
    <t>Bonus</t>
  </si>
  <si>
    <t>Majority of the staffs earn between  40k and 80k, while a significant amount of staffs also earn above 110k. Very few staff member earns below 40k</t>
  </si>
  <si>
    <t>The Box Plot shows that there are no extreme values (Outliers), the x at the center signifies the position of the mean, while the thin line inbetween signifies the position of the median. The mean and median are not far apart</t>
  </si>
  <si>
    <t>Number Rating</t>
  </si>
  <si>
    <t>There is no visible relationship between Salary and Rating. However, it is clear that that most of the staff members are rated Average (3)</t>
  </si>
  <si>
    <t>2020</t>
  </si>
  <si>
    <t>2021</t>
  </si>
  <si>
    <t>2022</t>
  </si>
  <si>
    <t>2023</t>
  </si>
  <si>
    <t>Month</t>
  </si>
  <si>
    <t>HeadCount</t>
  </si>
  <si>
    <t>Running Total</t>
  </si>
  <si>
    <t>Count of Rating</t>
  </si>
  <si>
    <t>Total No. of Employees</t>
  </si>
  <si>
    <t>Average Salary</t>
  </si>
  <si>
    <t>Female Ratio (%)</t>
  </si>
  <si>
    <t>Employee Data Analysis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</si>
</sst>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quot;$&quot;#,##0.00"/>
    <numFmt numFmtId="165" formatCode="&quot;$&quot;#,##0"/>
  </numFmts>
  <fonts count="9" x14ac:knownFonts="1">
    <font>
      <sz val="11"/>
      <color theme="1"/>
      <name val="Calibri"/>
      <family val="2"/>
      <scheme val="minor"/>
    </font>
    <font>
      <sz val="28"/>
      <color theme="1"/>
      <name val="Segoe UI Light"/>
      <family val="2"/>
    </font>
    <font>
      <sz val="11"/>
      <color theme="1"/>
      <name val="Calibri"/>
      <family val="2"/>
      <scheme val="minor"/>
    </font>
    <font>
      <b/>
      <sz val="11"/>
      <color theme="1"/>
      <name val="Calibri"/>
      <family val="2"/>
      <scheme val="minor"/>
    </font>
    <font>
      <sz val="8"/>
      <name val="Calibri"/>
      <family val="2"/>
      <scheme val="minor"/>
    </font>
    <font>
      <b/>
      <sz val="16"/>
      <color theme="1"/>
      <name val="Calibri"/>
      <family val="2"/>
      <scheme val="minor"/>
    </font>
    <font>
      <b/>
      <sz val="14"/>
      <color theme="1"/>
      <name val="Calibri"/>
      <family val="2"/>
      <scheme val="minor"/>
    </font>
    <font>
      <b/>
      <sz val="36"/>
      <color theme="0"/>
      <name val="Calibri"/>
      <family val="2"/>
      <scheme val="minor"/>
    </font>
    <font>
      <b/>
      <sz val="40"/>
      <color theme="0"/>
      <name val="Calibri"/>
      <family val="2"/>
      <scheme val="minor"/>
    </font>
  </fonts>
  <fills count="12">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5"/>
        <bgColor indexed="64"/>
      </patternFill>
    </fill>
    <fill>
      <patternFill patternType="solid">
        <fgColor theme="7"/>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FC000"/>
        <bgColor indexed="64"/>
      </patternFill>
    </fill>
    <fill>
      <patternFill patternType="solid">
        <fgColor theme="0"/>
        <bgColor indexed="64"/>
      </patternFill>
    </fill>
    <fill>
      <patternFill patternType="solid">
        <fgColor theme="4"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45">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9" fontId="0" fillId="0" borderId="0" xfId="0" applyNumberFormat="1"/>
    <xf numFmtId="8" fontId="0" fillId="0" borderId="0" xfId="0" applyNumberFormat="1"/>
    <xf numFmtId="0" fontId="0" fillId="0" borderId="0" xfId="0" applyNumberFormat="1"/>
    <xf numFmtId="14" fontId="0" fillId="0" borderId="0" xfId="0" applyNumberFormat="1"/>
    <xf numFmtId="164" fontId="0" fillId="0" borderId="0" xfId="0" applyNumberFormat="1"/>
    <xf numFmtId="0" fontId="5" fillId="4" borderId="1" xfId="0" applyFont="1" applyFill="1" applyBorder="1" applyAlignment="1">
      <alignment horizontal="center" vertical="center"/>
    </xf>
    <xf numFmtId="2" fontId="0" fillId="0" borderId="0" xfId="0" applyNumberFormat="1"/>
    <xf numFmtId="0" fontId="0" fillId="5" borderId="1" xfId="0" applyFill="1" applyBorder="1"/>
    <xf numFmtId="0" fontId="0" fillId="0" borderId="1" xfId="0" applyBorder="1"/>
    <xf numFmtId="0" fontId="0" fillId="0" borderId="1" xfId="0" applyBorder="1" applyAlignment="1">
      <alignment horizontal="left"/>
    </xf>
    <xf numFmtId="15" fontId="0" fillId="0" borderId="1" xfId="0" applyNumberFormat="1" applyBorder="1" applyAlignment="1">
      <alignment horizontal="left"/>
    </xf>
    <xf numFmtId="8" fontId="0" fillId="0" borderId="1" xfId="0" applyNumberFormat="1" applyBorder="1" applyAlignment="1">
      <alignment horizontal="left"/>
    </xf>
    <xf numFmtId="2" fontId="0" fillId="0" borderId="1" xfId="0" applyNumberFormat="1" applyBorder="1" applyAlignment="1">
      <alignment horizontal="left"/>
    </xf>
    <xf numFmtId="0" fontId="3" fillId="6" borderId="1" xfId="0" applyFont="1" applyFill="1" applyBorder="1"/>
    <xf numFmtId="0" fontId="5" fillId="4" borderId="4" xfId="0" applyFont="1" applyFill="1" applyBorder="1" applyAlignment="1">
      <alignment horizontal="center" vertical="center"/>
    </xf>
    <xf numFmtId="0" fontId="3" fillId="3" borderId="1" xfId="0" applyFont="1" applyFill="1" applyBorder="1"/>
    <xf numFmtId="8" fontId="0" fillId="0" borderId="1" xfId="0" applyNumberFormat="1" applyBorder="1"/>
    <xf numFmtId="2" fontId="0" fillId="0" borderId="1" xfId="0" applyNumberFormat="1" applyBorder="1"/>
    <xf numFmtId="0" fontId="0" fillId="0" borderId="1" xfId="0" applyNumberFormat="1" applyBorder="1"/>
    <xf numFmtId="9" fontId="0" fillId="0" borderId="1" xfId="0" applyNumberFormat="1" applyBorder="1"/>
    <xf numFmtId="0" fontId="0" fillId="4" borderId="0" xfId="0" applyFill="1"/>
    <xf numFmtId="0" fontId="0" fillId="8" borderId="0" xfId="0" applyFill="1"/>
    <xf numFmtId="0" fontId="0" fillId="0" borderId="0" xfId="0" pivotButton="1"/>
    <xf numFmtId="0" fontId="0" fillId="0" borderId="0" xfId="0" applyAlignment="1">
      <alignment horizontal="left"/>
    </xf>
    <xf numFmtId="165" fontId="0" fillId="0" borderId="0" xfId="0" applyNumberFormat="1"/>
    <xf numFmtId="17" fontId="0" fillId="0" borderId="0" xfId="0" applyNumberFormat="1"/>
    <xf numFmtId="0" fontId="0" fillId="0" borderId="0" xfId="0" applyBorder="1"/>
    <xf numFmtId="0" fontId="6" fillId="10" borderId="0" xfId="0" applyFont="1" applyFill="1" applyBorder="1" applyAlignment="1">
      <alignment horizontal="center" vertical="center"/>
    </xf>
    <xf numFmtId="9" fontId="7" fillId="11" borderId="0" xfId="1" applyFont="1" applyFill="1" applyBorder="1" applyAlignment="1">
      <alignment horizontal="center" vertical="center"/>
    </xf>
    <xf numFmtId="2" fontId="7" fillId="11" borderId="0" xfId="0" applyNumberFormat="1" applyFont="1" applyFill="1" applyBorder="1" applyAlignment="1">
      <alignment horizontal="center" vertical="center"/>
    </xf>
    <xf numFmtId="6" fontId="7" fillId="11" borderId="0" xfId="0" applyNumberFormat="1" applyFont="1" applyFill="1" applyBorder="1" applyAlignment="1">
      <alignment horizontal="center" vertical="center"/>
    </xf>
    <xf numFmtId="0" fontId="7" fillId="11" borderId="0" xfId="0" applyFont="1" applyFill="1" applyBorder="1" applyAlignment="1">
      <alignment horizontal="center" vertical="center"/>
    </xf>
    <xf numFmtId="0" fontId="7" fillId="10" borderId="0" xfId="0" applyFont="1" applyFill="1" applyAlignment="1">
      <alignment horizontal="center" vertical="center"/>
    </xf>
    <xf numFmtId="0" fontId="5" fillId="9" borderId="0" xfId="0" applyFont="1" applyFill="1" applyBorder="1" applyAlignment="1">
      <alignment horizontal="center" vertical="center"/>
    </xf>
    <xf numFmtId="0" fontId="3" fillId="7" borderId="0" xfId="0" applyFont="1" applyFill="1" applyAlignment="1">
      <alignment horizontal="center" vertical="center"/>
    </xf>
    <xf numFmtId="0" fontId="3" fillId="7" borderId="2" xfId="0" applyFont="1" applyFill="1" applyBorder="1" applyAlignment="1">
      <alignment horizontal="center" vertical="center"/>
    </xf>
    <xf numFmtId="0" fontId="3" fillId="7" borderId="3" xfId="0" applyFont="1" applyFill="1" applyBorder="1" applyAlignment="1">
      <alignment horizontal="center" vertical="center"/>
    </xf>
    <xf numFmtId="0" fontId="3" fillId="0" borderId="0" xfId="0" applyFont="1" applyAlignment="1">
      <alignment horizontal="center" wrapText="1"/>
    </xf>
    <xf numFmtId="0" fontId="3" fillId="0" borderId="0" xfId="0" applyFont="1" applyAlignment="1">
      <alignment horizontal="center" vertical="center" wrapText="1"/>
    </xf>
    <xf numFmtId="0" fontId="8" fillId="11" borderId="0" xfId="0" applyFont="1" applyFill="1" applyAlignment="1">
      <alignment horizontal="center" vertical="center"/>
    </xf>
  </cellXfs>
  <cellStyles count="2">
    <cellStyle name="Normal" xfId="0" builtinId="0"/>
    <cellStyle name="Percent" xfId="1" builtinId="5"/>
  </cellStyles>
  <dxfs count="34">
    <dxf>
      <numFmt numFmtId="2" formatCode="0.00"/>
    </dxf>
    <dxf>
      <numFmt numFmtId="12" formatCode="&quot;$&quot;#,##0.00_);[Red]\(&quot;$&quot;#,##0.00\)"/>
    </dxf>
    <dxf>
      <numFmt numFmtId="165" formatCode="&quot;$&quot;#,##0"/>
    </dxf>
    <dxf>
      <numFmt numFmtId="2" formatCode="0.00"/>
    </dxf>
    <dxf>
      <numFmt numFmtId="12" formatCode="&quot;$&quot;#,##0.00_);[Red]\(&quot;$&quot;#,##0.00\)"/>
    </dxf>
    <dxf>
      <numFmt numFmtId="165" formatCode="&quot;$&quot;#,##0"/>
    </dxf>
    <dxf>
      <numFmt numFmtId="2" formatCode="0.00"/>
    </dxf>
    <dxf>
      <numFmt numFmtId="12" formatCode="&quot;$&quot;#,##0.00_);[Red]\(&quot;$&quot;#,##0.00\)"/>
    </dxf>
    <dxf>
      <numFmt numFmtId="165" formatCode="&quot;$&quot;#,##0"/>
    </dxf>
    <dxf>
      <numFmt numFmtId="2" formatCode="0.00"/>
    </dxf>
    <dxf>
      <numFmt numFmtId="12" formatCode="&quot;$&quot;#,##0.00_);[Red]\(&quot;$&quot;#,##0.00\)"/>
    </dxf>
    <dxf>
      <numFmt numFmtId="165" formatCode="&quot;$&quot;#,##0"/>
    </dxf>
    <dxf>
      <numFmt numFmtId="2" formatCode="0.00"/>
    </dxf>
    <dxf>
      <numFmt numFmtId="12" formatCode="&quot;$&quot;#,##0.00_);[Red]\(&quot;$&quot;#,##0.00\)"/>
    </dxf>
    <dxf>
      <numFmt numFmtId="165" formatCode="&quot;$&quot;#,##0"/>
    </dxf>
    <dxf>
      <numFmt numFmtId="165" formatCode="&quot;$&quot;#,##0"/>
    </dxf>
    <dxf>
      <numFmt numFmtId="12" formatCode="&quot;$&quot;#,##0.00_);[Red]\(&quot;$&quot;#,##0.00\)"/>
    </dxf>
    <dxf>
      <numFmt numFmtId="2" formatCode="0.00"/>
    </dxf>
    <dxf>
      <numFmt numFmtId="0" formatCode="General"/>
    </dxf>
    <dxf>
      <numFmt numFmtId="164" formatCode="&quot;$&quot;#,##0.00"/>
    </dxf>
    <dxf>
      <numFmt numFmtId="2" formatCode="0.00"/>
    </dxf>
    <dxf>
      <numFmt numFmtId="0" formatCode="General"/>
    </dxf>
    <dxf>
      <numFmt numFmtId="0" formatCode="General"/>
    </dxf>
    <dxf>
      <numFmt numFmtId="164" formatCode="&quot;$&quot;#,##0.00"/>
    </dxf>
    <dxf>
      <numFmt numFmtId="19" formatCode="m/d/yyyy"/>
    </dxf>
    <dxf>
      <numFmt numFmtId="0" formatCode="General"/>
    </dxf>
    <dxf>
      <numFmt numFmtId="0" formatCode="General"/>
    </dxf>
    <dxf>
      <numFmt numFmtId="0" formatCode="General"/>
    </dxf>
    <dxf>
      <numFmt numFmtId="20" formatCode="d\-mmm\-yy"/>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BAE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t>Employee Join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6.86043435303757E-2"/>
          <c:y val="0.23387182635060591"/>
          <c:w val="0.92961507287844514"/>
          <c:h val="0.53777051453940572"/>
        </c:manualLayout>
      </c:layout>
      <c:lineChart>
        <c:grouping val="standard"/>
        <c:varyColors val="0"/>
        <c:ser>
          <c:idx val="0"/>
          <c:order val="0"/>
          <c:tx>
            <c:strRef>
              <c:f>'Employee Trend'!$S$4</c:f>
              <c:strCache>
                <c:ptCount val="1"/>
                <c:pt idx="0">
                  <c:v>Running 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numRef>
              <c:f>'Employee Trend'!$Q$5:$Q$40</c:f>
              <c:numCache>
                <c:formatCode>mmm\-yy</c:formatCode>
                <c:ptCount val="36"/>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numCache>
            </c:numRef>
          </c:cat>
          <c:val>
            <c:numRef>
              <c:f>'Employee Trend'!$S$5:$S$40</c:f>
              <c:numCache>
                <c:formatCode>General</c:formatCode>
                <c:ptCount val="36"/>
                <c:pt idx="0">
                  <c:v>3</c:v>
                </c:pt>
                <c:pt idx="1">
                  <c:v>4</c:v>
                </c:pt>
                <c:pt idx="2">
                  <c:v>9</c:v>
                </c:pt>
                <c:pt idx="3">
                  <c:v>12</c:v>
                </c:pt>
                <c:pt idx="4">
                  <c:v>18</c:v>
                </c:pt>
                <c:pt idx="5">
                  <c:v>24</c:v>
                </c:pt>
                <c:pt idx="6">
                  <c:v>30</c:v>
                </c:pt>
                <c:pt idx="7">
                  <c:v>37</c:v>
                </c:pt>
                <c:pt idx="8">
                  <c:v>43</c:v>
                </c:pt>
                <c:pt idx="9">
                  <c:v>47</c:v>
                </c:pt>
                <c:pt idx="10">
                  <c:v>56</c:v>
                </c:pt>
                <c:pt idx="11">
                  <c:v>61</c:v>
                </c:pt>
                <c:pt idx="12">
                  <c:v>71</c:v>
                </c:pt>
                <c:pt idx="13">
                  <c:v>77</c:v>
                </c:pt>
                <c:pt idx="14">
                  <c:v>90</c:v>
                </c:pt>
                <c:pt idx="15">
                  <c:v>94</c:v>
                </c:pt>
                <c:pt idx="16">
                  <c:v>105</c:v>
                </c:pt>
                <c:pt idx="17">
                  <c:v>108</c:v>
                </c:pt>
                <c:pt idx="18">
                  <c:v>112</c:v>
                </c:pt>
                <c:pt idx="19">
                  <c:v>119</c:v>
                </c:pt>
                <c:pt idx="20">
                  <c:v>122</c:v>
                </c:pt>
                <c:pt idx="21">
                  <c:v>132</c:v>
                </c:pt>
                <c:pt idx="22">
                  <c:v>141</c:v>
                </c:pt>
                <c:pt idx="23">
                  <c:v>150</c:v>
                </c:pt>
                <c:pt idx="24">
                  <c:v>159</c:v>
                </c:pt>
                <c:pt idx="25">
                  <c:v>166</c:v>
                </c:pt>
                <c:pt idx="26">
                  <c:v>171</c:v>
                </c:pt>
                <c:pt idx="27">
                  <c:v>176</c:v>
                </c:pt>
                <c:pt idx="28">
                  <c:v>178</c:v>
                </c:pt>
                <c:pt idx="29">
                  <c:v>181</c:v>
                </c:pt>
                <c:pt idx="30">
                  <c:v>181</c:v>
                </c:pt>
                <c:pt idx="31">
                  <c:v>181</c:v>
                </c:pt>
                <c:pt idx="32">
                  <c:v>181</c:v>
                </c:pt>
                <c:pt idx="33">
                  <c:v>182</c:v>
                </c:pt>
                <c:pt idx="34">
                  <c:v>182</c:v>
                </c:pt>
                <c:pt idx="35">
                  <c:v>183</c:v>
                </c:pt>
              </c:numCache>
            </c:numRef>
          </c:val>
          <c:smooth val="0"/>
          <c:extLst>
            <c:ext xmlns:c16="http://schemas.microsoft.com/office/drawing/2014/chart" uri="{C3380CC4-5D6E-409C-BE32-E72D297353CC}">
              <c16:uniqueId val="{00000000-8409-4BA7-AFEB-89E6D602D1DD}"/>
            </c:ext>
          </c:extLst>
        </c:ser>
        <c:dLbls>
          <c:showLegendKey val="0"/>
          <c:showVal val="0"/>
          <c:showCatName val="0"/>
          <c:showSerName val="0"/>
          <c:showPercent val="0"/>
          <c:showBubbleSize val="0"/>
        </c:dLbls>
        <c:marker val="1"/>
        <c:smooth val="0"/>
        <c:axId val="798901632"/>
        <c:axId val="798900192"/>
      </c:lineChart>
      <c:dateAx>
        <c:axId val="7989016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8900192"/>
        <c:crosses val="autoZero"/>
        <c:auto val="1"/>
        <c:lblOffset val="100"/>
        <c:baseTimeUnit val="months"/>
      </c:dateAx>
      <c:valAx>
        <c:axId val="7989001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89016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lumMod val="60000"/>
          <a:lumOff val="40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Employee Data Analysis.xlsx]Rating Count!PivotTable6</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a:t>Counts</a:t>
            </a:r>
            <a:r>
              <a:rPr lang="en-US" sz="1400" b="1" baseline="0"/>
              <a:t> of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'Rating Count'!$F$7</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 Count'!$E$8:$E$13</c:f>
              <c:strCache>
                <c:ptCount val="5"/>
                <c:pt idx="0">
                  <c:v>Exceptional</c:v>
                </c:pt>
                <c:pt idx="1">
                  <c:v>Above average</c:v>
                </c:pt>
                <c:pt idx="2">
                  <c:v>Average</c:v>
                </c:pt>
                <c:pt idx="3">
                  <c:v>Poor</c:v>
                </c:pt>
                <c:pt idx="4">
                  <c:v>Very poor</c:v>
                </c:pt>
              </c:strCache>
            </c:strRef>
          </c:cat>
          <c:val>
            <c:numRef>
              <c:f>'Rating Count'!$F$8:$F$13</c:f>
              <c:numCache>
                <c:formatCode>General</c:formatCode>
                <c:ptCount val="5"/>
                <c:pt idx="0">
                  <c:v>4</c:v>
                </c:pt>
                <c:pt idx="1">
                  <c:v>20</c:v>
                </c:pt>
                <c:pt idx="2">
                  <c:v>137</c:v>
                </c:pt>
                <c:pt idx="3">
                  <c:v>16</c:v>
                </c:pt>
                <c:pt idx="4">
                  <c:v>6</c:v>
                </c:pt>
              </c:numCache>
            </c:numRef>
          </c:val>
          <c:extLst>
            <c:ext xmlns:c16="http://schemas.microsoft.com/office/drawing/2014/chart" uri="{C3380CC4-5D6E-409C-BE32-E72D297353CC}">
              <c16:uniqueId val="{00000000-3936-4927-BD96-F79156453726}"/>
            </c:ext>
          </c:extLst>
        </c:ser>
        <c:dLbls>
          <c:dLblPos val="outEnd"/>
          <c:showLegendKey val="0"/>
          <c:showVal val="1"/>
          <c:showCatName val="0"/>
          <c:showSerName val="0"/>
          <c:showPercent val="0"/>
          <c:showBubbleSize val="0"/>
        </c:dLbls>
        <c:gapWidth val="30"/>
        <c:axId val="2033780568"/>
        <c:axId val="2033783448"/>
      </c:barChart>
      <c:catAx>
        <c:axId val="20337805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2033783448"/>
        <c:crosses val="autoZero"/>
        <c:auto val="1"/>
        <c:lblAlgn val="ctr"/>
        <c:lblOffset val="100"/>
        <c:noMultiLvlLbl val="0"/>
      </c:catAx>
      <c:valAx>
        <c:axId val="20337834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3780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Employee Data Analysis.xlsx]Sheet1!PivotTable1</c:name>
    <c:fmtId val="3"/>
  </c:pivotSource>
  <c:chart>
    <c:title>
      <c:tx>
        <c:rich>
          <a:bodyPr rot="0" spcFirstLastPara="1" vertOverflow="ellipsis" vert="horz" wrap="square" anchor="ctr" anchorCtr="1"/>
          <a:lstStyle/>
          <a:p>
            <a:pPr>
              <a:defRPr lang="en-US" sz="1680" b="1" i="0" u="none" strike="noStrike" kern="1200" spc="0" baseline="0">
                <a:solidFill>
                  <a:schemeClr val="bg1"/>
                </a:solidFill>
                <a:latin typeface="+mn-lt"/>
                <a:ea typeface="+mn-ea"/>
                <a:cs typeface="+mn-cs"/>
              </a:defRPr>
            </a:pPr>
            <a:r>
              <a:rPr lang="en-US"/>
              <a:t>Average Tenure by Department</a:t>
            </a:r>
          </a:p>
        </c:rich>
      </c:tx>
      <c:overlay val="0"/>
      <c:spPr>
        <a:noFill/>
        <a:ln>
          <a:noFill/>
        </a:ln>
        <a:effectLst/>
      </c:spPr>
      <c:txPr>
        <a:bodyPr rot="0" spcFirstLastPara="1" vertOverflow="ellipsis" vert="horz" wrap="square" anchor="ctr" anchorCtr="1"/>
        <a:lstStyle/>
        <a:p>
          <a:pPr>
            <a:defRPr lang="en-US" sz="168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c:f>
              <c:strCache>
                <c:ptCount val="1"/>
                <c:pt idx="0">
                  <c:v>Total</c:v>
                </c:pt>
              </c:strCache>
            </c:strRef>
          </c:tx>
          <c:spPr>
            <a:solidFill>
              <a:schemeClr val="bg1"/>
            </a:solidFill>
            <a:ln>
              <a:noFill/>
            </a:ln>
            <a:effectLst/>
          </c:spPr>
          <c:invertIfNegative val="0"/>
          <c:cat>
            <c:strRef>
              <c:f>Sheet1!$B$3:$B$8</c:f>
              <c:strCache>
                <c:ptCount val="5"/>
                <c:pt idx="0">
                  <c:v>Finance</c:v>
                </c:pt>
                <c:pt idx="1">
                  <c:v>HR</c:v>
                </c:pt>
                <c:pt idx="2">
                  <c:v>Procurement</c:v>
                </c:pt>
                <c:pt idx="3">
                  <c:v>Sales</c:v>
                </c:pt>
                <c:pt idx="4">
                  <c:v>Website</c:v>
                </c:pt>
              </c:strCache>
            </c:strRef>
          </c:cat>
          <c:val>
            <c:numRef>
              <c:f>Sheet1!$C$3:$C$8</c:f>
              <c:numCache>
                <c:formatCode>0.00</c:formatCode>
                <c:ptCount val="5"/>
                <c:pt idx="0">
                  <c:v>2.1461427541456386</c:v>
                </c:pt>
                <c:pt idx="1">
                  <c:v>2.4493150684931502</c:v>
                </c:pt>
                <c:pt idx="2">
                  <c:v>1.7595018679950183</c:v>
                </c:pt>
                <c:pt idx="3">
                  <c:v>2.0536203522504892</c:v>
                </c:pt>
                <c:pt idx="4">
                  <c:v>2.0845763571790972</c:v>
                </c:pt>
              </c:numCache>
            </c:numRef>
          </c:val>
          <c:extLst>
            <c:ext xmlns:c16="http://schemas.microsoft.com/office/drawing/2014/chart" uri="{C3380CC4-5D6E-409C-BE32-E72D297353CC}">
              <c16:uniqueId val="{00000000-1AC8-49B6-BB48-41A7160C42C1}"/>
            </c:ext>
          </c:extLst>
        </c:ser>
        <c:dLbls>
          <c:showLegendKey val="0"/>
          <c:showVal val="0"/>
          <c:showCatName val="0"/>
          <c:showSerName val="0"/>
          <c:showPercent val="0"/>
          <c:showBubbleSize val="0"/>
        </c:dLbls>
        <c:gapWidth val="219"/>
        <c:overlap val="-27"/>
        <c:axId val="1808656976"/>
        <c:axId val="1808653232"/>
      </c:barChart>
      <c:catAx>
        <c:axId val="180865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1" i="0" u="none" strike="noStrike" kern="1200" baseline="0">
                <a:solidFill>
                  <a:schemeClr val="bg1"/>
                </a:solidFill>
                <a:latin typeface="+mn-lt"/>
                <a:ea typeface="+mn-ea"/>
                <a:cs typeface="+mn-cs"/>
              </a:defRPr>
            </a:pPr>
            <a:endParaRPr lang="en-US"/>
          </a:p>
        </c:txPr>
        <c:crossAx val="1808653232"/>
        <c:crosses val="autoZero"/>
        <c:auto val="1"/>
        <c:lblAlgn val="ctr"/>
        <c:lblOffset val="100"/>
        <c:noMultiLvlLbl val="0"/>
      </c:catAx>
      <c:valAx>
        <c:axId val="18086532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400" b="1" i="0" u="none" strike="noStrike" kern="1200" baseline="0">
                <a:solidFill>
                  <a:schemeClr val="bg1"/>
                </a:solidFill>
                <a:latin typeface="+mn-lt"/>
                <a:ea typeface="+mn-ea"/>
                <a:cs typeface="+mn-cs"/>
              </a:defRPr>
            </a:pPr>
            <a:endParaRPr lang="en-US"/>
          </a:p>
        </c:txPr>
        <c:crossAx val="18086569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lgn="ctr" rtl="0">
        <a:defRPr lang="en-US" sz="14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vs.</a:t>
            </a:r>
            <a:r>
              <a:rPr lang="en-US"/>
              <a:t>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'All Staff'!$K$1</c:f>
              <c:strCache>
                <c:ptCount val="1"/>
                <c:pt idx="0">
                  <c:v>Number Rating</c:v>
                </c:pt>
              </c:strCache>
            </c:strRef>
          </c:tx>
          <c:spPr>
            <a:ln w="19050" cap="rnd">
              <a:noFill/>
              <a:round/>
            </a:ln>
            <a:effectLst/>
          </c:spPr>
          <c:marker>
            <c:symbol val="circle"/>
            <c:size val="5"/>
            <c:spPr>
              <a:solidFill>
                <a:schemeClr val="accent1"/>
              </a:solidFill>
              <a:ln w="9525">
                <a:solidFill>
                  <a:schemeClr val="accent1"/>
                </a:solidFill>
              </a:ln>
              <a:effectLst/>
            </c:spPr>
          </c:marker>
          <c:xVal>
            <c:numRef>
              <c:f>'All Staff'!$F$2:$F$185</c:f>
              <c:numCache>
                <c:formatCode>"$"#,##0.00</c:formatCode>
                <c:ptCount val="184"/>
                <c:pt idx="0">
                  <c:v>33920</c:v>
                </c:pt>
                <c:pt idx="1">
                  <c:v>33920</c:v>
                </c:pt>
                <c:pt idx="2">
                  <c:v>34980</c:v>
                </c:pt>
                <c:pt idx="3">
                  <c:v>34980</c:v>
                </c:pt>
                <c:pt idx="4">
                  <c:v>36040</c:v>
                </c:pt>
                <c:pt idx="5">
                  <c:v>36040</c:v>
                </c:pt>
                <c:pt idx="6">
                  <c:v>37920</c:v>
                </c:pt>
                <c:pt idx="7">
                  <c:v>37920</c:v>
                </c:pt>
                <c:pt idx="8">
                  <c:v>40400</c:v>
                </c:pt>
                <c:pt idx="9">
                  <c:v>40400</c:v>
                </c:pt>
                <c:pt idx="10">
                  <c:v>41570</c:v>
                </c:pt>
                <c:pt idx="11">
                  <c:v>41570</c:v>
                </c:pt>
                <c:pt idx="12">
                  <c:v>41980</c:v>
                </c:pt>
                <c:pt idx="13">
                  <c:v>41980</c:v>
                </c:pt>
                <c:pt idx="14">
                  <c:v>43510</c:v>
                </c:pt>
                <c:pt idx="15">
                  <c:v>43510</c:v>
                </c:pt>
                <c:pt idx="16">
                  <c:v>43840</c:v>
                </c:pt>
                <c:pt idx="17">
                  <c:v>43840</c:v>
                </c:pt>
                <c:pt idx="18">
                  <c:v>45510</c:v>
                </c:pt>
                <c:pt idx="19">
                  <c:v>45510</c:v>
                </c:pt>
                <c:pt idx="20">
                  <c:v>47360</c:v>
                </c:pt>
                <c:pt idx="21">
                  <c:v>47360</c:v>
                </c:pt>
                <c:pt idx="22">
                  <c:v>48170</c:v>
                </c:pt>
                <c:pt idx="23">
                  <c:v>48170</c:v>
                </c:pt>
                <c:pt idx="24">
                  <c:v>48530</c:v>
                </c:pt>
                <c:pt idx="25">
                  <c:v>48530</c:v>
                </c:pt>
                <c:pt idx="26">
                  <c:v>48950</c:v>
                </c:pt>
                <c:pt idx="27">
                  <c:v>48950</c:v>
                </c:pt>
                <c:pt idx="28">
                  <c:v>48980</c:v>
                </c:pt>
                <c:pt idx="29">
                  <c:v>48980</c:v>
                </c:pt>
                <c:pt idx="30">
                  <c:v>49630</c:v>
                </c:pt>
                <c:pt idx="31">
                  <c:v>49630</c:v>
                </c:pt>
                <c:pt idx="32">
                  <c:v>52610</c:v>
                </c:pt>
                <c:pt idx="33">
                  <c:v>52610</c:v>
                </c:pt>
                <c:pt idx="34">
                  <c:v>53240</c:v>
                </c:pt>
                <c:pt idx="35">
                  <c:v>53240</c:v>
                </c:pt>
                <c:pt idx="36">
                  <c:v>53540</c:v>
                </c:pt>
                <c:pt idx="37">
                  <c:v>53540</c:v>
                </c:pt>
                <c:pt idx="38">
                  <c:v>53540</c:v>
                </c:pt>
                <c:pt idx="39">
                  <c:v>53540</c:v>
                </c:pt>
                <c:pt idx="40">
                  <c:v>53870</c:v>
                </c:pt>
                <c:pt idx="41">
                  <c:v>53870</c:v>
                </c:pt>
                <c:pt idx="42">
                  <c:v>54970</c:v>
                </c:pt>
                <c:pt idx="43">
                  <c:v>54970</c:v>
                </c:pt>
                <c:pt idx="44">
                  <c:v>56870</c:v>
                </c:pt>
                <c:pt idx="45">
                  <c:v>56870</c:v>
                </c:pt>
                <c:pt idx="46">
                  <c:v>57090</c:v>
                </c:pt>
                <c:pt idx="47">
                  <c:v>57090</c:v>
                </c:pt>
                <c:pt idx="48">
                  <c:v>58100</c:v>
                </c:pt>
                <c:pt idx="49">
                  <c:v>58100</c:v>
                </c:pt>
                <c:pt idx="50">
                  <c:v>58940</c:v>
                </c:pt>
                <c:pt idx="51">
                  <c:v>58940</c:v>
                </c:pt>
                <c:pt idx="52">
                  <c:v>58960</c:v>
                </c:pt>
                <c:pt idx="53">
                  <c:v>58960</c:v>
                </c:pt>
                <c:pt idx="54">
                  <c:v>59430</c:v>
                </c:pt>
                <c:pt idx="55">
                  <c:v>59430</c:v>
                </c:pt>
                <c:pt idx="56">
                  <c:v>60130</c:v>
                </c:pt>
                <c:pt idx="57">
                  <c:v>60130</c:v>
                </c:pt>
                <c:pt idx="58">
                  <c:v>60570</c:v>
                </c:pt>
                <c:pt idx="59">
                  <c:v>60570</c:v>
                </c:pt>
                <c:pt idx="60">
                  <c:v>62780</c:v>
                </c:pt>
                <c:pt idx="61">
                  <c:v>62780</c:v>
                </c:pt>
                <c:pt idx="62">
                  <c:v>64000</c:v>
                </c:pt>
                <c:pt idx="63">
                  <c:v>64000</c:v>
                </c:pt>
                <c:pt idx="64">
                  <c:v>65360</c:v>
                </c:pt>
                <c:pt idx="65">
                  <c:v>65360</c:v>
                </c:pt>
                <c:pt idx="66">
                  <c:v>65700</c:v>
                </c:pt>
                <c:pt idx="67">
                  <c:v>65700</c:v>
                </c:pt>
                <c:pt idx="68">
                  <c:v>65920</c:v>
                </c:pt>
                <c:pt idx="69">
                  <c:v>65920</c:v>
                </c:pt>
                <c:pt idx="70">
                  <c:v>67910</c:v>
                </c:pt>
                <c:pt idx="71">
                  <c:v>67910</c:v>
                </c:pt>
                <c:pt idx="72">
                  <c:v>67950</c:v>
                </c:pt>
                <c:pt idx="73">
                  <c:v>67950</c:v>
                </c:pt>
                <c:pt idx="74">
                  <c:v>68900</c:v>
                </c:pt>
                <c:pt idx="75">
                  <c:v>68900</c:v>
                </c:pt>
                <c:pt idx="76">
                  <c:v>69070</c:v>
                </c:pt>
                <c:pt idx="77">
                  <c:v>69070</c:v>
                </c:pt>
                <c:pt idx="78">
                  <c:v>69120</c:v>
                </c:pt>
                <c:pt idx="79">
                  <c:v>69120</c:v>
                </c:pt>
                <c:pt idx="80">
                  <c:v>69710</c:v>
                </c:pt>
                <c:pt idx="81">
                  <c:v>69710</c:v>
                </c:pt>
                <c:pt idx="82">
                  <c:v>70270</c:v>
                </c:pt>
                <c:pt idx="83">
                  <c:v>70270</c:v>
                </c:pt>
                <c:pt idx="84">
                  <c:v>70610</c:v>
                </c:pt>
                <c:pt idx="85">
                  <c:v>70610</c:v>
                </c:pt>
                <c:pt idx="86">
                  <c:v>71380</c:v>
                </c:pt>
                <c:pt idx="87">
                  <c:v>71380</c:v>
                </c:pt>
                <c:pt idx="88">
                  <c:v>74550</c:v>
                </c:pt>
                <c:pt idx="89">
                  <c:v>74550</c:v>
                </c:pt>
                <c:pt idx="90">
                  <c:v>75000</c:v>
                </c:pt>
                <c:pt idx="91">
                  <c:v>75000</c:v>
                </c:pt>
                <c:pt idx="92">
                  <c:v>75280</c:v>
                </c:pt>
                <c:pt idx="93">
                  <c:v>75280</c:v>
                </c:pt>
                <c:pt idx="94">
                  <c:v>75480</c:v>
                </c:pt>
                <c:pt idx="95">
                  <c:v>75480</c:v>
                </c:pt>
                <c:pt idx="96">
                  <c:v>75880</c:v>
                </c:pt>
                <c:pt idx="97">
                  <c:v>75880</c:v>
                </c:pt>
                <c:pt idx="98">
                  <c:v>75970</c:v>
                </c:pt>
                <c:pt idx="99">
                  <c:v>75970</c:v>
                </c:pt>
                <c:pt idx="100">
                  <c:v>76900</c:v>
                </c:pt>
                <c:pt idx="101">
                  <c:v>76900</c:v>
                </c:pt>
                <c:pt idx="102">
                  <c:v>78390</c:v>
                </c:pt>
                <c:pt idx="103">
                  <c:v>78390</c:v>
                </c:pt>
                <c:pt idx="104">
                  <c:v>78540</c:v>
                </c:pt>
                <c:pt idx="105">
                  <c:v>78540</c:v>
                </c:pt>
                <c:pt idx="106">
                  <c:v>79570</c:v>
                </c:pt>
                <c:pt idx="107">
                  <c:v>79570</c:v>
                </c:pt>
                <c:pt idx="108">
                  <c:v>80700</c:v>
                </c:pt>
                <c:pt idx="109">
                  <c:v>80700</c:v>
                </c:pt>
                <c:pt idx="110">
                  <c:v>83750</c:v>
                </c:pt>
                <c:pt idx="111">
                  <c:v>83750</c:v>
                </c:pt>
                <c:pt idx="112">
                  <c:v>85000</c:v>
                </c:pt>
                <c:pt idx="113">
                  <c:v>85000</c:v>
                </c:pt>
                <c:pt idx="114">
                  <c:v>86570</c:v>
                </c:pt>
                <c:pt idx="115">
                  <c:v>86570</c:v>
                </c:pt>
                <c:pt idx="116">
                  <c:v>87620</c:v>
                </c:pt>
                <c:pt idx="117">
                  <c:v>87620</c:v>
                </c:pt>
                <c:pt idx="118">
                  <c:v>88050</c:v>
                </c:pt>
                <c:pt idx="119">
                  <c:v>88050</c:v>
                </c:pt>
                <c:pt idx="120">
                  <c:v>90700</c:v>
                </c:pt>
                <c:pt idx="121">
                  <c:v>90700</c:v>
                </c:pt>
                <c:pt idx="122">
                  <c:v>91310</c:v>
                </c:pt>
                <c:pt idx="123">
                  <c:v>91310</c:v>
                </c:pt>
                <c:pt idx="124">
                  <c:v>91650</c:v>
                </c:pt>
                <c:pt idx="125">
                  <c:v>91650</c:v>
                </c:pt>
                <c:pt idx="126">
                  <c:v>92450</c:v>
                </c:pt>
                <c:pt idx="127">
                  <c:v>92450</c:v>
                </c:pt>
                <c:pt idx="128">
                  <c:v>92700</c:v>
                </c:pt>
                <c:pt idx="129">
                  <c:v>92700</c:v>
                </c:pt>
                <c:pt idx="130">
                  <c:v>96140</c:v>
                </c:pt>
                <c:pt idx="131">
                  <c:v>96140</c:v>
                </c:pt>
                <c:pt idx="132">
                  <c:v>96800</c:v>
                </c:pt>
                <c:pt idx="133">
                  <c:v>96800</c:v>
                </c:pt>
                <c:pt idx="134">
                  <c:v>99750</c:v>
                </c:pt>
                <c:pt idx="135">
                  <c:v>99750</c:v>
                </c:pt>
                <c:pt idx="136">
                  <c:v>99970</c:v>
                </c:pt>
                <c:pt idx="137">
                  <c:v>99970</c:v>
                </c:pt>
                <c:pt idx="138">
                  <c:v>100420</c:v>
                </c:pt>
                <c:pt idx="139">
                  <c:v>100420</c:v>
                </c:pt>
                <c:pt idx="140">
                  <c:v>103550</c:v>
                </c:pt>
                <c:pt idx="141">
                  <c:v>103550</c:v>
                </c:pt>
                <c:pt idx="142">
                  <c:v>104120</c:v>
                </c:pt>
                <c:pt idx="143">
                  <c:v>104120</c:v>
                </c:pt>
                <c:pt idx="144">
                  <c:v>104410</c:v>
                </c:pt>
                <c:pt idx="145">
                  <c:v>104410</c:v>
                </c:pt>
                <c:pt idx="146">
                  <c:v>104770</c:v>
                </c:pt>
                <c:pt idx="147">
                  <c:v>104770</c:v>
                </c:pt>
                <c:pt idx="148">
                  <c:v>106460</c:v>
                </c:pt>
                <c:pt idx="149">
                  <c:v>106460</c:v>
                </c:pt>
                <c:pt idx="150">
                  <c:v>107700</c:v>
                </c:pt>
                <c:pt idx="151">
                  <c:v>107700</c:v>
                </c:pt>
                <c:pt idx="152">
                  <c:v>109160</c:v>
                </c:pt>
                <c:pt idx="153">
                  <c:v>109160</c:v>
                </c:pt>
                <c:pt idx="154">
                  <c:v>109190</c:v>
                </c:pt>
                <c:pt idx="155">
                  <c:v>109190</c:v>
                </c:pt>
                <c:pt idx="156">
                  <c:v>112110</c:v>
                </c:pt>
                <c:pt idx="157">
                  <c:v>112110</c:v>
                </c:pt>
                <c:pt idx="158">
                  <c:v>112570</c:v>
                </c:pt>
                <c:pt idx="159">
                  <c:v>112570</c:v>
                </c:pt>
                <c:pt idx="160">
                  <c:v>112650</c:v>
                </c:pt>
                <c:pt idx="161">
                  <c:v>112650</c:v>
                </c:pt>
                <c:pt idx="162">
                  <c:v>112650</c:v>
                </c:pt>
                <c:pt idx="163">
                  <c:v>112780</c:v>
                </c:pt>
                <c:pt idx="164">
                  <c:v>112780</c:v>
                </c:pt>
                <c:pt idx="165">
                  <c:v>113280</c:v>
                </c:pt>
                <c:pt idx="166">
                  <c:v>113280</c:v>
                </c:pt>
                <c:pt idx="167">
                  <c:v>114180</c:v>
                </c:pt>
                <c:pt idx="168">
                  <c:v>114180</c:v>
                </c:pt>
                <c:pt idx="169">
                  <c:v>114870</c:v>
                </c:pt>
                <c:pt idx="170">
                  <c:v>114870</c:v>
                </c:pt>
                <c:pt idx="171">
                  <c:v>114890</c:v>
                </c:pt>
                <c:pt idx="172">
                  <c:v>114890</c:v>
                </c:pt>
                <c:pt idx="173">
                  <c:v>115440</c:v>
                </c:pt>
                <c:pt idx="174">
                  <c:v>115440</c:v>
                </c:pt>
                <c:pt idx="175">
                  <c:v>115920</c:v>
                </c:pt>
                <c:pt idx="176">
                  <c:v>115920</c:v>
                </c:pt>
                <c:pt idx="177">
                  <c:v>118100</c:v>
                </c:pt>
                <c:pt idx="178">
                  <c:v>118100</c:v>
                </c:pt>
                <c:pt idx="179">
                  <c:v>118840</c:v>
                </c:pt>
                <c:pt idx="180">
                  <c:v>118840</c:v>
                </c:pt>
                <c:pt idx="181">
                  <c:v>119110</c:v>
                </c:pt>
                <c:pt idx="182">
                  <c:v>119110</c:v>
                </c:pt>
              </c:numCache>
            </c:numRef>
          </c:xVal>
          <c:yVal>
            <c:numRef>
              <c:f>'All Staff'!$K$2:$K$185</c:f>
              <c:numCache>
                <c:formatCode>General</c:formatCode>
                <c:ptCount val="184"/>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1</c:v>
                </c:pt>
                <c:pt idx="15">
                  <c:v>1</c:v>
                </c:pt>
                <c:pt idx="16">
                  <c:v>4</c:v>
                </c:pt>
                <c:pt idx="17">
                  <c:v>4</c:v>
                </c:pt>
                <c:pt idx="18">
                  <c:v>3</c:v>
                </c:pt>
                <c:pt idx="19">
                  <c:v>3</c:v>
                </c:pt>
                <c:pt idx="20">
                  <c:v>3</c:v>
                </c:pt>
                <c:pt idx="21">
                  <c:v>3</c:v>
                </c:pt>
                <c:pt idx="22">
                  <c:v>4</c:v>
                </c:pt>
                <c:pt idx="23">
                  <c:v>4</c:v>
                </c:pt>
                <c:pt idx="24">
                  <c:v>4</c:v>
                </c:pt>
                <c:pt idx="25">
                  <c:v>4</c:v>
                </c:pt>
                <c:pt idx="26">
                  <c:v>3</c:v>
                </c:pt>
                <c:pt idx="27">
                  <c:v>3</c:v>
                </c:pt>
                <c:pt idx="28">
                  <c:v>3</c:v>
                </c:pt>
                <c:pt idx="29">
                  <c:v>3</c:v>
                </c:pt>
                <c:pt idx="30">
                  <c:v>2</c:v>
                </c:pt>
                <c:pt idx="31">
                  <c:v>2</c:v>
                </c:pt>
                <c:pt idx="32">
                  <c:v>2</c:v>
                </c:pt>
                <c:pt idx="33">
                  <c:v>2</c:v>
                </c:pt>
                <c:pt idx="34">
                  <c:v>3</c:v>
                </c:pt>
                <c:pt idx="35">
                  <c:v>3</c:v>
                </c:pt>
                <c:pt idx="36">
                  <c:v>3</c:v>
                </c:pt>
                <c:pt idx="37">
                  <c:v>3</c:v>
                </c:pt>
                <c:pt idx="38">
                  <c:v>3</c:v>
                </c:pt>
                <c:pt idx="39">
                  <c:v>3</c:v>
                </c:pt>
                <c:pt idx="40">
                  <c:v>3</c:v>
                </c:pt>
                <c:pt idx="41">
                  <c:v>3</c:v>
                </c:pt>
                <c:pt idx="42">
                  <c:v>3</c:v>
                </c:pt>
                <c:pt idx="43">
                  <c:v>3</c:v>
                </c:pt>
                <c:pt idx="44">
                  <c:v>4</c:v>
                </c:pt>
                <c:pt idx="45">
                  <c:v>4</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3</c:v>
                </c:pt>
                <c:pt idx="73">
                  <c:v>3</c:v>
                </c:pt>
                <c:pt idx="74">
                  <c:v>2</c:v>
                </c:pt>
                <c:pt idx="75">
                  <c:v>2</c:v>
                </c:pt>
                <c:pt idx="76">
                  <c:v>3</c:v>
                </c:pt>
                <c:pt idx="77">
                  <c:v>3</c:v>
                </c:pt>
                <c:pt idx="78">
                  <c:v>3</c:v>
                </c:pt>
                <c:pt idx="79">
                  <c:v>3</c:v>
                </c:pt>
                <c:pt idx="80">
                  <c:v>3</c:v>
                </c:pt>
                <c:pt idx="81">
                  <c:v>3</c:v>
                </c:pt>
                <c:pt idx="82">
                  <c:v>2</c:v>
                </c:pt>
                <c:pt idx="83">
                  <c:v>2</c:v>
                </c:pt>
                <c:pt idx="84">
                  <c:v>3</c:v>
                </c:pt>
                <c:pt idx="85">
                  <c:v>3</c:v>
                </c:pt>
                <c:pt idx="86">
                  <c:v>3</c:v>
                </c:pt>
                <c:pt idx="87">
                  <c:v>3</c:v>
                </c:pt>
                <c:pt idx="88">
                  <c:v>3</c:v>
                </c:pt>
                <c:pt idx="89">
                  <c:v>3</c:v>
                </c:pt>
                <c:pt idx="90">
                  <c:v>5</c:v>
                </c:pt>
                <c:pt idx="91">
                  <c:v>5</c:v>
                </c:pt>
                <c:pt idx="92">
                  <c:v>3</c:v>
                </c:pt>
                <c:pt idx="93">
                  <c:v>3</c:v>
                </c:pt>
                <c:pt idx="94">
                  <c:v>1</c:v>
                </c:pt>
                <c:pt idx="95">
                  <c:v>1</c:v>
                </c:pt>
                <c:pt idx="96">
                  <c:v>3</c:v>
                </c:pt>
                <c:pt idx="97">
                  <c:v>3</c:v>
                </c:pt>
                <c:pt idx="98">
                  <c:v>3</c:v>
                </c:pt>
                <c:pt idx="99">
                  <c:v>3</c:v>
                </c:pt>
                <c:pt idx="100">
                  <c:v>4</c:v>
                </c:pt>
                <c:pt idx="101">
                  <c:v>4</c:v>
                </c:pt>
                <c:pt idx="102">
                  <c:v>3</c:v>
                </c:pt>
                <c:pt idx="103">
                  <c:v>3</c:v>
                </c:pt>
                <c:pt idx="104">
                  <c:v>3</c:v>
                </c:pt>
                <c:pt idx="105">
                  <c:v>3</c:v>
                </c:pt>
                <c:pt idx="106">
                  <c:v>3</c:v>
                </c:pt>
                <c:pt idx="107">
                  <c:v>3</c:v>
                </c:pt>
                <c:pt idx="108">
                  <c:v>4</c:v>
                </c:pt>
                <c:pt idx="109">
                  <c:v>4</c:v>
                </c:pt>
                <c:pt idx="110">
                  <c:v>3</c:v>
                </c:pt>
                <c:pt idx="111">
                  <c:v>3</c:v>
                </c:pt>
                <c:pt idx="112">
                  <c:v>3</c:v>
                </c:pt>
                <c:pt idx="113">
                  <c:v>3</c:v>
                </c:pt>
                <c:pt idx="114">
                  <c:v>3</c:v>
                </c:pt>
                <c:pt idx="115">
                  <c:v>3</c:v>
                </c:pt>
                <c:pt idx="116">
                  <c:v>3</c:v>
                </c:pt>
                <c:pt idx="117">
                  <c:v>3</c:v>
                </c:pt>
                <c:pt idx="118">
                  <c:v>2</c:v>
                </c:pt>
                <c:pt idx="119">
                  <c:v>2</c:v>
                </c:pt>
                <c:pt idx="120">
                  <c:v>4</c:v>
                </c:pt>
                <c:pt idx="121">
                  <c:v>4</c:v>
                </c:pt>
                <c:pt idx="122">
                  <c:v>3</c:v>
                </c:pt>
                <c:pt idx="123">
                  <c:v>3</c:v>
                </c:pt>
                <c:pt idx="124">
                  <c:v>4</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4</c:v>
                </c:pt>
                <c:pt idx="155">
                  <c:v>4</c:v>
                </c:pt>
                <c:pt idx="156">
                  <c:v>2</c:v>
                </c:pt>
                <c:pt idx="157">
                  <c:v>2</c:v>
                </c:pt>
                <c:pt idx="158">
                  <c:v>3</c:v>
                </c:pt>
                <c:pt idx="159">
                  <c:v>3</c:v>
                </c:pt>
                <c:pt idx="160">
                  <c:v>3</c:v>
                </c:pt>
                <c:pt idx="161">
                  <c:v>3</c:v>
                </c:pt>
                <c:pt idx="162">
                  <c:v>3</c:v>
                </c:pt>
                <c:pt idx="163">
                  <c:v>4</c:v>
                </c:pt>
                <c:pt idx="164">
                  <c:v>4</c:v>
                </c:pt>
                <c:pt idx="165">
                  <c:v>1</c:v>
                </c:pt>
                <c:pt idx="166">
                  <c:v>1</c:v>
                </c:pt>
                <c:pt idx="167">
                  <c:v>3</c:v>
                </c:pt>
                <c:pt idx="168">
                  <c:v>3</c:v>
                </c:pt>
                <c:pt idx="169">
                  <c:v>3</c:v>
                </c:pt>
                <c:pt idx="170">
                  <c:v>3</c:v>
                </c:pt>
                <c:pt idx="171">
                  <c:v>3</c:v>
                </c:pt>
                <c:pt idx="172">
                  <c:v>3</c:v>
                </c:pt>
                <c:pt idx="173">
                  <c:v>2</c:v>
                </c:pt>
                <c:pt idx="174">
                  <c:v>2</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B961-4EB4-ABF8-66A2D7127E5F}"/>
            </c:ext>
          </c:extLst>
        </c:ser>
        <c:dLbls>
          <c:showLegendKey val="0"/>
          <c:showVal val="0"/>
          <c:showCatName val="0"/>
          <c:showSerName val="0"/>
          <c:showPercent val="0"/>
          <c:showBubbleSize val="0"/>
        </c:dLbls>
        <c:axId val="433994368"/>
        <c:axId val="433993648"/>
      </c:scatterChart>
      <c:valAx>
        <c:axId val="4339943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993648"/>
        <c:crosses val="autoZero"/>
        <c:crossBetween val="midCat"/>
      </c:valAx>
      <c:valAx>
        <c:axId val="43399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994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Employee Data Analysis.xlsx]Employee Trend!PivotTable5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'Employee Trend'!$C$3</c:f>
              <c:strCache>
                <c:ptCount val="1"/>
                <c:pt idx="0">
                  <c:v>Total</c:v>
                </c:pt>
              </c:strCache>
            </c:strRef>
          </c:tx>
          <c:spPr>
            <a:ln w="28575" cap="rnd">
              <a:solidFill>
                <a:schemeClr val="accent1"/>
              </a:solidFill>
              <a:round/>
            </a:ln>
            <a:effectLst/>
          </c:spPr>
          <c:marker>
            <c:symbol val="none"/>
          </c:marker>
          <c:cat>
            <c:strRef>
              <c:f>'Employee Trend'!$B$4:$B$8</c:f>
              <c:strCache>
                <c:ptCount val="4"/>
                <c:pt idx="0">
                  <c:v>2020</c:v>
                </c:pt>
                <c:pt idx="1">
                  <c:v>2021</c:v>
                </c:pt>
                <c:pt idx="2">
                  <c:v>2022</c:v>
                </c:pt>
                <c:pt idx="3">
                  <c:v>2023</c:v>
                </c:pt>
              </c:strCache>
            </c:strRef>
          </c:cat>
          <c:val>
            <c:numRef>
              <c:f>'Employee Trend'!$C$4:$C$8</c:f>
              <c:numCache>
                <c:formatCode>General</c:formatCode>
                <c:ptCount val="4"/>
                <c:pt idx="0">
                  <c:v>37</c:v>
                </c:pt>
                <c:pt idx="1">
                  <c:v>82</c:v>
                </c:pt>
                <c:pt idx="2">
                  <c:v>62</c:v>
                </c:pt>
                <c:pt idx="3">
                  <c:v>2</c:v>
                </c:pt>
              </c:numCache>
            </c:numRef>
          </c:val>
          <c:smooth val="0"/>
          <c:extLst>
            <c:ext xmlns:c16="http://schemas.microsoft.com/office/drawing/2014/chart" uri="{C3380CC4-5D6E-409C-BE32-E72D297353CC}">
              <c16:uniqueId val="{00000000-FEFD-4587-ADCC-74BEEE4FD9DB}"/>
            </c:ext>
          </c:extLst>
        </c:ser>
        <c:dLbls>
          <c:showLegendKey val="0"/>
          <c:showVal val="0"/>
          <c:showCatName val="0"/>
          <c:showSerName val="0"/>
          <c:showPercent val="0"/>
          <c:showBubbleSize val="0"/>
        </c:dLbls>
        <c:smooth val="0"/>
        <c:axId val="1172208904"/>
        <c:axId val="1172211784"/>
      </c:lineChart>
      <c:catAx>
        <c:axId val="1172208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211784"/>
        <c:crosses val="autoZero"/>
        <c:auto val="1"/>
        <c:lblAlgn val="ctr"/>
        <c:lblOffset val="100"/>
        <c:noMultiLvlLbl val="0"/>
      </c:catAx>
      <c:valAx>
        <c:axId val="1172211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208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Join Trend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'Employee Trend'!$S$4</c:f>
              <c:strCache>
                <c:ptCount val="1"/>
                <c:pt idx="0">
                  <c:v>Running 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'Employee Trend'!$Q$5:$Q$40</c:f>
              <c:numCache>
                <c:formatCode>mmm\-yy</c:formatCode>
                <c:ptCount val="36"/>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numCache>
            </c:numRef>
          </c:cat>
          <c:val>
            <c:numRef>
              <c:f>'Employee Trend'!$S$5:$S$40</c:f>
              <c:numCache>
                <c:formatCode>General</c:formatCode>
                <c:ptCount val="36"/>
                <c:pt idx="0">
                  <c:v>3</c:v>
                </c:pt>
                <c:pt idx="1">
                  <c:v>4</c:v>
                </c:pt>
                <c:pt idx="2">
                  <c:v>9</c:v>
                </c:pt>
                <c:pt idx="3">
                  <c:v>12</c:v>
                </c:pt>
                <c:pt idx="4">
                  <c:v>18</c:v>
                </c:pt>
                <c:pt idx="5">
                  <c:v>24</c:v>
                </c:pt>
                <c:pt idx="6">
                  <c:v>30</c:v>
                </c:pt>
                <c:pt idx="7">
                  <c:v>37</c:v>
                </c:pt>
                <c:pt idx="8">
                  <c:v>43</c:v>
                </c:pt>
                <c:pt idx="9">
                  <c:v>47</c:v>
                </c:pt>
                <c:pt idx="10">
                  <c:v>56</c:v>
                </c:pt>
                <c:pt idx="11">
                  <c:v>61</c:v>
                </c:pt>
                <c:pt idx="12">
                  <c:v>71</c:v>
                </c:pt>
                <c:pt idx="13">
                  <c:v>77</c:v>
                </c:pt>
                <c:pt idx="14">
                  <c:v>90</c:v>
                </c:pt>
                <c:pt idx="15">
                  <c:v>94</c:v>
                </c:pt>
                <c:pt idx="16">
                  <c:v>105</c:v>
                </c:pt>
                <c:pt idx="17">
                  <c:v>108</c:v>
                </c:pt>
                <c:pt idx="18">
                  <c:v>112</c:v>
                </c:pt>
                <c:pt idx="19">
                  <c:v>119</c:v>
                </c:pt>
                <c:pt idx="20">
                  <c:v>122</c:v>
                </c:pt>
                <c:pt idx="21">
                  <c:v>132</c:v>
                </c:pt>
                <c:pt idx="22">
                  <c:v>141</c:v>
                </c:pt>
                <c:pt idx="23">
                  <c:v>150</c:v>
                </c:pt>
                <c:pt idx="24">
                  <c:v>159</c:v>
                </c:pt>
                <c:pt idx="25">
                  <c:v>166</c:v>
                </c:pt>
                <c:pt idx="26">
                  <c:v>171</c:v>
                </c:pt>
                <c:pt idx="27">
                  <c:v>176</c:v>
                </c:pt>
                <c:pt idx="28">
                  <c:v>178</c:v>
                </c:pt>
                <c:pt idx="29">
                  <c:v>181</c:v>
                </c:pt>
                <c:pt idx="30">
                  <c:v>181</c:v>
                </c:pt>
                <c:pt idx="31">
                  <c:v>181</c:v>
                </c:pt>
                <c:pt idx="32">
                  <c:v>181</c:v>
                </c:pt>
                <c:pt idx="33">
                  <c:v>182</c:v>
                </c:pt>
                <c:pt idx="34">
                  <c:v>182</c:v>
                </c:pt>
                <c:pt idx="35">
                  <c:v>183</c:v>
                </c:pt>
              </c:numCache>
            </c:numRef>
          </c:val>
          <c:smooth val="0"/>
          <c:extLst>
            <c:ext xmlns:c16="http://schemas.microsoft.com/office/drawing/2014/chart" uri="{C3380CC4-5D6E-409C-BE32-E72D297353CC}">
              <c16:uniqueId val="{00000000-D7A1-462B-91DE-C139B67133A4}"/>
            </c:ext>
          </c:extLst>
        </c:ser>
        <c:dLbls>
          <c:showLegendKey val="0"/>
          <c:showVal val="0"/>
          <c:showCatName val="0"/>
          <c:showSerName val="0"/>
          <c:showPercent val="0"/>
          <c:showBubbleSize val="0"/>
        </c:dLbls>
        <c:marker val="1"/>
        <c:smooth val="0"/>
        <c:axId val="798901632"/>
        <c:axId val="798900192"/>
      </c:lineChart>
      <c:dateAx>
        <c:axId val="7989016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900192"/>
        <c:crosses val="autoZero"/>
        <c:auto val="1"/>
        <c:lblOffset val="100"/>
        <c:baseTimeUnit val="months"/>
      </c:dateAx>
      <c:valAx>
        <c:axId val="79890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90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Employee Data Analysis.xlsx]Sheet1!PivotTable1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Tenure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c:f>
              <c:strCache>
                <c:ptCount val="1"/>
                <c:pt idx="0">
                  <c:v>Total</c:v>
                </c:pt>
              </c:strCache>
            </c:strRef>
          </c:tx>
          <c:spPr>
            <a:solidFill>
              <a:schemeClr val="accent1"/>
            </a:solidFill>
            <a:ln>
              <a:noFill/>
            </a:ln>
            <a:effectLst/>
          </c:spPr>
          <c:invertIfNegative val="0"/>
          <c:cat>
            <c:strRef>
              <c:f>Sheet1!$B$3:$B$8</c:f>
              <c:strCache>
                <c:ptCount val="5"/>
                <c:pt idx="0">
                  <c:v>Finance</c:v>
                </c:pt>
                <c:pt idx="1">
                  <c:v>HR</c:v>
                </c:pt>
                <c:pt idx="2">
                  <c:v>Procurement</c:v>
                </c:pt>
                <c:pt idx="3">
                  <c:v>Sales</c:v>
                </c:pt>
                <c:pt idx="4">
                  <c:v>Website</c:v>
                </c:pt>
              </c:strCache>
            </c:strRef>
          </c:cat>
          <c:val>
            <c:numRef>
              <c:f>Sheet1!$C$3:$C$8</c:f>
              <c:numCache>
                <c:formatCode>0.00</c:formatCode>
                <c:ptCount val="5"/>
                <c:pt idx="0">
                  <c:v>2.1461427541456386</c:v>
                </c:pt>
                <c:pt idx="1">
                  <c:v>2.4493150684931502</c:v>
                </c:pt>
                <c:pt idx="2">
                  <c:v>1.7595018679950183</c:v>
                </c:pt>
                <c:pt idx="3">
                  <c:v>2.0536203522504892</c:v>
                </c:pt>
                <c:pt idx="4">
                  <c:v>2.0845763571790972</c:v>
                </c:pt>
              </c:numCache>
            </c:numRef>
          </c:val>
          <c:extLst>
            <c:ext xmlns:c16="http://schemas.microsoft.com/office/drawing/2014/chart" uri="{C3380CC4-5D6E-409C-BE32-E72D297353CC}">
              <c16:uniqueId val="{00000000-90C4-492F-A043-5A29611B5999}"/>
            </c:ext>
          </c:extLst>
        </c:ser>
        <c:dLbls>
          <c:showLegendKey val="0"/>
          <c:showVal val="0"/>
          <c:showCatName val="0"/>
          <c:showSerName val="0"/>
          <c:showPercent val="0"/>
          <c:showBubbleSize val="0"/>
        </c:dLbls>
        <c:gapWidth val="219"/>
        <c:overlap val="-27"/>
        <c:axId val="1808656976"/>
        <c:axId val="1808653232"/>
      </c:barChart>
      <c:catAx>
        <c:axId val="180865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653232"/>
        <c:crosses val="autoZero"/>
        <c:auto val="1"/>
        <c:lblAlgn val="ctr"/>
        <c:lblOffset val="100"/>
        <c:noMultiLvlLbl val="0"/>
      </c:catAx>
      <c:valAx>
        <c:axId val="1808653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65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Employee Data Analysis.xlsx]Rating Count!PivotTable6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'Rating Count'!$F$7</c:f>
              <c:strCache>
                <c:ptCount val="1"/>
                <c:pt idx="0">
                  <c:v>Total</c:v>
                </c:pt>
              </c:strCache>
            </c:strRef>
          </c:tx>
          <c:spPr>
            <a:solidFill>
              <a:schemeClr val="accent1"/>
            </a:solidFill>
            <a:ln>
              <a:noFill/>
            </a:ln>
            <a:effectLst/>
          </c:spPr>
          <c:invertIfNegative val="0"/>
          <c:cat>
            <c:strRef>
              <c:f>'Rating Count'!$E$8:$E$13</c:f>
              <c:strCache>
                <c:ptCount val="5"/>
                <c:pt idx="0">
                  <c:v>Exceptional</c:v>
                </c:pt>
                <c:pt idx="1">
                  <c:v>Above average</c:v>
                </c:pt>
                <c:pt idx="2">
                  <c:v>Average</c:v>
                </c:pt>
                <c:pt idx="3">
                  <c:v>Poor</c:v>
                </c:pt>
                <c:pt idx="4">
                  <c:v>Very poor</c:v>
                </c:pt>
              </c:strCache>
            </c:strRef>
          </c:cat>
          <c:val>
            <c:numRef>
              <c:f>'Rating Count'!$F$8:$F$13</c:f>
              <c:numCache>
                <c:formatCode>General</c:formatCode>
                <c:ptCount val="5"/>
                <c:pt idx="0">
                  <c:v>4</c:v>
                </c:pt>
                <c:pt idx="1">
                  <c:v>20</c:v>
                </c:pt>
                <c:pt idx="2">
                  <c:v>137</c:v>
                </c:pt>
                <c:pt idx="3">
                  <c:v>16</c:v>
                </c:pt>
                <c:pt idx="4">
                  <c:v>6</c:v>
                </c:pt>
              </c:numCache>
            </c:numRef>
          </c:val>
          <c:extLst>
            <c:ext xmlns:c16="http://schemas.microsoft.com/office/drawing/2014/chart" uri="{C3380CC4-5D6E-409C-BE32-E72D297353CC}">
              <c16:uniqueId val="{00000003-5693-43DE-96DE-F7849E90CAE1}"/>
            </c:ext>
          </c:extLst>
        </c:ser>
        <c:dLbls>
          <c:showLegendKey val="0"/>
          <c:showVal val="0"/>
          <c:showCatName val="0"/>
          <c:showSerName val="0"/>
          <c:showPercent val="0"/>
          <c:showBubbleSize val="0"/>
        </c:dLbls>
        <c:gapWidth val="182"/>
        <c:axId val="2033780568"/>
        <c:axId val="2033783448"/>
      </c:barChart>
      <c:catAx>
        <c:axId val="2033780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783448"/>
        <c:crosses val="autoZero"/>
        <c:auto val="1"/>
        <c:lblAlgn val="ctr"/>
        <c:lblOffset val="100"/>
        <c:noMultiLvlLbl val="0"/>
      </c:catAx>
      <c:valAx>
        <c:axId val="2033783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780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Salary Spread by $10,000</cx:v>
        </cx:txData>
      </cx:tx>
      <cx:txPr>
        <a:bodyPr spcFirstLastPara="1" vertOverflow="ellipsis" horzOverflow="overflow" wrap="square" lIns="0" tIns="0" rIns="0" bIns="0" anchor="ctr" anchorCtr="1"/>
        <a:lstStyle/>
        <a:p>
          <a:pPr algn="ctr" rtl="0">
            <a:defRPr lang="en-US" sz="1000" b="0" i="0" u="none" strike="noStrike" kern="1200" baseline="0">
              <a:solidFill>
                <a:schemeClr val="bg1"/>
              </a:solidFill>
              <a:latin typeface="+mn-lt"/>
              <a:ea typeface="+mn-ea"/>
              <a:cs typeface="+mn-cs"/>
            </a:defRPr>
          </a:pPr>
          <a:r>
            <a:rPr lang="en-US" sz="1400" b="1" i="0" u="none" strike="noStrike" kern="1200" baseline="0">
              <a:solidFill>
                <a:schemeClr val="bg1"/>
              </a:solidFill>
              <a:latin typeface="+mn-lt"/>
              <a:ea typeface="+mn-ea"/>
              <a:cs typeface="+mn-cs"/>
            </a:rPr>
            <a:t>Salary Spread by $10,000</a:t>
          </a:r>
        </a:p>
      </cx:txPr>
    </cx:title>
    <cx:plotArea>
      <cx:plotAreaRegion>
        <cx:plotSurface>
          <cx:spPr>
            <a:solidFill>
              <a:schemeClr val="accent1">
                <a:lumMod val="50000"/>
              </a:schemeClr>
            </a:solidFill>
          </cx:spPr>
        </cx:plotSurface>
        <cx:series layoutId="clusteredColumn" uniqueId="{DF2D007F-F901-47BE-92AC-D6335BC74E8F}">
          <cx:spPr>
            <a:solidFill>
              <a:schemeClr val="bg1"/>
            </a:solidFill>
          </cx:spPr>
          <cx:dataId val="0"/>
          <cx:layoutPr>
            <cx:binning intervalClosed="r" underflow="40000">
              <cx:binSize val="10000"/>
            </cx:binning>
          </cx:layoutPr>
        </cx:series>
      </cx:plotAreaRegion>
      <cx:axis id="0">
        <cx:catScaling gapWidth="0"/>
        <cx:tickLabels/>
        <cx:txPr>
          <a:bodyPr vertOverflow="overflow" horzOverflow="overflow" wrap="square" lIns="0" tIns="0" rIns="0" bIns="0"/>
          <a:lstStyle/>
          <a:p>
            <a:pPr algn="ctr" rtl="0">
              <a:defRPr lang="en-US" sz="1000" b="0" i="0" u="none" strike="noStrike" kern="1200" baseline="0">
                <a:solidFill>
                  <a:schemeClr val="bg1"/>
                </a:solidFill>
                <a:latin typeface="+mn-lt"/>
                <a:ea typeface="+mn-ea"/>
                <a:cs typeface="+mn-cs"/>
              </a:defRPr>
            </a:pPr>
            <a:endParaRPr lang="en-US" sz="1000" b="0" i="0" u="none" strike="noStrike" kern="1200" baseline="0">
              <a:solidFill>
                <a:schemeClr val="bg1"/>
              </a:solidFill>
              <a:latin typeface="+mn-lt"/>
              <a:ea typeface="+mn-ea"/>
              <a:cs typeface="+mn-cs"/>
            </a:endParaRPr>
          </a:p>
        </cx:txPr>
      </cx:axis>
      <cx:axis id="1">
        <cx:valScaling/>
        <cx:tickLabels/>
        <cx:txPr>
          <a:bodyPr vertOverflow="overflow" horzOverflow="overflow" wrap="square" lIns="0" tIns="0" rIns="0" bIns="0"/>
          <a:lstStyle/>
          <a:p>
            <a:pPr algn="ctr" rtl="0">
              <a:defRPr lang="en-US" sz="1000" b="0" i="0" u="none" strike="noStrike" kern="1200" baseline="0">
                <a:solidFill>
                  <a:schemeClr val="bg1"/>
                </a:solidFill>
                <a:latin typeface="+mn-lt"/>
                <a:ea typeface="+mn-ea"/>
                <a:cs typeface="+mn-cs"/>
              </a:defRPr>
            </a:pPr>
            <a:endParaRPr lang="en-US" sz="1000" b="0" i="0" u="none" strike="noStrike" kern="1200" baseline="0">
              <a:solidFill>
                <a:schemeClr val="bg1"/>
              </a:solidFill>
              <a:latin typeface="+mn-lt"/>
              <a:ea typeface="+mn-ea"/>
              <a:cs typeface="+mn-cs"/>
            </a:endParaRPr>
          </a:p>
        </cx:txPr>
      </cx:axis>
    </cx:plotArea>
  </cx:chart>
  <cx:spPr>
    <a:solidFill>
      <a:schemeClr val="accent1">
        <a:lumMod val="5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Salary Spread by $10,000</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by $10,000</a:t>
          </a:r>
        </a:p>
      </cx:txPr>
    </cx:title>
    <cx:plotArea>
      <cx:plotAreaRegion>
        <cx:series layoutId="clusteredColumn" uniqueId="{DF2D007F-F901-47BE-92AC-D6335BC74E8F}">
          <cx:dataId val="0"/>
          <cx:layoutPr>
            <cx:binning intervalClosed="r" underflow="40000">
              <cx:binSize val="1000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Salary Spread - Boxplot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 Boxplot</a:t>
          </a:r>
        </a:p>
      </cx:txPr>
    </cx:title>
    <cx:plotArea>
      <cx:plotAreaRegion>
        <cx:series layoutId="boxWhisker" uniqueId="{A3CD327F-ADE3-4A79-BEF3-B7F6B8D1E818}">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microsoft.com/office/2014/relationships/chartEx" Target="../charts/chartEx3.xml"/><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2973</xdr:colOff>
      <xdr:row>7</xdr:row>
      <xdr:rowOff>9041</xdr:rowOff>
    </xdr:from>
    <xdr:to>
      <xdr:col>8</xdr:col>
      <xdr:colOff>8282</xdr:colOff>
      <xdr:row>17</xdr:row>
      <xdr:rowOff>1</xdr:rowOff>
    </xdr:to>
    <xdr:graphicFrame macro="">
      <xdr:nvGraphicFramePr>
        <xdr:cNvPr id="2" name="Chart 1">
          <a:extLst>
            <a:ext uri="{FF2B5EF4-FFF2-40B4-BE49-F238E27FC236}">
              <a16:creationId xmlns:a16="http://schemas.microsoft.com/office/drawing/2014/main" id="{42691980-ABF0-47AE-9B3E-FCA28B0D7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147742</xdr:colOff>
      <xdr:row>17</xdr:row>
      <xdr:rowOff>186041</xdr:rowOff>
    </xdr:from>
    <xdr:to>
      <xdr:col>8</xdr:col>
      <xdr:colOff>0</xdr:colOff>
      <xdr:row>30</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0BB9701-EA30-4905-BF8C-EF639A1E35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034067" y="4462766"/>
              <a:ext cx="3005033" cy="22904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10856</xdr:colOff>
      <xdr:row>18</xdr:row>
      <xdr:rowOff>21981</xdr:rowOff>
    </xdr:from>
    <xdr:to>
      <xdr:col>3</xdr:col>
      <xdr:colOff>1677865</xdr:colOff>
      <xdr:row>29</xdr:row>
      <xdr:rowOff>190499</xdr:rowOff>
    </xdr:to>
    <xdr:graphicFrame macro="">
      <xdr:nvGraphicFramePr>
        <xdr:cNvPr id="4" name="Chart 3">
          <a:extLst>
            <a:ext uri="{FF2B5EF4-FFF2-40B4-BE49-F238E27FC236}">
              <a16:creationId xmlns:a16="http://schemas.microsoft.com/office/drawing/2014/main" id="{6D73F70D-F4DD-401A-811A-2935C3E41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11907</xdr:colOff>
      <xdr:row>30</xdr:row>
      <xdr:rowOff>119274</xdr:rowOff>
    </xdr:from>
    <xdr:to>
      <xdr:col>7</xdr:col>
      <xdr:colOff>1571625</xdr:colOff>
      <xdr:row>43</xdr:row>
      <xdr:rowOff>6896</xdr:rowOff>
    </xdr:to>
    <xdr:graphicFrame macro="">
      <xdr:nvGraphicFramePr>
        <xdr:cNvPr id="5" name="Chart 4">
          <a:extLst>
            <a:ext uri="{FF2B5EF4-FFF2-40B4-BE49-F238E27FC236}">
              <a16:creationId xmlns:a16="http://schemas.microsoft.com/office/drawing/2014/main" id="{C334B32F-7AA3-4AB7-86FB-7B29BBB09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66674</xdr:colOff>
      <xdr:row>0</xdr:row>
      <xdr:rowOff>47625</xdr:rowOff>
    </xdr:from>
    <xdr:to>
      <xdr:col>5</xdr:col>
      <xdr:colOff>628650</xdr:colOff>
      <xdr:row>4</xdr:row>
      <xdr:rowOff>133350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26E53454-8497-F265-AB3B-8D03EE2F327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333749" y="47625"/>
              <a:ext cx="1314451"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585109</xdr:colOff>
      <xdr:row>2</xdr:row>
      <xdr:rowOff>3</xdr:rowOff>
    </xdr:from>
    <xdr:to>
      <xdr:col>14</xdr:col>
      <xdr:colOff>367392</xdr:colOff>
      <xdr:row>25</xdr:row>
      <xdr:rowOff>136071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7CBDB2F-04E2-4025-8044-8CFDF34A9B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5109" y="381003"/>
              <a:ext cx="8316683" cy="451756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40822</xdr:colOff>
      <xdr:row>2</xdr:row>
      <xdr:rowOff>13607</xdr:rowOff>
    </xdr:from>
    <xdr:to>
      <xdr:col>22</xdr:col>
      <xdr:colOff>285750</xdr:colOff>
      <xdr:row>23</xdr:row>
      <xdr:rowOff>176893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CE975BF-091D-4D99-AD1C-7BC44B0F05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184822" y="394607"/>
              <a:ext cx="4512128" cy="416378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485775</xdr:colOff>
      <xdr:row>1</xdr:row>
      <xdr:rowOff>57150</xdr:rowOff>
    </xdr:from>
    <xdr:to>
      <xdr:col>9</xdr:col>
      <xdr:colOff>390525</xdr:colOff>
      <xdr:row>15</xdr:row>
      <xdr:rowOff>133350</xdr:rowOff>
    </xdr:to>
    <xdr:graphicFrame macro="">
      <xdr:nvGraphicFramePr>
        <xdr:cNvPr id="2" name="Chart 1">
          <a:extLst>
            <a:ext uri="{FF2B5EF4-FFF2-40B4-BE49-F238E27FC236}">
              <a16:creationId xmlns:a16="http://schemas.microsoft.com/office/drawing/2014/main" id="{73BD4AEE-DA9A-4914-B024-8D2F5A155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96089</xdr:colOff>
      <xdr:row>1</xdr:row>
      <xdr:rowOff>179012</xdr:rowOff>
    </xdr:from>
    <xdr:to>
      <xdr:col>15</xdr:col>
      <xdr:colOff>72277</xdr:colOff>
      <xdr:row>17</xdr:row>
      <xdr:rowOff>12325</xdr:rowOff>
    </xdr:to>
    <xdr:graphicFrame macro="">
      <xdr:nvGraphicFramePr>
        <xdr:cNvPr id="2" name="Chart 1">
          <a:extLst>
            <a:ext uri="{FF2B5EF4-FFF2-40B4-BE49-F238E27FC236}">
              <a16:creationId xmlns:a16="http://schemas.microsoft.com/office/drawing/2014/main" id="{CF563647-2F66-073F-896B-80B4D05D3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882743</xdr:colOff>
      <xdr:row>17</xdr:row>
      <xdr:rowOff>54068</xdr:rowOff>
    </xdr:from>
    <xdr:to>
      <xdr:col>14</xdr:col>
      <xdr:colOff>429464</xdr:colOff>
      <xdr:row>31</xdr:row>
      <xdr:rowOff>130268</xdr:rowOff>
    </xdr:to>
    <xdr:graphicFrame macro="">
      <xdr:nvGraphicFramePr>
        <xdr:cNvPr id="3" name="Chart 2">
          <a:extLst>
            <a:ext uri="{FF2B5EF4-FFF2-40B4-BE49-F238E27FC236}">
              <a16:creationId xmlns:a16="http://schemas.microsoft.com/office/drawing/2014/main" id="{5A196510-A58C-9600-B63D-092E0BBDA1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90487</xdr:colOff>
      <xdr:row>3</xdr:row>
      <xdr:rowOff>66675</xdr:rowOff>
    </xdr:from>
    <xdr:to>
      <xdr:col>18</xdr:col>
      <xdr:colOff>90487</xdr:colOff>
      <xdr:row>17</xdr:row>
      <xdr:rowOff>142875</xdr:rowOff>
    </xdr:to>
    <xdr:graphicFrame macro="">
      <xdr:nvGraphicFramePr>
        <xdr:cNvPr id="2" name="Chart 1">
          <a:extLst>
            <a:ext uri="{FF2B5EF4-FFF2-40B4-BE49-F238E27FC236}">
              <a16:creationId xmlns:a16="http://schemas.microsoft.com/office/drawing/2014/main" id="{35242FC3-21B6-4579-8373-F04F4D78A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123825</xdr:colOff>
      <xdr:row>3</xdr:row>
      <xdr:rowOff>109537</xdr:rowOff>
    </xdr:from>
    <xdr:to>
      <xdr:col>11</xdr:col>
      <xdr:colOff>300037</xdr:colOff>
      <xdr:row>16</xdr:row>
      <xdr:rowOff>114300</xdr:rowOff>
    </xdr:to>
    <xdr:graphicFrame macro="">
      <xdr:nvGraphicFramePr>
        <xdr:cNvPr id="3" name="Chart 2">
          <a:extLst>
            <a:ext uri="{FF2B5EF4-FFF2-40B4-BE49-F238E27FC236}">
              <a16:creationId xmlns:a16="http://schemas.microsoft.com/office/drawing/2014/main" id="{EC638F68-F028-BAE0-5B8C-6A0C4F0A5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600075</xdr:colOff>
      <xdr:row>0</xdr:row>
      <xdr:rowOff>180976</xdr:rowOff>
    </xdr:from>
    <xdr:to>
      <xdr:col>5</xdr:col>
      <xdr:colOff>866775</xdr:colOff>
      <xdr:row>5</xdr:row>
      <xdr:rowOff>142876</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D2B0CB61-C8B2-D0DE-CEA6-E5AB377F3AD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600325" y="180976"/>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teef" refreshedDate="45167.397802083331" createdVersion="7" refreshedVersion="7" minRefreshableVersion="3" recordCount="183" xr:uid="{C332BF35-ACA7-4156-9AC0-C68FFB784455}">
  <cacheSource type="worksheet">
    <worksheetSource name="Staff"/>
  </cacheSource>
  <cacheFields count="11">
    <cacheField name="Name" numFmtId="0">
      <sharedItems/>
    </cacheField>
    <cacheField name="Gender" numFmtId="0">
      <sharedItems/>
    </cacheField>
    <cacheField name="Department" numFmtId="0">
      <sharedItems count="5">
        <s v="Website"/>
        <s v="Sales"/>
        <s v="Procurement"/>
        <s v="HR"/>
        <s v="Finance"/>
      </sharedItems>
    </cacheField>
    <cacheField name="Age" numFmtId="0">
      <sharedItems containsSemiMixedTypes="0" containsString="0" containsNumber="1" containsInteger="1" minValue="19" maxValue="46"/>
    </cacheField>
    <cacheField name="Date Joined" numFmtId="14">
      <sharedItems containsSemiMixedTypes="0" containsNonDate="0" containsDate="1" containsString="0" minDate="2020-05-07T00:00:00" maxDate="2023-04-30T00:00:00"/>
    </cacheField>
    <cacheField name="Salary" numFmtId="164">
      <sharedItems containsSemiMixedTypes="0" containsString="0" containsNumber="1" containsInteger="1" minValue="33920" maxValue="119110"/>
    </cacheField>
    <cacheField name="Rating" numFmtId="0">
      <sharedItems/>
    </cacheField>
    <cacheField name="Country" numFmtId="0">
      <sharedItems/>
    </cacheField>
    <cacheField name="Tenure" numFmtId="2">
      <sharedItems containsSemiMixedTypes="0" containsString="0" containsNumber="1" minValue="0.33424657534246577" maxValue="3.3123287671232875" count="160">
        <n v="1.3397260273972602"/>
        <n v="1.5013698630136987"/>
        <n v="3.1342465753424658"/>
        <n v="3.3013698630136985"/>
        <n v="1.4986301369863013"/>
        <n v="1.6684931506849314"/>
        <n v="2.9123287671232876"/>
        <n v="3.0821917808219177"/>
        <n v="1.2054794520547945"/>
        <n v="1.3726027397260274"/>
        <n v="1.5232876712328767"/>
        <n v="1.6931506849315068"/>
        <n v="2.8"/>
        <n v="2.967123287671233"/>
        <n v="0.9506849315068493"/>
        <n v="1.1205479452054794"/>
        <n v="2.2273972602739724"/>
        <n v="2.3945205479452056"/>
        <n v="2.1013698630136988"/>
        <n v="2.2684931506849315"/>
        <n v="2.580821917808219"/>
        <n v="2.7479452054794522"/>
        <n v="3.0849315068493151"/>
        <n v="3.2520547945205478"/>
        <n v="1.2767123287671234"/>
        <n v="1.4438356164383561"/>
        <n v="1.7972602739726027"/>
        <n v="1.9643835616438357"/>
        <n v="1.6438356164383561"/>
        <n v="1.810958904109589"/>
        <n v="1.2219178082191782"/>
        <n v="1.3890410958904109"/>
        <n v="2.0027397260273974"/>
        <n v="2.1698630136986301"/>
        <n v="2.2191780821917808"/>
        <n v="2.3863013698630136"/>
        <n v="1.9232876712328768"/>
        <n v="2.0712328767123287"/>
        <n v="2.0931506849315067"/>
        <n v="2.2383561643835614"/>
        <n v="1.8027397260273972"/>
        <n v="1.9698630136986301"/>
        <n v="2.8301369863013699"/>
        <n v="2.9972602739726026"/>
        <n v="2.2958904109589042"/>
        <n v="2.463013698630137"/>
        <n v="1.1095890410958904"/>
        <n v="1.3808219178082193"/>
        <n v="1.5424657534246575"/>
        <n v="1.4082191780821918"/>
        <n v="1.5698630136986302"/>
        <n v="2.4383561643835616"/>
        <n v="2.6"/>
        <n v="2.5315068493150683"/>
        <n v="2.7013698630136984"/>
        <n v="1.5205479452054795"/>
        <n v="1.6904109589041096"/>
        <n v="1.5342465753424657"/>
        <n v="2.7917808219178082"/>
        <n v="2.9589041095890409"/>
        <n v="1.5616438356164384"/>
        <n v="1.7315068493150685"/>
        <n v="3.0136986301369864"/>
        <n v="3.1808219178082191"/>
        <n v="2.1479452054794521"/>
        <n v="2.3150684931506849"/>
        <n v="2.3287671232876712"/>
        <n v="2.495890410958904"/>
        <n v="2.1315068493150684"/>
        <n v="2.2986301369863016"/>
        <n v="1.726027397260274"/>
        <n v="1.893150684931507"/>
        <n v="2.4493150684931506"/>
        <n v="2.6109589041095891"/>
        <n v="0.86849315068493149"/>
        <n v="1.0356164383561643"/>
        <n v="1.1945205479452055"/>
        <n v="1.3616438356164384"/>
        <n v="1.2876712328767124"/>
        <n v="2.2849315068493152"/>
        <n v="2.452054794520548"/>
        <n v="2.1424657534246574"/>
        <n v="2.3095890410958906"/>
        <n v="1.0630136986301371"/>
        <n v="1.2301369863013698"/>
        <n v="2.3424657534246576"/>
        <n v="2.504109589041096"/>
        <n v="2.1726027397260275"/>
        <n v="2.3397260273972602"/>
        <n v="2.5342465753424657"/>
        <n v="2.7041095890410958"/>
        <n v="2.6904109589041094"/>
        <n v="2.8575342465753426"/>
        <n v="2.1342465753424658"/>
        <n v="1.747945205479452"/>
        <n v="1.9150684931506849"/>
        <n v="1.8438356164383563"/>
        <n v="2.010958904109589"/>
        <n v="1.1589041095890411"/>
        <n v="1.3260273972602741"/>
        <n v="1.295890410958904"/>
        <n v="1.463013698630137"/>
        <n v="1.3178082191780822"/>
        <n v="1.484931506849315"/>
        <n v="1.9397260273972603"/>
        <n v="2.1095890410958904"/>
        <n v="0.98082191780821915"/>
        <n v="1.1506849315068493"/>
        <n v="2.2739726027397262"/>
        <n v="2.441095890410959"/>
        <n v="2.2712328767123289"/>
        <n v="2.4547945205479453"/>
        <n v="2.6164383561643834"/>
        <n v="1.0767123287671232"/>
        <n v="1.2438356164383562"/>
        <n v="2.5506849315068494"/>
        <n v="2.7205479452054795"/>
        <n v="1.978082191780822"/>
        <n v="2.6356164383561644"/>
        <n v="2.8027397260273972"/>
        <n v="2.6767123287671235"/>
        <n v="2.8438356164383563"/>
        <n v="1.536986301369863"/>
        <n v="1.7068493150684931"/>
        <n v="2.4767123287671233"/>
        <n v="2.6383561643835618"/>
        <n v="1.4712328767123288"/>
        <n v="1.6328767123287671"/>
        <n v="1.2136986301369863"/>
        <n v="1.4191780821917808"/>
        <n v="1.5808219178082192"/>
        <n v="2.1534246575342464"/>
        <n v="2.3205479452054796"/>
        <n v="1.8657534246575342"/>
        <n v="2.032876712328767"/>
        <n v="1.9917808219178081"/>
        <n v="2.1616438356164385"/>
        <n v="2.1643835616438358"/>
        <n v="2.3315068493150686"/>
        <n v="1.2082191780821918"/>
        <n v="1.3753424657534246"/>
        <n v="2.871232876712329"/>
        <n v="0.83835616438356164"/>
        <n v="1.0054794520547945"/>
        <n v="2.6958904109589041"/>
        <n v="2.8630136986301369"/>
        <n v="1.4383561643835616"/>
        <n v="1.9753424657534246"/>
        <n v="2.1452054794520548"/>
        <n v="1.5287671232876712"/>
        <n v="1.6986301369863013"/>
        <n v="0.33424657534246577"/>
        <n v="0.49863013698630138"/>
        <n v="2.9643835616438357"/>
        <n v="2.7972602739726029"/>
        <n v="2.9150684931506849"/>
        <n v="1.9616438356164383"/>
        <n v="3.1452054794520548"/>
        <n v="3.3123287671232875"/>
        <n v="3.0301369863013701"/>
      </sharedItems>
    </cacheField>
    <cacheField name="Bonus" numFmtId="164">
      <sharedItems containsSemiMixedTypes="0" containsString="0" containsNumber="1" minValue="678.4" maxValue="3573.2999999999997"/>
    </cacheField>
    <cacheField name="Number Rating"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eef" refreshedDate="45168.363724074072" backgroundQuery="1" createdVersion="8" refreshedVersion="7" minRefreshableVersion="3" recordCount="0" supportSubquery="1" supportAdvancedDrill="1" xr:uid="{5CDCAD38-BAAD-4AAC-975A-930E5833C781}">
  <cacheSource type="external" connectionId="4"/>
  <cacheFields count="3">
    <cacheField name="[Staff].[Rating].[Rating]" caption="Rating" numFmtId="0" hierarchy="22" level="1">
      <sharedItems count="5">
        <s v="Above average"/>
        <s v="Average"/>
        <s v="Exceptional"/>
        <s v="Poor"/>
        <s v="Very poor"/>
      </sharedItems>
    </cacheField>
    <cacheField name="[Measures].[Count of Rating]" caption="Count of Rating" numFmtId="0" hierarchy="42" level="32767"/>
    <cacheField name="[Staff].[Country].[Country]" caption="Country" numFmtId="0" hierarchy="23" level="1">
      <sharedItems containsSemiMixedTypes="0" containsNonDate="0" containsString="0"/>
    </cacheField>
  </cacheFields>
  <cacheHierarchies count="44">
    <cacheHierarchy uniqueName="[India_Staff].[Name]" caption="Name" attribute="1" defaultMemberUniqueName="[India_Staff].[Name].[All]" allUniqueName="[India_Staff].[Name].[All]" dimensionUniqueName="[India_Staff]" displayFolder="" count="0" memberValueDatatype="130" unbalanced="0"/>
    <cacheHierarchy uniqueName="[India_Staff].[Gender]" caption="Gender" attribute="1" defaultMemberUniqueName="[India_Staff].[Gender].[All]" allUniqueName="[India_Staff].[Gender].[All]" dimensionUniqueName="[India_Staff]" displayFolder="" count="0" memberValueDatatype="130" unbalanced="0"/>
    <cacheHierarchy uniqueName="[India_Staff].[Age]" caption="Age" attribute="1" defaultMemberUniqueName="[India_Staff].[Age].[All]" allUniqueName="[India_Staff].[Age].[All]" dimensionUniqueName="[India_Staff]" displayFolder="" count="0" memberValueDatatype="20" unbalanced="0"/>
    <cacheHierarchy uniqueName="[India_Staff].[Rating]" caption="Rating" attribute="1" defaultMemberUniqueName="[India_Staff].[Rating].[All]" allUniqueName="[India_Staff].[Rating].[All]" dimensionUniqueName="[India_Staff]" displayFolder="" count="0" memberValueDatatype="130" unbalanced="0"/>
    <cacheHierarchy uniqueName="[India_Staff].[Date Joined]" caption="Date Joined" attribute="1" time="1" defaultMemberUniqueName="[India_Staff].[Date Joined].[All]" allUniqueName="[India_Staff].[Date Joined].[All]" dimensionUniqueName="[India_Staff]" displayFolder="" count="0" memberValueDatatype="7" unbalanced="0"/>
    <cacheHierarchy uniqueName="[India_Staff].[Department]" caption="Department" attribute="1" defaultMemberUniqueName="[India_Staff].[Department].[All]" allUniqueName="[India_Staff].[Department].[All]" dimensionUniqueName="[India_Staff]" displayFolder="" count="0" memberValueDatatype="130" unbalanced="0"/>
    <cacheHierarchy uniqueName="[India_Staff].[Salary]" caption="Salary" attribute="1" defaultMemberUniqueName="[India_Staff].[Salary].[All]" allUniqueName="[India_Staff].[Salary].[All]" dimensionUniqueName="[India_Staff]" displayFolder="" count="0" memberValueDatatype="20" unbalanced="0"/>
    <cacheHierarchy uniqueName="[India_Staff].[Country]" caption="Country" attribute="1" defaultMemberUniqueName="[India_Staff].[Country].[All]" allUniqueName="[India_Staff].[Country].[All]" dimensionUniqueName="[India_Staff]" displayFolder="" count="0" memberValueDatatype="130" unbalanced="0"/>
    <cacheHierarchy uniqueName="[NZ_Staff].[Name]" caption="Name" attribute="1" defaultMemberUniqueName="[NZ_Staff].[Name].[All]" allUniqueName="[NZ_Staff].[Name].[All]" dimensionUniqueName="[NZ_Staff]" displayFolder="" count="0" memberValueDatatype="130" unbalanced="0"/>
    <cacheHierarchy uniqueName="[NZ_Staff].[Gender]" caption="Gender" attribute="1" defaultMemberUniqueName="[NZ_Staff].[Gender].[All]" allUniqueName="[NZ_Staff].[Gender].[All]" dimensionUniqueName="[NZ_Staff]" displayFolder="" count="0" memberValueDatatype="130" unbalanced="0"/>
    <cacheHierarchy uniqueName="[NZ_Staff].[Department]" caption="Department" attribute="1" defaultMemberUniqueName="[NZ_Staff].[Department].[All]" allUniqueName="[NZ_Staff].[Department].[All]" dimensionUniqueName="[NZ_Staff]" displayFolder="" count="0" memberValueDatatype="130" unbalanced="0"/>
    <cacheHierarchy uniqueName="[NZ_Staff].[Age]" caption="Age" attribute="1" defaultMemberUniqueName="[NZ_Staff].[Age].[All]" allUniqueName="[NZ_Staff].[Age].[All]" dimensionUniqueName="[NZ_Staff]" displayFolder="" count="0" memberValueDatatype="130" unbalanced="0"/>
    <cacheHierarchy uniqueName="[NZ_Staff].[Date Joined]" caption="Date Joined" attribute="1" defaultMemberUniqueName="[NZ_Staff].[Date Joined].[All]" allUniqueName="[NZ_Staff].[Date Joined].[All]" dimensionUniqueName="[NZ_Staff]" displayFolder="" count="0" memberValueDatatype="130" unbalanced="0"/>
    <cacheHierarchy uniqueName="[NZ_Staff].[Salary]" caption="Salary" attribute="1" defaultMemberUniqueName="[NZ_Staff].[Salary].[All]" allUniqueName="[NZ_Staff].[Salary].[All]" dimensionUniqueName="[NZ_Staff]" displayFolder="" count="0" memberValueDatatype="130" unbalanced="0"/>
    <cacheHierarchy uniqueName="[NZ_Staff].[Rating]" caption="Rating" attribute="1" defaultMemberUniqueName="[NZ_Staff].[Rating].[All]" allUniqueName="[NZ_Staff].[Rating].[All]" dimensionUniqueName="[NZ_Staff]" displayFolder="" count="0" memberValueDatatype="130" unbalanced="0"/>
    <cacheHierarchy uniqueName="[NZ_Staff].[Country]" caption="Country" attribute="1" defaultMemberUniqueName="[NZ_Staff].[Country].[All]" allUniqueName="[NZ_Staff].[Country].[All]" dimensionUniqueName="[NZ_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2" memberValueDatatype="130" unbalanced="0">
      <fieldsUsage count="2">
        <fieldUsage x="-1"/>
        <fieldUsage x="0"/>
      </fieldsUsage>
    </cacheHierarchy>
    <cacheHierarchy uniqueName="[Staff].[Country]" caption="Country" attribute="1" defaultMemberUniqueName="[Staff].[Country].[All]" allUniqueName="[Staff].[Country].[All]" dimensionUniqueName="[Staff]" displayFolder="" count="2" memberValueDatatype="130" unbalanced="0">
      <fieldsUsage count="2">
        <fieldUsage x="-1"/>
        <fieldUsage x="2"/>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Bonus]" caption="Bonus" attribute="1" defaultMemberUniqueName="[Staff].[Bonus].[All]" allUniqueName="[Staff].[Bonus].[All]" dimensionUniqueName="[Staff]" displayFolder="" count="0" memberValueDatatype="5" unbalanced="0"/>
    <cacheHierarchy uniqueName="[Staff].[Number Rating]" caption="Number Rating" attribute="1" defaultMemberUniqueName="[Staff].[Number Rating].[All]" allUniqueName="[Staff].[Number Rating].[All]" dimensionUniqueName="[Staff]" displayFolder="" count="0" memberValueDatatype="2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NZ_Staff]" caption="__XL_Count NZ_Staff" measure="1" displayFolder="" measureGroup="NZ_Staff" count="0" hidden="1"/>
    <cacheHierarchy uniqueName="[Measures].[__XL_Count India_Staff]" caption="__XL_Count India_Staff" measure="1" displayFolder="" measureGroup="India_Staff" count="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Sum of Age]" caption="Sum of Age" measure="1" displayFolder="" measureGroup="Staff" count="0" hidden="1">
      <extLst>
        <ext xmlns:x15="http://schemas.microsoft.com/office/spreadsheetml/2010/11/main" uri="{B97F6D7D-B522-45F9-BDA1-12C45D357490}">
          <x15:cacheHierarchy aggregatedColumn="19"/>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21"/>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24"/>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19"/>
        </ext>
      </extLst>
    </cacheHierarchy>
    <cacheHierarchy uniqueName="[Measures].[Count of Name]" caption="Count of Name" measure="1" displayFolder="" measureGroup="Staff"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Staff"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Staff" count="0" hidden="1">
      <extLst>
        <ext xmlns:x15="http://schemas.microsoft.com/office/spreadsheetml/2010/11/main" uri="{B97F6D7D-B522-45F9-BDA1-12C45D357490}">
          <x15:cacheHierarchy aggregatedColumn="18"/>
        </ext>
      </extLst>
    </cacheHierarchy>
  </cacheHierarchies>
  <kpis count="0"/>
  <dimensions count="4">
    <dimension name="India_Staff" uniqueName="[India_Staff]" caption="India_Staff"/>
    <dimension measure="1" name="Measures" uniqueName="[Measures]" caption="Measures"/>
    <dimension name="NZ_Staff" uniqueName="[NZ_Staff]" caption="NZ_Staff"/>
    <dimension name="Staff" uniqueName="[Staff]" caption="Staff"/>
  </dimensions>
  <measureGroups count="3">
    <measureGroup name="India_Staff" caption="India_Staff"/>
    <measureGroup name="NZ_Staff" caption="NZ_Staff"/>
    <measureGroup name="Staff" caption="Staff"/>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eef" refreshedDate="45168.363724537034" backgroundQuery="1" createdVersion="8" refreshedVersion="7" minRefreshableVersion="3" recordCount="0" supportSubquery="1" supportAdvancedDrill="1" xr:uid="{738E502E-EA92-4044-AFA0-D172410B0ACC}">
  <cacheSource type="external" connectionId="4"/>
  <cacheFields count="4">
    <cacheField name="[Staff].[Date Joined (Month)].[Date Joined (Month)]" caption="Date Joined (Month)" numFmtId="0" hierarchy="27" level="1">
      <sharedItems containsNonDate="0" count="8">
        <s v="May"/>
        <s v="Jun"/>
        <s v="Jul"/>
        <s v="Aug"/>
        <s v="Sep"/>
        <s v="Oct"/>
        <s v="Nov"/>
        <s v="Dec"/>
      </sharedItems>
    </cacheField>
    <cacheField name="[Staff].[Date Joined (Year)].[Date Joined (Year)]" caption="Date Joined (Year)" numFmtId="0" hierarchy="25" level="1">
      <sharedItems count="4">
        <s v="2020"/>
        <s v="2021"/>
        <s v="2022"/>
        <s v="2023"/>
      </sharedItems>
    </cacheField>
    <cacheField name="[Measures].[Count of Name]" caption="Count of Name" numFmtId="0" hierarchy="41" level="32767"/>
    <cacheField name="[Staff].[Country].[Country]" caption="Country" numFmtId="0" hierarchy="23" level="1">
      <sharedItems containsSemiMixedTypes="0" containsNonDate="0" containsString="0"/>
    </cacheField>
  </cacheFields>
  <cacheHierarchies count="44">
    <cacheHierarchy uniqueName="[India_Staff].[Name]" caption="Name" attribute="1" defaultMemberUniqueName="[India_Staff].[Name].[All]" allUniqueName="[India_Staff].[Name].[All]" dimensionUniqueName="[India_Staff]" displayFolder="" count="0" memberValueDatatype="130" unbalanced="0"/>
    <cacheHierarchy uniqueName="[India_Staff].[Gender]" caption="Gender" attribute="1" defaultMemberUniqueName="[India_Staff].[Gender].[All]" allUniqueName="[India_Staff].[Gender].[All]" dimensionUniqueName="[India_Staff]" displayFolder="" count="0" memberValueDatatype="130" unbalanced="0"/>
    <cacheHierarchy uniqueName="[India_Staff].[Age]" caption="Age" attribute="1" defaultMemberUniqueName="[India_Staff].[Age].[All]" allUniqueName="[India_Staff].[Age].[All]" dimensionUniqueName="[India_Staff]" displayFolder="" count="0" memberValueDatatype="20" unbalanced="0"/>
    <cacheHierarchy uniqueName="[India_Staff].[Rating]" caption="Rating" attribute="1" defaultMemberUniqueName="[India_Staff].[Rating].[All]" allUniqueName="[India_Staff].[Rating].[All]" dimensionUniqueName="[India_Staff]" displayFolder="" count="0" memberValueDatatype="130" unbalanced="0"/>
    <cacheHierarchy uniqueName="[India_Staff].[Date Joined]" caption="Date Joined" attribute="1" time="1" defaultMemberUniqueName="[India_Staff].[Date Joined].[All]" allUniqueName="[India_Staff].[Date Joined].[All]" dimensionUniqueName="[India_Staff]" displayFolder="" count="0" memberValueDatatype="7" unbalanced="0"/>
    <cacheHierarchy uniqueName="[India_Staff].[Department]" caption="Department" attribute="1" defaultMemberUniqueName="[India_Staff].[Department].[All]" allUniqueName="[India_Staff].[Department].[All]" dimensionUniqueName="[India_Staff]" displayFolder="" count="0" memberValueDatatype="130" unbalanced="0"/>
    <cacheHierarchy uniqueName="[India_Staff].[Salary]" caption="Salary" attribute="1" defaultMemberUniqueName="[India_Staff].[Salary].[All]" allUniqueName="[India_Staff].[Salary].[All]" dimensionUniqueName="[India_Staff]" displayFolder="" count="0" memberValueDatatype="20" unbalanced="0"/>
    <cacheHierarchy uniqueName="[India_Staff].[Country]" caption="Country" attribute="1" defaultMemberUniqueName="[India_Staff].[Country].[All]" allUniqueName="[India_Staff].[Country].[All]" dimensionUniqueName="[India_Staff]" displayFolder="" count="0" memberValueDatatype="130" unbalanced="0"/>
    <cacheHierarchy uniqueName="[NZ_Staff].[Name]" caption="Name" attribute="1" defaultMemberUniqueName="[NZ_Staff].[Name].[All]" allUniqueName="[NZ_Staff].[Name].[All]" dimensionUniqueName="[NZ_Staff]" displayFolder="" count="0" memberValueDatatype="130" unbalanced="0"/>
    <cacheHierarchy uniqueName="[NZ_Staff].[Gender]" caption="Gender" attribute="1" defaultMemberUniqueName="[NZ_Staff].[Gender].[All]" allUniqueName="[NZ_Staff].[Gender].[All]" dimensionUniqueName="[NZ_Staff]" displayFolder="" count="0" memberValueDatatype="130" unbalanced="0"/>
    <cacheHierarchy uniqueName="[NZ_Staff].[Department]" caption="Department" attribute="1" defaultMemberUniqueName="[NZ_Staff].[Department].[All]" allUniqueName="[NZ_Staff].[Department].[All]" dimensionUniqueName="[NZ_Staff]" displayFolder="" count="0" memberValueDatatype="130" unbalanced="0"/>
    <cacheHierarchy uniqueName="[NZ_Staff].[Age]" caption="Age" attribute="1" defaultMemberUniqueName="[NZ_Staff].[Age].[All]" allUniqueName="[NZ_Staff].[Age].[All]" dimensionUniqueName="[NZ_Staff]" displayFolder="" count="0" memberValueDatatype="130" unbalanced="0"/>
    <cacheHierarchy uniqueName="[NZ_Staff].[Date Joined]" caption="Date Joined" attribute="1" defaultMemberUniqueName="[NZ_Staff].[Date Joined].[All]" allUniqueName="[NZ_Staff].[Date Joined].[All]" dimensionUniqueName="[NZ_Staff]" displayFolder="" count="0" memberValueDatatype="130" unbalanced="0"/>
    <cacheHierarchy uniqueName="[NZ_Staff].[Salary]" caption="Salary" attribute="1" defaultMemberUniqueName="[NZ_Staff].[Salary].[All]" allUniqueName="[NZ_Staff].[Salary].[All]" dimensionUniqueName="[NZ_Staff]" displayFolder="" count="0" memberValueDatatype="130" unbalanced="0"/>
    <cacheHierarchy uniqueName="[NZ_Staff].[Rating]" caption="Rating" attribute="1" defaultMemberUniqueName="[NZ_Staff].[Rating].[All]" allUniqueName="[NZ_Staff].[Rating].[All]" dimensionUniqueName="[NZ_Staff]" displayFolder="" count="0" memberValueDatatype="130" unbalanced="0"/>
    <cacheHierarchy uniqueName="[NZ_Staff].[Country]" caption="Country" attribute="1" defaultMemberUniqueName="[NZ_Staff].[Country].[All]" allUniqueName="[NZ_Staff].[Country].[All]" dimensionUniqueName="[NZ_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Country]" caption="Country" attribute="1" defaultMemberUniqueName="[Staff].[Country].[All]" allUniqueName="[Staff].[Country].[All]" dimensionUniqueName="[Staff]" displayFolder="" count="2" memberValueDatatype="130" unbalanced="0">
      <fieldsUsage count="2">
        <fieldUsage x="-1"/>
        <fieldUsage x="3"/>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2" memberValueDatatype="130" unbalanced="0">
      <fieldsUsage count="2">
        <fieldUsage x="-1"/>
        <fieldUsage x="1"/>
      </fieldsUsage>
    </cacheHierarchy>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2" memberValueDatatype="130" unbalanced="0">
      <fieldsUsage count="2">
        <fieldUsage x="-1"/>
        <fieldUsage x="0"/>
      </fieldsUsage>
    </cacheHierarchy>
    <cacheHierarchy uniqueName="[Staff].[Bonus]" caption="Bonus" attribute="1" defaultMemberUniqueName="[Staff].[Bonus].[All]" allUniqueName="[Staff].[Bonus].[All]" dimensionUniqueName="[Staff]" displayFolder="" count="0" memberValueDatatype="5" unbalanced="0"/>
    <cacheHierarchy uniqueName="[Staff].[Number Rating]" caption="Number Rating" attribute="1" defaultMemberUniqueName="[Staff].[Number Rating].[All]" allUniqueName="[Staff].[Number Rating].[All]" dimensionUniqueName="[Staff]" displayFolder="" count="0" memberValueDatatype="2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NZ_Staff]" caption="__XL_Count NZ_Staff" measure="1" displayFolder="" measureGroup="NZ_Staff" count="0" hidden="1"/>
    <cacheHierarchy uniqueName="[Measures].[__XL_Count India_Staff]" caption="__XL_Count India_Staff" measure="1" displayFolder="" measureGroup="India_Staff" count="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Sum of Age]" caption="Sum of Age" measure="1" displayFolder="" measureGroup="Staff" count="0" hidden="1">
      <extLst>
        <ext xmlns:x15="http://schemas.microsoft.com/office/spreadsheetml/2010/11/main" uri="{B97F6D7D-B522-45F9-BDA1-12C45D357490}">
          <x15:cacheHierarchy aggregatedColumn="19"/>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21"/>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24"/>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19"/>
        </ext>
      </extLst>
    </cacheHierarchy>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Rating]" caption="Count of Rating" measure="1" displayFolder="" measureGroup="Staff"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Staff" count="0" hidden="1">
      <extLst>
        <ext xmlns:x15="http://schemas.microsoft.com/office/spreadsheetml/2010/11/main" uri="{B97F6D7D-B522-45F9-BDA1-12C45D357490}">
          <x15:cacheHierarchy aggregatedColumn="18"/>
        </ext>
      </extLst>
    </cacheHierarchy>
  </cacheHierarchies>
  <kpis count="0"/>
  <dimensions count="4">
    <dimension name="India_Staff" uniqueName="[India_Staff]" caption="India_Staff"/>
    <dimension measure="1" name="Measures" uniqueName="[Measures]" caption="Measures"/>
    <dimension name="NZ_Staff" uniqueName="[NZ_Staff]" caption="NZ_Staff"/>
    <dimension name="Staff" uniqueName="[Staff]" caption="Staff"/>
  </dimensions>
  <measureGroups count="3">
    <measureGroup name="India_Staff" caption="India_Staff"/>
    <measureGroup name="NZ_Staff" caption="NZ_Staff"/>
    <measureGroup name="Staff" caption="Staff"/>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eef" refreshedDate="45168.363725115742" backgroundQuery="1" createdVersion="8" refreshedVersion="7" minRefreshableVersion="3" recordCount="0" supportSubquery="1" supportAdvancedDrill="1" xr:uid="{0CA98760-FF68-4273-B4E9-2175BDB814FA}">
  <cacheSource type="external" connectionId="4"/>
  <cacheFields count="6">
    <cacheField name="[Staff].[Gender].[Gender]" caption="Gender" numFmtId="0" hierarchy="17" level="1">
      <sharedItems count="2">
        <s v="Female"/>
        <s v="Male"/>
      </sharedItems>
    </cacheField>
    <cacheField name="[Measures].[Average of Tenure]" caption="Average of Tenure" numFmtId="0" hierarchy="38" level="32767"/>
    <cacheField name="[Measures].[Average of Salary]" caption="Average of Salary" numFmtId="0" hierarchy="39" level="32767"/>
    <cacheField name="[Measures].[Average of Age]" caption="Average of Age" numFmtId="0" hierarchy="40" level="32767"/>
    <cacheField name="[Measures].[Count of Name]" caption="Count of Name" numFmtId="0" hierarchy="41" level="32767"/>
    <cacheField name="[Staff].[Country].[Country]" caption="Country" numFmtId="0" hierarchy="23" level="1">
      <sharedItems containsSemiMixedTypes="0" containsNonDate="0" containsString="0"/>
    </cacheField>
  </cacheFields>
  <cacheHierarchies count="44">
    <cacheHierarchy uniqueName="[India_Staff].[Name]" caption="Name" attribute="1" defaultMemberUniqueName="[India_Staff].[Name].[All]" allUniqueName="[India_Staff].[Name].[All]" dimensionUniqueName="[India_Staff]" displayFolder="" count="0" memberValueDatatype="130" unbalanced="0"/>
    <cacheHierarchy uniqueName="[India_Staff].[Gender]" caption="Gender" attribute="1" defaultMemberUniqueName="[India_Staff].[Gender].[All]" allUniqueName="[India_Staff].[Gender].[All]" dimensionUniqueName="[India_Staff]" displayFolder="" count="0" memberValueDatatype="130" unbalanced="0"/>
    <cacheHierarchy uniqueName="[India_Staff].[Age]" caption="Age" attribute="1" defaultMemberUniqueName="[India_Staff].[Age].[All]" allUniqueName="[India_Staff].[Age].[All]" dimensionUniqueName="[India_Staff]" displayFolder="" count="0" memberValueDatatype="20" unbalanced="0"/>
    <cacheHierarchy uniqueName="[India_Staff].[Rating]" caption="Rating" attribute="1" defaultMemberUniqueName="[India_Staff].[Rating].[All]" allUniqueName="[India_Staff].[Rating].[All]" dimensionUniqueName="[India_Staff]" displayFolder="" count="0" memberValueDatatype="130" unbalanced="0"/>
    <cacheHierarchy uniqueName="[India_Staff].[Date Joined]" caption="Date Joined" attribute="1" time="1" defaultMemberUniqueName="[India_Staff].[Date Joined].[All]" allUniqueName="[India_Staff].[Date Joined].[All]" dimensionUniqueName="[India_Staff]" displayFolder="" count="0" memberValueDatatype="7" unbalanced="0"/>
    <cacheHierarchy uniqueName="[India_Staff].[Department]" caption="Department" attribute="1" defaultMemberUniqueName="[India_Staff].[Department].[All]" allUniqueName="[India_Staff].[Department].[All]" dimensionUniqueName="[India_Staff]" displayFolder="" count="0" memberValueDatatype="130" unbalanced="0"/>
    <cacheHierarchy uniqueName="[India_Staff].[Salary]" caption="Salary" attribute="1" defaultMemberUniqueName="[India_Staff].[Salary].[All]" allUniqueName="[India_Staff].[Salary].[All]" dimensionUniqueName="[India_Staff]" displayFolder="" count="0" memberValueDatatype="20" unbalanced="0"/>
    <cacheHierarchy uniqueName="[India_Staff].[Country]" caption="Country" attribute="1" defaultMemberUniqueName="[India_Staff].[Country].[All]" allUniqueName="[India_Staff].[Country].[All]" dimensionUniqueName="[India_Staff]" displayFolder="" count="0" memberValueDatatype="130" unbalanced="0"/>
    <cacheHierarchy uniqueName="[NZ_Staff].[Name]" caption="Name" attribute="1" defaultMemberUniqueName="[NZ_Staff].[Name].[All]" allUniqueName="[NZ_Staff].[Name].[All]" dimensionUniqueName="[NZ_Staff]" displayFolder="" count="0" memberValueDatatype="130" unbalanced="0"/>
    <cacheHierarchy uniqueName="[NZ_Staff].[Gender]" caption="Gender" attribute="1" defaultMemberUniqueName="[NZ_Staff].[Gender].[All]" allUniqueName="[NZ_Staff].[Gender].[All]" dimensionUniqueName="[NZ_Staff]" displayFolder="" count="0" memberValueDatatype="130" unbalanced="0"/>
    <cacheHierarchy uniqueName="[NZ_Staff].[Department]" caption="Department" attribute="1" defaultMemberUniqueName="[NZ_Staff].[Department].[All]" allUniqueName="[NZ_Staff].[Department].[All]" dimensionUniqueName="[NZ_Staff]" displayFolder="" count="0" memberValueDatatype="130" unbalanced="0"/>
    <cacheHierarchy uniqueName="[NZ_Staff].[Age]" caption="Age" attribute="1" defaultMemberUniqueName="[NZ_Staff].[Age].[All]" allUniqueName="[NZ_Staff].[Age].[All]" dimensionUniqueName="[NZ_Staff]" displayFolder="" count="0" memberValueDatatype="130" unbalanced="0"/>
    <cacheHierarchy uniqueName="[NZ_Staff].[Date Joined]" caption="Date Joined" attribute="1" defaultMemberUniqueName="[NZ_Staff].[Date Joined].[All]" allUniqueName="[NZ_Staff].[Date Joined].[All]" dimensionUniqueName="[NZ_Staff]" displayFolder="" count="0" memberValueDatatype="130" unbalanced="0"/>
    <cacheHierarchy uniqueName="[NZ_Staff].[Salary]" caption="Salary" attribute="1" defaultMemberUniqueName="[NZ_Staff].[Salary].[All]" allUniqueName="[NZ_Staff].[Salary].[All]" dimensionUniqueName="[NZ_Staff]" displayFolder="" count="0" memberValueDatatype="130" unbalanced="0"/>
    <cacheHierarchy uniqueName="[NZ_Staff].[Rating]" caption="Rating" attribute="1" defaultMemberUniqueName="[NZ_Staff].[Rating].[All]" allUniqueName="[NZ_Staff].[Rating].[All]" dimensionUniqueName="[NZ_Staff]" displayFolder="" count="0" memberValueDatatype="130" unbalanced="0"/>
    <cacheHierarchy uniqueName="[NZ_Staff].[Country]" caption="Country" attribute="1" defaultMemberUniqueName="[NZ_Staff].[Country].[All]" allUniqueName="[NZ_Staff].[Country].[All]" dimensionUniqueName="[NZ_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Bonus]" caption="Bonus" attribute="1" defaultMemberUniqueName="[Staff].[Bonus].[All]" allUniqueName="[Staff].[Bonus].[All]" dimensionUniqueName="[Staff]" displayFolder="" count="0" memberValueDatatype="5" unbalanced="0"/>
    <cacheHierarchy uniqueName="[Staff].[Number Rating]" caption="Number Rating" attribute="1" defaultMemberUniqueName="[Staff].[Number Rating].[All]" allUniqueName="[Staff].[Number Rating].[All]" dimensionUniqueName="[Staff]" displayFolder="" count="0" memberValueDatatype="2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NZ_Staff]" caption="__XL_Count NZ_Staff" measure="1" displayFolder="" measureGroup="NZ_Staff" count="0" hidden="1"/>
    <cacheHierarchy uniqueName="[Measures].[__XL_Count India_Staff]" caption="__XL_Count India_Staff" measure="1" displayFolder="" measureGroup="India_Staff" count="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Sum of Age]" caption="Sum of Age" measure="1" displayFolder="" measureGroup="Staff" count="0" hidden="1">
      <extLst>
        <ext xmlns:x15="http://schemas.microsoft.com/office/spreadsheetml/2010/11/main" uri="{B97F6D7D-B522-45F9-BDA1-12C45D357490}">
          <x15:cacheHierarchy aggregatedColumn="19"/>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21"/>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24"/>
        </ext>
      </extLst>
    </cacheHierarchy>
    <cacheHierarchy uniqueName="[Measures].[Average of Tenure]" caption="Average of Tenure" measure="1" displayFolder="" measureGroup="Staff" count="0" oneField="1" hidden="1">
      <fieldsUsage count="1">
        <fieldUsage x="1"/>
      </fieldsUsage>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Staff" count="0" oneField="1" hidden="1">
      <fieldsUsage count="1">
        <fieldUsage x="2"/>
      </fieldsUsage>
      <extLst>
        <ext xmlns:x15="http://schemas.microsoft.com/office/spreadsheetml/2010/11/main" uri="{B97F6D7D-B522-45F9-BDA1-12C45D357490}">
          <x15:cacheHierarchy aggregatedColumn="21"/>
        </ext>
      </extLst>
    </cacheHierarchy>
    <cacheHierarchy uniqueName="[Measures].[Average of Age]" caption="Average of Age" measure="1" displayFolder="" measureGroup="Staff" count="0" oneField="1" hidden="1">
      <fieldsUsage count="1">
        <fieldUsage x="3"/>
      </fieldsUsage>
      <extLst>
        <ext xmlns:x15="http://schemas.microsoft.com/office/spreadsheetml/2010/11/main" uri="{B97F6D7D-B522-45F9-BDA1-12C45D357490}">
          <x15:cacheHierarchy aggregatedColumn="19"/>
        </ext>
      </extLst>
    </cacheHierarchy>
    <cacheHierarchy uniqueName="[Measures].[Count of Name]" caption="Count of Name" measure="1" displayFolder="" measureGroup="Staff" count="0" oneField="1" hidden="1">
      <fieldsUsage count="1">
        <fieldUsage x="4"/>
      </fieldsUsage>
      <extLst>
        <ext xmlns:x15="http://schemas.microsoft.com/office/spreadsheetml/2010/11/main" uri="{B97F6D7D-B522-45F9-BDA1-12C45D357490}">
          <x15:cacheHierarchy aggregatedColumn="16"/>
        </ext>
      </extLst>
    </cacheHierarchy>
    <cacheHierarchy uniqueName="[Measures].[Count of Rating]" caption="Count of Rating" measure="1" displayFolder="" measureGroup="Staff"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Staff" count="0" hidden="1">
      <extLst>
        <ext xmlns:x15="http://schemas.microsoft.com/office/spreadsheetml/2010/11/main" uri="{B97F6D7D-B522-45F9-BDA1-12C45D357490}">
          <x15:cacheHierarchy aggregatedColumn="18"/>
        </ext>
      </extLst>
    </cacheHierarchy>
  </cacheHierarchies>
  <kpis count="0"/>
  <dimensions count="4">
    <dimension name="India_Staff" uniqueName="[India_Staff]" caption="India_Staff"/>
    <dimension measure="1" name="Measures" uniqueName="[Measures]" caption="Measures"/>
    <dimension name="NZ_Staff" uniqueName="[NZ_Staff]" caption="NZ_Staff"/>
    <dimension name="Staff" uniqueName="[Staff]" caption="Staff"/>
  </dimensions>
  <measureGroups count="3">
    <measureGroup name="India_Staff" caption="India_Staff"/>
    <measureGroup name="NZ_Staff" caption="NZ_Staff"/>
    <measureGroup name="Staff" caption="Staff"/>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eef" refreshedDate="45168.363725462965" backgroundQuery="1" createdVersion="8" refreshedVersion="7" minRefreshableVersion="3" recordCount="0" supportSubquery="1" supportAdvancedDrill="1" xr:uid="{D6DC77AA-7749-43D4-90B0-6305C71CC66B}">
  <cacheSource type="external" connectionId="4"/>
  <cacheFields count="4">
    <cacheField name="[Staff].[Rating].[Rating]" caption="Rating" numFmtId="0" hierarchy="22" level="1">
      <sharedItems count="5">
        <s v="Above average"/>
        <s v="Average"/>
        <s v="Exceptional"/>
        <s v="Poor"/>
        <s v="Very poor"/>
      </sharedItems>
    </cacheField>
    <cacheField name="[Measures].[Count of Name]" caption="Count of Name" numFmtId="0" hierarchy="41" level="32767"/>
    <cacheField name="[Measures].[Average of Salary]" caption="Average of Salary" numFmtId="0" hierarchy="39" level="32767"/>
    <cacheField name="[Staff].[Country].[Country]" caption="Country" numFmtId="0" hierarchy="23" level="1">
      <sharedItems containsSemiMixedTypes="0" containsNonDate="0" containsString="0"/>
    </cacheField>
  </cacheFields>
  <cacheHierarchies count="44">
    <cacheHierarchy uniqueName="[India_Staff].[Name]" caption="Name" attribute="1" defaultMemberUniqueName="[India_Staff].[Name].[All]" allUniqueName="[India_Staff].[Name].[All]" dimensionUniqueName="[India_Staff]" displayFolder="" count="0" memberValueDatatype="130" unbalanced="0"/>
    <cacheHierarchy uniqueName="[India_Staff].[Gender]" caption="Gender" attribute="1" defaultMemberUniqueName="[India_Staff].[Gender].[All]" allUniqueName="[India_Staff].[Gender].[All]" dimensionUniqueName="[India_Staff]" displayFolder="" count="0" memberValueDatatype="130" unbalanced="0"/>
    <cacheHierarchy uniqueName="[India_Staff].[Age]" caption="Age" attribute="1" defaultMemberUniqueName="[India_Staff].[Age].[All]" allUniqueName="[India_Staff].[Age].[All]" dimensionUniqueName="[India_Staff]" displayFolder="" count="0" memberValueDatatype="20" unbalanced="0"/>
    <cacheHierarchy uniqueName="[India_Staff].[Rating]" caption="Rating" attribute="1" defaultMemberUniqueName="[India_Staff].[Rating].[All]" allUniqueName="[India_Staff].[Rating].[All]" dimensionUniqueName="[India_Staff]" displayFolder="" count="0" memberValueDatatype="130" unbalanced="0"/>
    <cacheHierarchy uniqueName="[India_Staff].[Date Joined]" caption="Date Joined" attribute="1" time="1" defaultMemberUniqueName="[India_Staff].[Date Joined].[All]" allUniqueName="[India_Staff].[Date Joined].[All]" dimensionUniqueName="[India_Staff]" displayFolder="" count="0" memberValueDatatype="7" unbalanced="0"/>
    <cacheHierarchy uniqueName="[India_Staff].[Department]" caption="Department" attribute="1" defaultMemberUniqueName="[India_Staff].[Department].[All]" allUniqueName="[India_Staff].[Department].[All]" dimensionUniqueName="[India_Staff]" displayFolder="" count="0" memberValueDatatype="130" unbalanced="0"/>
    <cacheHierarchy uniqueName="[India_Staff].[Salary]" caption="Salary" attribute="1" defaultMemberUniqueName="[India_Staff].[Salary].[All]" allUniqueName="[India_Staff].[Salary].[All]" dimensionUniqueName="[India_Staff]" displayFolder="" count="0" memberValueDatatype="20" unbalanced="0"/>
    <cacheHierarchy uniqueName="[India_Staff].[Country]" caption="Country" attribute="1" defaultMemberUniqueName="[India_Staff].[Country].[All]" allUniqueName="[India_Staff].[Country].[All]" dimensionUniqueName="[India_Staff]" displayFolder="" count="0" memberValueDatatype="130" unbalanced="0"/>
    <cacheHierarchy uniqueName="[NZ_Staff].[Name]" caption="Name" attribute="1" defaultMemberUniqueName="[NZ_Staff].[Name].[All]" allUniqueName="[NZ_Staff].[Name].[All]" dimensionUniqueName="[NZ_Staff]" displayFolder="" count="0" memberValueDatatype="130" unbalanced="0"/>
    <cacheHierarchy uniqueName="[NZ_Staff].[Gender]" caption="Gender" attribute="1" defaultMemberUniqueName="[NZ_Staff].[Gender].[All]" allUniqueName="[NZ_Staff].[Gender].[All]" dimensionUniqueName="[NZ_Staff]" displayFolder="" count="0" memberValueDatatype="130" unbalanced="0"/>
    <cacheHierarchy uniqueName="[NZ_Staff].[Department]" caption="Department" attribute="1" defaultMemberUniqueName="[NZ_Staff].[Department].[All]" allUniqueName="[NZ_Staff].[Department].[All]" dimensionUniqueName="[NZ_Staff]" displayFolder="" count="0" memberValueDatatype="130" unbalanced="0"/>
    <cacheHierarchy uniqueName="[NZ_Staff].[Age]" caption="Age" attribute="1" defaultMemberUniqueName="[NZ_Staff].[Age].[All]" allUniqueName="[NZ_Staff].[Age].[All]" dimensionUniqueName="[NZ_Staff]" displayFolder="" count="0" memberValueDatatype="130" unbalanced="0"/>
    <cacheHierarchy uniqueName="[NZ_Staff].[Date Joined]" caption="Date Joined" attribute="1" defaultMemberUniqueName="[NZ_Staff].[Date Joined].[All]" allUniqueName="[NZ_Staff].[Date Joined].[All]" dimensionUniqueName="[NZ_Staff]" displayFolder="" count="0" memberValueDatatype="130" unbalanced="0"/>
    <cacheHierarchy uniqueName="[NZ_Staff].[Salary]" caption="Salary" attribute="1" defaultMemberUniqueName="[NZ_Staff].[Salary].[All]" allUniqueName="[NZ_Staff].[Salary].[All]" dimensionUniqueName="[NZ_Staff]" displayFolder="" count="0" memberValueDatatype="130" unbalanced="0"/>
    <cacheHierarchy uniqueName="[NZ_Staff].[Rating]" caption="Rating" attribute="1" defaultMemberUniqueName="[NZ_Staff].[Rating].[All]" allUniqueName="[NZ_Staff].[Rating].[All]" dimensionUniqueName="[NZ_Staff]" displayFolder="" count="0" memberValueDatatype="130" unbalanced="0"/>
    <cacheHierarchy uniqueName="[NZ_Staff].[Country]" caption="Country" attribute="1" defaultMemberUniqueName="[NZ_Staff].[Country].[All]" allUniqueName="[NZ_Staff].[Country].[All]" dimensionUniqueName="[NZ_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2" memberValueDatatype="130" unbalanced="0">
      <fieldsUsage count="2">
        <fieldUsage x="-1"/>
        <fieldUsage x="0"/>
      </fieldsUsage>
    </cacheHierarchy>
    <cacheHierarchy uniqueName="[Staff].[Country]" caption="Country" attribute="1" defaultMemberUniqueName="[Staff].[Country].[All]" allUniqueName="[Staff].[Country].[All]" dimensionUniqueName="[Staff]" displayFolder="" count="2" memberValueDatatype="130" unbalanced="0">
      <fieldsUsage count="2">
        <fieldUsage x="-1"/>
        <fieldUsage x="3"/>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Bonus]" caption="Bonus" attribute="1" defaultMemberUniqueName="[Staff].[Bonus].[All]" allUniqueName="[Staff].[Bonus].[All]" dimensionUniqueName="[Staff]" displayFolder="" count="0" memberValueDatatype="5" unbalanced="0"/>
    <cacheHierarchy uniqueName="[Staff].[Number Rating]" caption="Number Rating" attribute="1" defaultMemberUniqueName="[Staff].[Number Rating].[All]" allUniqueName="[Staff].[Number Rating].[All]" dimensionUniqueName="[Staff]" displayFolder="" count="0" memberValueDatatype="2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NZ_Staff]" caption="__XL_Count NZ_Staff" measure="1" displayFolder="" measureGroup="NZ_Staff" count="0" hidden="1"/>
    <cacheHierarchy uniqueName="[Measures].[__XL_Count India_Staff]" caption="__XL_Count India_Staff" measure="1" displayFolder="" measureGroup="India_Staff" count="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Sum of Age]" caption="Sum of Age" measure="1" displayFolder="" measureGroup="Staff" count="0" hidden="1">
      <extLst>
        <ext xmlns:x15="http://schemas.microsoft.com/office/spreadsheetml/2010/11/main" uri="{B97F6D7D-B522-45F9-BDA1-12C45D357490}">
          <x15:cacheHierarchy aggregatedColumn="19"/>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21"/>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24"/>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Staff" count="0" oneField="1" hidden="1">
      <fieldsUsage count="1">
        <fieldUsage x="2"/>
      </fieldsUsage>
      <extLst>
        <ext xmlns:x15="http://schemas.microsoft.com/office/spreadsheetml/2010/11/main" uri="{B97F6D7D-B522-45F9-BDA1-12C45D357490}">
          <x15:cacheHierarchy aggregatedColumn="21"/>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19"/>
        </ext>
      </extLst>
    </cacheHierarchy>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Rating]" caption="Count of Rating" measure="1" displayFolder="" measureGroup="Staff"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Staff" count="0" hidden="1">
      <extLst>
        <ext xmlns:x15="http://schemas.microsoft.com/office/spreadsheetml/2010/11/main" uri="{B97F6D7D-B522-45F9-BDA1-12C45D357490}">
          <x15:cacheHierarchy aggregatedColumn="18"/>
        </ext>
      </extLst>
    </cacheHierarchy>
  </cacheHierarchies>
  <kpis count="0"/>
  <dimensions count="4">
    <dimension name="India_Staff" uniqueName="[India_Staff]" caption="India_Staff"/>
    <dimension measure="1" name="Measures" uniqueName="[Measures]" caption="Measures"/>
    <dimension name="NZ_Staff" uniqueName="[NZ_Staff]" caption="NZ_Staff"/>
    <dimension name="Staff" uniqueName="[Staff]" caption="Staff"/>
  </dimensions>
  <measureGroups count="3">
    <measureGroup name="India_Staff" caption="India_Staff"/>
    <measureGroup name="NZ_Staff" caption="NZ_Staff"/>
    <measureGroup name="Staff" caption="Staff"/>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eef" refreshedDate="45167.390047337962" backgroundQuery="1" createdVersion="3" refreshedVersion="7" minRefreshableVersion="3" recordCount="0" supportSubquery="1" supportAdvancedDrill="1" xr:uid="{5C2C90E1-0A0B-407A-A181-119CB4C50DEC}">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India_Staff].[Name]" caption="Name" attribute="1" defaultMemberUniqueName="[India_Staff].[Name].[All]" allUniqueName="[India_Staff].[Name].[All]" dimensionUniqueName="[India_Staff]" displayFolder="" count="0" memberValueDatatype="130" unbalanced="0"/>
    <cacheHierarchy uniqueName="[India_Staff].[Gender]" caption="Gender" attribute="1" defaultMemberUniqueName="[India_Staff].[Gender].[All]" allUniqueName="[India_Staff].[Gender].[All]" dimensionUniqueName="[India_Staff]" displayFolder="" count="0" memberValueDatatype="130" unbalanced="0"/>
    <cacheHierarchy uniqueName="[India_Staff].[Age]" caption="Age" attribute="1" defaultMemberUniqueName="[India_Staff].[Age].[All]" allUniqueName="[India_Staff].[Age].[All]" dimensionUniqueName="[India_Staff]" displayFolder="" count="0" memberValueDatatype="20" unbalanced="0"/>
    <cacheHierarchy uniqueName="[India_Staff].[Rating]" caption="Rating" attribute="1" defaultMemberUniqueName="[India_Staff].[Rating].[All]" allUniqueName="[India_Staff].[Rating].[All]" dimensionUniqueName="[India_Staff]" displayFolder="" count="0" memberValueDatatype="130" unbalanced="0"/>
    <cacheHierarchy uniqueName="[India_Staff].[Date Joined]" caption="Date Joined" attribute="1" time="1" defaultMemberUniqueName="[India_Staff].[Date Joined].[All]" allUniqueName="[India_Staff].[Date Joined].[All]" dimensionUniqueName="[India_Staff]" displayFolder="" count="0" memberValueDatatype="7" unbalanced="0"/>
    <cacheHierarchy uniqueName="[India_Staff].[Department]" caption="Department" attribute="1" defaultMemberUniqueName="[India_Staff].[Department].[All]" allUniqueName="[India_Staff].[Department].[All]" dimensionUniqueName="[India_Staff]" displayFolder="" count="0" memberValueDatatype="130" unbalanced="0"/>
    <cacheHierarchy uniqueName="[India_Staff].[Salary]" caption="Salary" attribute="1" defaultMemberUniqueName="[India_Staff].[Salary].[All]" allUniqueName="[India_Staff].[Salary].[All]" dimensionUniqueName="[India_Staff]" displayFolder="" count="0" memberValueDatatype="20" unbalanced="0"/>
    <cacheHierarchy uniqueName="[India_Staff].[Country]" caption="Country" attribute="1" defaultMemberUniqueName="[India_Staff].[Country].[All]" allUniqueName="[India_Staff].[Country].[All]" dimensionUniqueName="[India_Staff]" displayFolder="" count="0" memberValueDatatype="130" unbalanced="0"/>
    <cacheHierarchy uniqueName="[NZ_Staff].[Name]" caption="Name" attribute="1" defaultMemberUniqueName="[NZ_Staff].[Name].[All]" allUniqueName="[NZ_Staff].[Name].[All]" dimensionUniqueName="[NZ_Staff]" displayFolder="" count="0" memberValueDatatype="130" unbalanced="0"/>
    <cacheHierarchy uniqueName="[NZ_Staff].[Gender]" caption="Gender" attribute="1" defaultMemberUniqueName="[NZ_Staff].[Gender].[All]" allUniqueName="[NZ_Staff].[Gender].[All]" dimensionUniqueName="[NZ_Staff]" displayFolder="" count="0" memberValueDatatype="130" unbalanced="0"/>
    <cacheHierarchy uniqueName="[NZ_Staff].[Department]" caption="Department" attribute="1" defaultMemberUniqueName="[NZ_Staff].[Department].[All]" allUniqueName="[NZ_Staff].[Department].[All]" dimensionUniqueName="[NZ_Staff]" displayFolder="" count="0" memberValueDatatype="130" unbalanced="0"/>
    <cacheHierarchy uniqueName="[NZ_Staff].[Age]" caption="Age" attribute="1" defaultMemberUniqueName="[NZ_Staff].[Age].[All]" allUniqueName="[NZ_Staff].[Age].[All]" dimensionUniqueName="[NZ_Staff]" displayFolder="" count="0" memberValueDatatype="130" unbalanced="0"/>
    <cacheHierarchy uniqueName="[NZ_Staff].[Date Joined]" caption="Date Joined" attribute="1" defaultMemberUniqueName="[NZ_Staff].[Date Joined].[All]" allUniqueName="[NZ_Staff].[Date Joined].[All]" dimensionUniqueName="[NZ_Staff]" displayFolder="" count="0" memberValueDatatype="130" unbalanced="0"/>
    <cacheHierarchy uniqueName="[NZ_Staff].[Salary]" caption="Salary" attribute="1" defaultMemberUniqueName="[NZ_Staff].[Salary].[All]" allUniqueName="[NZ_Staff].[Salary].[All]" dimensionUniqueName="[NZ_Staff]" displayFolder="" count="0" memberValueDatatype="130" unbalanced="0"/>
    <cacheHierarchy uniqueName="[NZ_Staff].[Rating]" caption="Rating" attribute="1" defaultMemberUniqueName="[NZ_Staff].[Rating].[All]" allUniqueName="[NZ_Staff].[Rating].[All]" dimensionUniqueName="[NZ_Staff]" displayFolder="" count="0" memberValueDatatype="130" unbalanced="0"/>
    <cacheHierarchy uniqueName="[NZ_Staff].[Country]" caption="Country" attribute="1" defaultMemberUniqueName="[NZ_Staff].[Country].[All]" allUniqueName="[NZ_Staff].[Country].[All]" dimensionUniqueName="[NZ_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Bonus]" caption="Bonus" attribute="1" defaultMemberUniqueName="[Staff].[Bonus].[All]" allUniqueName="[Staff].[Bonus].[All]" dimensionUniqueName="[Staff]" displayFolder="" count="0" memberValueDatatype="5" unbalanced="0"/>
    <cacheHierarchy uniqueName="[Staff].[Number Rating]" caption="Number Rating" attribute="1" defaultMemberUniqueName="[Staff].[Number Rating].[All]" allUniqueName="[Staff].[Number Rating].[All]" dimensionUniqueName="[Staff]" displayFolder="" count="0" memberValueDatatype="2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NZ_Staff]" caption="__XL_Count NZ_Staff" measure="1" displayFolder="" measureGroup="NZ_Staff" count="0" hidden="1"/>
    <cacheHierarchy uniqueName="[Measures].[__XL_Count India_Staff]" caption="__XL_Count India_Staff" measure="1" displayFolder="" measureGroup="India_Staff" count="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Sum of Age]" caption="Sum of Age" measure="1" displayFolder="" measureGroup="Staff" count="0" hidden="1">
      <extLst>
        <ext xmlns:x15="http://schemas.microsoft.com/office/spreadsheetml/2010/11/main" uri="{B97F6D7D-B522-45F9-BDA1-12C45D357490}">
          <x15:cacheHierarchy aggregatedColumn="19"/>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21"/>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24"/>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19"/>
        </ext>
      </extLst>
    </cacheHierarchy>
    <cacheHierarchy uniqueName="[Measures].[Count of Name]" caption="Count of Name" measure="1" displayFolder="" measureGroup="Staff"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Staff"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Staff"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91274871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
  <r>
    <s v="Gretchen Callow"/>
    <s v="Female"/>
    <x v="0"/>
    <n v="21"/>
    <d v="2022-04-27T00:00:00"/>
    <n v="33920"/>
    <s v="Average"/>
    <s v="NZ"/>
    <x v="0"/>
    <n v="678.4"/>
    <n v="3"/>
  </r>
  <r>
    <s v="Shubhra Potla"/>
    <s v="Female"/>
    <x v="0"/>
    <n v="21"/>
    <d v="2022-02-27T00:00:00"/>
    <n v="33920"/>
    <s v="Average"/>
    <s v="IND"/>
    <x v="1"/>
    <n v="678.4"/>
    <n v="3"/>
  </r>
  <r>
    <s v="Niall Selesnick"/>
    <s v="Female"/>
    <x v="0"/>
    <n v="29"/>
    <d v="2020-07-11T00:00:00"/>
    <n v="34980"/>
    <s v="Average"/>
    <s v="NZ"/>
    <x v="2"/>
    <n v="1049.3999999999999"/>
    <n v="3"/>
  </r>
  <r>
    <s v="Suchira Bhanupriya Tapti"/>
    <s v="Female"/>
    <x v="0"/>
    <n v="29"/>
    <d v="2020-05-11T00:00:00"/>
    <n v="34980"/>
    <s v="Average"/>
    <s v="IND"/>
    <x v="3"/>
    <n v="1049.3999999999999"/>
    <n v="3"/>
  </r>
  <r>
    <s v="Bili Sizey"/>
    <s v="Male"/>
    <x v="1"/>
    <n v="43"/>
    <d v="2022-02-28T00:00:00"/>
    <n v="36040"/>
    <s v="Average"/>
    <s v="NZ"/>
    <x v="4"/>
    <n v="720.80000000000007"/>
    <n v="3"/>
  </r>
  <r>
    <s v="Waheeda Vasuman"/>
    <s v="Male"/>
    <x v="1"/>
    <n v="43"/>
    <d v="2021-12-28T00:00:00"/>
    <n v="36040"/>
    <s v="Average"/>
    <s v="IND"/>
    <x v="5"/>
    <n v="720.80000000000007"/>
    <n v="3"/>
  </r>
  <r>
    <s v="Orton Livick"/>
    <s v="Male"/>
    <x v="2"/>
    <n v="21"/>
    <d v="2020-09-30T00:00:00"/>
    <n v="37920"/>
    <s v="Average"/>
    <s v="NZ"/>
    <x v="6"/>
    <n v="1137.5999999999999"/>
    <n v="3"/>
  </r>
  <r>
    <s v="Akbar Sorabhjee"/>
    <s v="Male"/>
    <x v="2"/>
    <n v="21"/>
    <d v="2020-07-30T00:00:00"/>
    <n v="37920"/>
    <s v="Average"/>
    <s v="IND"/>
    <x v="7"/>
    <n v="1137.5999999999999"/>
    <n v="3"/>
  </r>
  <r>
    <s v="Archibald Filliskirk"/>
    <s v="Male"/>
    <x v="2"/>
    <n v="35"/>
    <d v="2022-06-15T00:00:00"/>
    <n v="40400"/>
    <s v="Average"/>
    <s v="NZ"/>
    <x v="8"/>
    <n v="808"/>
    <n v="3"/>
  </r>
  <r>
    <s v="Shobhana Samuel"/>
    <s v="Male"/>
    <x v="2"/>
    <n v="35"/>
    <d v="2022-04-15T00:00:00"/>
    <n v="40400"/>
    <s v="Average"/>
    <s v="IND"/>
    <x v="9"/>
    <n v="808"/>
    <n v="3"/>
  </r>
  <r>
    <s v="Crissie Cordel"/>
    <s v="Female"/>
    <x v="2"/>
    <n v="32"/>
    <d v="2022-02-19T00:00:00"/>
    <n v="41570"/>
    <s v="Average"/>
    <s v="NZ"/>
    <x v="10"/>
    <n v="831.4"/>
    <n v="3"/>
  </r>
  <r>
    <s v="Prerana Nishita"/>
    <s v="Female"/>
    <x v="2"/>
    <n v="32"/>
    <d v="2021-12-19T00:00:00"/>
    <n v="41570"/>
    <s v="Average"/>
    <s v="IND"/>
    <x v="11"/>
    <n v="831.4"/>
    <n v="3"/>
  </r>
  <r>
    <s v="Dotty Strutley"/>
    <s v="Female"/>
    <x v="0"/>
    <n v="31"/>
    <d v="2020-11-10T00:00:00"/>
    <n v="41980"/>
    <s v="Average"/>
    <s v="NZ"/>
    <x v="12"/>
    <n v="1259.3999999999999"/>
    <n v="3"/>
  </r>
  <r>
    <s v="Jagajeet Viraj"/>
    <s v="Female"/>
    <x v="0"/>
    <n v="31"/>
    <d v="2020-09-10T00:00:00"/>
    <n v="41980"/>
    <s v="Average"/>
    <s v="IND"/>
    <x v="13"/>
    <n v="1259.3999999999999"/>
    <n v="3"/>
  </r>
  <r>
    <s v="Drusy MacCombe"/>
    <s v="Male"/>
    <x v="1"/>
    <n v="28"/>
    <d v="2022-09-16T00:00:00"/>
    <n v="43510"/>
    <s v="Very poor"/>
    <s v="NZ"/>
    <x v="14"/>
    <n v="870.2"/>
    <n v="1"/>
  </r>
  <r>
    <s v="Rupak Mehra"/>
    <s v="Male"/>
    <x v="1"/>
    <n v="28"/>
    <d v="2022-07-16T00:00:00"/>
    <n v="43510"/>
    <s v="Very poor"/>
    <s v="IND"/>
    <x v="15"/>
    <n v="870.2"/>
    <n v="1"/>
  </r>
  <r>
    <s v="Kassi Jonson"/>
    <s v="Female"/>
    <x v="0"/>
    <n v="32"/>
    <d v="2021-06-07T00:00:00"/>
    <n v="43840"/>
    <s v="Above average"/>
    <s v="NZ"/>
    <x v="16"/>
    <n v="1315.2"/>
    <n v="4"/>
  </r>
  <r>
    <s v="Yagna Sujeev"/>
    <s v="Female"/>
    <x v="0"/>
    <n v="32"/>
    <d v="2021-04-07T00:00:00"/>
    <n v="43840"/>
    <s v="Above average"/>
    <s v="IND"/>
    <x v="17"/>
    <n v="1315.2"/>
    <n v="4"/>
  </r>
  <r>
    <s v="Florinda Crace"/>
    <s v="Female"/>
    <x v="3"/>
    <n v="32"/>
    <d v="2021-07-23T00:00:00"/>
    <n v="45510"/>
    <s v="Average"/>
    <s v="NZ"/>
    <x v="18"/>
    <n v="1365.3"/>
    <n v="3"/>
  </r>
  <r>
    <s v="Madhavdas Buhpathi"/>
    <s v="Female"/>
    <x v="3"/>
    <n v="32"/>
    <d v="2021-05-23T00:00:00"/>
    <n v="45510"/>
    <s v="Average"/>
    <s v="IND"/>
    <x v="19"/>
    <n v="1365.3"/>
    <n v="3"/>
  </r>
  <r>
    <s v="Dell Molloy"/>
    <s v="Male"/>
    <x v="2"/>
    <n v="26"/>
    <d v="2021-01-29T00:00:00"/>
    <n v="47360"/>
    <s v="Average"/>
    <s v="NZ"/>
    <x v="20"/>
    <n v="1420.8"/>
    <n v="3"/>
  </r>
  <r>
    <s v="Shiuli Sapna"/>
    <s v="Male"/>
    <x v="2"/>
    <n v="26"/>
    <d v="2020-11-29T00:00:00"/>
    <n v="47360"/>
    <s v="Average"/>
    <s v="IND"/>
    <x v="21"/>
    <n v="1420.8"/>
    <n v="3"/>
  </r>
  <r>
    <s v="Jan Morforth"/>
    <s v="Male"/>
    <x v="4"/>
    <n v="28"/>
    <d v="2020-07-29T00:00:00"/>
    <n v="48170"/>
    <s v="Above average"/>
    <s v="NZ"/>
    <x v="22"/>
    <n v="1445.1"/>
    <n v="4"/>
  </r>
  <r>
    <s v="Ardhendu Abhichandra Jayakar"/>
    <s v="Male"/>
    <x v="4"/>
    <n v="28"/>
    <d v="2020-05-29T00:00:00"/>
    <n v="48170"/>
    <s v="Above average"/>
    <s v="IND"/>
    <x v="23"/>
    <n v="1445.1"/>
    <n v="4"/>
  </r>
  <r>
    <s v="Erin Androsik"/>
    <s v="Male"/>
    <x v="2"/>
    <n v="33"/>
    <d v="2022-05-20T00:00:00"/>
    <n v="48530"/>
    <s v="Above average"/>
    <s v="NZ"/>
    <x v="24"/>
    <n v="970.6"/>
    <n v="4"/>
  </r>
  <r>
    <s v="Piyali Mahanthapa"/>
    <s v="Male"/>
    <x v="2"/>
    <n v="33"/>
    <d v="2022-03-20T00:00:00"/>
    <n v="48530"/>
    <s v="Above average"/>
    <s v="IND"/>
    <x v="25"/>
    <n v="970.6"/>
    <n v="4"/>
  </r>
  <r>
    <s v="Gunar Cockshoot"/>
    <s v="Male"/>
    <x v="0"/>
    <n v="31"/>
    <d v="2021-11-11T00:00:00"/>
    <n v="48950"/>
    <s v="Average"/>
    <s v="NZ"/>
    <x v="26"/>
    <n v="979"/>
    <n v="3"/>
  </r>
  <r>
    <s v="Amal Nimesh"/>
    <s v="Male"/>
    <x v="0"/>
    <n v="31"/>
    <d v="2021-09-11T00:00:00"/>
    <n v="48950"/>
    <s v="Average"/>
    <s v="IND"/>
    <x v="27"/>
    <n v="979"/>
    <n v="3"/>
  </r>
  <r>
    <s v="Esmaria Denecamp"/>
    <s v="Male"/>
    <x v="4"/>
    <n v="27"/>
    <d v="2022-01-06T00:00:00"/>
    <n v="48980"/>
    <s v="Average"/>
    <s v="NZ"/>
    <x v="28"/>
    <n v="979.6"/>
    <n v="3"/>
  </r>
  <r>
    <s v="Vanmala Shriharsha"/>
    <s v="Male"/>
    <x v="4"/>
    <n v="27"/>
    <d v="2021-11-06T00:00:00"/>
    <n v="48980"/>
    <s v="Average"/>
    <s v="IND"/>
    <x v="29"/>
    <n v="979.6"/>
    <n v="3"/>
  </r>
  <r>
    <s v="Violante Courtonne"/>
    <s v="Female"/>
    <x v="1"/>
    <n v="34"/>
    <d v="2022-06-09T00:00:00"/>
    <n v="49630"/>
    <s v="Poor"/>
    <s v="NZ"/>
    <x v="30"/>
    <n v="992.6"/>
    <n v="2"/>
  </r>
  <r>
    <s v="Daruka Ghazali"/>
    <s v="Female"/>
    <x v="1"/>
    <n v="34"/>
    <d v="2022-04-09T00:00:00"/>
    <n v="49630"/>
    <s v="Poor"/>
    <s v="IND"/>
    <x v="31"/>
    <n v="992.6"/>
    <n v="2"/>
  </r>
  <r>
    <s v="Kaye Crocroft"/>
    <s v="Male"/>
    <x v="4"/>
    <n v="24"/>
    <d v="2021-08-28T00:00:00"/>
    <n v="52610"/>
    <s v="Poor"/>
    <s v="NZ"/>
    <x v="32"/>
    <n v="1578.3"/>
    <n v="2"/>
  </r>
  <r>
    <s v="Gumwant Veera"/>
    <s v="Male"/>
    <x v="4"/>
    <n v="24"/>
    <d v="2021-06-28T00:00:00"/>
    <n v="52610"/>
    <s v="Poor"/>
    <s v="IND"/>
    <x v="33"/>
    <n v="1578.3"/>
    <n v="2"/>
  </r>
  <r>
    <s v="Tatum Hush"/>
    <s v="Female"/>
    <x v="1"/>
    <n v="28"/>
    <d v="2021-06-10T00:00:00"/>
    <n v="53240"/>
    <s v="Average"/>
    <s v="NZ"/>
    <x v="34"/>
    <n v="1597.2"/>
    <n v="3"/>
  </r>
  <r>
    <s v="Anumati Shyamari Meherhomji"/>
    <s v="Female"/>
    <x v="1"/>
    <n v="28"/>
    <d v="2021-04-10T00:00:00"/>
    <n v="53240"/>
    <s v="Average"/>
    <s v="IND"/>
    <x v="35"/>
    <n v="1597.2"/>
    <n v="3"/>
  </r>
  <r>
    <s v="Hoyt D'Alesco"/>
    <s v="Male"/>
    <x v="1"/>
    <n v="32"/>
    <d v="2021-09-26T00:00:00"/>
    <n v="53540"/>
    <s v="Average"/>
    <s v="NZ"/>
    <x v="36"/>
    <n v="1070.8"/>
    <n v="3"/>
  </r>
  <r>
    <s v="Zach Polon"/>
    <s v="Male"/>
    <x v="2"/>
    <n v="26"/>
    <d v="2021-08-03T00:00:00"/>
    <n v="53540"/>
    <s v="Average"/>
    <s v="NZ"/>
    <x v="37"/>
    <n v="1606.2"/>
    <n v="3"/>
  </r>
  <r>
    <s v="Geena Raghavanpillai"/>
    <s v="Male"/>
    <x v="1"/>
    <n v="32"/>
    <d v="2021-07-26T00:00:00"/>
    <n v="53540"/>
    <s v="Average"/>
    <s v="IND"/>
    <x v="38"/>
    <n v="1606.2"/>
    <n v="3"/>
  </r>
  <r>
    <s v="Chitrasen Laul"/>
    <s v="Male"/>
    <x v="2"/>
    <n v="26"/>
    <d v="2021-06-03T00:00:00"/>
    <n v="53540"/>
    <s v="Average"/>
    <s v="IND"/>
    <x v="39"/>
    <n v="1606.2"/>
    <n v="3"/>
  </r>
  <r>
    <s v="William Reeveley"/>
    <s v="Male"/>
    <x v="0"/>
    <n v="33"/>
    <d v="2021-11-09T00:00:00"/>
    <n v="53870"/>
    <s v="Average"/>
    <s v="NZ"/>
    <x v="40"/>
    <n v="1077.4000000000001"/>
    <n v="3"/>
  </r>
  <r>
    <s v="Pragya Nilufar"/>
    <s v="Male"/>
    <x v="0"/>
    <n v="33"/>
    <d v="2021-09-09T00:00:00"/>
    <n v="53870"/>
    <s v="Average"/>
    <s v="IND"/>
    <x v="41"/>
    <n v="1077.4000000000001"/>
    <n v="3"/>
  </r>
  <r>
    <s v="Alta Kaszper"/>
    <s v="Male"/>
    <x v="1"/>
    <n v="27"/>
    <d v="2020-10-30T00:00:00"/>
    <n v="54970"/>
    <s v="Average"/>
    <s v="NZ"/>
    <x v="42"/>
    <n v="1649.1"/>
    <n v="3"/>
  </r>
  <r>
    <s v="Sanchali Shirish"/>
    <s v="Male"/>
    <x v="1"/>
    <n v="27"/>
    <d v="2020-08-30T00:00:00"/>
    <n v="54970"/>
    <s v="Average"/>
    <s v="IND"/>
    <x v="43"/>
    <n v="1649.1"/>
    <n v="3"/>
  </r>
  <r>
    <s v="Oran Buxcy"/>
    <s v="Female"/>
    <x v="1"/>
    <n v="38"/>
    <d v="2021-05-13T00:00:00"/>
    <n v="56870"/>
    <s v="Above average"/>
    <s v="NZ"/>
    <x v="44"/>
    <n v="1706.1"/>
    <n v="4"/>
  </r>
  <r>
    <s v="Mirium Seemantini Shivakumar"/>
    <s v="Female"/>
    <x v="1"/>
    <n v="38"/>
    <d v="2021-03-13T00:00:00"/>
    <n v="56870"/>
    <s v="Above average"/>
    <s v="IND"/>
    <x v="45"/>
    <n v="1706.1"/>
    <n v="4"/>
  </r>
  <r>
    <s v="Kelci Walkden"/>
    <s v="Male"/>
    <x v="2"/>
    <n v="21"/>
    <d v="2022-07-20T00:00:00"/>
    <n v="57090"/>
    <s v="Average"/>
    <s v="NZ"/>
    <x v="46"/>
    <n v="1141.8"/>
    <n v="3"/>
  </r>
  <r>
    <s v="Shattesh Utpat"/>
    <s v="Male"/>
    <x v="2"/>
    <n v="21"/>
    <d v="2022-05-20T00:00:00"/>
    <n v="57090"/>
    <s v="Average"/>
    <s v="IND"/>
    <x v="24"/>
    <n v="1141.8"/>
    <n v="3"/>
  </r>
  <r>
    <s v="Brien Boise"/>
    <s v="Female"/>
    <x v="0"/>
    <n v="31"/>
    <d v="2022-04-12T00:00:00"/>
    <n v="58100"/>
    <s v="Average"/>
    <s v="NZ"/>
    <x v="47"/>
    <n v="1162"/>
    <n v="3"/>
  </r>
  <r>
    <s v="Pratigya Rema"/>
    <s v="Female"/>
    <x v="0"/>
    <n v="31"/>
    <d v="2022-02-12T00:00:00"/>
    <n v="58100"/>
    <s v="Average"/>
    <s v="IND"/>
    <x v="48"/>
    <n v="1162"/>
    <n v="3"/>
  </r>
  <r>
    <s v="Oby Sorrel"/>
    <s v="Female"/>
    <x v="4"/>
    <n v="34"/>
    <d v="2022-04-02T00:00:00"/>
    <n v="58940"/>
    <s v="Average"/>
    <s v="NZ"/>
    <x v="49"/>
    <n v="1178.8"/>
    <n v="3"/>
  </r>
  <r>
    <s v="Krittika Gaekwad"/>
    <s v="Female"/>
    <x v="4"/>
    <n v="34"/>
    <d v="2022-02-02T00:00:00"/>
    <n v="58940"/>
    <s v="Average"/>
    <s v="IND"/>
    <x v="50"/>
    <n v="1178.8"/>
    <n v="3"/>
  </r>
  <r>
    <s v="Lilyan Klimpt"/>
    <s v="Male"/>
    <x v="2"/>
    <n v="19"/>
    <d v="2021-03-22T00:00:00"/>
    <n v="58960"/>
    <s v="Average"/>
    <s v="NZ"/>
    <x v="51"/>
    <n v="1768.8"/>
    <n v="3"/>
  </r>
  <r>
    <s v="Vinanti Choudhari"/>
    <s v="Male"/>
    <x v="2"/>
    <n v="19"/>
    <d v="2021-01-22T00:00:00"/>
    <n v="58960"/>
    <s v="Average"/>
    <s v="IND"/>
    <x v="52"/>
    <n v="1768.8"/>
    <n v="3"/>
  </r>
  <r>
    <s v="My Hanscome"/>
    <s v="Male"/>
    <x v="4"/>
    <n v="33"/>
    <d v="2021-02-16T00:00:00"/>
    <n v="59430"/>
    <s v="Average"/>
    <s v="NZ"/>
    <x v="53"/>
    <n v="1782.8999999999999"/>
    <n v="3"/>
  </r>
  <r>
    <s v="Asija Pothireddy"/>
    <s v="Male"/>
    <x v="4"/>
    <n v="33"/>
    <d v="2020-12-16T00:00:00"/>
    <n v="59430"/>
    <s v="Average"/>
    <s v="IND"/>
    <x v="54"/>
    <n v="1782.8999999999999"/>
    <n v="3"/>
  </r>
  <r>
    <s v="Jehu Rudeforth"/>
    <s v="Female"/>
    <x v="4"/>
    <n v="34"/>
    <d v="2022-02-20T00:00:00"/>
    <n v="60130"/>
    <s v="Average"/>
    <s v="NZ"/>
    <x v="55"/>
    <n v="1202.6000000000001"/>
    <n v="3"/>
  </r>
  <r>
    <s v="Lalit Kothari"/>
    <s v="Female"/>
    <x v="4"/>
    <n v="34"/>
    <d v="2021-12-20T00:00:00"/>
    <n v="60130"/>
    <s v="Average"/>
    <s v="IND"/>
    <x v="56"/>
    <n v="1202.6000000000001"/>
    <n v="3"/>
  </r>
  <r>
    <s v="Mallorie Waber"/>
    <s v="Male"/>
    <x v="2"/>
    <n v="30"/>
    <d v="2022-04-15T00:00:00"/>
    <n v="60570"/>
    <s v="Average"/>
    <s v="NZ"/>
    <x v="9"/>
    <n v="1211.4000000000001"/>
    <n v="3"/>
  </r>
  <r>
    <s v="Mardav Ramaswami"/>
    <s v="Male"/>
    <x v="2"/>
    <n v="30"/>
    <d v="2022-02-15T00:00:00"/>
    <n v="60570"/>
    <s v="Average"/>
    <s v="IND"/>
    <x v="57"/>
    <n v="1211.4000000000001"/>
    <n v="3"/>
  </r>
  <r>
    <s v="Vic Radolf"/>
    <s v="Female"/>
    <x v="0"/>
    <n v="24"/>
    <d v="2020-11-13T00:00:00"/>
    <n v="62780"/>
    <s v="Average"/>
    <s v="NZ"/>
    <x v="58"/>
    <n v="1883.3999999999999"/>
    <n v="3"/>
  </r>
  <r>
    <s v="Fullara Sushanti Mokate"/>
    <s v="Female"/>
    <x v="0"/>
    <n v="24"/>
    <d v="2020-09-13T00:00:00"/>
    <n v="62780"/>
    <s v="Average"/>
    <s v="IND"/>
    <x v="59"/>
    <n v="1883.3999999999999"/>
    <n v="3"/>
  </r>
  <r>
    <s v="Curtice Advani"/>
    <s v="Other"/>
    <x v="4"/>
    <n v="30"/>
    <d v="2022-02-05T00:00:00"/>
    <n v="64000"/>
    <s v="Average"/>
    <s v="NZ"/>
    <x v="60"/>
    <n v="1280"/>
    <n v="3"/>
  </r>
  <r>
    <s v="Upendra Swati"/>
    <s v="Other"/>
    <x v="4"/>
    <n v="30"/>
    <d v="2021-12-05T00:00:00"/>
    <n v="64000"/>
    <s v="Average"/>
    <s v="IND"/>
    <x v="61"/>
    <n v="1280"/>
    <n v="3"/>
  </r>
  <r>
    <s v="Teressa Udden"/>
    <s v="Female"/>
    <x v="4"/>
    <n v="33"/>
    <d v="2020-08-24T00:00:00"/>
    <n v="65360"/>
    <s v="Average"/>
    <s v="NZ"/>
    <x v="62"/>
    <n v="1960.8"/>
    <n v="3"/>
  </r>
  <r>
    <s v="Kevalkumar Solanki"/>
    <s v="Female"/>
    <x v="4"/>
    <n v="33"/>
    <d v="2020-06-24T00:00:00"/>
    <n v="65360"/>
    <s v="Average"/>
    <s v="IND"/>
    <x v="63"/>
    <n v="1960.8"/>
    <n v="3"/>
  </r>
  <r>
    <s v="Kath Bletsoe"/>
    <s v="Male"/>
    <x v="1"/>
    <n v="25"/>
    <d v="2021-07-06T00:00:00"/>
    <n v="65700"/>
    <s v="Average"/>
    <s v="NZ"/>
    <x v="64"/>
    <n v="1971"/>
    <n v="3"/>
  </r>
  <r>
    <s v="Abhaya Priyavardhan"/>
    <s v="Male"/>
    <x v="1"/>
    <n v="25"/>
    <d v="2021-05-06T00:00:00"/>
    <n v="65700"/>
    <s v="Average"/>
    <s v="IND"/>
    <x v="65"/>
    <n v="1971"/>
    <n v="3"/>
  </r>
  <r>
    <s v="Marney O'Breen"/>
    <s v="Female"/>
    <x v="4"/>
    <n v="21"/>
    <d v="2021-05-01T00:00:00"/>
    <n v="65920"/>
    <s v="Average"/>
    <s v="NZ"/>
    <x v="66"/>
    <n v="1977.6"/>
    <n v="3"/>
  </r>
  <r>
    <s v="Agrata Rajarama"/>
    <s v="Female"/>
    <x v="4"/>
    <n v="21"/>
    <d v="2021-03-01T00:00:00"/>
    <n v="65920"/>
    <s v="Average"/>
    <s v="IND"/>
    <x v="67"/>
    <n v="1977.6"/>
    <n v="3"/>
  </r>
  <r>
    <s v="Husein Augar"/>
    <s v="Female"/>
    <x v="4"/>
    <n v="30"/>
    <d v="2021-07-12T00:00:00"/>
    <n v="67910"/>
    <s v="Poor"/>
    <s v="NZ"/>
    <x v="68"/>
    <n v="2037.3"/>
    <n v="2"/>
  </r>
  <r>
    <s v="Kantimoy Pritish"/>
    <s v="Female"/>
    <x v="4"/>
    <n v="30"/>
    <d v="2021-05-12T00:00:00"/>
    <n v="67910"/>
    <s v="Poor"/>
    <s v="IND"/>
    <x v="69"/>
    <n v="2037.3"/>
    <n v="2"/>
  </r>
  <r>
    <s v="Ebonee Roxburgh"/>
    <s v="Male"/>
    <x v="2"/>
    <n v="30"/>
    <d v="2022-05-20T00:00:00"/>
    <n v="67950"/>
    <s v="Average"/>
    <s v="NZ"/>
    <x v="24"/>
    <n v="1359"/>
    <n v="3"/>
  </r>
  <r>
    <s v="Mahindra Sreedharan"/>
    <s v="Male"/>
    <x v="2"/>
    <n v="30"/>
    <d v="2022-03-20T00:00:00"/>
    <n v="67950"/>
    <s v="Average"/>
    <s v="IND"/>
    <x v="25"/>
    <n v="1359"/>
    <n v="3"/>
  </r>
  <r>
    <s v="Hyacinthie Braybrooke"/>
    <s v="Female"/>
    <x v="1"/>
    <n v="20"/>
    <d v="2021-12-07T00:00:00"/>
    <n v="68900"/>
    <s v="Poor"/>
    <s v="NZ"/>
    <x v="70"/>
    <n v="1378"/>
    <n v="2"/>
  </r>
  <r>
    <s v="Devasree Fullara Saurin"/>
    <s v="Female"/>
    <x v="1"/>
    <n v="20"/>
    <d v="2021-10-07T00:00:00"/>
    <n v="68900"/>
    <s v="Poor"/>
    <s v="IND"/>
    <x v="71"/>
    <n v="1378"/>
    <n v="2"/>
  </r>
  <r>
    <s v="Murry Dryburgh"/>
    <s v="Male"/>
    <x v="0"/>
    <n v="37"/>
    <d v="2022-05-20T00:00:00"/>
    <n v="69070"/>
    <s v="Average"/>
    <s v="NZ"/>
    <x v="24"/>
    <n v="1381.4"/>
    <n v="3"/>
  </r>
  <r>
    <s v="Jaishree Atasi Yavatkar"/>
    <s v="Male"/>
    <x v="0"/>
    <n v="37"/>
    <d v="2022-03-20T00:00:00"/>
    <n v="69070"/>
    <s v="Average"/>
    <s v="IND"/>
    <x v="25"/>
    <n v="1381.4"/>
    <n v="3"/>
  </r>
  <r>
    <s v="Andria Kimpton"/>
    <s v="Male"/>
    <x v="0"/>
    <n v="30"/>
    <d v="2021-03-18T00:00:00"/>
    <n v="69120"/>
    <s v="Average"/>
    <s v="NZ"/>
    <x v="72"/>
    <n v="2073.6"/>
    <n v="3"/>
  </r>
  <r>
    <s v="Rameshwari Chikodi"/>
    <s v="Male"/>
    <x v="0"/>
    <n v="30"/>
    <d v="2021-01-18T00:00:00"/>
    <n v="69120"/>
    <s v="Average"/>
    <s v="IND"/>
    <x v="73"/>
    <n v="2073.6"/>
    <n v="3"/>
  </r>
  <r>
    <s v="Myer McCory"/>
    <s v="Male"/>
    <x v="0"/>
    <n v="30"/>
    <d v="2022-10-16T00:00:00"/>
    <n v="69710"/>
    <s v="Average"/>
    <s v="NZ"/>
    <x v="74"/>
    <n v="1394.2"/>
    <n v="3"/>
  </r>
  <r>
    <s v="Shekhar Eswara"/>
    <s v="Male"/>
    <x v="0"/>
    <n v="30"/>
    <d v="2022-08-16T00:00:00"/>
    <n v="69710"/>
    <s v="Average"/>
    <s v="IND"/>
    <x v="75"/>
    <n v="1394.2"/>
    <n v="3"/>
  </r>
  <r>
    <s v="Shayne Stegel"/>
    <s v="Male"/>
    <x v="4"/>
    <n v="42"/>
    <d v="2022-06-19T00:00:00"/>
    <n v="70270"/>
    <s v="Poor"/>
    <s v="NZ"/>
    <x v="76"/>
    <n v="1405.4"/>
    <n v="2"/>
  </r>
  <r>
    <s v="Chandana Sannidhi Surnilla"/>
    <s v="Male"/>
    <x v="4"/>
    <n v="42"/>
    <d v="2022-04-19T00:00:00"/>
    <n v="70270"/>
    <s v="Poor"/>
    <s v="IND"/>
    <x v="77"/>
    <n v="1405.4"/>
    <n v="2"/>
  </r>
  <r>
    <s v="Ambros Murthwaite"/>
    <s v="Male"/>
    <x v="2"/>
    <n v="46"/>
    <d v="2022-07-16T00:00:00"/>
    <n v="70610"/>
    <s v="Average"/>
    <s v="NZ"/>
    <x v="15"/>
    <n v="1412.2"/>
    <n v="3"/>
  </r>
  <r>
    <s v="Ranajay Kailashnath Richa"/>
    <s v="Male"/>
    <x v="2"/>
    <n v="46"/>
    <d v="2022-05-16T00:00:00"/>
    <n v="70610"/>
    <s v="Average"/>
    <s v="IND"/>
    <x v="78"/>
    <n v="1412.2"/>
    <n v="3"/>
  </r>
  <r>
    <s v="Bennie Pepis"/>
    <s v="Male"/>
    <x v="4"/>
    <n v="36"/>
    <d v="2021-05-17T00:00:00"/>
    <n v="71380"/>
    <s v="Average"/>
    <s v="NZ"/>
    <x v="79"/>
    <n v="2141.4"/>
    <n v="3"/>
  </r>
  <r>
    <s v="Kulbhushan Moorthy"/>
    <s v="Male"/>
    <x v="4"/>
    <n v="36"/>
    <d v="2021-03-17T00:00:00"/>
    <n v="71380"/>
    <s v="Average"/>
    <s v="IND"/>
    <x v="80"/>
    <n v="2141.4"/>
    <n v="3"/>
  </r>
  <r>
    <s v="Gigi Bohling"/>
    <s v="Male"/>
    <x v="1"/>
    <n v="33"/>
    <d v="2021-07-08T00:00:00"/>
    <n v="74550"/>
    <s v="Average"/>
    <s v="NZ"/>
    <x v="81"/>
    <n v="2236.5"/>
    <n v="3"/>
  </r>
  <r>
    <s v="Yauvani Tarpa"/>
    <s v="Male"/>
    <x v="1"/>
    <n v="33"/>
    <d v="2021-05-08T00:00:00"/>
    <n v="74550"/>
    <s v="Average"/>
    <s v="IND"/>
    <x v="82"/>
    <n v="2236.5"/>
    <n v="3"/>
  </r>
  <r>
    <s v="Barr Faughny"/>
    <s v="Female"/>
    <x v="2"/>
    <n v="42"/>
    <d v="2022-08-06T00:00:00"/>
    <n v="75000"/>
    <s v="Exceptional"/>
    <s v="NZ"/>
    <x v="83"/>
    <n v="1500"/>
    <n v="5"/>
  </r>
  <r>
    <s v="Nanak Sapna"/>
    <s v="Female"/>
    <x v="2"/>
    <n v="42"/>
    <d v="2022-06-06T00:00:00"/>
    <n v="75000"/>
    <s v="Exceptional"/>
    <s v="IND"/>
    <x v="84"/>
    <n v="1500"/>
    <n v="5"/>
  </r>
  <r>
    <s v="Elia Cockton"/>
    <s v="Female"/>
    <x v="0"/>
    <n v="33"/>
    <d v="2021-04-26T00:00:00"/>
    <n v="75280"/>
    <s v="Average"/>
    <s v="NZ"/>
    <x v="85"/>
    <n v="2258.4"/>
    <n v="3"/>
  </r>
  <r>
    <s v="Hemavati Muthiah"/>
    <s v="Female"/>
    <x v="0"/>
    <n v="33"/>
    <d v="2021-02-26T00:00:00"/>
    <n v="75280"/>
    <s v="Average"/>
    <s v="IND"/>
    <x v="86"/>
    <n v="2258.4"/>
    <n v="3"/>
  </r>
  <r>
    <s v="Camilla Castle"/>
    <s v="Female"/>
    <x v="0"/>
    <n v="33"/>
    <d v="2021-06-27T00:00:00"/>
    <n v="75480"/>
    <s v="Very poor"/>
    <s v="NZ"/>
    <x v="87"/>
    <n v="2264.4"/>
    <n v="1"/>
  </r>
  <r>
    <s v="Ayog Chakrabarti"/>
    <s v="Female"/>
    <x v="0"/>
    <n v="33"/>
    <d v="2021-04-27T00:00:00"/>
    <n v="75480"/>
    <s v="Very poor"/>
    <s v="IND"/>
    <x v="88"/>
    <n v="2264.4"/>
    <n v="1"/>
  </r>
  <r>
    <s v="Shari McNee"/>
    <s v="Male"/>
    <x v="3"/>
    <n v="21"/>
    <d v="2021-02-15T00:00:00"/>
    <n v="75880"/>
    <s v="Average"/>
    <s v="NZ"/>
    <x v="89"/>
    <n v="2276.4"/>
    <n v="3"/>
  </r>
  <r>
    <s v="Sameer Shashank Sapra"/>
    <s v="Male"/>
    <x v="3"/>
    <n v="21"/>
    <d v="2020-12-15T00:00:00"/>
    <n v="75880"/>
    <s v="Average"/>
    <s v="IND"/>
    <x v="90"/>
    <n v="2276.4"/>
    <n v="3"/>
  </r>
  <r>
    <s v="Beverie Moffet"/>
    <s v="Female"/>
    <x v="4"/>
    <n v="28"/>
    <d v="2020-12-20T00:00:00"/>
    <n v="75970"/>
    <s v="Average"/>
    <s v="NZ"/>
    <x v="91"/>
    <n v="2279.1"/>
    <n v="3"/>
  </r>
  <r>
    <s v="Indu Varada Sumedh"/>
    <s v="Female"/>
    <x v="4"/>
    <n v="28"/>
    <d v="2020-10-20T00:00:00"/>
    <n v="75970"/>
    <s v="Average"/>
    <s v="IND"/>
    <x v="92"/>
    <n v="2279.1"/>
    <n v="3"/>
  </r>
  <r>
    <s v="Virginia McConville"/>
    <s v="Female"/>
    <x v="2"/>
    <n v="22"/>
    <d v="2021-09-11T00:00:00"/>
    <n v="76900"/>
    <s v="Above average"/>
    <s v="NZ"/>
    <x v="27"/>
    <n v="1538"/>
    <n v="4"/>
  </r>
  <r>
    <s v="Shreela Ramasubraman"/>
    <s v="Female"/>
    <x v="2"/>
    <n v="22"/>
    <d v="2021-07-11T00:00:00"/>
    <n v="76900"/>
    <s v="Above average"/>
    <s v="IND"/>
    <x v="93"/>
    <n v="2307"/>
    <n v="4"/>
  </r>
  <r>
    <s v="Allene Gobbet"/>
    <s v="Female"/>
    <x v="2"/>
    <n v="36"/>
    <d v="2021-11-29T00:00:00"/>
    <n v="78390"/>
    <s v="Average"/>
    <s v="NZ"/>
    <x v="94"/>
    <n v="1567.8"/>
    <n v="3"/>
  </r>
  <r>
    <s v="Rushil Kripa"/>
    <s v="Female"/>
    <x v="2"/>
    <n v="36"/>
    <d v="2021-09-29T00:00:00"/>
    <n v="78390"/>
    <s v="Average"/>
    <s v="IND"/>
    <x v="95"/>
    <n v="1567.8"/>
    <n v="3"/>
  </r>
  <r>
    <s v="Gray Seamon"/>
    <s v="Female"/>
    <x v="1"/>
    <n v="36"/>
    <d v="2021-10-25T00:00:00"/>
    <n v="78540"/>
    <s v="Average"/>
    <s v="NZ"/>
    <x v="96"/>
    <n v="1570.8"/>
    <n v="3"/>
  </r>
  <r>
    <s v="Shulabh Qutub Sundaramoorthy"/>
    <s v="Female"/>
    <x v="1"/>
    <n v="36"/>
    <d v="2021-08-25T00:00:00"/>
    <n v="78540"/>
    <s v="Average"/>
    <s v="IND"/>
    <x v="97"/>
    <n v="2356.1999999999998"/>
    <n v="3"/>
  </r>
  <r>
    <s v="Kellsie Waby"/>
    <s v="Male"/>
    <x v="2"/>
    <n v="20"/>
    <d v="2022-07-02T00:00:00"/>
    <n v="79570"/>
    <s v="Average"/>
    <s v="NZ"/>
    <x v="98"/>
    <n v="1591.4"/>
    <n v="3"/>
  </r>
  <r>
    <s v="Udyan Lanka"/>
    <s v="Male"/>
    <x v="2"/>
    <n v="20"/>
    <d v="2022-05-02T00:00:00"/>
    <n v="79570"/>
    <s v="Average"/>
    <s v="IND"/>
    <x v="99"/>
    <n v="1591.4"/>
    <n v="3"/>
  </r>
  <r>
    <s v="Van Tuxwell"/>
    <s v="Female"/>
    <x v="0"/>
    <n v="25"/>
    <d v="2022-05-13T00:00:00"/>
    <n v="80700"/>
    <s v="Above average"/>
    <s v="NZ"/>
    <x v="100"/>
    <n v="1614"/>
    <n v="4"/>
  </r>
  <r>
    <s v="Bhuvan Pals"/>
    <s v="Female"/>
    <x v="0"/>
    <n v="25"/>
    <d v="2022-03-13T00:00:00"/>
    <n v="80700"/>
    <s v="Above average"/>
    <s v="IND"/>
    <x v="101"/>
    <n v="1614"/>
    <n v="4"/>
  </r>
  <r>
    <s v="Agnes Collicott"/>
    <s v="Female"/>
    <x v="0"/>
    <n v="27"/>
    <d v="2022-05-05T00:00:00"/>
    <n v="83750"/>
    <s v="Average"/>
    <s v="NZ"/>
    <x v="102"/>
    <n v="1675"/>
    <n v="3"/>
  </r>
  <r>
    <s v="Kunja Prashanta Vibha"/>
    <s v="Female"/>
    <x v="0"/>
    <n v="27"/>
    <d v="2022-03-05T00:00:00"/>
    <n v="83750"/>
    <s v="Average"/>
    <s v="IND"/>
    <x v="103"/>
    <n v="1675"/>
    <n v="3"/>
  </r>
  <r>
    <s v="Karlen McCaffrey"/>
    <s v="Female"/>
    <x v="4"/>
    <n v="34"/>
    <d v="2021-09-20T00:00:00"/>
    <n v="85000"/>
    <s v="Average"/>
    <s v="NZ"/>
    <x v="104"/>
    <n v="1700"/>
    <n v="3"/>
  </r>
  <r>
    <s v="Tarala Vishaal"/>
    <s v="Female"/>
    <x v="4"/>
    <n v="34"/>
    <d v="2021-07-20T00:00:00"/>
    <n v="85000"/>
    <s v="Average"/>
    <s v="IND"/>
    <x v="105"/>
    <n v="2550"/>
    <n v="3"/>
  </r>
  <r>
    <s v="Sibyl Dunkirk"/>
    <s v="Female"/>
    <x v="4"/>
    <n v="33"/>
    <d v="2022-09-05T00:00:00"/>
    <n v="86570"/>
    <s v="Average"/>
    <s v="NZ"/>
    <x v="106"/>
    <n v="1731.4"/>
    <n v="3"/>
  </r>
  <r>
    <s v="Madhumati Gazala Soumitra"/>
    <s v="Female"/>
    <x v="4"/>
    <n v="33"/>
    <d v="2022-07-05T00:00:00"/>
    <n v="86570"/>
    <s v="Average"/>
    <s v="IND"/>
    <x v="107"/>
    <n v="1731.4"/>
    <n v="3"/>
  </r>
  <r>
    <s v="Merrilee Plenty"/>
    <s v="Female"/>
    <x v="0"/>
    <n v="40"/>
    <d v="2021-05-21T00:00:00"/>
    <n v="87620"/>
    <s v="Average"/>
    <s v="NZ"/>
    <x v="108"/>
    <n v="2628.6"/>
    <n v="3"/>
  </r>
  <r>
    <s v="Godavari Veena"/>
    <s v="Female"/>
    <x v="0"/>
    <n v="40"/>
    <d v="2021-03-21T00:00:00"/>
    <n v="87620"/>
    <s v="Average"/>
    <s v="IND"/>
    <x v="109"/>
    <n v="2628.6"/>
    <n v="3"/>
  </r>
  <r>
    <s v="Ches Bonnell"/>
    <s v="Male"/>
    <x v="0"/>
    <n v="37"/>
    <d v="2021-05-22T00:00:00"/>
    <n v="88050"/>
    <s v="Poor"/>
    <s v="NZ"/>
    <x v="110"/>
    <n v="2641.5"/>
    <n v="2"/>
  </r>
  <r>
    <s v="Gangadutt Ragha"/>
    <s v="Male"/>
    <x v="0"/>
    <n v="37"/>
    <d v="2021-03-22T00:00:00"/>
    <n v="88050"/>
    <s v="Poor"/>
    <s v="IND"/>
    <x v="51"/>
    <n v="2641.5"/>
    <n v="2"/>
  </r>
  <r>
    <s v="Dennison Crosswaite"/>
    <s v="Other"/>
    <x v="0"/>
    <n v="26"/>
    <d v="2021-03-16T00:00:00"/>
    <n v="90700"/>
    <s v="Above average"/>
    <s v="NZ"/>
    <x v="111"/>
    <n v="2721"/>
    <n v="4"/>
  </r>
  <r>
    <s v="Karuna Pashupathy"/>
    <s v="Other"/>
    <x v="0"/>
    <n v="27"/>
    <d v="2021-01-16T00:00:00"/>
    <n v="90700"/>
    <s v="Above average"/>
    <s v="IND"/>
    <x v="112"/>
    <n v="2721"/>
    <n v="4"/>
  </r>
  <r>
    <s v="Madge McCloughen"/>
    <s v="Other"/>
    <x v="0"/>
    <n v="32"/>
    <d v="2022-08-01T00:00:00"/>
    <n v="91310"/>
    <s v="Average"/>
    <s v="NZ"/>
    <x v="113"/>
    <n v="1826.2"/>
    <n v="3"/>
  </r>
  <r>
    <s v="Rukma Vinita"/>
    <s v="Other"/>
    <x v="0"/>
    <n v="32"/>
    <d v="2022-06-01T00:00:00"/>
    <n v="91310"/>
    <s v="Average"/>
    <s v="IND"/>
    <x v="114"/>
    <n v="1826.2"/>
    <n v="3"/>
  </r>
  <r>
    <s v="Enoch Dowrey"/>
    <s v="Male"/>
    <x v="4"/>
    <n v="27"/>
    <d v="2021-02-09T00:00:00"/>
    <n v="91650"/>
    <s v="Above average"/>
    <s v="NZ"/>
    <x v="115"/>
    <n v="2749.5"/>
    <n v="4"/>
  </r>
  <r>
    <s v="Kamalakshi Mukundan"/>
    <s v="Male"/>
    <x v="4"/>
    <n v="27"/>
    <d v="2020-12-09T00:00:00"/>
    <n v="91650"/>
    <s v="Above average"/>
    <s v="IND"/>
    <x v="116"/>
    <n v="2749.5"/>
    <n v="4"/>
  </r>
  <r>
    <s v="Leilah Yesinin"/>
    <s v="Female"/>
    <x v="4"/>
    <n v="34"/>
    <d v="2021-09-06T00:00:00"/>
    <n v="92450"/>
    <s v="Average"/>
    <s v="NZ"/>
    <x v="117"/>
    <n v="1849"/>
    <n v="3"/>
  </r>
  <r>
    <s v="Deepit Ranjana"/>
    <s v="Female"/>
    <x v="4"/>
    <n v="34"/>
    <d v="2021-07-06T00:00:00"/>
    <n v="92450"/>
    <s v="Average"/>
    <s v="IND"/>
    <x v="64"/>
    <n v="2773.5"/>
    <n v="3"/>
  </r>
  <r>
    <s v="Hinda Label"/>
    <s v="Female"/>
    <x v="1"/>
    <n v="25"/>
    <d v="2021-01-09T00:00:00"/>
    <n v="92700"/>
    <s v="Average"/>
    <s v="NZ"/>
    <x v="118"/>
    <n v="2781"/>
    <n v="3"/>
  </r>
  <r>
    <s v="Purnendu Vijayarangan"/>
    <s v="Female"/>
    <x v="1"/>
    <n v="25"/>
    <d v="2020-11-09T00:00:00"/>
    <n v="92700"/>
    <s v="Average"/>
    <s v="IND"/>
    <x v="119"/>
    <n v="2781"/>
    <n v="3"/>
  </r>
  <r>
    <s v="Torrance Collier"/>
    <s v="Female"/>
    <x v="0"/>
    <n v="33"/>
    <d v="2020-12-25T00:00:00"/>
    <n v="96140"/>
    <s v="Average"/>
    <s v="NZ"/>
    <x v="120"/>
    <n v="2884.2"/>
    <n v="3"/>
  </r>
  <r>
    <s v="Sukhdev Nageshwar"/>
    <s v="Female"/>
    <x v="0"/>
    <n v="33"/>
    <d v="2020-10-25T00:00:00"/>
    <n v="96140"/>
    <s v="Average"/>
    <s v="IND"/>
    <x v="121"/>
    <n v="2884.2"/>
    <n v="3"/>
  </r>
  <r>
    <s v="Constantino Espley"/>
    <s v="Male"/>
    <x v="4"/>
    <n v="30"/>
    <d v="2022-02-14T00:00:00"/>
    <n v="96800"/>
    <s v="Average"/>
    <s v="NZ"/>
    <x v="122"/>
    <n v="1936"/>
    <n v="3"/>
  </r>
  <r>
    <s v="Mithil Nadkarni"/>
    <s v="Male"/>
    <x v="4"/>
    <n v="30"/>
    <d v="2021-12-14T00:00:00"/>
    <n v="96800"/>
    <s v="Average"/>
    <s v="IND"/>
    <x v="123"/>
    <n v="1936"/>
    <n v="3"/>
  </r>
  <r>
    <s v="Simon Kembery"/>
    <s v="Male"/>
    <x v="2"/>
    <n v="40"/>
    <d v="2021-03-08T00:00:00"/>
    <n v="99750"/>
    <s v="Average"/>
    <s v="NZ"/>
    <x v="124"/>
    <n v="2992.5"/>
    <n v="3"/>
  </r>
  <r>
    <s v="Baruna Ogale"/>
    <s v="Male"/>
    <x v="2"/>
    <n v="40"/>
    <d v="2021-01-08T00:00:00"/>
    <n v="99750"/>
    <s v="Average"/>
    <s v="IND"/>
    <x v="125"/>
    <n v="2992.5"/>
    <n v="3"/>
  </r>
  <r>
    <s v="Bernie Gorges"/>
    <s v="Female"/>
    <x v="2"/>
    <n v="28"/>
    <d v="2022-03-10T00:00:00"/>
    <n v="99970"/>
    <s v="Average"/>
    <s v="NZ"/>
    <x v="126"/>
    <n v="1999.4"/>
    <n v="3"/>
  </r>
  <r>
    <s v="Vasu Nandin"/>
    <s v="Female"/>
    <x v="2"/>
    <n v="28"/>
    <d v="2022-01-10T00:00:00"/>
    <n v="99970"/>
    <s v="Average"/>
    <s v="IND"/>
    <x v="127"/>
    <n v="1999.4"/>
    <n v="3"/>
  </r>
  <r>
    <s v="Collin Jagson"/>
    <s v="Male"/>
    <x v="0"/>
    <n v="24"/>
    <d v="2022-05-05T00:00:00"/>
    <n v="100420"/>
    <s v="Average"/>
    <s v="NZ"/>
    <x v="102"/>
    <n v="2008.4"/>
    <n v="3"/>
  </r>
  <r>
    <s v="Amlankusum Rajabhushan"/>
    <s v="Male"/>
    <x v="0"/>
    <n v="24"/>
    <d v="2022-03-05T00:00:00"/>
    <n v="100420"/>
    <s v="Average"/>
    <s v="IND"/>
    <x v="103"/>
    <n v="2008.4"/>
    <n v="3"/>
  </r>
  <r>
    <s v="Dyna Doucette"/>
    <s v="Male"/>
    <x v="2"/>
    <n v="31"/>
    <d v="2022-06-12T00:00:00"/>
    <n v="103550"/>
    <s v="Average"/>
    <s v="NZ"/>
    <x v="128"/>
    <n v="2071"/>
    <n v="3"/>
  </r>
  <r>
    <s v="Satyendra Venkatadri"/>
    <s v="Male"/>
    <x v="2"/>
    <n v="31"/>
    <d v="2022-04-12T00:00:00"/>
    <n v="103550"/>
    <s v="Average"/>
    <s v="IND"/>
    <x v="47"/>
    <n v="2071"/>
    <n v="3"/>
  </r>
  <r>
    <s v="Cherlyn Barter"/>
    <s v="Female"/>
    <x v="2"/>
    <n v="28"/>
    <d v="2022-03-29T00:00:00"/>
    <n v="104120"/>
    <s v="Average"/>
    <s v="NZ"/>
    <x v="129"/>
    <n v="2082.4"/>
    <n v="3"/>
  </r>
  <r>
    <s v="Sartaj Probal"/>
    <s v="Female"/>
    <x v="2"/>
    <n v="28"/>
    <d v="2022-01-29T00:00:00"/>
    <n v="104120"/>
    <s v="Average"/>
    <s v="IND"/>
    <x v="130"/>
    <n v="2082.4"/>
    <n v="3"/>
  </r>
  <r>
    <s v="Caro Chappel"/>
    <s v="Female"/>
    <x v="0"/>
    <n v="40"/>
    <d v="2021-07-04T00:00:00"/>
    <n v="104410"/>
    <s v="Average"/>
    <s v="NZ"/>
    <x v="131"/>
    <n v="3132.2999999999997"/>
    <n v="3"/>
  </r>
  <r>
    <s v="Manjusri Ruchi"/>
    <s v="Female"/>
    <x v="0"/>
    <n v="40"/>
    <d v="2021-05-04T00:00:00"/>
    <n v="104410"/>
    <s v="Average"/>
    <s v="IND"/>
    <x v="132"/>
    <n v="3132.2999999999997"/>
    <n v="3"/>
  </r>
  <r>
    <s v="Janene Hairsine"/>
    <s v="Female"/>
    <x v="2"/>
    <n v="28"/>
    <d v="2021-10-17T00:00:00"/>
    <n v="104770"/>
    <s v="Average"/>
    <s v="NZ"/>
    <x v="133"/>
    <n v="2095.4"/>
    <n v="3"/>
  </r>
  <r>
    <s v="Shevantilal Muppala"/>
    <s v="Female"/>
    <x v="2"/>
    <n v="28"/>
    <d v="2021-08-17T00:00:00"/>
    <n v="104770"/>
    <s v="Average"/>
    <s v="IND"/>
    <x v="134"/>
    <n v="3143.1"/>
    <n v="3"/>
  </r>
  <r>
    <s v="Kissiah Maydway"/>
    <s v="Male"/>
    <x v="2"/>
    <n v="23"/>
    <d v="2021-09-01T00:00:00"/>
    <n v="106460"/>
    <s v="Average"/>
    <s v="NZ"/>
    <x v="135"/>
    <n v="2129.1999999999998"/>
    <n v="3"/>
  </r>
  <r>
    <s v="Sahas Sanabhi Shrikant"/>
    <s v="Male"/>
    <x v="2"/>
    <n v="23"/>
    <d v="2021-07-01T00:00:00"/>
    <n v="106460"/>
    <s v="Average"/>
    <s v="IND"/>
    <x v="136"/>
    <n v="3193.7999999999997"/>
    <n v="3"/>
  </r>
  <r>
    <s v="Kaine Padly"/>
    <s v="Male"/>
    <x v="0"/>
    <n v="20"/>
    <d v="2021-09-20T00:00:00"/>
    <n v="107700"/>
    <s v="Average"/>
    <s v="NZ"/>
    <x v="104"/>
    <n v="2154"/>
    <n v="3"/>
  </r>
  <r>
    <s v="Hridaynath Tendulkar"/>
    <s v="Male"/>
    <x v="0"/>
    <n v="20"/>
    <d v="2021-07-20T00:00:00"/>
    <n v="107700"/>
    <s v="Average"/>
    <s v="IND"/>
    <x v="105"/>
    <n v="3231"/>
    <n v="3"/>
  </r>
  <r>
    <s v="Rafaelita Blaksland"/>
    <s v="Female"/>
    <x v="1"/>
    <n v="38"/>
    <d v="2021-06-30T00:00:00"/>
    <n v="109160"/>
    <s v="Exceptional"/>
    <s v="NZ"/>
    <x v="137"/>
    <n v="3274.7999999999997"/>
    <n v="5"/>
  </r>
  <r>
    <s v="Sawini Chandan"/>
    <s v="Female"/>
    <x v="1"/>
    <n v="38"/>
    <d v="2021-04-30T00:00:00"/>
    <n v="109160"/>
    <s v="Exceptional"/>
    <s v="IND"/>
    <x v="138"/>
    <n v="3274.7999999999997"/>
    <n v="5"/>
  </r>
  <r>
    <s v="Madelene Upcott"/>
    <s v="Male"/>
    <x v="2"/>
    <n v="25"/>
    <d v="2022-06-14T00:00:00"/>
    <n v="109190"/>
    <s v="Above average"/>
    <s v="NZ"/>
    <x v="139"/>
    <n v="2183.8000000000002"/>
    <n v="4"/>
  </r>
  <r>
    <s v="Damayanti Thangavadivelu"/>
    <s v="Male"/>
    <x v="2"/>
    <n v="25"/>
    <d v="2022-04-14T00:00:00"/>
    <n v="109190"/>
    <s v="Above average"/>
    <s v="IND"/>
    <x v="140"/>
    <n v="2183.8000000000002"/>
    <n v="4"/>
  </r>
  <r>
    <s v="Bev Lashley"/>
    <s v="Male"/>
    <x v="0"/>
    <n v="29"/>
    <d v="2020-12-15T00:00:00"/>
    <n v="112110"/>
    <s v="Poor"/>
    <s v="NZ"/>
    <x v="90"/>
    <n v="3363.2999999999997"/>
    <n v="2"/>
  </r>
  <r>
    <s v="Narois Motiwala"/>
    <s v="Male"/>
    <x v="0"/>
    <n v="29"/>
    <d v="2020-10-15T00:00:00"/>
    <n v="112110"/>
    <s v="Poor"/>
    <s v="IND"/>
    <x v="141"/>
    <n v="3363.2999999999997"/>
    <n v="2"/>
  </r>
  <r>
    <s v="Halimeda Kuscha"/>
    <s v="Female"/>
    <x v="2"/>
    <n v="30"/>
    <d v="2022-10-27T00:00:00"/>
    <n v="112570"/>
    <s v="Average"/>
    <s v="NZ"/>
    <x v="142"/>
    <n v="2251.4"/>
    <n v="3"/>
  </r>
  <r>
    <s v="Makshi Vinutha"/>
    <s v="Female"/>
    <x v="2"/>
    <n v="30"/>
    <d v="2022-08-27T00:00:00"/>
    <n v="112570"/>
    <s v="Average"/>
    <s v="IND"/>
    <x v="143"/>
    <n v="2251.4"/>
    <n v="3"/>
  </r>
  <r>
    <s v="Mollie Hanway"/>
    <s v="Male"/>
    <x v="0"/>
    <n v="20"/>
    <d v="2020-12-18T00:00:00"/>
    <n v="112650"/>
    <s v="Average"/>
    <s v="NZ"/>
    <x v="144"/>
    <n v="3379.5"/>
    <n v="3"/>
  </r>
  <r>
    <s v="Deepali Charan"/>
    <s v="Male"/>
    <x v="0"/>
    <n v="20"/>
    <d v="2020-10-18T00:00:00"/>
    <n v="112650"/>
    <s v="Average"/>
    <s v="IND"/>
    <x v="145"/>
    <n v="3379.5"/>
    <n v="3"/>
  </r>
  <r>
    <s v="Bandhula Sathyanna"/>
    <s v="Male"/>
    <x v="2"/>
    <n v="34"/>
    <d v="2022-03-22T00:00:00"/>
    <n v="112650"/>
    <s v="Average"/>
    <s v="IND"/>
    <x v="146"/>
    <n v="2253"/>
    <n v="3"/>
  </r>
  <r>
    <s v="Lindy Guillet"/>
    <s v="Male"/>
    <x v="1"/>
    <n v="22"/>
    <d v="2021-09-07T00:00:00"/>
    <n v="112780"/>
    <s v="Above average"/>
    <s v="NZ"/>
    <x v="147"/>
    <n v="2255.6"/>
    <n v="4"/>
  </r>
  <r>
    <s v="Krishnakanta Vellanki"/>
    <s v="Male"/>
    <x v="1"/>
    <n v="22"/>
    <d v="2021-07-07T00:00:00"/>
    <n v="112780"/>
    <s v="Above average"/>
    <s v="IND"/>
    <x v="148"/>
    <n v="3383.4"/>
    <n v="4"/>
  </r>
  <r>
    <s v="Mahalia Larcher"/>
    <s v="Male"/>
    <x v="2"/>
    <n v="27"/>
    <d v="2022-02-17T00:00:00"/>
    <n v="113280"/>
    <s v="Very poor"/>
    <s v="NZ"/>
    <x v="149"/>
    <n v="2265.6"/>
    <n v="1"/>
  </r>
  <r>
    <s v="Ilesh Dasgupta"/>
    <s v="Male"/>
    <x v="2"/>
    <n v="27"/>
    <d v="2021-12-17T00:00:00"/>
    <n v="113280"/>
    <s v="Very poor"/>
    <s v="IND"/>
    <x v="150"/>
    <n v="2265.6"/>
    <n v="1"/>
  </r>
  <r>
    <s v="Hogan Iles"/>
    <s v="Female"/>
    <x v="2"/>
    <n v="30"/>
    <d v="2022-10-16T00:00:00"/>
    <n v="114180"/>
    <s v="Average"/>
    <s v="NZ"/>
    <x v="74"/>
    <n v="2283.6"/>
    <n v="3"/>
  </r>
  <r>
    <s v="Sarojini Naueshwara"/>
    <s v="Female"/>
    <x v="2"/>
    <n v="30"/>
    <d v="2022-08-16T00:00:00"/>
    <n v="114180"/>
    <s v="Average"/>
    <s v="IND"/>
    <x v="75"/>
    <n v="2283.6"/>
    <n v="3"/>
  </r>
  <r>
    <s v="Wilone O'Kielt"/>
    <s v="Female"/>
    <x v="0"/>
    <n v="43"/>
    <d v="2023-04-29T00:00:00"/>
    <n v="114870"/>
    <s v="Average"/>
    <s v="NZ"/>
    <x v="151"/>
    <n v="2297.4"/>
    <n v="3"/>
  </r>
  <r>
    <s v="Ramnath Ravuri"/>
    <s v="Female"/>
    <x v="0"/>
    <n v="44"/>
    <d v="2023-02-28T00:00:00"/>
    <n v="114870"/>
    <s v="Average"/>
    <s v="IND"/>
    <x v="152"/>
    <n v="2297.4"/>
    <n v="3"/>
  </r>
  <r>
    <s v="Tracy Renad"/>
    <s v="Female"/>
    <x v="2"/>
    <n v="36"/>
    <d v="2020-09-11T00:00:00"/>
    <n v="114890"/>
    <s v="Average"/>
    <s v="NZ"/>
    <x v="153"/>
    <n v="3446.7"/>
    <n v="3"/>
  </r>
  <r>
    <s v="Dhruv Manjunath"/>
    <s v="Female"/>
    <x v="2"/>
    <n v="36"/>
    <d v="2020-07-11T00:00:00"/>
    <n v="114890"/>
    <s v="Average"/>
    <s v="IND"/>
    <x v="2"/>
    <n v="3446.7"/>
    <n v="3"/>
  </r>
  <r>
    <s v="Benny Karolovsky"/>
    <s v="Other"/>
    <x v="4"/>
    <n v="37"/>
    <d v="2020-11-11T00:00:00"/>
    <n v="115440"/>
    <s v="Poor"/>
    <s v="NZ"/>
    <x v="154"/>
    <n v="3463.2"/>
    <n v="2"/>
  </r>
  <r>
    <s v="Sahila Chandrasekhar"/>
    <s v="Other"/>
    <x v="4"/>
    <n v="37"/>
    <d v="2020-09-11T00:00:00"/>
    <n v="115440"/>
    <s v="Poor"/>
    <s v="IND"/>
    <x v="153"/>
    <n v="3463.2"/>
    <n v="2"/>
  </r>
  <r>
    <s v="Roddy Speechley"/>
    <s v="Male"/>
    <x v="2"/>
    <n v="33"/>
    <d v="2020-11-29T00:00:00"/>
    <n v="115920"/>
    <s v="Average"/>
    <s v="NZ"/>
    <x v="21"/>
    <n v="3477.6"/>
    <n v="3"/>
  </r>
  <r>
    <s v="Sarayu Ragunathan"/>
    <s v="Male"/>
    <x v="2"/>
    <n v="33"/>
    <d v="2020-09-29T00:00:00"/>
    <n v="115920"/>
    <s v="Average"/>
    <s v="IND"/>
    <x v="155"/>
    <n v="3477.6"/>
    <n v="3"/>
  </r>
  <r>
    <s v="Valentia Etteridge"/>
    <s v="Female"/>
    <x v="3"/>
    <n v="37"/>
    <d v="2021-09-12T00:00:00"/>
    <n v="118100"/>
    <s v="Average"/>
    <s v="NZ"/>
    <x v="156"/>
    <n v="2362"/>
    <n v="3"/>
  </r>
  <r>
    <s v="Kaishori Harathi Kateel"/>
    <s v="Female"/>
    <x v="3"/>
    <n v="37"/>
    <d v="2021-07-12T00:00:00"/>
    <n v="118100"/>
    <s v="Average"/>
    <s v="IND"/>
    <x v="68"/>
    <n v="3543"/>
    <n v="3"/>
  </r>
  <r>
    <s v="Tawnya Tickel"/>
    <s v="Male"/>
    <x v="0"/>
    <n v="36"/>
    <d v="2020-07-07T00:00:00"/>
    <n v="118840"/>
    <s v="Average"/>
    <s v="NZ"/>
    <x v="157"/>
    <n v="3565.2"/>
    <n v="3"/>
  </r>
  <r>
    <s v="Heer Pennathur"/>
    <s v="Male"/>
    <x v="0"/>
    <n v="36"/>
    <d v="2020-05-07T00:00:00"/>
    <n v="118840"/>
    <s v="Average"/>
    <s v="IND"/>
    <x v="158"/>
    <n v="3565.2"/>
    <n v="3"/>
  </r>
  <r>
    <s v="Ewart Laphorn"/>
    <s v="Female"/>
    <x v="3"/>
    <n v="27"/>
    <d v="2020-10-18T00:00:00"/>
    <n v="119110"/>
    <s v="Average"/>
    <s v="NZ"/>
    <x v="145"/>
    <n v="3573.2999999999997"/>
    <n v="3"/>
  </r>
  <r>
    <s v="Anjushri Chandiramani"/>
    <s v="Female"/>
    <x v="3"/>
    <n v="27"/>
    <d v="2020-08-18T00:00:00"/>
    <n v="119110"/>
    <s v="Average"/>
    <s v="IND"/>
    <x v="159"/>
    <n v="3573.2999999999997"/>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83054B-D045-436D-8360-864270B544A8}" name="PivotTable1" cacheId="62" dataOnRows="1"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1">
  <location ref="A1:C6" firstHeaderRow="1" firstDataRow="2" firstDataCol="1"/>
  <pivotFields count="6">
    <pivotField axis="axisCol"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Fields count="1">
    <field x="0"/>
  </colFields>
  <colItems count="2">
    <i>
      <x/>
    </i>
    <i>
      <x v="1"/>
    </i>
  </colItems>
  <dataFields count="4">
    <dataField name="Count of Name" fld="4" subtotal="count" baseField="0" baseItem="0"/>
    <dataField name="Average of Age" fld="3" subtotal="average" baseField="0" baseItem="0" numFmtId="2"/>
    <dataField name="Average of Salary" fld="2" subtotal="average" baseField="0" baseItem="0" numFmtId="165"/>
    <dataField name="Average of Tenure" fld="1" subtotal="average" baseField="0" baseItem="0" numFmtId="2"/>
  </dataFields>
  <formats count="3">
    <format dxfId="17">
      <pivotArea outline="0" fieldPosition="0">
        <references count="1">
          <reference field="4294967294" count="1">
            <x v="3"/>
          </reference>
        </references>
      </pivotArea>
    </format>
    <format dxfId="16">
      <pivotArea collapsedLevelsAreSubtotals="1" fieldPosition="0">
        <references count="2">
          <reference field="4294967294" count="1">
            <x v="2"/>
          </reference>
          <reference field="0" count="1" selected="0">
            <x v="0"/>
          </reference>
        </references>
      </pivotArea>
    </format>
    <format dxfId="15">
      <pivotArea outline="0" fieldPosition="0">
        <references count="1">
          <reference field="4294967294" count="1">
            <x v="2"/>
          </reference>
        </references>
      </pivotArea>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 (1).xlsx!Staff">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8598A5-2971-49F5-BA88-879F8E3CE92C}" name="PivotTable2" cacheId="65"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B4:D10" firstHeaderRow="0" firstDataRow="1" firstDataCol="1"/>
  <pivotFields count="4">
    <pivotField axis="axisRow" allDrilled="1" subtotalTop="0" showAll="0" defaultSubtotal="0" defaultAttributeDrillState="1">
      <items count="5">
        <item x="2"/>
        <item x="0"/>
        <item x="1"/>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Count of Name" fld="1" subtotal="count" baseField="0" baseItem="0"/>
    <dataField name="Average of Salary" fld="2" subtotal="average" baseField="0" baseItem="0" numFmtId="165"/>
  </dataFields>
  <conditionalFormats count="1">
    <conditionalFormat priority="1">
      <pivotAreas count="1">
        <pivotArea type="data" collapsedLevelsAreSubtotals="1" fieldPosition="0">
          <references count="2">
            <reference field="4294967294" count="1" selected="0">
              <x v="1"/>
            </reference>
            <reference field="0" count="5">
              <x v="0"/>
              <x v="1"/>
              <x v="2"/>
              <x v="3"/>
              <x v="4"/>
            </reference>
          </references>
        </pivotArea>
      </pivotAreas>
    </conditionalFormat>
  </conditional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4E9FFC-AC77-4F65-AE67-5C251D6A2474}" name="PivotTable5" cacheId="59"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
  <location ref="B3:C8"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items count="4">
        <item x="0" e="0"/>
        <item x="1" e="0"/>
        <item x="2" e="0"/>
        <item x="3" e="0"/>
      </items>
    </pivotField>
    <pivotField dataField="1" subtotalTop="0" showAll="0" defaultSubtotal="0"/>
    <pivotField allDrilled="1" subtotalTop="0" showAll="0" dataSourceSort="1" defaultSubtotal="0" defaultAttributeDrillState="1"/>
  </pivotFields>
  <rowFields count="2">
    <field x="1"/>
    <field x="0"/>
  </rowFields>
  <rowItems count="5">
    <i>
      <x/>
    </i>
    <i>
      <x v="1"/>
    </i>
    <i>
      <x v="2"/>
    </i>
    <i>
      <x v="3"/>
    </i>
    <i t="grand">
      <x/>
    </i>
  </rowItems>
  <colItems count="1">
    <i/>
  </colItems>
  <dataFields count="1">
    <dataField name="Count of Name"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63A6FD-EB15-4787-AED6-D2462945C2AA}"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2:C8" firstHeaderRow="1" firstDataRow="1" firstDataCol="1"/>
  <pivotFields count="11">
    <pivotField showAll="0"/>
    <pivotField showAll="0"/>
    <pivotField axis="axisRow" showAll="0">
      <items count="6">
        <item x="4"/>
        <item x="3"/>
        <item x="2"/>
        <item x="1"/>
        <item x="0"/>
        <item t="default"/>
      </items>
    </pivotField>
    <pivotField showAll="0"/>
    <pivotField numFmtId="14" showAll="0"/>
    <pivotField numFmtId="164" showAll="0"/>
    <pivotField showAll="0"/>
    <pivotField showAll="0"/>
    <pivotField dataField="1" numFmtId="2" showAll="0">
      <items count="161">
        <item x="151"/>
        <item x="152"/>
        <item x="142"/>
        <item x="74"/>
        <item x="14"/>
        <item x="106"/>
        <item x="143"/>
        <item x="75"/>
        <item x="83"/>
        <item x="113"/>
        <item x="46"/>
        <item x="15"/>
        <item x="107"/>
        <item x="98"/>
        <item x="76"/>
        <item x="8"/>
        <item x="139"/>
        <item x="128"/>
        <item x="30"/>
        <item x="84"/>
        <item x="114"/>
        <item x="24"/>
        <item x="78"/>
        <item x="100"/>
        <item x="102"/>
        <item x="99"/>
        <item x="0"/>
        <item x="77"/>
        <item x="9"/>
        <item x="140"/>
        <item x="47"/>
        <item x="31"/>
        <item x="49"/>
        <item x="129"/>
        <item x="146"/>
        <item x="25"/>
        <item x="101"/>
        <item x="126"/>
        <item x="103"/>
        <item x="4"/>
        <item x="1"/>
        <item x="55"/>
        <item x="10"/>
        <item x="149"/>
        <item x="57"/>
        <item x="122"/>
        <item x="48"/>
        <item x="60"/>
        <item x="50"/>
        <item x="130"/>
        <item x="127"/>
        <item x="28"/>
        <item x="5"/>
        <item x="56"/>
        <item x="11"/>
        <item x="150"/>
        <item x="123"/>
        <item x="70"/>
        <item x="61"/>
        <item x="94"/>
        <item x="26"/>
        <item x="40"/>
        <item x="29"/>
        <item x="96"/>
        <item x="133"/>
        <item x="71"/>
        <item x="95"/>
        <item x="36"/>
        <item x="104"/>
        <item x="156"/>
        <item x="27"/>
        <item x="41"/>
        <item x="147"/>
        <item x="117"/>
        <item x="135"/>
        <item x="32"/>
        <item x="97"/>
        <item x="134"/>
        <item x="37"/>
        <item x="38"/>
        <item x="18"/>
        <item x="105"/>
        <item x="68"/>
        <item x="93"/>
        <item x="81"/>
        <item x="148"/>
        <item x="64"/>
        <item x="131"/>
        <item x="136"/>
        <item x="137"/>
        <item x="33"/>
        <item x="87"/>
        <item x="34"/>
        <item x="16"/>
        <item x="39"/>
        <item x="19"/>
        <item x="110"/>
        <item x="108"/>
        <item x="79"/>
        <item x="44"/>
        <item x="69"/>
        <item x="82"/>
        <item x="65"/>
        <item x="132"/>
        <item x="66"/>
        <item x="138"/>
        <item x="88"/>
        <item x="85"/>
        <item x="35"/>
        <item x="17"/>
        <item x="51"/>
        <item x="109"/>
        <item x="72"/>
        <item x="80"/>
        <item x="111"/>
        <item x="45"/>
        <item x="124"/>
        <item x="67"/>
        <item x="86"/>
        <item x="53"/>
        <item x="89"/>
        <item x="115"/>
        <item x="20"/>
        <item x="52"/>
        <item x="73"/>
        <item x="112"/>
        <item x="118"/>
        <item x="125"/>
        <item x="120"/>
        <item x="91"/>
        <item x="144"/>
        <item x="54"/>
        <item x="90"/>
        <item x="116"/>
        <item x="21"/>
        <item x="58"/>
        <item x="154"/>
        <item x="12"/>
        <item x="119"/>
        <item x="42"/>
        <item x="121"/>
        <item x="92"/>
        <item x="145"/>
        <item x="141"/>
        <item x="6"/>
        <item x="155"/>
        <item x="59"/>
        <item x="153"/>
        <item x="13"/>
        <item x="43"/>
        <item x="62"/>
        <item x="159"/>
        <item x="7"/>
        <item x="22"/>
        <item x="2"/>
        <item x="157"/>
        <item x="63"/>
        <item x="23"/>
        <item x="3"/>
        <item x="158"/>
        <item t="default"/>
      </items>
    </pivotField>
    <pivotField numFmtId="164" showAll="0"/>
    <pivotField showAll="0"/>
  </pivotFields>
  <rowFields count="1">
    <field x="2"/>
  </rowFields>
  <rowItems count="6">
    <i>
      <x/>
    </i>
    <i>
      <x v="1"/>
    </i>
    <i>
      <x v="2"/>
    </i>
    <i>
      <x v="3"/>
    </i>
    <i>
      <x v="4"/>
    </i>
    <i t="grand">
      <x/>
    </i>
  </rowItems>
  <colItems count="1">
    <i/>
  </colItems>
  <dataFields count="1">
    <dataField name="Average of Tenure" fld="8" subtotal="average" baseField="0" baseItem="0" numFmtId="2"/>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D87B55-38EC-417E-8A5E-DF624AC1367A}" name="PivotTable6" cacheId="56"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chartFormat="10">
  <location ref="E7:F13" firstHeaderRow="1" firstDataRow="1" firstDataCol="1"/>
  <pivotFields count="3">
    <pivotField axis="axisRow" allDrilled="1" subtotalTop="0" showAll="0" defaultSubtotal="0" defaultAttributeDrillState="1">
      <items count="5">
        <item x="2"/>
        <item x="0"/>
        <item x="1"/>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Rating"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E7180BD0-E991-4F03-A050-788E0ECCCD2D}" autoFormatId="16" applyNumberFormats="0" applyBorderFormats="0" applyFontFormats="0" applyPatternFormats="0" applyAlignmentFormats="0" applyWidthHeightFormats="0">
  <queryTableRefresh nextId="12" unboundColumnsRight="3">
    <queryTableFields count="11">
      <queryTableField id="1" name="Name" tableColumnId="9"/>
      <queryTableField id="2" name="Gender" tableColumnId="2"/>
      <queryTableField id="3" name="Department" tableColumnId="3"/>
      <queryTableField id="4" name="Age" tableColumnId="4"/>
      <queryTableField id="5" name="Date Joined" tableColumnId="5"/>
      <queryTableField id="6" name="Salary" tableColumnId="6"/>
      <queryTableField id="7" name="Rating" tableColumnId="7"/>
      <queryTableField id="8" name="Country" tableColumnId="8"/>
      <queryTableField id="9" dataBound="0" tableColumnId="10"/>
      <queryTableField id="10" dataBound="0" tableColumnId="11"/>
      <queryTableField id="11"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F997A5F1-8978-49DA-B661-B5487C0B671F}" sourceName="[Staff].[Country]">
  <pivotTables>
    <pivotTable tabId="8" name="PivotTable6"/>
    <pivotTable tabId="9" name="PivotTable5"/>
    <pivotTable tabId="5" name="PivotTable1"/>
    <pivotTable tabId="7" name="PivotTable2"/>
  </pivotTables>
  <data>
    <olap pivotCacheId="1912748715">
      <levels count="2">
        <level uniqueName="[Staff].[Country].[(All)]" sourceCaption="(All)" count="0"/>
        <level uniqueName="[Staff].[Country].[Country]" sourceCaption="Country" count="2">
          <ranges>
            <range startItem="0">
              <i n="[Staff].[Country].&amp;[IND]" c="IND"/>
              <i n="[Staff].[Country].&amp;[NZ]" c="NZ"/>
            </range>
          </ranges>
        </level>
      </levels>
      <selections count="1">
        <selection n="[Staff].[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4CC7FEE-52D4-40E7-BF7C-094B7B695BD7}" cache="Slicer_Country1" caption="Count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EB67A2E5-3575-44A4-AECD-82CC1CC09CC6}" cache="Slicer_Country1" caption="Country"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573F50-C837-4D27-9913-4A16A883EBD5}" name="NZ_Staff" displayName="NZ_Staff" ref="C5:I105" totalsRowShown="0">
  <autoFilter ref="C5:I105" xr:uid="{6B573F50-C837-4D27-9913-4A16A883EBD5}"/>
  <tableColumns count="7">
    <tableColumn id="1" xr3:uid="{4CF50DE6-6AF5-4322-A7C3-B3850DF2FF04}" name="Name"/>
    <tableColumn id="2" xr3:uid="{57DB5CE9-1DE9-4181-A707-784C21C4A79E}" name="Gender"/>
    <tableColumn id="3" xr3:uid="{14F4A351-B7B6-4A43-9F2F-263CDA6C62A7}" name="Department"/>
    <tableColumn id="4" xr3:uid="{68B37AD8-64CA-4C0E-8F0F-E758131B46EA}" name="Age"/>
    <tableColumn id="5" xr3:uid="{E13D8180-1A86-4BAC-9EC3-020241D97143}" name="Date Joined"/>
    <tableColumn id="6" xr3:uid="{9C13080B-F8E7-4A0A-B79F-05D5A0A9B126}" name="Salary"/>
    <tableColumn id="7" xr3:uid="{FB4A18FD-765D-4A80-BCE6-885830E427FD}" name="Rating"/>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D92CE2-0ABA-47E8-8867-ABFD1F13C8DE}" name="India_Staff" displayName="India_Staff" ref="B2:H114" totalsRowShown="0">
  <autoFilter ref="B2:H114" xr:uid="{8BD92CE2-0ABA-47E8-8867-ABFD1F13C8DE}"/>
  <tableColumns count="7">
    <tableColumn id="1" xr3:uid="{2AE98246-60C2-4C6C-82F7-BD2BFC491C66}" name="Name"/>
    <tableColumn id="2" xr3:uid="{F5FC42F8-7276-4DE5-ADD7-B5A4A27D35C1}" name="Gender"/>
    <tableColumn id="3" xr3:uid="{17D633AB-56DE-41CD-BF05-5F640DD3F00F}" name="Age"/>
    <tableColumn id="4" xr3:uid="{DBEA3234-052F-40EB-8F03-7FA1EFCD998E}" name="Rating"/>
    <tableColumn id="5" xr3:uid="{510DBC9A-3B45-4057-BC23-E66398399AD6}" name="Date Joined" dataDxfId="28"/>
    <tableColumn id="6" xr3:uid="{CDF7E7F6-EE1B-4830-872C-8AD0CF28075E}" name="Department"/>
    <tableColumn id="7" xr3:uid="{8F64BA94-F4CD-4D04-8222-482B0450CD39}" name="Salary"/>
  </tableColumns>
  <tableStyleInfo name="TableStyleLight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8BF063-C9E8-4890-BB4F-27B1278B72E6}" name="Staff" displayName="Staff" ref="A1:K184" tableType="queryTable" totalsRowShown="0">
  <autoFilter ref="A1:K184" xr:uid="{3A8BF063-C9E8-4890-BB4F-27B1278B72E6}"/>
  <sortState xmlns:xlrd2="http://schemas.microsoft.com/office/spreadsheetml/2017/richdata2" ref="A2:K184">
    <sortCondition ref="F1:F184"/>
  </sortState>
  <tableColumns count="11">
    <tableColumn id="9" xr3:uid="{AC953141-66C0-45A7-9430-603E2668290E}" uniqueName="9" name="Name" queryTableFieldId="1" dataDxfId="27"/>
    <tableColumn id="2" xr3:uid="{F8FEF2E3-6B84-43F6-8DAB-8E9BEFDFE71F}" uniqueName="2" name="Gender" queryTableFieldId="2" dataDxfId="26"/>
    <tableColumn id="3" xr3:uid="{7D1CAA37-E4F6-4959-85BD-AD8964E19385}" uniqueName="3" name="Department" queryTableFieldId="3" dataDxfId="25"/>
    <tableColumn id="4" xr3:uid="{86D83A0E-982C-4428-A308-5F176A077322}" uniqueName="4" name="Age" queryTableFieldId="4"/>
    <tableColumn id="5" xr3:uid="{13AB8C80-66AE-46E4-804E-BEFB176486D4}" uniqueName="5" name="Date Joined" queryTableFieldId="5" dataDxfId="24"/>
    <tableColumn id="6" xr3:uid="{47315D91-9408-4812-9288-3775B776F9F7}" uniqueName="6" name="Salary" queryTableFieldId="6" dataDxfId="23"/>
    <tableColumn id="7" xr3:uid="{F35EF8B8-FCB7-4E7B-99BC-23A76C10B169}" uniqueName="7" name="Rating" queryTableFieldId="7" dataDxfId="22"/>
    <tableColumn id="8" xr3:uid="{62F0AF4C-FE5B-4655-8EFD-411641548489}" uniqueName="8" name="Country" queryTableFieldId="8" dataDxfId="21"/>
    <tableColumn id="10" xr3:uid="{F6B5BE0A-366A-462A-B66C-538ABE1F8008}" uniqueName="10" name="Tenure" queryTableFieldId="9" dataDxfId="20">
      <calculatedColumnFormula>(TODAY()-Staff[[#This Row],[Date Joined]])/365</calculatedColumnFormula>
    </tableColumn>
    <tableColumn id="11" xr3:uid="{CB188C58-E5F3-4915-B521-41D266920F7D}" uniqueName="11" name="Bonus" queryTableFieldId="10" dataDxfId="19">
      <calculatedColumnFormula>(IF(Staff[Tenure]&gt;=2,3%,2%))*Staff[[#This Row],[Salary]]</calculatedColumnFormula>
    </tableColumn>
    <tableColumn id="12" xr3:uid="{82C150EB-DE18-4983-B427-23ED295C2036}" uniqueName="12" name="Number Rating" queryTableFieldId="11" dataDxfId="18">
      <calculatedColumnFormula>VLOOKUP(Staff[[#This Row],[Rating]],'Rating Count'!$B$2:$C$6,2,FALSE)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sheetPr>
    <tabColor theme="4"/>
  </sheetPr>
  <dimension ref="A1:I105"/>
  <sheetViews>
    <sheetView showGridLines="0" topLeftCell="A84" zoomScaleNormal="100" workbookViewId="0">
      <selection activeCell="L100" sqref="L100"/>
    </sheetView>
  </sheetViews>
  <sheetFormatPr defaultRowHeight="15" x14ac:dyDescent="0.25"/>
  <cols>
    <col min="1" max="1" width="1.7109375" customWidth="1"/>
    <col min="2" max="2" width="3.7109375" customWidth="1"/>
    <col min="3" max="3" width="22.42578125" customWidth="1"/>
    <col min="4" max="4" width="10" bestFit="1" customWidth="1"/>
    <col min="5" max="5" width="14" bestFit="1" customWidth="1"/>
    <col min="6" max="6" width="6.7109375" bestFit="1" customWidth="1"/>
    <col min="7" max="7" width="13.7109375" bestFit="1" customWidth="1"/>
    <col min="8" max="8" width="8.5703125" bestFit="1" customWidth="1"/>
    <col min="9" max="9" width="14.28515625" bestFit="1" customWidth="1"/>
  </cols>
  <sheetData>
    <row r="1" spans="1:9" s="2" customFormat="1" ht="52.5" customHeight="1" x14ac:dyDescent="0.25">
      <c r="A1" s="1"/>
      <c r="C1" s="3" t="s">
        <v>110</v>
      </c>
    </row>
    <row r="5" spans="1:9" x14ac:dyDescent="0.25">
      <c r="C5" t="s">
        <v>0</v>
      </c>
      <c r="D5" t="s">
        <v>1</v>
      </c>
      <c r="E5" t="s">
        <v>2</v>
      </c>
      <c r="F5" t="s">
        <v>3</v>
      </c>
      <c r="G5" s="4" t="s">
        <v>4</v>
      </c>
      <c r="H5" t="s">
        <v>5</v>
      </c>
      <c r="I5" t="s">
        <v>6</v>
      </c>
    </row>
    <row r="6" spans="1:9" x14ac:dyDescent="0.25">
      <c r="C6" t="s">
        <v>58</v>
      </c>
      <c r="D6" t="s">
        <v>15</v>
      </c>
      <c r="E6" t="s">
        <v>19</v>
      </c>
      <c r="F6">
        <v>22</v>
      </c>
      <c r="G6" s="4">
        <v>44446</v>
      </c>
      <c r="H6">
        <v>112780</v>
      </c>
      <c r="I6" t="s">
        <v>13</v>
      </c>
    </row>
    <row r="7" spans="1:9" x14ac:dyDescent="0.25">
      <c r="C7" t="s">
        <v>70</v>
      </c>
      <c r="D7" t="s">
        <v>15</v>
      </c>
      <c r="E7" t="s">
        <v>9</v>
      </c>
      <c r="F7">
        <v>46</v>
      </c>
      <c r="G7" s="4">
        <v>44758</v>
      </c>
      <c r="H7">
        <v>70610</v>
      </c>
      <c r="I7" t="s">
        <v>16</v>
      </c>
    </row>
    <row r="8" spans="1:9" x14ac:dyDescent="0.25">
      <c r="C8" t="s">
        <v>75</v>
      </c>
      <c r="D8" t="s">
        <v>8</v>
      </c>
      <c r="E8" t="s">
        <v>19</v>
      </c>
      <c r="F8">
        <v>28</v>
      </c>
      <c r="G8" s="4">
        <v>44357</v>
      </c>
      <c r="H8">
        <v>53240</v>
      </c>
      <c r="I8" t="s">
        <v>16</v>
      </c>
    </row>
    <row r="9" spans="1:9" x14ac:dyDescent="0.25">
      <c r="C9" t="s">
        <v>49</v>
      </c>
      <c r="E9" t="s">
        <v>21</v>
      </c>
      <c r="F9">
        <v>37</v>
      </c>
      <c r="G9" s="4">
        <v>44146</v>
      </c>
      <c r="H9">
        <v>115440</v>
      </c>
      <c r="I9" t="s">
        <v>24</v>
      </c>
    </row>
    <row r="10" spans="1:9" x14ac:dyDescent="0.25">
      <c r="C10" t="s">
        <v>65</v>
      </c>
      <c r="D10" t="s">
        <v>15</v>
      </c>
      <c r="E10" t="s">
        <v>19</v>
      </c>
      <c r="F10">
        <v>32</v>
      </c>
      <c r="G10" s="4">
        <v>44465</v>
      </c>
      <c r="H10">
        <v>53540</v>
      </c>
      <c r="I10" t="s">
        <v>16</v>
      </c>
    </row>
    <row r="11" spans="1:9" x14ac:dyDescent="0.25">
      <c r="C11" t="s">
        <v>81</v>
      </c>
      <c r="D11" t="s">
        <v>8</v>
      </c>
      <c r="E11" t="s">
        <v>9</v>
      </c>
      <c r="F11">
        <v>30</v>
      </c>
      <c r="G11" s="4">
        <v>44861</v>
      </c>
      <c r="H11">
        <v>112570</v>
      </c>
      <c r="I11" t="s">
        <v>16</v>
      </c>
    </row>
    <row r="12" spans="1:9" x14ac:dyDescent="0.25">
      <c r="C12" t="s">
        <v>51</v>
      </c>
      <c r="D12" t="s">
        <v>15</v>
      </c>
      <c r="E12" t="s">
        <v>9</v>
      </c>
      <c r="F12">
        <v>33</v>
      </c>
      <c r="G12" s="4">
        <v>44701</v>
      </c>
      <c r="H12">
        <v>48530</v>
      </c>
      <c r="I12" t="s">
        <v>13</v>
      </c>
    </row>
    <row r="13" spans="1:9" x14ac:dyDescent="0.25">
      <c r="C13" t="s">
        <v>61</v>
      </c>
      <c r="D13" t="s">
        <v>8</v>
      </c>
      <c r="E13" t="s">
        <v>12</v>
      </c>
      <c r="F13">
        <v>24</v>
      </c>
      <c r="G13" s="4">
        <v>44148</v>
      </c>
      <c r="H13">
        <v>62780</v>
      </c>
      <c r="I13" t="s">
        <v>16</v>
      </c>
    </row>
    <row r="14" spans="1:9" x14ac:dyDescent="0.25">
      <c r="C14" t="s">
        <v>82</v>
      </c>
      <c r="D14" t="s">
        <v>15</v>
      </c>
      <c r="E14" t="s">
        <v>12</v>
      </c>
      <c r="F14">
        <v>33</v>
      </c>
      <c r="G14" s="4">
        <v>44509</v>
      </c>
      <c r="H14">
        <v>53870</v>
      </c>
      <c r="I14" t="s">
        <v>16</v>
      </c>
    </row>
    <row r="15" spans="1:9" x14ac:dyDescent="0.25">
      <c r="C15" t="s">
        <v>60</v>
      </c>
      <c r="D15" t="s">
        <v>8</v>
      </c>
      <c r="E15" t="s">
        <v>56</v>
      </c>
      <c r="F15">
        <v>27</v>
      </c>
      <c r="G15" s="4">
        <v>44122</v>
      </c>
      <c r="H15">
        <v>119110</v>
      </c>
      <c r="I15" t="s">
        <v>16</v>
      </c>
    </row>
    <row r="16" spans="1:9" x14ac:dyDescent="0.25">
      <c r="C16" t="s">
        <v>87</v>
      </c>
      <c r="D16" t="s">
        <v>15</v>
      </c>
      <c r="E16" t="s">
        <v>12</v>
      </c>
      <c r="F16">
        <v>29</v>
      </c>
      <c r="G16" s="4">
        <v>44180</v>
      </c>
      <c r="H16">
        <v>112110</v>
      </c>
      <c r="I16" t="s">
        <v>24</v>
      </c>
    </row>
    <row r="17" spans="3:9" x14ac:dyDescent="0.25">
      <c r="C17" t="s">
        <v>76</v>
      </c>
      <c r="D17" t="s">
        <v>15</v>
      </c>
      <c r="E17" t="s">
        <v>19</v>
      </c>
      <c r="F17">
        <v>25</v>
      </c>
      <c r="G17" s="4">
        <v>44383</v>
      </c>
      <c r="H17">
        <v>65700</v>
      </c>
      <c r="I17" t="s">
        <v>16</v>
      </c>
    </row>
    <row r="18" spans="3:9" x14ac:dyDescent="0.25">
      <c r="C18" t="s">
        <v>97</v>
      </c>
      <c r="D18" t="s">
        <v>15</v>
      </c>
      <c r="E18" t="s">
        <v>12</v>
      </c>
      <c r="F18">
        <v>37</v>
      </c>
      <c r="G18" s="4">
        <v>44701</v>
      </c>
      <c r="H18">
        <v>69070</v>
      </c>
      <c r="I18" t="s">
        <v>16</v>
      </c>
    </row>
    <row r="19" spans="3:9" x14ac:dyDescent="0.25">
      <c r="C19" t="s">
        <v>22</v>
      </c>
      <c r="D19" t="s">
        <v>15</v>
      </c>
      <c r="E19" t="s">
        <v>12</v>
      </c>
      <c r="F19">
        <v>20</v>
      </c>
      <c r="G19" s="4">
        <v>44459</v>
      </c>
      <c r="H19">
        <v>107700</v>
      </c>
      <c r="I19" t="s">
        <v>16</v>
      </c>
    </row>
    <row r="20" spans="3:9" x14ac:dyDescent="0.25">
      <c r="C20" t="s">
        <v>84</v>
      </c>
      <c r="D20" t="s">
        <v>8</v>
      </c>
      <c r="E20" t="s">
        <v>12</v>
      </c>
      <c r="F20">
        <v>32</v>
      </c>
      <c r="G20" s="4">
        <v>44354</v>
      </c>
      <c r="H20">
        <v>43840</v>
      </c>
      <c r="I20" t="s">
        <v>13</v>
      </c>
    </row>
    <row r="21" spans="3:9" x14ac:dyDescent="0.25">
      <c r="C21" t="s">
        <v>105</v>
      </c>
      <c r="D21" t="s">
        <v>15</v>
      </c>
      <c r="E21" t="s">
        <v>9</v>
      </c>
      <c r="F21">
        <v>40</v>
      </c>
      <c r="G21" s="4">
        <v>44263</v>
      </c>
      <c r="H21">
        <v>99750</v>
      </c>
      <c r="I21" t="s">
        <v>16</v>
      </c>
    </row>
    <row r="22" spans="3:9" x14ac:dyDescent="0.25">
      <c r="C22" t="s">
        <v>47</v>
      </c>
      <c r="D22" t="s">
        <v>15</v>
      </c>
      <c r="E22" t="s">
        <v>9</v>
      </c>
      <c r="F22">
        <v>21</v>
      </c>
      <c r="G22" s="4">
        <v>44104</v>
      </c>
      <c r="H22">
        <v>37920</v>
      </c>
      <c r="I22" t="s">
        <v>16</v>
      </c>
    </row>
    <row r="23" spans="3:9" x14ac:dyDescent="0.25">
      <c r="C23" t="s">
        <v>31</v>
      </c>
      <c r="D23" t="s">
        <v>15</v>
      </c>
      <c r="E23" t="s">
        <v>9</v>
      </c>
      <c r="F23">
        <v>21</v>
      </c>
      <c r="G23" s="4">
        <v>44762</v>
      </c>
      <c r="H23">
        <v>57090</v>
      </c>
      <c r="I23" t="s">
        <v>16</v>
      </c>
    </row>
    <row r="24" spans="3:9" x14ac:dyDescent="0.25">
      <c r="C24" t="s">
        <v>30</v>
      </c>
      <c r="D24" t="s">
        <v>8</v>
      </c>
      <c r="E24" t="s">
        <v>12</v>
      </c>
      <c r="F24">
        <v>31</v>
      </c>
      <c r="G24" s="4">
        <v>44145</v>
      </c>
      <c r="H24">
        <v>41980</v>
      </c>
      <c r="I24" t="s">
        <v>16</v>
      </c>
    </row>
    <row r="25" spans="3:9" x14ac:dyDescent="0.25">
      <c r="C25" t="s">
        <v>78</v>
      </c>
      <c r="D25" t="s">
        <v>15</v>
      </c>
      <c r="E25" t="s">
        <v>56</v>
      </c>
      <c r="F25">
        <v>21</v>
      </c>
      <c r="G25" s="4">
        <v>44242</v>
      </c>
      <c r="H25">
        <v>75880</v>
      </c>
      <c r="I25" t="s">
        <v>16</v>
      </c>
    </row>
    <row r="26" spans="3:9" x14ac:dyDescent="0.25">
      <c r="C26" t="s">
        <v>36</v>
      </c>
      <c r="D26" t="s">
        <v>8</v>
      </c>
      <c r="E26" t="s">
        <v>21</v>
      </c>
      <c r="F26">
        <v>34</v>
      </c>
      <c r="G26" s="4">
        <v>44653</v>
      </c>
      <c r="H26">
        <v>58940</v>
      </c>
      <c r="I26" t="s">
        <v>16</v>
      </c>
    </row>
    <row r="27" spans="3:9" x14ac:dyDescent="0.25">
      <c r="C27" t="s">
        <v>27</v>
      </c>
      <c r="D27" t="s">
        <v>8</v>
      </c>
      <c r="E27" t="s">
        <v>21</v>
      </c>
      <c r="F27">
        <v>30</v>
      </c>
      <c r="G27" s="4">
        <v>44389</v>
      </c>
      <c r="H27">
        <v>67910</v>
      </c>
      <c r="I27" t="s">
        <v>24</v>
      </c>
    </row>
    <row r="28" spans="3:9" x14ac:dyDescent="0.25">
      <c r="C28" t="s">
        <v>26</v>
      </c>
      <c r="D28" t="s">
        <v>8</v>
      </c>
      <c r="E28" t="s">
        <v>12</v>
      </c>
      <c r="F28">
        <v>31</v>
      </c>
      <c r="G28" s="4">
        <v>44663</v>
      </c>
      <c r="H28">
        <v>58100</v>
      </c>
      <c r="I28" t="s">
        <v>16</v>
      </c>
    </row>
    <row r="29" spans="3:9" x14ac:dyDescent="0.25">
      <c r="C29" t="s">
        <v>53</v>
      </c>
      <c r="D29" t="s">
        <v>15</v>
      </c>
      <c r="E29" t="s">
        <v>21</v>
      </c>
      <c r="F29">
        <v>27</v>
      </c>
      <c r="G29" s="4">
        <v>44567</v>
      </c>
      <c r="H29">
        <v>48980</v>
      </c>
      <c r="I29" t="s">
        <v>16</v>
      </c>
    </row>
    <row r="30" spans="3:9" x14ac:dyDescent="0.25">
      <c r="C30" t="s">
        <v>20</v>
      </c>
      <c r="E30" t="s">
        <v>21</v>
      </c>
      <c r="F30">
        <v>30</v>
      </c>
      <c r="G30" s="4">
        <v>44597</v>
      </c>
      <c r="H30">
        <v>64000</v>
      </c>
      <c r="I30" t="s">
        <v>16</v>
      </c>
    </row>
    <row r="31" spans="3:9" x14ac:dyDescent="0.25">
      <c r="C31" t="s">
        <v>7</v>
      </c>
      <c r="D31" t="s">
        <v>8</v>
      </c>
      <c r="E31" t="s">
        <v>9</v>
      </c>
      <c r="F31">
        <v>42</v>
      </c>
      <c r="G31" s="4">
        <v>44779</v>
      </c>
      <c r="H31">
        <v>75000</v>
      </c>
      <c r="I31" t="s">
        <v>10</v>
      </c>
    </row>
    <row r="32" spans="3:9" x14ac:dyDescent="0.25">
      <c r="C32" t="s">
        <v>74</v>
      </c>
      <c r="D32" t="s">
        <v>8</v>
      </c>
      <c r="E32" t="s">
        <v>12</v>
      </c>
      <c r="F32">
        <v>40</v>
      </c>
      <c r="G32" s="4">
        <v>44337</v>
      </c>
      <c r="H32">
        <v>87620</v>
      </c>
      <c r="I32" t="s">
        <v>16</v>
      </c>
    </row>
    <row r="33" spans="3:9" x14ac:dyDescent="0.25">
      <c r="C33" t="s">
        <v>44</v>
      </c>
      <c r="D33" t="s">
        <v>8</v>
      </c>
      <c r="E33" t="s">
        <v>12</v>
      </c>
      <c r="F33">
        <v>29</v>
      </c>
      <c r="G33" s="4">
        <v>44023</v>
      </c>
      <c r="H33">
        <v>34980</v>
      </c>
      <c r="I33" t="s">
        <v>16</v>
      </c>
    </row>
    <row r="34" spans="3:9" x14ac:dyDescent="0.25">
      <c r="C34" t="s">
        <v>35</v>
      </c>
      <c r="D34" t="s">
        <v>8</v>
      </c>
      <c r="E34" t="s">
        <v>21</v>
      </c>
      <c r="F34">
        <v>28</v>
      </c>
      <c r="G34" s="4">
        <v>44185</v>
      </c>
      <c r="H34">
        <v>75970</v>
      </c>
      <c r="I34" t="s">
        <v>16</v>
      </c>
    </row>
    <row r="35" spans="3:9" x14ac:dyDescent="0.25">
      <c r="C35" t="s">
        <v>38</v>
      </c>
      <c r="D35" t="s">
        <v>8</v>
      </c>
      <c r="E35" t="s">
        <v>21</v>
      </c>
      <c r="F35">
        <v>34</v>
      </c>
      <c r="G35" s="4">
        <v>44612</v>
      </c>
      <c r="H35">
        <v>60130</v>
      </c>
      <c r="I35" t="s">
        <v>16</v>
      </c>
    </row>
    <row r="36" spans="3:9" x14ac:dyDescent="0.25">
      <c r="C36" t="s">
        <v>41</v>
      </c>
      <c r="D36" t="s">
        <v>8</v>
      </c>
      <c r="E36" t="s">
        <v>12</v>
      </c>
      <c r="F36">
        <v>33</v>
      </c>
      <c r="G36" s="4">
        <v>44374</v>
      </c>
      <c r="H36">
        <v>75480</v>
      </c>
      <c r="I36" t="s">
        <v>42</v>
      </c>
    </row>
    <row r="37" spans="3:9" x14ac:dyDescent="0.25">
      <c r="C37" t="s">
        <v>40</v>
      </c>
      <c r="D37" t="s">
        <v>15</v>
      </c>
      <c r="E37" t="s">
        <v>9</v>
      </c>
      <c r="F37">
        <v>33</v>
      </c>
      <c r="G37" s="4">
        <v>44164</v>
      </c>
      <c r="H37">
        <v>115920</v>
      </c>
      <c r="I37" t="s">
        <v>16</v>
      </c>
    </row>
    <row r="38" spans="3:9" x14ac:dyDescent="0.25">
      <c r="C38" t="s">
        <v>48</v>
      </c>
      <c r="D38" t="s">
        <v>8</v>
      </c>
      <c r="E38" t="s">
        <v>19</v>
      </c>
      <c r="F38">
        <v>36</v>
      </c>
      <c r="G38" s="4">
        <v>44494</v>
      </c>
      <c r="H38">
        <v>78540</v>
      </c>
      <c r="I38" t="s">
        <v>16</v>
      </c>
    </row>
    <row r="39" spans="3:9" x14ac:dyDescent="0.25">
      <c r="C39" t="s">
        <v>34</v>
      </c>
      <c r="D39" t="s">
        <v>15</v>
      </c>
      <c r="E39" t="s">
        <v>9</v>
      </c>
      <c r="F39">
        <v>25</v>
      </c>
      <c r="G39" s="4">
        <v>44726</v>
      </c>
      <c r="H39">
        <v>109190</v>
      </c>
      <c r="I39" t="s">
        <v>13</v>
      </c>
    </row>
    <row r="40" spans="3:9" x14ac:dyDescent="0.25">
      <c r="C40" t="s">
        <v>73</v>
      </c>
      <c r="D40" t="s">
        <v>8</v>
      </c>
      <c r="E40" t="s">
        <v>19</v>
      </c>
      <c r="F40">
        <v>34</v>
      </c>
      <c r="G40" s="4">
        <v>44721</v>
      </c>
      <c r="H40">
        <v>49630</v>
      </c>
      <c r="I40" t="s">
        <v>24</v>
      </c>
    </row>
    <row r="41" spans="3:9" x14ac:dyDescent="0.25">
      <c r="C41" t="s">
        <v>107</v>
      </c>
      <c r="D41" t="s">
        <v>8</v>
      </c>
      <c r="E41" t="s">
        <v>9</v>
      </c>
      <c r="F41">
        <v>28</v>
      </c>
      <c r="G41" s="4">
        <v>44630</v>
      </c>
      <c r="H41">
        <v>99970</v>
      </c>
      <c r="I41" t="s">
        <v>16</v>
      </c>
    </row>
    <row r="42" spans="3:9" x14ac:dyDescent="0.25">
      <c r="C42" t="s">
        <v>71</v>
      </c>
      <c r="D42" t="s">
        <v>8</v>
      </c>
      <c r="E42" t="s">
        <v>12</v>
      </c>
      <c r="F42">
        <v>33</v>
      </c>
      <c r="G42" s="4">
        <v>44190</v>
      </c>
      <c r="H42">
        <v>96140</v>
      </c>
      <c r="I42" t="s">
        <v>16</v>
      </c>
    </row>
    <row r="43" spans="3:9" x14ac:dyDescent="0.25">
      <c r="C43" t="s">
        <v>50</v>
      </c>
      <c r="D43" t="s">
        <v>15</v>
      </c>
      <c r="E43" t="s">
        <v>9</v>
      </c>
      <c r="F43">
        <v>31</v>
      </c>
      <c r="G43" s="4">
        <v>44724</v>
      </c>
      <c r="H43">
        <v>103550</v>
      </c>
      <c r="I43" t="s">
        <v>16</v>
      </c>
    </row>
    <row r="44" spans="3:9" x14ac:dyDescent="0.25">
      <c r="C44" t="s">
        <v>14</v>
      </c>
      <c r="D44" t="s">
        <v>15</v>
      </c>
      <c r="E44" t="s">
        <v>12</v>
      </c>
      <c r="F44">
        <v>31</v>
      </c>
      <c r="G44" s="4">
        <v>44511</v>
      </c>
      <c r="H44">
        <v>48950</v>
      </c>
      <c r="I44" t="s">
        <v>16</v>
      </c>
    </row>
    <row r="45" spans="3:9" x14ac:dyDescent="0.25">
      <c r="C45" t="s">
        <v>63</v>
      </c>
      <c r="D45" t="s">
        <v>15</v>
      </c>
      <c r="E45" t="s">
        <v>21</v>
      </c>
      <c r="F45">
        <v>24</v>
      </c>
      <c r="G45" s="4">
        <v>44436</v>
      </c>
      <c r="H45">
        <v>52610</v>
      </c>
      <c r="I45" t="s">
        <v>24</v>
      </c>
    </row>
    <row r="46" spans="3:9" x14ac:dyDescent="0.25">
      <c r="C46" t="s">
        <v>72</v>
      </c>
      <c r="D46" t="s">
        <v>8</v>
      </c>
      <c r="E46" t="s">
        <v>9</v>
      </c>
      <c r="F46">
        <v>36</v>
      </c>
      <c r="G46" s="4">
        <v>44529</v>
      </c>
      <c r="H46">
        <v>78390</v>
      </c>
      <c r="I46" t="s">
        <v>16</v>
      </c>
    </row>
    <row r="47" spans="3:9" x14ac:dyDescent="0.25">
      <c r="C47" t="s">
        <v>88</v>
      </c>
      <c r="D47" t="s">
        <v>8</v>
      </c>
      <c r="E47" t="s">
        <v>21</v>
      </c>
      <c r="F47">
        <v>33</v>
      </c>
      <c r="G47" s="4">
        <v>44809</v>
      </c>
      <c r="H47">
        <v>86570</v>
      </c>
      <c r="I47" t="s">
        <v>16</v>
      </c>
    </row>
    <row r="48" spans="3:9" x14ac:dyDescent="0.25">
      <c r="C48" t="s">
        <v>92</v>
      </c>
      <c r="D48" t="s">
        <v>8</v>
      </c>
      <c r="E48" t="s">
        <v>12</v>
      </c>
      <c r="F48">
        <v>27</v>
      </c>
      <c r="G48" s="4">
        <v>44686</v>
      </c>
      <c r="H48">
        <v>83750</v>
      </c>
      <c r="I48" t="s">
        <v>16</v>
      </c>
    </row>
    <row r="49" spans="3:9" x14ac:dyDescent="0.25">
      <c r="C49" t="s">
        <v>102</v>
      </c>
      <c r="D49" t="s">
        <v>8</v>
      </c>
      <c r="E49" t="s">
        <v>21</v>
      </c>
      <c r="F49">
        <v>34</v>
      </c>
      <c r="G49" s="4">
        <v>44445</v>
      </c>
      <c r="H49">
        <v>92450</v>
      </c>
      <c r="I49" t="s">
        <v>16</v>
      </c>
    </row>
    <row r="50" spans="3:9" x14ac:dyDescent="0.25">
      <c r="C50" t="s">
        <v>64</v>
      </c>
      <c r="D50" t="s">
        <v>15</v>
      </c>
      <c r="E50" t="s">
        <v>12</v>
      </c>
      <c r="F50">
        <v>20</v>
      </c>
      <c r="G50" s="4">
        <v>44183</v>
      </c>
      <c r="H50">
        <v>112650</v>
      </c>
      <c r="I50" t="s">
        <v>16</v>
      </c>
    </row>
    <row r="51" spans="3:9" x14ac:dyDescent="0.25">
      <c r="C51" t="s">
        <v>104</v>
      </c>
      <c r="D51" t="s">
        <v>15</v>
      </c>
      <c r="E51" t="s">
        <v>9</v>
      </c>
      <c r="F51">
        <v>20</v>
      </c>
      <c r="G51" s="4">
        <v>44744</v>
      </c>
      <c r="H51">
        <v>79570</v>
      </c>
      <c r="I51" t="s">
        <v>16</v>
      </c>
    </row>
    <row r="52" spans="3:9" x14ac:dyDescent="0.25">
      <c r="C52" t="s">
        <v>91</v>
      </c>
      <c r="D52" t="s">
        <v>8</v>
      </c>
      <c r="E52" t="s">
        <v>19</v>
      </c>
      <c r="F52">
        <v>20</v>
      </c>
      <c r="G52" s="4">
        <v>44537</v>
      </c>
      <c r="H52">
        <v>68900</v>
      </c>
      <c r="I52" t="s">
        <v>24</v>
      </c>
    </row>
    <row r="53" spans="3:9" x14ac:dyDescent="0.25">
      <c r="C53" t="s">
        <v>39</v>
      </c>
      <c r="D53" t="s">
        <v>8</v>
      </c>
      <c r="E53" t="s">
        <v>12</v>
      </c>
      <c r="F53">
        <v>25</v>
      </c>
      <c r="G53" s="4">
        <v>44694</v>
      </c>
      <c r="H53">
        <v>80700</v>
      </c>
      <c r="I53" t="s">
        <v>13</v>
      </c>
    </row>
    <row r="54" spans="3:9" x14ac:dyDescent="0.25">
      <c r="C54" t="s">
        <v>100</v>
      </c>
      <c r="D54" t="s">
        <v>15</v>
      </c>
      <c r="E54" t="s">
        <v>9</v>
      </c>
      <c r="F54">
        <v>19</v>
      </c>
      <c r="G54" s="4">
        <v>44277</v>
      </c>
      <c r="H54">
        <v>58960</v>
      </c>
      <c r="I54" t="s">
        <v>16</v>
      </c>
    </row>
    <row r="55" spans="3:9" x14ac:dyDescent="0.25">
      <c r="C55" t="s">
        <v>106</v>
      </c>
      <c r="D55" t="s">
        <v>15</v>
      </c>
      <c r="E55" t="s">
        <v>12</v>
      </c>
      <c r="F55">
        <v>36</v>
      </c>
      <c r="G55" s="4">
        <v>44019</v>
      </c>
      <c r="H55">
        <v>118840</v>
      </c>
      <c r="I55" t="s">
        <v>16</v>
      </c>
    </row>
    <row r="56" spans="3:9" x14ac:dyDescent="0.25">
      <c r="C56" t="s">
        <v>29</v>
      </c>
      <c r="D56" t="s">
        <v>15</v>
      </c>
      <c r="E56" t="s">
        <v>21</v>
      </c>
      <c r="F56">
        <v>28</v>
      </c>
      <c r="G56" s="4">
        <v>44041</v>
      </c>
      <c r="H56">
        <v>48170</v>
      </c>
      <c r="I56" t="s">
        <v>13</v>
      </c>
    </row>
    <row r="57" spans="3:9" x14ac:dyDescent="0.25">
      <c r="C57" t="s">
        <v>108</v>
      </c>
      <c r="D57" t="s">
        <v>8</v>
      </c>
      <c r="E57" t="s">
        <v>56</v>
      </c>
      <c r="F57">
        <v>32</v>
      </c>
      <c r="G57" s="4">
        <v>44400</v>
      </c>
      <c r="H57">
        <v>45510</v>
      </c>
      <c r="I57" t="s">
        <v>16</v>
      </c>
    </row>
    <row r="58" spans="3:9" x14ac:dyDescent="0.25">
      <c r="C58" t="s">
        <v>64</v>
      </c>
      <c r="D58" t="s">
        <v>15</v>
      </c>
      <c r="E58" t="s">
        <v>9</v>
      </c>
      <c r="F58">
        <v>34</v>
      </c>
      <c r="G58" s="4">
        <v>44703</v>
      </c>
      <c r="H58">
        <v>112650</v>
      </c>
      <c r="I58" t="s">
        <v>16</v>
      </c>
    </row>
    <row r="59" spans="3:9" x14ac:dyDescent="0.25">
      <c r="C59" t="s">
        <v>83</v>
      </c>
      <c r="D59" t="s">
        <v>8</v>
      </c>
      <c r="E59" t="s">
        <v>9</v>
      </c>
      <c r="F59">
        <v>36</v>
      </c>
      <c r="G59" s="4">
        <v>44085</v>
      </c>
      <c r="H59">
        <v>114890</v>
      </c>
      <c r="I59" t="s">
        <v>16</v>
      </c>
    </row>
    <row r="60" spans="3:9" x14ac:dyDescent="0.25">
      <c r="C60" t="s">
        <v>67</v>
      </c>
      <c r="D60" t="s">
        <v>15</v>
      </c>
      <c r="E60" t="s">
        <v>12</v>
      </c>
      <c r="F60">
        <v>30</v>
      </c>
      <c r="G60" s="4">
        <v>44850</v>
      </c>
      <c r="H60">
        <v>69710</v>
      </c>
      <c r="I60" t="s">
        <v>16</v>
      </c>
    </row>
    <row r="61" spans="3:9" x14ac:dyDescent="0.25">
      <c r="C61" t="s">
        <v>94</v>
      </c>
      <c r="D61" t="s">
        <v>15</v>
      </c>
      <c r="E61" t="s">
        <v>21</v>
      </c>
      <c r="F61">
        <v>36</v>
      </c>
      <c r="G61" s="4">
        <v>44333</v>
      </c>
      <c r="H61">
        <v>71380</v>
      </c>
      <c r="I61" t="s">
        <v>16</v>
      </c>
    </row>
    <row r="62" spans="3:9" x14ac:dyDescent="0.25">
      <c r="C62" t="s">
        <v>33</v>
      </c>
      <c r="D62" t="s">
        <v>8</v>
      </c>
      <c r="E62" t="s">
        <v>19</v>
      </c>
      <c r="F62">
        <v>38</v>
      </c>
      <c r="G62" s="4">
        <v>44377</v>
      </c>
      <c r="H62">
        <v>109160</v>
      </c>
      <c r="I62" t="s">
        <v>10</v>
      </c>
    </row>
    <row r="63" spans="3:9" x14ac:dyDescent="0.25">
      <c r="C63" t="s">
        <v>98</v>
      </c>
      <c r="D63" t="s">
        <v>15</v>
      </c>
      <c r="E63" t="s">
        <v>9</v>
      </c>
      <c r="F63">
        <v>27</v>
      </c>
      <c r="G63" s="4">
        <v>44609</v>
      </c>
      <c r="H63">
        <v>113280</v>
      </c>
      <c r="I63" t="s">
        <v>42</v>
      </c>
    </row>
    <row r="64" spans="3:9" x14ac:dyDescent="0.25">
      <c r="C64" t="s">
        <v>25</v>
      </c>
      <c r="D64" t="s">
        <v>15</v>
      </c>
      <c r="E64" t="s">
        <v>12</v>
      </c>
      <c r="F64">
        <v>30</v>
      </c>
      <c r="G64" s="4">
        <v>44273</v>
      </c>
      <c r="H64">
        <v>69120</v>
      </c>
      <c r="I64" t="s">
        <v>16</v>
      </c>
    </row>
    <row r="65" spans="3:9" x14ac:dyDescent="0.25">
      <c r="C65" t="s">
        <v>55</v>
      </c>
      <c r="D65" t="s">
        <v>8</v>
      </c>
      <c r="E65" t="s">
        <v>56</v>
      </c>
      <c r="F65">
        <v>37</v>
      </c>
      <c r="G65" s="4">
        <v>44451</v>
      </c>
      <c r="H65">
        <v>118100</v>
      </c>
      <c r="I65" t="s">
        <v>16</v>
      </c>
    </row>
    <row r="66" spans="3:9" x14ac:dyDescent="0.25">
      <c r="C66" t="s">
        <v>62</v>
      </c>
      <c r="D66" t="s">
        <v>8</v>
      </c>
      <c r="E66" t="s">
        <v>9</v>
      </c>
      <c r="F66">
        <v>22</v>
      </c>
      <c r="G66" s="4">
        <v>44450</v>
      </c>
      <c r="H66">
        <v>76900</v>
      </c>
      <c r="I66" t="s">
        <v>13</v>
      </c>
    </row>
    <row r="67" spans="3:9" x14ac:dyDescent="0.25">
      <c r="C67" t="s">
        <v>17</v>
      </c>
      <c r="D67" t="s">
        <v>8</v>
      </c>
      <c r="E67" t="s">
        <v>12</v>
      </c>
      <c r="F67">
        <v>43</v>
      </c>
      <c r="G67" s="4">
        <v>45045</v>
      </c>
      <c r="H67">
        <v>114870</v>
      </c>
      <c r="I67" t="s">
        <v>16</v>
      </c>
    </row>
    <row r="68" spans="3:9" x14ac:dyDescent="0.25">
      <c r="C68" t="s">
        <v>52</v>
      </c>
      <c r="E68" t="s">
        <v>12</v>
      </c>
      <c r="F68">
        <v>32</v>
      </c>
      <c r="G68" s="4">
        <v>44774</v>
      </c>
      <c r="H68">
        <v>91310</v>
      </c>
      <c r="I68" t="s">
        <v>16</v>
      </c>
    </row>
    <row r="69" spans="3:9" x14ac:dyDescent="0.25">
      <c r="C69" t="s">
        <v>43</v>
      </c>
      <c r="D69" t="s">
        <v>8</v>
      </c>
      <c r="E69" t="s">
        <v>9</v>
      </c>
      <c r="F69">
        <v>28</v>
      </c>
      <c r="G69" s="4">
        <v>44486</v>
      </c>
      <c r="H69">
        <v>104770</v>
      </c>
      <c r="I69" t="s">
        <v>16</v>
      </c>
    </row>
    <row r="70" spans="3:9" x14ac:dyDescent="0.25">
      <c r="C70" t="s">
        <v>89</v>
      </c>
      <c r="D70" t="s">
        <v>15</v>
      </c>
      <c r="E70" t="s">
        <v>19</v>
      </c>
      <c r="F70">
        <v>27</v>
      </c>
      <c r="G70" s="4">
        <v>44134</v>
      </c>
      <c r="H70">
        <v>54970</v>
      </c>
      <c r="I70" t="s">
        <v>16</v>
      </c>
    </row>
    <row r="71" spans="3:9" x14ac:dyDescent="0.25">
      <c r="C71" t="s">
        <v>11</v>
      </c>
      <c r="E71" t="s">
        <v>12</v>
      </c>
      <c r="F71">
        <v>26</v>
      </c>
      <c r="G71" s="4">
        <v>44271</v>
      </c>
      <c r="H71">
        <v>90700</v>
      </c>
      <c r="I71" t="s">
        <v>13</v>
      </c>
    </row>
    <row r="72" spans="3:9" x14ac:dyDescent="0.25">
      <c r="C72" t="s">
        <v>109</v>
      </c>
      <c r="D72" t="s">
        <v>8</v>
      </c>
      <c r="E72" t="s">
        <v>19</v>
      </c>
      <c r="F72">
        <v>38</v>
      </c>
      <c r="G72" s="4">
        <v>44329</v>
      </c>
      <c r="H72">
        <v>56870</v>
      </c>
      <c r="I72" t="s">
        <v>13</v>
      </c>
    </row>
    <row r="73" spans="3:9" x14ac:dyDescent="0.25">
      <c r="C73" t="s">
        <v>77</v>
      </c>
      <c r="D73" t="s">
        <v>8</v>
      </c>
      <c r="E73" t="s">
        <v>19</v>
      </c>
      <c r="F73">
        <v>25</v>
      </c>
      <c r="G73" s="4">
        <v>44205</v>
      </c>
      <c r="H73">
        <v>92700</v>
      </c>
      <c r="I73" t="s">
        <v>16</v>
      </c>
    </row>
    <row r="74" spans="3:9" x14ac:dyDescent="0.25">
      <c r="C74" t="s">
        <v>32</v>
      </c>
      <c r="D74" t="s">
        <v>8</v>
      </c>
      <c r="E74" t="s">
        <v>21</v>
      </c>
      <c r="F74">
        <v>21</v>
      </c>
      <c r="G74" s="4">
        <v>44317</v>
      </c>
      <c r="H74">
        <v>65920</v>
      </c>
      <c r="I74" t="s">
        <v>16</v>
      </c>
    </row>
    <row r="75" spans="3:9" x14ac:dyDescent="0.25">
      <c r="C75" t="s">
        <v>59</v>
      </c>
      <c r="D75" t="s">
        <v>15</v>
      </c>
      <c r="E75" t="s">
        <v>9</v>
      </c>
      <c r="F75">
        <v>26</v>
      </c>
      <c r="G75" s="4">
        <v>44225</v>
      </c>
      <c r="H75">
        <v>47360</v>
      </c>
      <c r="I75" t="s">
        <v>16</v>
      </c>
    </row>
    <row r="76" spans="3:9" x14ac:dyDescent="0.25">
      <c r="C76" t="s">
        <v>37</v>
      </c>
      <c r="D76" t="s">
        <v>15</v>
      </c>
      <c r="E76" t="s">
        <v>9</v>
      </c>
      <c r="F76">
        <v>30</v>
      </c>
      <c r="G76" s="4">
        <v>44666</v>
      </c>
      <c r="H76">
        <v>60570</v>
      </c>
      <c r="I76" t="s">
        <v>16</v>
      </c>
    </row>
    <row r="77" spans="3:9" x14ac:dyDescent="0.25">
      <c r="C77" t="s">
        <v>96</v>
      </c>
      <c r="D77" t="s">
        <v>8</v>
      </c>
      <c r="E77" t="s">
        <v>9</v>
      </c>
      <c r="F77">
        <v>28</v>
      </c>
      <c r="G77" s="4">
        <v>44649</v>
      </c>
      <c r="H77">
        <v>104120</v>
      </c>
      <c r="I77" t="s">
        <v>16</v>
      </c>
    </row>
    <row r="78" spans="3:9" x14ac:dyDescent="0.25">
      <c r="C78" t="s">
        <v>23</v>
      </c>
      <c r="D78" t="s">
        <v>15</v>
      </c>
      <c r="E78" t="s">
        <v>12</v>
      </c>
      <c r="F78">
        <v>37</v>
      </c>
      <c r="G78" s="4">
        <v>44338</v>
      </c>
      <c r="H78">
        <v>88050</v>
      </c>
      <c r="I78" t="s">
        <v>24</v>
      </c>
    </row>
    <row r="79" spans="3:9" x14ac:dyDescent="0.25">
      <c r="C79" t="s">
        <v>103</v>
      </c>
      <c r="D79" t="s">
        <v>15</v>
      </c>
      <c r="E79" t="s">
        <v>12</v>
      </c>
      <c r="F79">
        <v>24</v>
      </c>
      <c r="G79" s="4">
        <v>44686</v>
      </c>
      <c r="H79">
        <v>100420</v>
      </c>
      <c r="I79" t="s">
        <v>16</v>
      </c>
    </row>
    <row r="80" spans="3:9" x14ac:dyDescent="0.25">
      <c r="C80" t="s">
        <v>54</v>
      </c>
      <c r="D80" t="s">
        <v>8</v>
      </c>
      <c r="E80" t="s">
        <v>9</v>
      </c>
      <c r="F80">
        <v>30</v>
      </c>
      <c r="G80" s="4">
        <v>44850</v>
      </c>
      <c r="H80">
        <v>114180</v>
      </c>
      <c r="I80" t="s">
        <v>16</v>
      </c>
    </row>
    <row r="81" spans="3:9" x14ac:dyDescent="0.25">
      <c r="C81" t="s">
        <v>86</v>
      </c>
      <c r="D81" t="s">
        <v>8</v>
      </c>
      <c r="E81" t="s">
        <v>12</v>
      </c>
      <c r="F81">
        <v>21</v>
      </c>
      <c r="G81" s="4">
        <v>44678</v>
      </c>
      <c r="H81">
        <v>33920</v>
      </c>
      <c r="I81" t="s">
        <v>16</v>
      </c>
    </row>
    <row r="82" spans="3:9" x14ac:dyDescent="0.25">
      <c r="C82" t="s">
        <v>69</v>
      </c>
      <c r="D82" t="s">
        <v>15</v>
      </c>
      <c r="E82" t="s">
        <v>9</v>
      </c>
      <c r="F82">
        <v>23</v>
      </c>
      <c r="G82" s="4">
        <v>44440</v>
      </c>
      <c r="H82">
        <v>106460</v>
      </c>
      <c r="I82" t="s">
        <v>16</v>
      </c>
    </row>
    <row r="83" spans="3:9" x14ac:dyDescent="0.25">
      <c r="C83" t="s">
        <v>57</v>
      </c>
      <c r="D83" t="s">
        <v>15</v>
      </c>
      <c r="E83" t="s">
        <v>9</v>
      </c>
      <c r="F83">
        <v>35</v>
      </c>
      <c r="G83" s="4">
        <v>44727</v>
      </c>
      <c r="H83">
        <v>40400</v>
      </c>
      <c r="I83" t="s">
        <v>16</v>
      </c>
    </row>
    <row r="84" spans="3:9" x14ac:dyDescent="0.25">
      <c r="C84" t="s">
        <v>68</v>
      </c>
      <c r="D84" t="s">
        <v>15</v>
      </c>
      <c r="E84" t="s">
        <v>21</v>
      </c>
      <c r="F84">
        <v>27</v>
      </c>
      <c r="G84" s="4">
        <v>44236</v>
      </c>
      <c r="H84">
        <v>91650</v>
      </c>
      <c r="I84" t="s">
        <v>13</v>
      </c>
    </row>
    <row r="85" spans="3:9" x14ac:dyDescent="0.25">
      <c r="C85" t="s">
        <v>99</v>
      </c>
      <c r="D85" t="s">
        <v>15</v>
      </c>
      <c r="E85" t="s">
        <v>19</v>
      </c>
      <c r="F85">
        <v>43</v>
      </c>
      <c r="G85" s="4">
        <v>44620</v>
      </c>
      <c r="H85">
        <v>36040</v>
      </c>
      <c r="I85" t="s">
        <v>16</v>
      </c>
    </row>
    <row r="86" spans="3:9" x14ac:dyDescent="0.25">
      <c r="C86" t="s">
        <v>101</v>
      </c>
      <c r="D86" t="s">
        <v>8</v>
      </c>
      <c r="E86" t="s">
        <v>12</v>
      </c>
      <c r="F86">
        <v>40</v>
      </c>
      <c r="G86" s="4">
        <v>44381</v>
      </c>
      <c r="H86">
        <v>104410</v>
      </c>
      <c r="I86" t="s">
        <v>16</v>
      </c>
    </row>
    <row r="87" spans="3:9" x14ac:dyDescent="0.25">
      <c r="C87" t="s">
        <v>85</v>
      </c>
      <c r="D87" t="s">
        <v>15</v>
      </c>
      <c r="E87" t="s">
        <v>21</v>
      </c>
      <c r="F87">
        <v>30</v>
      </c>
      <c r="G87" s="4">
        <v>44606</v>
      </c>
      <c r="H87">
        <v>96800</v>
      </c>
      <c r="I87" t="s">
        <v>16</v>
      </c>
    </row>
    <row r="88" spans="3:9" x14ac:dyDescent="0.25">
      <c r="C88" t="s">
        <v>28</v>
      </c>
      <c r="D88" t="s">
        <v>8</v>
      </c>
      <c r="E88" t="s">
        <v>21</v>
      </c>
      <c r="F88">
        <v>34</v>
      </c>
      <c r="G88" s="4">
        <v>44459</v>
      </c>
      <c r="H88">
        <v>85000</v>
      </c>
      <c r="I88" t="s">
        <v>16</v>
      </c>
    </row>
    <row r="89" spans="3:9" x14ac:dyDescent="0.25">
      <c r="C89" t="s">
        <v>80</v>
      </c>
      <c r="D89" t="s">
        <v>15</v>
      </c>
      <c r="E89" t="s">
        <v>19</v>
      </c>
      <c r="F89">
        <v>28</v>
      </c>
      <c r="G89" s="4">
        <v>44820</v>
      </c>
      <c r="H89">
        <v>43510</v>
      </c>
      <c r="I89" t="s">
        <v>42</v>
      </c>
    </row>
    <row r="90" spans="3:9" x14ac:dyDescent="0.25">
      <c r="C90" t="s">
        <v>79</v>
      </c>
      <c r="D90" t="s">
        <v>15</v>
      </c>
      <c r="E90" t="s">
        <v>21</v>
      </c>
      <c r="F90">
        <v>33</v>
      </c>
      <c r="G90" s="4">
        <v>44243</v>
      </c>
      <c r="H90">
        <v>59430</v>
      </c>
      <c r="I90" t="s">
        <v>16</v>
      </c>
    </row>
    <row r="91" spans="3:9" x14ac:dyDescent="0.25">
      <c r="C91" t="s">
        <v>93</v>
      </c>
      <c r="D91" t="s">
        <v>8</v>
      </c>
      <c r="E91" t="s">
        <v>21</v>
      </c>
      <c r="F91">
        <v>33</v>
      </c>
      <c r="G91" s="4">
        <v>44067</v>
      </c>
      <c r="H91">
        <v>65360</v>
      </c>
      <c r="I91" t="s">
        <v>16</v>
      </c>
    </row>
    <row r="92" spans="3:9" x14ac:dyDescent="0.25">
      <c r="C92" t="s">
        <v>66</v>
      </c>
      <c r="D92" t="s">
        <v>8</v>
      </c>
      <c r="E92" t="s">
        <v>9</v>
      </c>
      <c r="F92">
        <v>32</v>
      </c>
      <c r="G92" s="4">
        <v>44611</v>
      </c>
      <c r="H92">
        <v>41570</v>
      </c>
      <c r="I92" t="s">
        <v>16</v>
      </c>
    </row>
    <row r="93" spans="3:9" x14ac:dyDescent="0.25">
      <c r="C93" t="s">
        <v>95</v>
      </c>
      <c r="D93" t="s">
        <v>8</v>
      </c>
      <c r="E93" t="s">
        <v>12</v>
      </c>
      <c r="F93">
        <v>33</v>
      </c>
      <c r="G93" s="4">
        <v>44312</v>
      </c>
      <c r="H93">
        <v>75280</v>
      </c>
      <c r="I93" t="s">
        <v>16</v>
      </c>
    </row>
    <row r="94" spans="3:9" x14ac:dyDescent="0.25">
      <c r="C94" t="s">
        <v>18</v>
      </c>
      <c r="D94" t="s">
        <v>15</v>
      </c>
      <c r="E94" t="s">
        <v>19</v>
      </c>
      <c r="F94">
        <v>33</v>
      </c>
      <c r="G94" s="4">
        <v>44385</v>
      </c>
      <c r="H94">
        <v>74550</v>
      </c>
      <c r="I94" t="s">
        <v>16</v>
      </c>
    </row>
    <row r="95" spans="3:9" x14ac:dyDescent="0.25">
      <c r="C95" t="s">
        <v>45</v>
      </c>
      <c r="D95" t="s">
        <v>15</v>
      </c>
      <c r="E95" t="s">
        <v>9</v>
      </c>
      <c r="F95">
        <v>30</v>
      </c>
      <c r="G95" s="4">
        <v>44701</v>
      </c>
      <c r="H95">
        <v>67950</v>
      </c>
      <c r="I95" t="s">
        <v>16</v>
      </c>
    </row>
    <row r="96" spans="3:9" x14ac:dyDescent="0.25">
      <c r="C96" t="s">
        <v>90</v>
      </c>
      <c r="D96" t="s">
        <v>15</v>
      </c>
      <c r="E96" t="s">
        <v>21</v>
      </c>
      <c r="F96">
        <v>42</v>
      </c>
      <c r="G96" s="4">
        <v>44731</v>
      </c>
      <c r="H96">
        <v>70270</v>
      </c>
      <c r="I96" t="s">
        <v>24</v>
      </c>
    </row>
    <row r="97" spans="3:9" x14ac:dyDescent="0.25">
      <c r="C97" t="s">
        <v>46</v>
      </c>
      <c r="D97" t="s">
        <v>15</v>
      </c>
      <c r="E97" t="s">
        <v>9</v>
      </c>
      <c r="F97">
        <v>26</v>
      </c>
      <c r="G97" s="4">
        <v>44411</v>
      </c>
      <c r="H97">
        <v>53540</v>
      </c>
      <c r="I97" t="s">
        <v>16</v>
      </c>
    </row>
    <row r="98" spans="3:9" x14ac:dyDescent="0.25">
      <c r="C98" t="s">
        <v>58</v>
      </c>
      <c r="D98" t="s">
        <v>15</v>
      </c>
      <c r="E98" t="s">
        <v>19</v>
      </c>
      <c r="F98">
        <v>22</v>
      </c>
      <c r="G98" s="4">
        <v>44446</v>
      </c>
      <c r="H98">
        <v>112780</v>
      </c>
      <c r="I98" t="s">
        <v>13</v>
      </c>
    </row>
    <row r="99" spans="3:9" x14ac:dyDescent="0.25">
      <c r="C99" t="s">
        <v>70</v>
      </c>
      <c r="D99" t="s">
        <v>15</v>
      </c>
      <c r="E99" t="s">
        <v>9</v>
      </c>
      <c r="F99">
        <v>46</v>
      </c>
      <c r="G99" s="4">
        <v>44758</v>
      </c>
      <c r="H99">
        <v>70610</v>
      </c>
      <c r="I99" t="s">
        <v>16</v>
      </c>
    </row>
    <row r="100" spans="3:9" x14ac:dyDescent="0.25">
      <c r="C100" t="s">
        <v>75</v>
      </c>
      <c r="D100" t="s">
        <v>8</v>
      </c>
      <c r="E100" t="s">
        <v>19</v>
      </c>
      <c r="F100">
        <v>28</v>
      </c>
      <c r="G100" s="4">
        <v>44357</v>
      </c>
      <c r="H100">
        <v>53240</v>
      </c>
      <c r="I100" t="s">
        <v>16</v>
      </c>
    </row>
    <row r="101" spans="3:9" x14ac:dyDescent="0.25">
      <c r="C101" t="s">
        <v>49</v>
      </c>
      <c r="E101" t="s">
        <v>21</v>
      </c>
      <c r="F101">
        <v>37</v>
      </c>
      <c r="G101" s="4">
        <v>44146</v>
      </c>
      <c r="H101">
        <v>115440</v>
      </c>
      <c r="I101" t="s">
        <v>24</v>
      </c>
    </row>
    <row r="102" spans="3:9" x14ac:dyDescent="0.25">
      <c r="C102" t="s">
        <v>65</v>
      </c>
      <c r="D102" t="s">
        <v>15</v>
      </c>
      <c r="E102" t="s">
        <v>19</v>
      </c>
      <c r="F102">
        <v>32</v>
      </c>
      <c r="G102" s="4">
        <v>44465</v>
      </c>
      <c r="H102">
        <v>53540</v>
      </c>
      <c r="I102" t="s">
        <v>16</v>
      </c>
    </row>
    <row r="103" spans="3:9" x14ac:dyDescent="0.25">
      <c r="C103" t="s">
        <v>81</v>
      </c>
      <c r="D103" t="s">
        <v>8</v>
      </c>
      <c r="E103" t="s">
        <v>9</v>
      </c>
      <c r="F103">
        <v>30</v>
      </c>
      <c r="G103" s="4">
        <v>44861</v>
      </c>
      <c r="H103">
        <v>112570</v>
      </c>
      <c r="I103" t="s">
        <v>16</v>
      </c>
    </row>
    <row r="104" spans="3:9" x14ac:dyDescent="0.25">
      <c r="C104" t="s">
        <v>51</v>
      </c>
      <c r="D104" t="s">
        <v>15</v>
      </c>
      <c r="E104" t="s">
        <v>9</v>
      </c>
      <c r="F104">
        <v>33</v>
      </c>
      <c r="G104" s="4">
        <v>44701</v>
      </c>
      <c r="H104">
        <v>48530</v>
      </c>
      <c r="I104" t="s">
        <v>13</v>
      </c>
    </row>
    <row r="105" spans="3:9" x14ac:dyDescent="0.25">
      <c r="C105" t="s">
        <v>61</v>
      </c>
      <c r="D105" t="s">
        <v>8</v>
      </c>
      <c r="E105" t="s">
        <v>12</v>
      </c>
      <c r="F105">
        <v>24</v>
      </c>
      <c r="G105" s="4">
        <v>44148</v>
      </c>
      <c r="H105">
        <v>62780</v>
      </c>
      <c r="I105" t="s">
        <v>16</v>
      </c>
    </row>
  </sheetData>
  <conditionalFormatting sqref="C6:C105">
    <cfRule type="duplicateValues" dxfId="33" priority="3"/>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AF923-49AC-4014-9446-63ABCAE7D0CE}">
  <sheetPr>
    <tabColor rgb="FF7030A0"/>
  </sheetPr>
  <dimension ref="B2:F13"/>
  <sheetViews>
    <sheetView workbookViewId="0">
      <selection activeCell="M13" sqref="M13"/>
    </sheetView>
  </sheetViews>
  <sheetFormatPr defaultRowHeight="15" x14ac:dyDescent="0.25"/>
  <cols>
    <col min="2" max="2" width="14.42578125" customWidth="1"/>
    <col min="3" max="3" width="6.42578125" customWidth="1"/>
    <col min="5" max="5" width="14.28515625" bestFit="1" customWidth="1"/>
    <col min="6" max="6" width="14.7109375" bestFit="1" customWidth="1"/>
    <col min="7" max="7" width="5.42578125" customWidth="1"/>
  </cols>
  <sheetData>
    <row r="2" spans="2:6" x14ac:dyDescent="0.25">
      <c r="B2" s="14" t="s">
        <v>10</v>
      </c>
      <c r="C2" s="13">
        <v>5</v>
      </c>
    </row>
    <row r="3" spans="2:6" x14ac:dyDescent="0.25">
      <c r="B3" s="14" t="s">
        <v>13</v>
      </c>
      <c r="C3" s="13">
        <v>4</v>
      </c>
    </row>
    <row r="4" spans="2:6" x14ac:dyDescent="0.25">
      <c r="B4" s="14" t="s">
        <v>16</v>
      </c>
      <c r="C4" s="13">
        <v>3</v>
      </c>
    </row>
    <row r="5" spans="2:6" x14ac:dyDescent="0.25">
      <c r="B5" s="14" t="s">
        <v>24</v>
      </c>
      <c r="C5" s="13">
        <v>2</v>
      </c>
    </row>
    <row r="6" spans="2:6" x14ac:dyDescent="0.25">
      <c r="B6" s="14" t="s">
        <v>42</v>
      </c>
      <c r="C6" s="13">
        <v>1</v>
      </c>
    </row>
    <row r="7" spans="2:6" x14ac:dyDescent="0.25">
      <c r="E7" s="27" t="s">
        <v>243</v>
      </c>
      <c r="F7" t="s">
        <v>260</v>
      </c>
    </row>
    <row r="8" spans="2:6" x14ac:dyDescent="0.25">
      <c r="E8" s="28" t="s">
        <v>10</v>
      </c>
      <c r="F8" s="7">
        <v>4</v>
      </c>
    </row>
    <row r="9" spans="2:6" x14ac:dyDescent="0.25">
      <c r="E9" s="28" t="s">
        <v>13</v>
      </c>
      <c r="F9" s="7">
        <v>20</v>
      </c>
    </row>
    <row r="10" spans="2:6" x14ac:dyDescent="0.25">
      <c r="E10" s="28" t="s">
        <v>16</v>
      </c>
      <c r="F10" s="7">
        <v>137</v>
      </c>
    </row>
    <row r="11" spans="2:6" x14ac:dyDescent="0.25">
      <c r="E11" s="28" t="s">
        <v>24</v>
      </c>
      <c r="F11" s="7">
        <v>16</v>
      </c>
    </row>
    <row r="12" spans="2:6" x14ac:dyDescent="0.25">
      <c r="E12" s="28" t="s">
        <v>42</v>
      </c>
      <c r="F12" s="7">
        <v>6</v>
      </c>
    </row>
    <row r="13" spans="2:6" x14ac:dyDescent="0.25">
      <c r="E13" s="28" t="s">
        <v>241</v>
      </c>
      <c r="F13" s="7">
        <v>183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C4-DDE2-4CB7-AC70-5AB590F93835}">
  <sheetPr>
    <tabColor theme="5"/>
  </sheetPr>
  <dimension ref="B2:H114"/>
  <sheetViews>
    <sheetView workbookViewId="0">
      <selection activeCell="K11" sqref="K11"/>
    </sheetView>
  </sheetViews>
  <sheetFormatPr defaultRowHeight="15" x14ac:dyDescent="0.25"/>
  <cols>
    <col min="2" max="2" width="30" bestFit="1" customWidth="1"/>
    <col min="3" max="3" width="10" bestFit="1" customWidth="1"/>
    <col min="4" max="4" width="6.7109375" bestFit="1" customWidth="1"/>
    <col min="5" max="5" width="14.28515625" bestFit="1" customWidth="1"/>
    <col min="6" max="6" width="13.7109375" bestFit="1" customWidth="1"/>
    <col min="7" max="7" width="14" bestFit="1" customWidth="1"/>
    <col min="8" max="8" width="8.5703125" bestFit="1" customWidth="1"/>
  </cols>
  <sheetData>
    <row r="2" spans="2:8" x14ac:dyDescent="0.25">
      <c r="B2" t="s">
        <v>0</v>
      </c>
      <c r="C2" t="s">
        <v>1</v>
      </c>
      <c r="D2" t="s">
        <v>3</v>
      </c>
      <c r="E2" t="s">
        <v>6</v>
      </c>
      <c r="F2" t="s">
        <v>4</v>
      </c>
      <c r="G2" t="s">
        <v>2</v>
      </c>
      <c r="H2" t="s">
        <v>5</v>
      </c>
    </row>
    <row r="3" spans="2:8" x14ac:dyDescent="0.25">
      <c r="B3" t="s">
        <v>156</v>
      </c>
      <c r="C3" t="s">
        <v>15</v>
      </c>
      <c r="D3">
        <v>20</v>
      </c>
      <c r="E3" t="s">
        <v>16</v>
      </c>
      <c r="F3" s="4">
        <v>44122</v>
      </c>
      <c r="G3" t="s">
        <v>12</v>
      </c>
      <c r="H3">
        <v>112650</v>
      </c>
    </row>
    <row r="4" spans="2:8" x14ac:dyDescent="0.25">
      <c r="B4" t="s">
        <v>176</v>
      </c>
      <c r="C4" t="s">
        <v>8</v>
      </c>
      <c r="D4">
        <v>32</v>
      </c>
      <c r="E4" t="s">
        <v>13</v>
      </c>
      <c r="F4" s="4">
        <v>44293</v>
      </c>
      <c r="G4" t="s">
        <v>12</v>
      </c>
      <c r="H4">
        <v>43840</v>
      </c>
    </row>
    <row r="5" spans="2:8" x14ac:dyDescent="0.25">
      <c r="B5" t="s">
        <v>143</v>
      </c>
      <c r="C5" t="s">
        <v>15</v>
      </c>
      <c r="D5">
        <v>31</v>
      </c>
      <c r="E5" t="s">
        <v>16</v>
      </c>
      <c r="F5" s="4">
        <v>44663</v>
      </c>
      <c r="G5" t="s">
        <v>9</v>
      </c>
      <c r="H5">
        <v>103550</v>
      </c>
    </row>
    <row r="6" spans="2:8" x14ac:dyDescent="0.25">
      <c r="B6" t="s">
        <v>201</v>
      </c>
      <c r="C6" t="s">
        <v>8</v>
      </c>
      <c r="D6">
        <v>32</v>
      </c>
      <c r="E6" t="s">
        <v>16</v>
      </c>
      <c r="F6" s="4">
        <v>44339</v>
      </c>
      <c r="G6" t="s">
        <v>56</v>
      </c>
      <c r="H6">
        <v>45510</v>
      </c>
    </row>
    <row r="7" spans="2:8" x14ac:dyDescent="0.25">
      <c r="B7" t="s">
        <v>142</v>
      </c>
      <c r="D7">
        <v>37</v>
      </c>
      <c r="E7" t="s">
        <v>24</v>
      </c>
      <c r="F7" s="4">
        <v>44085</v>
      </c>
      <c r="G7" t="s">
        <v>21</v>
      </c>
      <c r="H7">
        <v>115440</v>
      </c>
    </row>
    <row r="8" spans="2:8" x14ac:dyDescent="0.25">
      <c r="B8" t="s">
        <v>202</v>
      </c>
      <c r="C8" t="s">
        <v>8</v>
      </c>
      <c r="D8">
        <v>38</v>
      </c>
      <c r="E8" t="s">
        <v>13</v>
      </c>
      <c r="F8" s="4">
        <v>44268</v>
      </c>
      <c r="G8" t="s">
        <v>19</v>
      </c>
      <c r="H8">
        <v>56870</v>
      </c>
    </row>
    <row r="9" spans="2:8" x14ac:dyDescent="0.25">
      <c r="B9" t="s">
        <v>169</v>
      </c>
      <c r="C9" t="s">
        <v>8</v>
      </c>
      <c r="D9">
        <v>25</v>
      </c>
      <c r="E9" t="s">
        <v>16</v>
      </c>
      <c r="F9" s="4">
        <v>44144</v>
      </c>
      <c r="G9" t="s">
        <v>19</v>
      </c>
      <c r="H9">
        <v>92700</v>
      </c>
    </row>
    <row r="10" spans="2:8" x14ac:dyDescent="0.25">
      <c r="B10" t="s">
        <v>145</v>
      </c>
      <c r="D10">
        <v>32</v>
      </c>
      <c r="E10" t="s">
        <v>16</v>
      </c>
      <c r="F10" s="4">
        <v>44713</v>
      </c>
      <c r="G10" t="s">
        <v>12</v>
      </c>
      <c r="H10">
        <v>91310</v>
      </c>
    </row>
    <row r="11" spans="2:8" x14ac:dyDescent="0.25">
      <c r="B11" t="s">
        <v>115</v>
      </c>
      <c r="C11" t="s">
        <v>15</v>
      </c>
      <c r="D11">
        <v>33</v>
      </c>
      <c r="E11" t="s">
        <v>16</v>
      </c>
      <c r="F11" s="4">
        <v>44324</v>
      </c>
      <c r="G11" t="s">
        <v>19</v>
      </c>
      <c r="H11">
        <v>74550</v>
      </c>
    </row>
    <row r="12" spans="2:8" x14ac:dyDescent="0.25">
      <c r="B12" t="s">
        <v>128</v>
      </c>
      <c r="C12" t="s">
        <v>15</v>
      </c>
      <c r="D12">
        <v>25</v>
      </c>
      <c r="E12" t="s">
        <v>13</v>
      </c>
      <c r="F12" s="4">
        <v>44665</v>
      </c>
      <c r="G12" t="s">
        <v>9</v>
      </c>
      <c r="H12">
        <v>109190</v>
      </c>
    </row>
    <row r="13" spans="2:8" x14ac:dyDescent="0.25">
      <c r="B13" t="s">
        <v>194</v>
      </c>
      <c r="C13" t="s">
        <v>8</v>
      </c>
      <c r="D13">
        <v>40</v>
      </c>
      <c r="E13" t="s">
        <v>16</v>
      </c>
      <c r="F13" s="4">
        <v>44320</v>
      </c>
      <c r="G13" t="s">
        <v>12</v>
      </c>
      <c r="H13">
        <v>104410</v>
      </c>
    </row>
    <row r="14" spans="2:8" x14ac:dyDescent="0.25">
      <c r="B14" t="s">
        <v>177</v>
      </c>
      <c r="C14" t="s">
        <v>15</v>
      </c>
      <c r="D14">
        <v>30</v>
      </c>
      <c r="E14" t="s">
        <v>16</v>
      </c>
      <c r="F14" s="4">
        <v>44544</v>
      </c>
      <c r="G14" t="s">
        <v>21</v>
      </c>
      <c r="H14">
        <v>96800</v>
      </c>
    </row>
    <row r="15" spans="2:8" x14ac:dyDescent="0.25">
      <c r="B15" t="s">
        <v>123</v>
      </c>
      <c r="C15" t="s">
        <v>15</v>
      </c>
      <c r="D15">
        <v>28</v>
      </c>
      <c r="E15" t="s">
        <v>13</v>
      </c>
      <c r="F15" s="4">
        <v>43980</v>
      </c>
      <c r="G15" t="s">
        <v>21</v>
      </c>
      <c r="H15">
        <v>48170</v>
      </c>
    </row>
    <row r="16" spans="2:8" x14ac:dyDescent="0.25">
      <c r="B16" t="s">
        <v>140</v>
      </c>
      <c r="C16" t="s">
        <v>15</v>
      </c>
      <c r="D16">
        <v>21</v>
      </c>
      <c r="E16" t="s">
        <v>16</v>
      </c>
      <c r="F16" s="4">
        <v>44042</v>
      </c>
      <c r="G16" t="s">
        <v>9</v>
      </c>
      <c r="H16">
        <v>37920</v>
      </c>
    </row>
    <row r="17" spans="2:8" x14ac:dyDescent="0.25">
      <c r="B17" t="s">
        <v>178</v>
      </c>
      <c r="C17" t="s">
        <v>15</v>
      </c>
      <c r="D17">
        <v>34</v>
      </c>
      <c r="E17" t="s">
        <v>16</v>
      </c>
      <c r="F17" s="4">
        <v>44642</v>
      </c>
      <c r="G17" t="s">
        <v>9</v>
      </c>
      <c r="H17">
        <v>112650</v>
      </c>
    </row>
    <row r="18" spans="2:8" x14ac:dyDescent="0.25">
      <c r="B18" t="s">
        <v>165</v>
      </c>
      <c r="C18" t="s">
        <v>8</v>
      </c>
      <c r="D18">
        <v>34</v>
      </c>
      <c r="E18" t="s">
        <v>24</v>
      </c>
      <c r="F18" s="4">
        <v>44660</v>
      </c>
      <c r="G18" t="s">
        <v>19</v>
      </c>
      <c r="H18">
        <v>49630</v>
      </c>
    </row>
    <row r="19" spans="2:8" x14ac:dyDescent="0.25">
      <c r="B19" t="s">
        <v>199</v>
      </c>
      <c r="C19" t="s">
        <v>15</v>
      </c>
      <c r="D19">
        <v>36</v>
      </c>
      <c r="E19" t="s">
        <v>16</v>
      </c>
      <c r="F19" s="4">
        <v>43958</v>
      </c>
      <c r="G19" t="s">
        <v>12</v>
      </c>
      <c r="H19">
        <v>118840</v>
      </c>
    </row>
    <row r="20" spans="2:8" x14ac:dyDescent="0.25">
      <c r="B20" t="s">
        <v>159</v>
      </c>
      <c r="C20" t="s">
        <v>15</v>
      </c>
      <c r="D20">
        <v>30</v>
      </c>
      <c r="E20" t="s">
        <v>16</v>
      </c>
      <c r="F20" s="4">
        <v>44789</v>
      </c>
      <c r="G20" t="s">
        <v>12</v>
      </c>
      <c r="H20">
        <v>69710</v>
      </c>
    </row>
    <row r="21" spans="2:8" x14ac:dyDescent="0.25">
      <c r="B21" t="s">
        <v>197</v>
      </c>
      <c r="C21" t="s">
        <v>15</v>
      </c>
      <c r="D21">
        <v>20</v>
      </c>
      <c r="E21" t="s">
        <v>16</v>
      </c>
      <c r="F21" s="4">
        <v>44683</v>
      </c>
      <c r="G21" t="s">
        <v>9</v>
      </c>
      <c r="H21">
        <v>79570</v>
      </c>
    </row>
    <row r="22" spans="2:8" x14ac:dyDescent="0.25">
      <c r="B22" t="s">
        <v>154</v>
      </c>
      <c r="C22" t="s">
        <v>8</v>
      </c>
      <c r="D22">
        <v>22</v>
      </c>
      <c r="E22" t="s">
        <v>13</v>
      </c>
      <c r="F22" s="4">
        <v>44388</v>
      </c>
      <c r="G22" t="s">
        <v>9</v>
      </c>
      <c r="H22">
        <v>76900</v>
      </c>
    </row>
    <row r="23" spans="2:8" x14ac:dyDescent="0.25">
      <c r="B23" t="s">
        <v>182</v>
      </c>
      <c r="C23" t="s">
        <v>15</v>
      </c>
      <c r="D23">
        <v>27</v>
      </c>
      <c r="E23" t="s">
        <v>16</v>
      </c>
      <c r="F23" s="4">
        <v>44073</v>
      </c>
      <c r="G23" t="s">
        <v>19</v>
      </c>
      <c r="H23">
        <v>54970</v>
      </c>
    </row>
    <row r="24" spans="2:8" x14ac:dyDescent="0.25">
      <c r="B24" t="s">
        <v>118</v>
      </c>
      <c r="C24" t="s">
        <v>15</v>
      </c>
      <c r="D24">
        <v>37</v>
      </c>
      <c r="E24" t="s">
        <v>24</v>
      </c>
      <c r="F24" s="4">
        <v>44277</v>
      </c>
      <c r="G24" t="s">
        <v>12</v>
      </c>
      <c r="H24">
        <v>88050</v>
      </c>
    </row>
    <row r="25" spans="2:8" x14ac:dyDescent="0.25">
      <c r="B25" t="s">
        <v>192</v>
      </c>
      <c r="C25" t="s">
        <v>15</v>
      </c>
      <c r="D25">
        <v>43</v>
      </c>
      <c r="E25" t="s">
        <v>16</v>
      </c>
      <c r="F25" s="4">
        <v>44558</v>
      </c>
      <c r="G25" t="s">
        <v>19</v>
      </c>
      <c r="H25">
        <v>36040</v>
      </c>
    </row>
    <row r="26" spans="2:8" x14ac:dyDescent="0.25">
      <c r="B26" t="s">
        <v>111</v>
      </c>
      <c r="C26" t="s">
        <v>8</v>
      </c>
      <c r="D26">
        <v>42</v>
      </c>
      <c r="E26" t="s">
        <v>10</v>
      </c>
      <c r="F26" s="4">
        <v>44718</v>
      </c>
      <c r="G26" t="s">
        <v>9</v>
      </c>
      <c r="H26">
        <v>75000</v>
      </c>
    </row>
    <row r="27" spans="2:8" x14ac:dyDescent="0.25">
      <c r="B27" t="s">
        <v>149</v>
      </c>
      <c r="C27" t="s">
        <v>15</v>
      </c>
      <c r="D27">
        <v>35</v>
      </c>
      <c r="E27" t="s">
        <v>16</v>
      </c>
      <c r="F27" s="4">
        <v>44666</v>
      </c>
      <c r="G27" t="s">
        <v>9</v>
      </c>
      <c r="H27">
        <v>40400</v>
      </c>
    </row>
    <row r="28" spans="2:8" x14ac:dyDescent="0.25">
      <c r="B28" t="s">
        <v>196</v>
      </c>
      <c r="C28" t="s">
        <v>15</v>
      </c>
      <c r="D28">
        <v>24</v>
      </c>
      <c r="E28" t="s">
        <v>16</v>
      </c>
      <c r="F28" s="4">
        <v>44625</v>
      </c>
      <c r="G28" t="s">
        <v>12</v>
      </c>
      <c r="H28">
        <v>100420</v>
      </c>
    </row>
    <row r="29" spans="2:8" x14ac:dyDescent="0.25">
      <c r="B29" t="s">
        <v>120</v>
      </c>
      <c r="C29" t="s">
        <v>8</v>
      </c>
      <c r="D29">
        <v>31</v>
      </c>
      <c r="E29" t="s">
        <v>16</v>
      </c>
      <c r="F29" s="4">
        <v>44604</v>
      </c>
      <c r="G29" t="s">
        <v>12</v>
      </c>
      <c r="H29">
        <v>58100</v>
      </c>
    </row>
    <row r="30" spans="2:8" x14ac:dyDescent="0.25">
      <c r="B30" t="s">
        <v>114</v>
      </c>
      <c r="C30" t="s">
        <v>8</v>
      </c>
      <c r="D30">
        <v>44</v>
      </c>
      <c r="E30" t="s">
        <v>16</v>
      </c>
      <c r="F30" s="4">
        <v>44985</v>
      </c>
      <c r="G30" t="s">
        <v>12</v>
      </c>
      <c r="H30">
        <v>114870</v>
      </c>
    </row>
    <row r="31" spans="2:8" x14ac:dyDescent="0.25">
      <c r="B31" t="s">
        <v>158</v>
      </c>
      <c r="C31" t="s">
        <v>8</v>
      </c>
      <c r="D31">
        <v>32</v>
      </c>
      <c r="E31" t="s">
        <v>16</v>
      </c>
      <c r="F31" s="4">
        <v>44549</v>
      </c>
      <c r="G31" t="s">
        <v>9</v>
      </c>
      <c r="H31">
        <v>41570</v>
      </c>
    </row>
    <row r="32" spans="2:8" x14ac:dyDescent="0.25">
      <c r="B32" t="s">
        <v>173</v>
      </c>
      <c r="C32" t="s">
        <v>8</v>
      </c>
      <c r="D32">
        <v>30</v>
      </c>
      <c r="E32" t="s">
        <v>16</v>
      </c>
      <c r="F32" s="4">
        <v>44800</v>
      </c>
      <c r="G32" t="s">
        <v>9</v>
      </c>
      <c r="H32">
        <v>112570</v>
      </c>
    </row>
    <row r="33" spans="2:8" x14ac:dyDescent="0.25">
      <c r="B33" t="s">
        <v>151</v>
      </c>
      <c r="C33" t="s">
        <v>15</v>
      </c>
      <c r="D33">
        <v>26</v>
      </c>
      <c r="E33" t="s">
        <v>16</v>
      </c>
      <c r="F33" s="4">
        <v>44164</v>
      </c>
      <c r="G33" t="s">
        <v>9</v>
      </c>
      <c r="H33">
        <v>47360</v>
      </c>
    </row>
    <row r="34" spans="2:8" x14ac:dyDescent="0.25">
      <c r="B34" t="s">
        <v>126</v>
      </c>
      <c r="C34" t="s">
        <v>8</v>
      </c>
      <c r="D34">
        <v>21</v>
      </c>
      <c r="E34" t="s">
        <v>16</v>
      </c>
      <c r="F34" s="4">
        <v>44256</v>
      </c>
      <c r="G34" t="s">
        <v>21</v>
      </c>
      <c r="H34">
        <v>65920</v>
      </c>
    </row>
    <row r="35" spans="2:8" x14ac:dyDescent="0.25">
      <c r="B35" t="s">
        <v>200</v>
      </c>
      <c r="C35" t="s">
        <v>8</v>
      </c>
      <c r="D35">
        <v>28</v>
      </c>
      <c r="E35" t="s">
        <v>16</v>
      </c>
      <c r="F35" s="4">
        <v>44571</v>
      </c>
      <c r="G35" t="s">
        <v>9</v>
      </c>
      <c r="H35">
        <v>99970</v>
      </c>
    </row>
    <row r="36" spans="2:8" x14ac:dyDescent="0.25">
      <c r="B36" t="s">
        <v>133</v>
      </c>
      <c r="C36" t="s">
        <v>8</v>
      </c>
      <c r="D36">
        <v>25</v>
      </c>
      <c r="E36" t="s">
        <v>13</v>
      </c>
      <c r="F36" s="4">
        <v>44633</v>
      </c>
      <c r="G36" t="s">
        <v>12</v>
      </c>
      <c r="H36">
        <v>80700</v>
      </c>
    </row>
    <row r="37" spans="2:8" x14ac:dyDescent="0.25">
      <c r="B37" t="s">
        <v>155</v>
      </c>
      <c r="C37" t="s">
        <v>15</v>
      </c>
      <c r="D37">
        <v>24</v>
      </c>
      <c r="E37" t="s">
        <v>24</v>
      </c>
      <c r="F37" s="4">
        <v>44375</v>
      </c>
      <c r="G37" t="s">
        <v>21</v>
      </c>
      <c r="H37">
        <v>52610</v>
      </c>
    </row>
    <row r="38" spans="2:8" x14ac:dyDescent="0.25">
      <c r="B38" t="s">
        <v>180</v>
      </c>
      <c r="C38" t="s">
        <v>15</v>
      </c>
      <c r="D38">
        <v>29</v>
      </c>
      <c r="E38" t="s">
        <v>24</v>
      </c>
      <c r="F38" s="4">
        <v>44119</v>
      </c>
      <c r="G38" t="s">
        <v>12</v>
      </c>
      <c r="H38">
        <v>112110</v>
      </c>
    </row>
    <row r="39" spans="2:8" x14ac:dyDescent="0.25">
      <c r="B39" t="s">
        <v>152</v>
      </c>
      <c r="C39" t="s">
        <v>8</v>
      </c>
      <c r="D39">
        <v>27</v>
      </c>
      <c r="E39" t="s">
        <v>16</v>
      </c>
      <c r="F39" s="4">
        <v>44061</v>
      </c>
      <c r="G39" t="s">
        <v>56</v>
      </c>
      <c r="H39">
        <v>119110</v>
      </c>
    </row>
    <row r="40" spans="2:8" x14ac:dyDescent="0.25">
      <c r="B40" t="s">
        <v>150</v>
      </c>
      <c r="C40" t="s">
        <v>15</v>
      </c>
      <c r="D40">
        <v>22</v>
      </c>
      <c r="E40" t="s">
        <v>13</v>
      </c>
      <c r="F40" s="4">
        <v>44384</v>
      </c>
      <c r="G40" t="s">
        <v>19</v>
      </c>
      <c r="H40">
        <v>112780</v>
      </c>
    </row>
    <row r="41" spans="2:8" x14ac:dyDescent="0.25">
      <c r="B41" t="s">
        <v>175</v>
      </c>
      <c r="C41" t="s">
        <v>8</v>
      </c>
      <c r="D41">
        <v>36</v>
      </c>
      <c r="E41" t="s">
        <v>16</v>
      </c>
      <c r="F41" s="4">
        <v>44023</v>
      </c>
      <c r="G41" t="s">
        <v>9</v>
      </c>
      <c r="H41">
        <v>114890</v>
      </c>
    </row>
    <row r="42" spans="2:8" x14ac:dyDescent="0.25">
      <c r="B42" t="s">
        <v>146</v>
      </c>
      <c r="C42" t="s">
        <v>15</v>
      </c>
      <c r="D42">
        <v>27</v>
      </c>
      <c r="E42" t="s">
        <v>16</v>
      </c>
      <c r="F42" s="4">
        <v>44506</v>
      </c>
      <c r="G42" t="s">
        <v>21</v>
      </c>
      <c r="H42">
        <v>48980</v>
      </c>
    </row>
    <row r="43" spans="2:8" x14ac:dyDescent="0.25">
      <c r="B43" t="s">
        <v>170</v>
      </c>
      <c r="C43" t="s">
        <v>15</v>
      </c>
      <c r="D43">
        <v>21</v>
      </c>
      <c r="E43" t="s">
        <v>16</v>
      </c>
      <c r="F43" s="4">
        <v>44180</v>
      </c>
      <c r="G43" t="s">
        <v>56</v>
      </c>
      <c r="H43">
        <v>75880</v>
      </c>
    </row>
    <row r="44" spans="2:8" x14ac:dyDescent="0.25">
      <c r="B44" t="s">
        <v>167</v>
      </c>
      <c r="C44" t="s">
        <v>8</v>
      </c>
      <c r="D44">
        <v>28</v>
      </c>
      <c r="E44" t="s">
        <v>16</v>
      </c>
      <c r="F44" s="4">
        <v>44296</v>
      </c>
      <c r="G44" t="s">
        <v>19</v>
      </c>
      <c r="H44">
        <v>53240</v>
      </c>
    </row>
    <row r="45" spans="2:8" x14ac:dyDescent="0.25">
      <c r="B45" t="s">
        <v>122</v>
      </c>
      <c r="C45" t="s">
        <v>8</v>
      </c>
      <c r="D45">
        <v>34</v>
      </c>
      <c r="E45" t="s">
        <v>16</v>
      </c>
      <c r="F45" s="4">
        <v>44397</v>
      </c>
      <c r="G45" t="s">
        <v>21</v>
      </c>
      <c r="H45">
        <v>85000</v>
      </c>
    </row>
    <row r="46" spans="2:8" x14ac:dyDescent="0.25">
      <c r="B46" t="s">
        <v>179</v>
      </c>
      <c r="C46" t="s">
        <v>8</v>
      </c>
      <c r="D46">
        <v>21</v>
      </c>
      <c r="E46" t="s">
        <v>16</v>
      </c>
      <c r="F46" s="4">
        <v>44619</v>
      </c>
      <c r="G46" t="s">
        <v>12</v>
      </c>
      <c r="H46">
        <v>33920</v>
      </c>
    </row>
    <row r="47" spans="2:8" x14ac:dyDescent="0.25">
      <c r="B47" t="s">
        <v>188</v>
      </c>
      <c r="C47" t="s">
        <v>8</v>
      </c>
      <c r="D47">
        <v>33</v>
      </c>
      <c r="E47" t="s">
        <v>16</v>
      </c>
      <c r="F47" s="4">
        <v>44253</v>
      </c>
      <c r="G47" t="s">
        <v>12</v>
      </c>
      <c r="H47">
        <v>75280</v>
      </c>
    </row>
    <row r="48" spans="2:8" x14ac:dyDescent="0.25">
      <c r="B48" t="s">
        <v>130</v>
      </c>
      <c r="C48" t="s">
        <v>8</v>
      </c>
      <c r="D48">
        <v>34</v>
      </c>
      <c r="E48" t="s">
        <v>16</v>
      </c>
      <c r="F48" s="4">
        <v>44594</v>
      </c>
      <c r="G48" t="s">
        <v>21</v>
      </c>
      <c r="H48">
        <v>58940</v>
      </c>
    </row>
    <row r="49" spans="2:8" x14ac:dyDescent="0.25">
      <c r="B49" t="s">
        <v>136</v>
      </c>
      <c r="C49" t="s">
        <v>8</v>
      </c>
      <c r="D49">
        <v>28</v>
      </c>
      <c r="E49" t="s">
        <v>16</v>
      </c>
      <c r="F49" s="4">
        <v>44425</v>
      </c>
      <c r="G49" t="s">
        <v>9</v>
      </c>
      <c r="H49">
        <v>104770</v>
      </c>
    </row>
    <row r="50" spans="2:8" x14ac:dyDescent="0.25">
      <c r="B50" t="s">
        <v>125</v>
      </c>
      <c r="C50" t="s">
        <v>15</v>
      </c>
      <c r="D50">
        <v>21</v>
      </c>
      <c r="E50" t="s">
        <v>16</v>
      </c>
      <c r="F50" s="4">
        <v>44701</v>
      </c>
      <c r="G50" t="s">
        <v>9</v>
      </c>
      <c r="H50">
        <v>57090</v>
      </c>
    </row>
    <row r="51" spans="2:8" x14ac:dyDescent="0.25">
      <c r="B51" t="s">
        <v>160</v>
      </c>
      <c r="C51" t="s">
        <v>15</v>
      </c>
      <c r="D51">
        <v>27</v>
      </c>
      <c r="E51" t="s">
        <v>13</v>
      </c>
      <c r="F51" s="4">
        <v>44174</v>
      </c>
      <c r="G51" t="s">
        <v>21</v>
      </c>
      <c r="H51">
        <v>91650</v>
      </c>
    </row>
    <row r="52" spans="2:8" x14ac:dyDescent="0.25">
      <c r="B52" t="s">
        <v>183</v>
      </c>
      <c r="C52" t="s">
        <v>15</v>
      </c>
      <c r="D52">
        <v>42</v>
      </c>
      <c r="E52" t="s">
        <v>24</v>
      </c>
      <c r="F52" s="4">
        <v>44670</v>
      </c>
      <c r="G52" t="s">
        <v>21</v>
      </c>
      <c r="H52">
        <v>70270</v>
      </c>
    </row>
    <row r="53" spans="2:8" x14ac:dyDescent="0.25">
      <c r="B53" t="s">
        <v>129</v>
      </c>
      <c r="C53" t="s">
        <v>8</v>
      </c>
      <c r="D53">
        <v>28</v>
      </c>
      <c r="E53" t="s">
        <v>16</v>
      </c>
      <c r="F53" s="4">
        <v>44124</v>
      </c>
      <c r="G53" t="s">
        <v>21</v>
      </c>
      <c r="H53">
        <v>75970</v>
      </c>
    </row>
    <row r="54" spans="2:8" x14ac:dyDescent="0.25">
      <c r="B54" t="s">
        <v>112</v>
      </c>
      <c r="D54">
        <v>27</v>
      </c>
      <c r="E54" t="s">
        <v>13</v>
      </c>
      <c r="F54" s="4">
        <v>44212</v>
      </c>
      <c r="G54" t="s">
        <v>12</v>
      </c>
      <c r="H54">
        <v>90700</v>
      </c>
    </row>
    <row r="55" spans="2:8" x14ac:dyDescent="0.25">
      <c r="B55" t="s">
        <v>131</v>
      </c>
      <c r="C55" t="s">
        <v>15</v>
      </c>
      <c r="D55">
        <v>30</v>
      </c>
      <c r="E55" t="s">
        <v>16</v>
      </c>
      <c r="F55" s="4">
        <v>44607</v>
      </c>
      <c r="G55" t="s">
        <v>9</v>
      </c>
      <c r="H55">
        <v>60570</v>
      </c>
    </row>
    <row r="56" spans="2:8" x14ac:dyDescent="0.25">
      <c r="B56" t="s">
        <v>134</v>
      </c>
      <c r="C56" t="s">
        <v>15</v>
      </c>
      <c r="D56">
        <v>33</v>
      </c>
      <c r="E56" t="s">
        <v>16</v>
      </c>
      <c r="F56" s="4">
        <v>44103</v>
      </c>
      <c r="G56" t="s">
        <v>9</v>
      </c>
      <c r="H56">
        <v>115920</v>
      </c>
    </row>
    <row r="57" spans="2:8" x14ac:dyDescent="0.25">
      <c r="B57" t="s">
        <v>186</v>
      </c>
      <c r="C57" t="s">
        <v>8</v>
      </c>
      <c r="D57">
        <v>33</v>
      </c>
      <c r="E57" t="s">
        <v>16</v>
      </c>
      <c r="F57" s="4">
        <v>44006</v>
      </c>
      <c r="G57" t="s">
        <v>21</v>
      </c>
      <c r="H57">
        <v>65360</v>
      </c>
    </row>
    <row r="58" spans="2:8" x14ac:dyDescent="0.25">
      <c r="B58" t="s">
        <v>116</v>
      </c>
      <c r="D58">
        <v>30</v>
      </c>
      <c r="E58" t="s">
        <v>16</v>
      </c>
      <c r="F58" s="4">
        <v>44535</v>
      </c>
      <c r="G58" t="s">
        <v>21</v>
      </c>
      <c r="H58">
        <v>64000</v>
      </c>
    </row>
    <row r="59" spans="2:8" x14ac:dyDescent="0.25">
      <c r="B59" t="s">
        <v>195</v>
      </c>
      <c r="C59" t="s">
        <v>8</v>
      </c>
      <c r="D59">
        <v>34</v>
      </c>
      <c r="E59" t="s">
        <v>16</v>
      </c>
      <c r="F59" s="4">
        <v>44383</v>
      </c>
      <c r="G59" t="s">
        <v>21</v>
      </c>
      <c r="H59">
        <v>92450</v>
      </c>
    </row>
    <row r="60" spans="2:8" x14ac:dyDescent="0.25">
      <c r="B60" t="s">
        <v>113</v>
      </c>
      <c r="C60" t="s">
        <v>15</v>
      </c>
      <c r="D60">
        <v>31</v>
      </c>
      <c r="E60" t="s">
        <v>16</v>
      </c>
      <c r="F60" s="4">
        <v>44450</v>
      </c>
      <c r="G60" t="s">
        <v>12</v>
      </c>
      <c r="H60">
        <v>48950</v>
      </c>
    </row>
    <row r="61" spans="2:8" x14ac:dyDescent="0.25">
      <c r="B61" t="s">
        <v>185</v>
      </c>
      <c r="C61" t="s">
        <v>8</v>
      </c>
      <c r="D61">
        <v>27</v>
      </c>
      <c r="E61" t="s">
        <v>16</v>
      </c>
      <c r="F61" s="4">
        <v>44625</v>
      </c>
      <c r="G61" t="s">
        <v>12</v>
      </c>
      <c r="H61">
        <v>83750</v>
      </c>
    </row>
    <row r="62" spans="2:8" x14ac:dyDescent="0.25">
      <c r="B62" t="s">
        <v>166</v>
      </c>
      <c r="C62" t="s">
        <v>8</v>
      </c>
      <c r="D62">
        <v>40</v>
      </c>
      <c r="E62" t="s">
        <v>16</v>
      </c>
      <c r="F62" s="4">
        <v>44276</v>
      </c>
      <c r="G62" t="s">
        <v>12</v>
      </c>
      <c r="H62">
        <v>87620</v>
      </c>
    </row>
    <row r="63" spans="2:8" x14ac:dyDescent="0.25">
      <c r="B63" t="s">
        <v>184</v>
      </c>
      <c r="C63" t="s">
        <v>8</v>
      </c>
      <c r="D63">
        <v>20</v>
      </c>
      <c r="E63" t="s">
        <v>24</v>
      </c>
      <c r="F63" s="4">
        <v>44476</v>
      </c>
      <c r="G63" t="s">
        <v>19</v>
      </c>
      <c r="H63">
        <v>68900</v>
      </c>
    </row>
    <row r="64" spans="2:8" x14ac:dyDescent="0.25">
      <c r="B64" t="s">
        <v>157</v>
      </c>
      <c r="C64" t="s">
        <v>15</v>
      </c>
      <c r="D64">
        <v>32</v>
      </c>
      <c r="E64" t="s">
        <v>16</v>
      </c>
      <c r="F64" s="4">
        <v>44403</v>
      </c>
      <c r="G64" t="s">
        <v>19</v>
      </c>
      <c r="H64">
        <v>53540</v>
      </c>
    </row>
    <row r="65" spans="2:8" x14ac:dyDescent="0.25">
      <c r="B65" t="s">
        <v>172</v>
      </c>
      <c r="C65" t="s">
        <v>15</v>
      </c>
      <c r="D65">
        <v>28</v>
      </c>
      <c r="E65" t="s">
        <v>42</v>
      </c>
      <c r="F65" s="4">
        <v>44758</v>
      </c>
      <c r="G65" t="s">
        <v>19</v>
      </c>
      <c r="H65">
        <v>43510</v>
      </c>
    </row>
    <row r="66" spans="2:8" x14ac:dyDescent="0.25">
      <c r="B66" t="s">
        <v>127</v>
      </c>
      <c r="C66" t="s">
        <v>8</v>
      </c>
      <c r="D66">
        <v>38</v>
      </c>
      <c r="E66" t="s">
        <v>10</v>
      </c>
      <c r="F66" s="4">
        <v>44316</v>
      </c>
      <c r="G66" t="s">
        <v>19</v>
      </c>
      <c r="H66">
        <v>109160</v>
      </c>
    </row>
    <row r="67" spans="2:8" x14ac:dyDescent="0.25">
      <c r="B67" t="s">
        <v>198</v>
      </c>
      <c r="C67" t="s">
        <v>15</v>
      </c>
      <c r="D67">
        <v>40</v>
      </c>
      <c r="E67" t="s">
        <v>16</v>
      </c>
      <c r="F67" s="4">
        <v>44204</v>
      </c>
      <c r="G67" t="s">
        <v>9</v>
      </c>
      <c r="H67">
        <v>99750</v>
      </c>
    </row>
    <row r="68" spans="2:8" x14ac:dyDescent="0.25">
      <c r="B68" t="s">
        <v>124</v>
      </c>
      <c r="C68" t="s">
        <v>8</v>
      </c>
      <c r="D68">
        <v>31</v>
      </c>
      <c r="E68" t="s">
        <v>16</v>
      </c>
      <c r="F68" s="4">
        <v>44084</v>
      </c>
      <c r="G68" t="s">
        <v>12</v>
      </c>
      <c r="H68">
        <v>41980</v>
      </c>
    </row>
    <row r="69" spans="2:8" x14ac:dyDescent="0.25">
      <c r="B69" t="s">
        <v>187</v>
      </c>
      <c r="C69" t="s">
        <v>15</v>
      </c>
      <c r="D69">
        <v>36</v>
      </c>
      <c r="E69" t="s">
        <v>16</v>
      </c>
      <c r="F69" s="4">
        <v>44272</v>
      </c>
      <c r="G69" t="s">
        <v>21</v>
      </c>
      <c r="H69">
        <v>71380</v>
      </c>
    </row>
    <row r="70" spans="2:8" x14ac:dyDescent="0.25">
      <c r="B70" t="s">
        <v>191</v>
      </c>
      <c r="C70" t="s">
        <v>15</v>
      </c>
      <c r="D70">
        <v>27</v>
      </c>
      <c r="E70" t="s">
        <v>42</v>
      </c>
      <c r="F70" s="4">
        <v>44547</v>
      </c>
      <c r="G70" t="s">
        <v>9</v>
      </c>
      <c r="H70">
        <v>113280</v>
      </c>
    </row>
    <row r="71" spans="2:8" x14ac:dyDescent="0.25">
      <c r="B71" t="s">
        <v>181</v>
      </c>
      <c r="C71" t="s">
        <v>8</v>
      </c>
      <c r="D71">
        <v>33</v>
      </c>
      <c r="E71" t="s">
        <v>16</v>
      </c>
      <c r="F71" s="4">
        <v>44747</v>
      </c>
      <c r="G71" t="s">
        <v>21</v>
      </c>
      <c r="H71">
        <v>86570</v>
      </c>
    </row>
    <row r="72" spans="2:8" x14ac:dyDescent="0.25">
      <c r="B72" t="s">
        <v>139</v>
      </c>
      <c r="C72" t="s">
        <v>15</v>
      </c>
      <c r="D72">
        <v>26</v>
      </c>
      <c r="E72" t="s">
        <v>16</v>
      </c>
      <c r="F72" s="4">
        <v>44350</v>
      </c>
      <c r="G72" t="s">
        <v>9</v>
      </c>
      <c r="H72">
        <v>53540</v>
      </c>
    </row>
    <row r="73" spans="2:8" x14ac:dyDescent="0.25">
      <c r="B73" t="s">
        <v>190</v>
      </c>
      <c r="C73" t="s">
        <v>15</v>
      </c>
      <c r="D73">
        <v>37</v>
      </c>
      <c r="E73" t="s">
        <v>16</v>
      </c>
      <c r="F73" s="4">
        <v>44640</v>
      </c>
      <c r="G73" t="s">
        <v>12</v>
      </c>
      <c r="H73">
        <v>69070</v>
      </c>
    </row>
    <row r="74" spans="2:8" x14ac:dyDescent="0.25">
      <c r="B74" t="s">
        <v>121</v>
      </c>
      <c r="C74" t="s">
        <v>8</v>
      </c>
      <c r="D74">
        <v>30</v>
      </c>
      <c r="E74" t="s">
        <v>24</v>
      </c>
      <c r="F74" s="4">
        <v>44328</v>
      </c>
      <c r="G74" t="s">
        <v>21</v>
      </c>
      <c r="H74">
        <v>67910</v>
      </c>
    </row>
    <row r="75" spans="2:8" x14ac:dyDescent="0.25">
      <c r="B75" t="s">
        <v>119</v>
      </c>
      <c r="C75" t="s">
        <v>15</v>
      </c>
      <c r="D75">
        <v>30</v>
      </c>
      <c r="E75" t="s">
        <v>16</v>
      </c>
      <c r="F75" s="4">
        <v>44214</v>
      </c>
      <c r="G75" t="s">
        <v>12</v>
      </c>
      <c r="H75">
        <v>69120</v>
      </c>
    </row>
    <row r="76" spans="2:8" x14ac:dyDescent="0.25">
      <c r="B76" t="s">
        <v>132</v>
      </c>
      <c r="C76" t="s">
        <v>8</v>
      </c>
      <c r="D76">
        <v>34</v>
      </c>
      <c r="E76" t="s">
        <v>16</v>
      </c>
      <c r="F76" s="4">
        <v>44550</v>
      </c>
      <c r="G76" t="s">
        <v>21</v>
      </c>
      <c r="H76">
        <v>60130</v>
      </c>
    </row>
    <row r="77" spans="2:8" x14ac:dyDescent="0.25">
      <c r="B77" t="s">
        <v>161</v>
      </c>
      <c r="C77" t="s">
        <v>15</v>
      </c>
      <c r="D77">
        <v>23</v>
      </c>
      <c r="E77" t="s">
        <v>16</v>
      </c>
      <c r="F77" s="4">
        <v>44378</v>
      </c>
      <c r="G77" t="s">
        <v>9</v>
      </c>
      <c r="H77">
        <v>106460</v>
      </c>
    </row>
    <row r="78" spans="2:8" x14ac:dyDescent="0.25">
      <c r="B78" t="s">
        <v>148</v>
      </c>
      <c r="C78" t="s">
        <v>8</v>
      </c>
      <c r="D78">
        <v>37</v>
      </c>
      <c r="E78" t="s">
        <v>16</v>
      </c>
      <c r="F78" s="4">
        <v>44389</v>
      </c>
      <c r="G78" t="s">
        <v>56</v>
      </c>
      <c r="H78">
        <v>118100</v>
      </c>
    </row>
    <row r="79" spans="2:8" x14ac:dyDescent="0.25">
      <c r="B79" t="s">
        <v>164</v>
      </c>
      <c r="C79" t="s">
        <v>8</v>
      </c>
      <c r="D79">
        <v>36</v>
      </c>
      <c r="E79" t="s">
        <v>16</v>
      </c>
      <c r="F79" s="4">
        <v>44468</v>
      </c>
      <c r="G79" t="s">
        <v>9</v>
      </c>
      <c r="H79">
        <v>78390</v>
      </c>
    </row>
    <row r="80" spans="2:8" x14ac:dyDescent="0.25">
      <c r="B80" t="s">
        <v>147</v>
      </c>
      <c r="C80" t="s">
        <v>8</v>
      </c>
      <c r="D80">
        <v>30</v>
      </c>
      <c r="E80" t="s">
        <v>16</v>
      </c>
      <c r="F80" s="4">
        <v>44789</v>
      </c>
      <c r="G80" t="s">
        <v>9</v>
      </c>
      <c r="H80">
        <v>114180</v>
      </c>
    </row>
    <row r="81" spans="2:8" x14ac:dyDescent="0.25">
      <c r="B81" t="s">
        <v>189</v>
      </c>
      <c r="C81" t="s">
        <v>8</v>
      </c>
      <c r="D81">
        <v>28</v>
      </c>
      <c r="E81" t="s">
        <v>16</v>
      </c>
      <c r="F81" s="4">
        <v>44590</v>
      </c>
      <c r="G81" t="s">
        <v>9</v>
      </c>
      <c r="H81">
        <v>104120</v>
      </c>
    </row>
    <row r="82" spans="2:8" x14ac:dyDescent="0.25">
      <c r="B82" t="s">
        <v>138</v>
      </c>
      <c r="C82" t="s">
        <v>15</v>
      </c>
      <c r="D82">
        <v>30</v>
      </c>
      <c r="E82" t="s">
        <v>16</v>
      </c>
      <c r="F82" s="4">
        <v>44640</v>
      </c>
      <c r="G82" t="s">
        <v>9</v>
      </c>
      <c r="H82">
        <v>67950</v>
      </c>
    </row>
    <row r="83" spans="2:8" x14ac:dyDescent="0.25">
      <c r="B83" t="s">
        <v>137</v>
      </c>
      <c r="C83" t="s">
        <v>8</v>
      </c>
      <c r="D83">
        <v>29</v>
      </c>
      <c r="E83" t="s">
        <v>16</v>
      </c>
      <c r="F83" s="4">
        <v>43962</v>
      </c>
      <c r="G83" t="s">
        <v>12</v>
      </c>
      <c r="H83">
        <v>34980</v>
      </c>
    </row>
    <row r="84" spans="2:8" x14ac:dyDescent="0.25">
      <c r="B84" t="s">
        <v>153</v>
      </c>
      <c r="C84" t="s">
        <v>8</v>
      </c>
      <c r="D84">
        <v>24</v>
      </c>
      <c r="E84" t="s">
        <v>16</v>
      </c>
      <c r="F84" s="4">
        <v>44087</v>
      </c>
      <c r="G84" t="s">
        <v>12</v>
      </c>
      <c r="H84">
        <v>62780</v>
      </c>
    </row>
    <row r="85" spans="2:8" x14ac:dyDescent="0.25">
      <c r="B85" t="s">
        <v>117</v>
      </c>
      <c r="C85" t="s">
        <v>15</v>
      </c>
      <c r="D85">
        <v>20</v>
      </c>
      <c r="E85" t="s">
        <v>16</v>
      </c>
      <c r="F85" s="4">
        <v>44397</v>
      </c>
      <c r="G85" t="s">
        <v>12</v>
      </c>
      <c r="H85">
        <v>107700</v>
      </c>
    </row>
    <row r="86" spans="2:8" x14ac:dyDescent="0.25">
      <c r="B86" t="s">
        <v>168</v>
      </c>
      <c r="C86" t="s">
        <v>15</v>
      </c>
      <c r="D86">
        <v>25</v>
      </c>
      <c r="E86" t="s">
        <v>16</v>
      </c>
      <c r="F86" s="4">
        <v>44322</v>
      </c>
      <c r="G86" t="s">
        <v>19</v>
      </c>
      <c r="H86">
        <v>65700</v>
      </c>
    </row>
    <row r="87" spans="2:8" x14ac:dyDescent="0.25">
      <c r="B87" t="s">
        <v>135</v>
      </c>
      <c r="C87" t="s">
        <v>8</v>
      </c>
      <c r="D87">
        <v>33</v>
      </c>
      <c r="E87" t="s">
        <v>42</v>
      </c>
      <c r="F87" s="4">
        <v>44313</v>
      </c>
      <c r="G87" t="s">
        <v>12</v>
      </c>
      <c r="H87">
        <v>75480</v>
      </c>
    </row>
    <row r="88" spans="2:8" x14ac:dyDescent="0.25">
      <c r="B88" t="s">
        <v>174</v>
      </c>
      <c r="C88" t="s">
        <v>15</v>
      </c>
      <c r="D88">
        <v>33</v>
      </c>
      <c r="E88" t="s">
        <v>16</v>
      </c>
      <c r="F88" s="4">
        <v>44448</v>
      </c>
      <c r="G88" t="s">
        <v>12</v>
      </c>
      <c r="H88">
        <v>53870</v>
      </c>
    </row>
    <row r="89" spans="2:8" x14ac:dyDescent="0.25">
      <c r="B89" t="s">
        <v>141</v>
      </c>
      <c r="C89" t="s">
        <v>8</v>
      </c>
      <c r="D89">
        <v>36</v>
      </c>
      <c r="E89" t="s">
        <v>16</v>
      </c>
      <c r="F89" s="4">
        <v>44433</v>
      </c>
      <c r="G89" t="s">
        <v>19</v>
      </c>
      <c r="H89">
        <v>78540</v>
      </c>
    </row>
    <row r="90" spans="2:8" x14ac:dyDescent="0.25">
      <c r="B90" t="s">
        <v>193</v>
      </c>
      <c r="C90" t="s">
        <v>15</v>
      </c>
      <c r="D90">
        <v>19</v>
      </c>
      <c r="E90" t="s">
        <v>16</v>
      </c>
      <c r="F90" s="4">
        <v>44218</v>
      </c>
      <c r="G90" t="s">
        <v>9</v>
      </c>
      <c r="H90">
        <v>58960</v>
      </c>
    </row>
    <row r="91" spans="2:8" x14ac:dyDescent="0.25">
      <c r="B91" t="s">
        <v>162</v>
      </c>
      <c r="C91" t="s">
        <v>15</v>
      </c>
      <c r="D91">
        <v>46</v>
      </c>
      <c r="E91" t="s">
        <v>16</v>
      </c>
      <c r="F91" s="4">
        <v>44697</v>
      </c>
      <c r="G91" t="s">
        <v>9</v>
      </c>
      <c r="H91">
        <v>70610</v>
      </c>
    </row>
    <row r="92" spans="2:8" x14ac:dyDescent="0.25">
      <c r="B92" t="s">
        <v>171</v>
      </c>
      <c r="C92" t="s">
        <v>15</v>
      </c>
      <c r="D92">
        <v>33</v>
      </c>
      <c r="E92" t="s">
        <v>16</v>
      </c>
      <c r="F92" s="4">
        <v>44181</v>
      </c>
      <c r="G92" t="s">
        <v>21</v>
      </c>
      <c r="H92">
        <v>59430</v>
      </c>
    </row>
    <row r="93" spans="2:8" x14ac:dyDescent="0.25">
      <c r="B93" t="s">
        <v>144</v>
      </c>
      <c r="C93" t="s">
        <v>15</v>
      </c>
      <c r="D93">
        <v>33</v>
      </c>
      <c r="E93" t="s">
        <v>13</v>
      </c>
      <c r="F93" s="4">
        <v>44640</v>
      </c>
      <c r="G93" t="s">
        <v>9</v>
      </c>
      <c r="H93">
        <v>48530</v>
      </c>
    </row>
    <row r="94" spans="2:8" x14ac:dyDescent="0.25">
      <c r="B94" t="s">
        <v>163</v>
      </c>
      <c r="C94" t="s">
        <v>8</v>
      </c>
      <c r="D94">
        <v>33</v>
      </c>
      <c r="E94" t="s">
        <v>16</v>
      </c>
      <c r="F94" s="4">
        <v>44129</v>
      </c>
      <c r="G94" t="s">
        <v>12</v>
      </c>
      <c r="H94">
        <v>96140</v>
      </c>
    </row>
    <row r="95" spans="2:8" x14ac:dyDescent="0.25">
      <c r="B95" t="s">
        <v>156</v>
      </c>
      <c r="C95" t="s">
        <v>15</v>
      </c>
      <c r="D95">
        <v>20</v>
      </c>
      <c r="E95" t="s">
        <v>16</v>
      </c>
      <c r="F95" s="4">
        <v>44122</v>
      </c>
      <c r="G95" t="s">
        <v>12</v>
      </c>
      <c r="H95">
        <v>112650</v>
      </c>
    </row>
    <row r="96" spans="2:8" x14ac:dyDescent="0.25">
      <c r="B96" t="s">
        <v>176</v>
      </c>
      <c r="C96" t="s">
        <v>8</v>
      </c>
      <c r="D96">
        <v>32</v>
      </c>
      <c r="E96" t="s">
        <v>13</v>
      </c>
      <c r="F96" s="4">
        <v>44293</v>
      </c>
      <c r="G96" t="s">
        <v>12</v>
      </c>
      <c r="H96">
        <v>43840</v>
      </c>
    </row>
    <row r="97" spans="2:8" x14ac:dyDescent="0.25">
      <c r="B97" t="s">
        <v>143</v>
      </c>
      <c r="C97" t="s">
        <v>15</v>
      </c>
      <c r="D97">
        <v>31</v>
      </c>
      <c r="E97" t="s">
        <v>16</v>
      </c>
      <c r="F97" s="4">
        <v>44663</v>
      </c>
      <c r="G97" t="s">
        <v>9</v>
      </c>
      <c r="H97">
        <v>103550</v>
      </c>
    </row>
    <row r="98" spans="2:8" x14ac:dyDescent="0.25">
      <c r="B98" t="s">
        <v>201</v>
      </c>
      <c r="C98" t="s">
        <v>8</v>
      </c>
      <c r="D98">
        <v>32</v>
      </c>
      <c r="E98" t="s">
        <v>16</v>
      </c>
      <c r="F98" s="4">
        <v>44339</v>
      </c>
      <c r="G98" t="s">
        <v>56</v>
      </c>
      <c r="H98">
        <v>45510</v>
      </c>
    </row>
    <row r="99" spans="2:8" x14ac:dyDescent="0.25">
      <c r="B99" t="s">
        <v>142</v>
      </c>
      <c r="D99">
        <v>37</v>
      </c>
      <c r="E99" t="s">
        <v>24</v>
      </c>
      <c r="F99" s="4">
        <v>44085</v>
      </c>
      <c r="G99" t="s">
        <v>21</v>
      </c>
      <c r="H99">
        <v>115440</v>
      </c>
    </row>
    <row r="100" spans="2:8" x14ac:dyDescent="0.25">
      <c r="B100" t="s">
        <v>202</v>
      </c>
      <c r="C100" t="s">
        <v>8</v>
      </c>
      <c r="D100">
        <v>38</v>
      </c>
      <c r="E100" t="s">
        <v>13</v>
      </c>
      <c r="F100" s="4">
        <v>44268</v>
      </c>
      <c r="G100" t="s">
        <v>19</v>
      </c>
      <c r="H100">
        <v>56870</v>
      </c>
    </row>
    <row r="101" spans="2:8" x14ac:dyDescent="0.25">
      <c r="B101" t="s">
        <v>169</v>
      </c>
      <c r="C101" t="s">
        <v>8</v>
      </c>
      <c r="D101">
        <v>25</v>
      </c>
      <c r="E101" t="s">
        <v>16</v>
      </c>
      <c r="F101" s="4">
        <v>44144</v>
      </c>
      <c r="G101" t="s">
        <v>19</v>
      </c>
      <c r="H101">
        <v>92700</v>
      </c>
    </row>
    <row r="102" spans="2:8" x14ac:dyDescent="0.25">
      <c r="B102" t="s">
        <v>145</v>
      </c>
      <c r="D102">
        <v>32</v>
      </c>
      <c r="E102" t="s">
        <v>16</v>
      </c>
      <c r="F102" s="4">
        <v>44713</v>
      </c>
      <c r="G102" t="s">
        <v>12</v>
      </c>
      <c r="H102">
        <v>91310</v>
      </c>
    </row>
    <row r="103" spans="2:8" x14ac:dyDescent="0.25">
      <c r="B103" t="s">
        <v>115</v>
      </c>
      <c r="C103" t="s">
        <v>15</v>
      </c>
      <c r="D103">
        <v>33</v>
      </c>
      <c r="E103" t="s">
        <v>16</v>
      </c>
      <c r="F103" s="4">
        <v>44324</v>
      </c>
      <c r="G103" t="s">
        <v>19</v>
      </c>
      <c r="H103">
        <v>74550</v>
      </c>
    </row>
    <row r="104" spans="2:8" x14ac:dyDescent="0.25">
      <c r="B104" t="s">
        <v>128</v>
      </c>
      <c r="C104" t="s">
        <v>15</v>
      </c>
      <c r="D104">
        <v>25</v>
      </c>
      <c r="E104" t="s">
        <v>13</v>
      </c>
      <c r="F104" s="4">
        <v>44665</v>
      </c>
      <c r="G104" t="s">
        <v>9</v>
      </c>
      <c r="H104">
        <v>109190</v>
      </c>
    </row>
    <row r="105" spans="2:8" x14ac:dyDescent="0.25">
      <c r="B105" t="s">
        <v>194</v>
      </c>
      <c r="C105" t="s">
        <v>8</v>
      </c>
      <c r="D105">
        <v>40</v>
      </c>
      <c r="E105" t="s">
        <v>16</v>
      </c>
      <c r="F105" s="4">
        <v>44320</v>
      </c>
      <c r="G105" t="s">
        <v>12</v>
      </c>
      <c r="H105">
        <v>104410</v>
      </c>
    </row>
    <row r="106" spans="2:8" x14ac:dyDescent="0.25">
      <c r="B106" t="s">
        <v>177</v>
      </c>
      <c r="C106" t="s">
        <v>15</v>
      </c>
      <c r="D106">
        <v>30</v>
      </c>
      <c r="E106" t="s">
        <v>16</v>
      </c>
      <c r="F106" s="4">
        <v>44544</v>
      </c>
      <c r="G106" t="s">
        <v>21</v>
      </c>
      <c r="H106">
        <v>96800</v>
      </c>
    </row>
    <row r="107" spans="2:8" x14ac:dyDescent="0.25">
      <c r="B107" t="s">
        <v>123</v>
      </c>
      <c r="C107" t="s">
        <v>15</v>
      </c>
      <c r="D107">
        <v>28</v>
      </c>
      <c r="E107" t="s">
        <v>13</v>
      </c>
      <c r="F107" s="4">
        <v>43980</v>
      </c>
      <c r="G107" t="s">
        <v>21</v>
      </c>
      <c r="H107">
        <v>48170</v>
      </c>
    </row>
    <row r="108" spans="2:8" x14ac:dyDescent="0.25">
      <c r="B108" t="s">
        <v>140</v>
      </c>
      <c r="C108" t="s">
        <v>15</v>
      </c>
      <c r="D108">
        <v>21</v>
      </c>
      <c r="E108" t="s">
        <v>16</v>
      </c>
      <c r="F108" s="4">
        <v>44042</v>
      </c>
      <c r="G108" t="s">
        <v>9</v>
      </c>
      <c r="H108">
        <v>37920</v>
      </c>
    </row>
    <row r="109" spans="2:8" x14ac:dyDescent="0.25">
      <c r="B109" t="s">
        <v>178</v>
      </c>
      <c r="C109" t="s">
        <v>15</v>
      </c>
      <c r="D109">
        <v>34</v>
      </c>
      <c r="E109" t="s">
        <v>16</v>
      </c>
      <c r="F109" s="4">
        <v>44642</v>
      </c>
      <c r="G109" t="s">
        <v>9</v>
      </c>
      <c r="H109">
        <v>112650</v>
      </c>
    </row>
    <row r="110" spans="2:8" x14ac:dyDescent="0.25">
      <c r="B110" t="s">
        <v>165</v>
      </c>
      <c r="C110" t="s">
        <v>8</v>
      </c>
      <c r="D110">
        <v>34</v>
      </c>
      <c r="E110" t="s">
        <v>24</v>
      </c>
      <c r="F110" s="4">
        <v>44660</v>
      </c>
      <c r="G110" t="s">
        <v>19</v>
      </c>
      <c r="H110">
        <v>49630</v>
      </c>
    </row>
    <row r="111" spans="2:8" x14ac:dyDescent="0.25">
      <c r="B111" t="s">
        <v>199</v>
      </c>
      <c r="C111" t="s">
        <v>15</v>
      </c>
      <c r="D111">
        <v>36</v>
      </c>
      <c r="E111" t="s">
        <v>16</v>
      </c>
      <c r="F111" s="4">
        <v>43958</v>
      </c>
      <c r="G111" t="s">
        <v>12</v>
      </c>
      <c r="H111">
        <v>118840</v>
      </c>
    </row>
    <row r="112" spans="2:8" x14ac:dyDescent="0.25">
      <c r="B112" t="s">
        <v>159</v>
      </c>
      <c r="C112" t="s">
        <v>15</v>
      </c>
      <c r="D112">
        <v>30</v>
      </c>
      <c r="E112" t="s">
        <v>16</v>
      </c>
      <c r="F112" s="4">
        <v>44789</v>
      </c>
      <c r="G112" t="s">
        <v>12</v>
      </c>
      <c r="H112">
        <v>69710</v>
      </c>
    </row>
    <row r="113" spans="2:8" x14ac:dyDescent="0.25">
      <c r="B113" t="s">
        <v>197</v>
      </c>
      <c r="C113" t="s">
        <v>15</v>
      </c>
      <c r="D113">
        <v>20</v>
      </c>
      <c r="E113" t="s">
        <v>16</v>
      </c>
      <c r="F113" s="4">
        <v>44683</v>
      </c>
      <c r="G113" t="s">
        <v>9</v>
      </c>
      <c r="H113">
        <v>79570</v>
      </c>
    </row>
    <row r="114" spans="2:8" x14ac:dyDescent="0.25">
      <c r="B114" t="s">
        <v>154</v>
      </c>
      <c r="C114" t="s">
        <v>8</v>
      </c>
      <c r="D114">
        <v>22</v>
      </c>
      <c r="E114" t="s">
        <v>13</v>
      </c>
      <c r="F114" s="4">
        <v>44388</v>
      </c>
      <c r="G114" t="s">
        <v>9</v>
      </c>
      <c r="H114">
        <v>76900</v>
      </c>
    </row>
  </sheetData>
  <conditionalFormatting sqref="B9">
    <cfRule type="duplicateValues" dxfId="32" priority="4"/>
  </conditionalFormatting>
  <conditionalFormatting sqref="E9">
    <cfRule type="duplicateValues" dxfId="31" priority="3"/>
  </conditionalFormatting>
  <conditionalFormatting sqref="E6">
    <cfRule type="duplicateValues" dxfId="30" priority="2"/>
  </conditionalFormatting>
  <conditionalFormatting sqref="B3:B114">
    <cfRule type="duplicateValues" dxfId="2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F6C7-352A-47DE-9BB1-1ABBA6197641}">
  <sheetPr>
    <tabColor theme="7"/>
  </sheetPr>
  <dimension ref="A1:R184"/>
  <sheetViews>
    <sheetView topLeftCell="B1" zoomScale="85" zoomScaleNormal="85" workbookViewId="0">
      <selection activeCell="R10" sqref="R10"/>
    </sheetView>
  </sheetViews>
  <sheetFormatPr defaultRowHeight="15" x14ac:dyDescent="0.25"/>
  <cols>
    <col min="1" max="1" width="31" customWidth="1"/>
    <col min="2" max="2" width="10" bestFit="1" customWidth="1"/>
    <col min="3" max="3" width="14" bestFit="1" customWidth="1"/>
    <col min="4" max="4" width="7" bestFit="1" customWidth="1"/>
    <col min="5" max="5" width="13.7109375" bestFit="1" customWidth="1"/>
    <col min="6" max="6" width="11.28515625" style="9" bestFit="1" customWidth="1"/>
    <col min="7" max="7" width="14.5703125" bestFit="1" customWidth="1"/>
    <col min="8" max="8" width="10.28515625" bestFit="1" customWidth="1"/>
    <col min="9" max="9" width="9.5703125" style="11" bestFit="1" customWidth="1"/>
    <col min="10" max="10" width="9.28515625" bestFit="1" customWidth="1"/>
    <col min="11" max="11" width="16.7109375" bestFit="1" customWidth="1"/>
    <col min="12" max="12" width="10.28515625" customWidth="1"/>
    <col min="13" max="13" width="3" bestFit="1" customWidth="1"/>
    <col min="14" max="14" width="25.28515625" bestFit="1" customWidth="1"/>
    <col min="15" max="15" width="14.28515625" bestFit="1" customWidth="1"/>
    <col min="16" max="16" width="3.7109375" customWidth="1"/>
    <col min="17" max="17" width="27.5703125" customWidth="1"/>
    <col min="18" max="18" width="13.42578125" bestFit="1" customWidth="1"/>
  </cols>
  <sheetData>
    <row r="1" spans="1:18" x14ac:dyDescent="0.25">
      <c r="A1" s="7" t="s">
        <v>0</v>
      </c>
      <c r="B1" s="7" t="s">
        <v>1</v>
      </c>
      <c r="C1" s="7" t="s">
        <v>2</v>
      </c>
      <c r="D1" s="7" t="s">
        <v>3</v>
      </c>
      <c r="E1" s="7" t="s">
        <v>4</v>
      </c>
      <c r="F1" s="9" t="s">
        <v>5</v>
      </c>
      <c r="G1" s="7" t="s">
        <v>6</v>
      </c>
      <c r="H1" s="7" t="s">
        <v>203</v>
      </c>
      <c r="I1" s="11" t="s">
        <v>215</v>
      </c>
      <c r="J1" t="s">
        <v>248</v>
      </c>
      <c r="K1" t="s">
        <v>251</v>
      </c>
    </row>
    <row r="2" spans="1:18" x14ac:dyDescent="0.25">
      <c r="A2" s="7" t="s">
        <v>86</v>
      </c>
      <c r="B2" s="7" t="s">
        <v>8</v>
      </c>
      <c r="C2" s="7" t="s">
        <v>12</v>
      </c>
      <c r="D2">
        <v>21</v>
      </c>
      <c r="E2" s="8">
        <v>44678</v>
      </c>
      <c r="F2" s="9">
        <v>33920</v>
      </c>
      <c r="G2" s="7" t="s">
        <v>16</v>
      </c>
      <c r="H2" s="7" t="s">
        <v>204</v>
      </c>
      <c r="I2" s="11">
        <f ca="1">(TODAY()-Staff[[#This Row],[Date Joined]])/365</f>
        <v>1.3424657534246576</v>
      </c>
      <c r="J2" s="9">
        <f ca="1">(IF(Staff[Tenure]&gt;=2,3%,2%))*Staff[[#This Row],[Salary]]</f>
        <v>678.4</v>
      </c>
      <c r="K2">
        <f>VLOOKUP(Staff[[#This Row],[Rating]],'Rating Count'!$B$2:$C$6,2,FALSE)</f>
        <v>3</v>
      </c>
    </row>
    <row r="3" spans="1:18" x14ac:dyDescent="0.25">
      <c r="A3" s="7" t="s">
        <v>179</v>
      </c>
      <c r="B3" s="7" t="s">
        <v>8</v>
      </c>
      <c r="C3" s="7" t="s">
        <v>12</v>
      </c>
      <c r="D3">
        <v>21</v>
      </c>
      <c r="E3" s="8">
        <v>44619</v>
      </c>
      <c r="F3" s="9">
        <v>33920</v>
      </c>
      <c r="G3" s="7" t="s">
        <v>16</v>
      </c>
      <c r="H3" s="7" t="s">
        <v>206</v>
      </c>
      <c r="I3" s="11">
        <f ca="1">(TODAY()-Staff[[#This Row],[Date Joined]])/365</f>
        <v>1.5041095890410958</v>
      </c>
      <c r="J3" s="9">
        <f ca="1">(IF(Staff[Tenure]&gt;=2,3%,2%))*Staff[[#This Row],[Salary]]</f>
        <v>678.4</v>
      </c>
      <c r="K3">
        <f>VLOOKUP(Staff[[#This Row],[Rating]],'Rating Count'!$B$2:$C$6,2,FALSE)</f>
        <v>3</v>
      </c>
    </row>
    <row r="4" spans="1:18" x14ac:dyDescent="0.25">
      <c r="A4" s="7" t="s">
        <v>44</v>
      </c>
      <c r="B4" s="7" t="s">
        <v>8</v>
      </c>
      <c r="C4" s="7" t="s">
        <v>12</v>
      </c>
      <c r="D4">
        <v>29</v>
      </c>
      <c r="E4" s="8">
        <v>44023</v>
      </c>
      <c r="F4" s="9">
        <v>34980</v>
      </c>
      <c r="G4" s="7" t="s">
        <v>16</v>
      </c>
      <c r="H4" s="7" t="s">
        <v>204</v>
      </c>
      <c r="I4" s="11">
        <f ca="1">(TODAY()-Staff[[#This Row],[Date Joined]])/365</f>
        <v>3.1369863013698631</v>
      </c>
      <c r="J4" s="9">
        <f ca="1">(IF(Staff[Tenure]&gt;=2,3%,2%))*Staff[[#This Row],[Salary]]</f>
        <v>1049.3999999999999</v>
      </c>
      <c r="K4">
        <f>VLOOKUP(Staff[[#This Row],[Rating]],'Rating Count'!$B$2:$C$6,2,FALSE)</f>
        <v>3</v>
      </c>
    </row>
    <row r="5" spans="1:18" x14ac:dyDescent="0.25">
      <c r="A5" s="7" t="s">
        <v>137</v>
      </c>
      <c r="B5" s="7" t="s">
        <v>8</v>
      </c>
      <c r="C5" s="7" t="s">
        <v>12</v>
      </c>
      <c r="D5">
        <v>29</v>
      </c>
      <c r="E5" s="8">
        <v>43962</v>
      </c>
      <c r="F5" s="9">
        <v>34980</v>
      </c>
      <c r="G5" s="7" t="s">
        <v>16</v>
      </c>
      <c r="H5" s="7" t="s">
        <v>206</v>
      </c>
      <c r="I5" s="11">
        <f ca="1">(TODAY()-Staff[[#This Row],[Date Joined]])/365</f>
        <v>3.3041095890410959</v>
      </c>
      <c r="J5" s="9">
        <f ca="1">(IF(Staff[Tenure]&gt;=2,3%,2%))*Staff[[#This Row],[Salary]]</f>
        <v>1049.3999999999999</v>
      </c>
      <c r="K5">
        <f>VLOOKUP(Staff[[#This Row],[Rating]],'Rating Count'!$B$2:$C$6,2,FALSE)</f>
        <v>3</v>
      </c>
    </row>
    <row r="6" spans="1:18" x14ac:dyDescent="0.25">
      <c r="A6" s="7" t="s">
        <v>99</v>
      </c>
      <c r="B6" s="7" t="s">
        <v>15</v>
      </c>
      <c r="C6" s="7" t="s">
        <v>19</v>
      </c>
      <c r="D6">
        <v>43</v>
      </c>
      <c r="E6" s="8">
        <v>44620</v>
      </c>
      <c r="F6" s="9">
        <v>36040</v>
      </c>
      <c r="G6" s="7" t="s">
        <v>16</v>
      </c>
      <c r="H6" s="7" t="s">
        <v>204</v>
      </c>
      <c r="I6" s="11">
        <f ca="1">(TODAY()-Staff[[#This Row],[Date Joined]])/365</f>
        <v>1.5013698630136987</v>
      </c>
      <c r="J6" s="9">
        <f ca="1">(IF(Staff[Tenure]&gt;=2,3%,2%))*Staff[[#This Row],[Salary]]</f>
        <v>720.80000000000007</v>
      </c>
      <c r="K6">
        <f>VLOOKUP(Staff[[#This Row],[Rating]],'Rating Count'!$B$2:$C$6,2,FALSE)</f>
        <v>3</v>
      </c>
    </row>
    <row r="7" spans="1:18" x14ac:dyDescent="0.25">
      <c r="A7" s="7" t="s">
        <v>192</v>
      </c>
      <c r="B7" s="7" t="s">
        <v>15</v>
      </c>
      <c r="C7" s="7" t="s">
        <v>19</v>
      </c>
      <c r="D7">
        <v>43</v>
      </c>
      <c r="E7" s="8">
        <v>44558</v>
      </c>
      <c r="F7" s="9">
        <v>36040</v>
      </c>
      <c r="G7" s="7" t="s">
        <v>16</v>
      </c>
      <c r="H7" s="7" t="s">
        <v>206</v>
      </c>
      <c r="I7" s="11">
        <f ca="1">(TODAY()-Staff[[#This Row],[Date Joined]])/365</f>
        <v>1.6712328767123288</v>
      </c>
      <c r="J7" s="9">
        <f ca="1">(IF(Staff[Tenure]&gt;=2,3%,2%))*Staff[[#This Row],[Salary]]</f>
        <v>720.80000000000007</v>
      </c>
      <c r="K7">
        <f>VLOOKUP(Staff[[#This Row],[Rating]],'Rating Count'!$B$2:$C$6,2,FALSE)</f>
        <v>3</v>
      </c>
      <c r="N7" s="39" t="s">
        <v>220</v>
      </c>
      <c r="O7" s="39"/>
    </row>
    <row r="8" spans="1:18" ht="21" x14ac:dyDescent="0.25">
      <c r="A8" s="7" t="s">
        <v>47</v>
      </c>
      <c r="B8" s="7" t="s">
        <v>15</v>
      </c>
      <c r="C8" s="7" t="s">
        <v>9</v>
      </c>
      <c r="D8" s="7">
        <v>21</v>
      </c>
      <c r="E8" s="8">
        <v>44104</v>
      </c>
      <c r="F8" s="9">
        <v>37920</v>
      </c>
      <c r="G8" s="7" t="s">
        <v>16</v>
      </c>
      <c r="H8" s="7" t="s">
        <v>204</v>
      </c>
      <c r="I8" s="11">
        <f ca="1">(TODAY()-Staff[[#This Row],[Date Joined]])/365</f>
        <v>2.9150684931506849</v>
      </c>
      <c r="J8" s="9">
        <f ca="1">(IF(Staff[Tenure]&gt;=2,3%,2%))*Staff[[#This Row],[Salary]]</f>
        <v>1137.5999999999999</v>
      </c>
      <c r="K8">
        <f>VLOOKUP(Staff[[#This Row],[Rating]],'Rating Count'!$B$2:$C$6,2,FALSE)</f>
        <v>3</v>
      </c>
      <c r="M8" s="19">
        <v>1</v>
      </c>
      <c r="N8" s="20" t="s">
        <v>207</v>
      </c>
      <c r="O8" s="13">
        <f>COUNTA(Staff[Name])</f>
        <v>183</v>
      </c>
    </row>
    <row r="9" spans="1:18" x14ac:dyDescent="0.25">
      <c r="A9" s="7" t="s">
        <v>140</v>
      </c>
      <c r="B9" s="7" t="s">
        <v>15</v>
      </c>
      <c r="C9" s="7" t="s">
        <v>9</v>
      </c>
      <c r="D9">
        <v>21</v>
      </c>
      <c r="E9" s="8">
        <v>44042</v>
      </c>
      <c r="F9" s="9">
        <v>37920</v>
      </c>
      <c r="G9" s="7" t="s">
        <v>16</v>
      </c>
      <c r="H9" s="7" t="s">
        <v>206</v>
      </c>
      <c r="I9" s="11">
        <f ca="1">(TODAY()-Staff[[#This Row],[Date Joined]])/365</f>
        <v>3.0849315068493151</v>
      </c>
      <c r="J9" s="9">
        <f ca="1">(IF(Staff[Tenure]&gt;=2,3%,2%))*Staff[[#This Row],[Salary]]</f>
        <v>1137.5999999999999</v>
      </c>
      <c r="K9">
        <f>VLOOKUP(Staff[[#This Row],[Rating]],'Rating Count'!$B$2:$C$6,2,FALSE)</f>
        <v>3</v>
      </c>
      <c r="N9" s="20" t="s">
        <v>208</v>
      </c>
      <c r="O9" s="21">
        <f>AVERAGE(Staff[Salary])</f>
        <v>77173.715846994543</v>
      </c>
    </row>
    <row r="10" spans="1:18" x14ac:dyDescent="0.25">
      <c r="A10" s="7" t="s">
        <v>57</v>
      </c>
      <c r="B10" s="7" t="s">
        <v>15</v>
      </c>
      <c r="C10" s="7" t="s">
        <v>9</v>
      </c>
      <c r="D10">
        <v>35</v>
      </c>
      <c r="E10" s="8">
        <v>44727</v>
      </c>
      <c r="F10" s="9">
        <v>40400</v>
      </c>
      <c r="G10" s="7" t="s">
        <v>16</v>
      </c>
      <c r="H10" s="7" t="s">
        <v>204</v>
      </c>
      <c r="I10" s="11">
        <f ca="1">(TODAY()-Staff[[#This Row],[Date Joined]])/365</f>
        <v>1.2082191780821918</v>
      </c>
      <c r="J10" s="9">
        <f ca="1">(IF(Staff[Tenure]&gt;=2,3%,2%))*Staff[[#This Row],[Salary]]</f>
        <v>808</v>
      </c>
      <c r="K10">
        <f>VLOOKUP(Staff[[#This Row],[Rating]],'Rating Count'!$B$2:$C$6,2,FALSE)</f>
        <v>3</v>
      </c>
      <c r="N10" s="20" t="s">
        <v>213</v>
      </c>
      <c r="O10" s="13">
        <f>MEDIAN(Staff[Salary])</f>
        <v>75000</v>
      </c>
    </row>
    <row r="11" spans="1:18" ht="21" x14ac:dyDescent="0.25">
      <c r="A11" s="7" t="s">
        <v>149</v>
      </c>
      <c r="B11" s="7" t="s">
        <v>15</v>
      </c>
      <c r="C11" s="7" t="s">
        <v>9</v>
      </c>
      <c r="D11">
        <v>35</v>
      </c>
      <c r="E11" s="8">
        <v>44666</v>
      </c>
      <c r="F11" s="9">
        <v>40400</v>
      </c>
      <c r="G11" s="7" t="s">
        <v>16</v>
      </c>
      <c r="H11" s="7" t="s">
        <v>206</v>
      </c>
      <c r="I11" s="11">
        <f ca="1">(TODAY()-Staff[[#This Row],[Date Joined]])/365</f>
        <v>1.3753424657534246</v>
      </c>
      <c r="J11" s="9">
        <f ca="1">(IF(Staff[Tenure]&gt;=2,3%,2%))*Staff[[#This Row],[Salary]]</f>
        <v>808</v>
      </c>
      <c r="K11">
        <f>VLOOKUP(Staff[[#This Row],[Rating]],'Rating Count'!$B$2:$C$6,2,FALSE)</f>
        <v>3</v>
      </c>
      <c r="N11" s="20" t="s">
        <v>209</v>
      </c>
      <c r="O11" s="22">
        <f>AVERAGE(Staff[Age])</f>
        <v>30.42622950819672</v>
      </c>
      <c r="Q11" s="19">
        <v>3</v>
      </c>
    </row>
    <row r="12" spans="1:18" x14ac:dyDescent="0.25">
      <c r="A12" s="7" t="s">
        <v>66</v>
      </c>
      <c r="B12" s="7" t="s">
        <v>8</v>
      </c>
      <c r="C12" s="7" t="s">
        <v>9</v>
      </c>
      <c r="D12">
        <v>32</v>
      </c>
      <c r="E12" s="8">
        <v>44611</v>
      </c>
      <c r="F12" s="9">
        <v>41570</v>
      </c>
      <c r="G12" s="7" t="s">
        <v>16</v>
      </c>
      <c r="H12" s="7" t="s">
        <v>204</v>
      </c>
      <c r="I12" s="11">
        <f ca="1">(TODAY()-Staff[[#This Row],[Date Joined]])/365</f>
        <v>1.526027397260274</v>
      </c>
      <c r="J12" s="9">
        <f ca="1">(IF(Staff[Tenure]&gt;=2,3%,2%))*Staff[[#This Row],[Salary]]</f>
        <v>831.4</v>
      </c>
      <c r="K12">
        <f>VLOOKUP(Staff[[#This Row],[Rating]],'Rating Count'!$B$2:$C$6,2,FALSE)</f>
        <v>3</v>
      </c>
      <c r="N12" s="20" t="s">
        <v>214</v>
      </c>
      <c r="O12" s="22">
        <f>MEDIAN(Staff[Age])</f>
        <v>30</v>
      </c>
      <c r="Q12" s="40" t="s">
        <v>238</v>
      </c>
      <c r="R12" s="41"/>
    </row>
    <row r="13" spans="1:18" x14ac:dyDescent="0.25">
      <c r="A13" s="7" t="s">
        <v>158</v>
      </c>
      <c r="B13" s="7" t="s">
        <v>8</v>
      </c>
      <c r="C13" s="7" t="s">
        <v>9</v>
      </c>
      <c r="D13">
        <v>32</v>
      </c>
      <c r="E13" s="8">
        <v>44549</v>
      </c>
      <c r="F13" s="9">
        <v>41570</v>
      </c>
      <c r="G13" s="7" t="s">
        <v>16</v>
      </c>
      <c r="H13" s="7" t="s">
        <v>206</v>
      </c>
      <c r="I13" s="11">
        <f ca="1">(TODAY()-Staff[[#This Row],[Date Joined]])/365</f>
        <v>1.6958904109589041</v>
      </c>
      <c r="J13" s="9">
        <f ca="1">(IF(Staff[Tenure]&gt;=2,3%,2%))*Staff[[#This Row],[Salary]]</f>
        <v>831.4</v>
      </c>
      <c r="K13">
        <f>VLOOKUP(Staff[[#This Row],[Rating]],'Rating Count'!$B$2:$C$6,2,FALSE)</f>
        <v>3</v>
      </c>
      <c r="N13" s="20" t="s">
        <v>210</v>
      </c>
      <c r="O13" s="22">
        <f ca="1">AVERAGE(Staff[Tenure])</f>
        <v>2.0136088030541215</v>
      </c>
      <c r="Q13" s="12" t="s">
        <v>2</v>
      </c>
      <c r="R13" s="12" t="s">
        <v>239</v>
      </c>
    </row>
    <row r="14" spans="1:18" x14ac:dyDescent="0.25">
      <c r="A14" s="7" t="s">
        <v>30</v>
      </c>
      <c r="B14" s="7" t="s">
        <v>8</v>
      </c>
      <c r="C14" s="7" t="s">
        <v>12</v>
      </c>
      <c r="D14" s="7">
        <v>31</v>
      </c>
      <c r="E14" s="8">
        <v>44145</v>
      </c>
      <c r="F14" s="9">
        <v>41980</v>
      </c>
      <c r="G14" s="7" t="s">
        <v>16</v>
      </c>
      <c r="H14" s="7" t="s">
        <v>204</v>
      </c>
      <c r="I14" s="11">
        <f ca="1">(TODAY()-Staff[[#This Row],[Date Joined]])/365</f>
        <v>2.8027397260273972</v>
      </c>
      <c r="J14" s="9">
        <f ca="1">(IF(Staff[Tenure]&gt;=2,3%,2%))*Staff[[#This Row],[Salary]]</f>
        <v>1259.3999999999999</v>
      </c>
      <c r="K14">
        <f>VLOOKUP(Staff[[#This Row],[Rating]],'Rating Count'!$B$2:$C$6,2,FALSE)</f>
        <v>3</v>
      </c>
      <c r="N14" s="20" t="s">
        <v>211</v>
      </c>
      <c r="O14" s="23">
        <f>COUNTIF(Staff[Gender],"Female")</f>
        <v>86</v>
      </c>
    </row>
    <row r="15" spans="1:18" x14ac:dyDescent="0.25">
      <c r="A15" s="7" t="s">
        <v>124</v>
      </c>
      <c r="B15" s="7" t="s">
        <v>8</v>
      </c>
      <c r="C15" s="7" t="s">
        <v>12</v>
      </c>
      <c r="D15">
        <v>31</v>
      </c>
      <c r="E15" s="8">
        <v>44084</v>
      </c>
      <c r="F15" s="9">
        <v>41980</v>
      </c>
      <c r="G15" s="7" t="s">
        <v>16</v>
      </c>
      <c r="H15" s="7" t="s">
        <v>206</v>
      </c>
      <c r="I15" s="11">
        <f ca="1">(TODAY()-Staff[[#This Row],[Date Joined]])/365</f>
        <v>2.9698630136986299</v>
      </c>
      <c r="J15" s="9">
        <f ca="1">(IF(Staff[Tenure]&gt;=2,3%,2%))*Staff[[#This Row],[Salary]]</f>
        <v>1259.3999999999999</v>
      </c>
      <c r="K15">
        <f>VLOOKUP(Staff[[#This Row],[Rating]],'Rating Count'!$B$2:$C$6,2,FALSE)</f>
        <v>3</v>
      </c>
      <c r="N15" s="20" t="s">
        <v>212</v>
      </c>
      <c r="O15" s="24">
        <f>$O$14/$O$8</f>
        <v>0.46994535519125685</v>
      </c>
      <c r="Q15" s="25" t="s">
        <v>221</v>
      </c>
      <c r="R15">
        <f>COUNTIFS(Staff[Department],$R$13,Staff[Country],"IND")</f>
        <v>28</v>
      </c>
    </row>
    <row r="16" spans="1:18" x14ac:dyDescent="0.25">
      <c r="A16" s="7" t="s">
        <v>80</v>
      </c>
      <c r="B16" s="7" t="s">
        <v>15</v>
      </c>
      <c r="C16" s="7" t="s">
        <v>19</v>
      </c>
      <c r="D16">
        <v>28</v>
      </c>
      <c r="E16" s="8">
        <v>44820</v>
      </c>
      <c r="F16" s="9">
        <v>43510</v>
      </c>
      <c r="G16" s="7" t="s">
        <v>42</v>
      </c>
      <c r="H16" s="7" t="s">
        <v>204</v>
      </c>
      <c r="I16" s="11">
        <f ca="1">(TODAY()-Staff[[#This Row],[Date Joined]])/365</f>
        <v>0.95342465753424654</v>
      </c>
      <c r="J16" s="9">
        <f ca="1">(IF(Staff[Tenure]&gt;=2,3%,2%))*Staff[[#This Row],[Salary]]</f>
        <v>870.2</v>
      </c>
      <c r="K16">
        <f>VLOOKUP(Staff[[#This Row],[Rating]],'Rating Count'!$B$2:$C$6,2,FALSE)</f>
        <v>1</v>
      </c>
      <c r="N16" s="20" t="s">
        <v>217</v>
      </c>
      <c r="O16" s="13">
        <f>COUNTIF(Staff[Salary],"&gt;=90000")</f>
        <v>63</v>
      </c>
      <c r="Q16" s="25" t="s">
        <v>222</v>
      </c>
      <c r="R16" s="6">
        <f>AVERAGEIFS(Staff[Salary],Staff[Department],$R$13,Staff[Country],"IND")</f>
        <v>82345</v>
      </c>
    </row>
    <row r="17" spans="1:18" x14ac:dyDescent="0.25">
      <c r="A17" s="7" t="s">
        <v>172</v>
      </c>
      <c r="B17" s="7" t="s">
        <v>15</v>
      </c>
      <c r="C17" s="7" t="s">
        <v>19</v>
      </c>
      <c r="D17">
        <v>28</v>
      </c>
      <c r="E17" s="8">
        <v>44758</v>
      </c>
      <c r="F17" s="9">
        <v>43510</v>
      </c>
      <c r="G17" s="7" t="s">
        <v>42</v>
      </c>
      <c r="H17" s="7" t="s">
        <v>206</v>
      </c>
      <c r="I17" s="11">
        <f ca="1">(TODAY()-Staff[[#This Row],[Date Joined]])/365</f>
        <v>1.1232876712328768</v>
      </c>
      <c r="J17" s="9">
        <f ca="1">(IF(Staff[Tenure]&gt;=2,3%,2%))*Staff[[#This Row],[Salary]]</f>
        <v>870.2</v>
      </c>
      <c r="K17">
        <f>VLOOKUP(Staff[[#This Row],[Rating]],'Rating Count'!$B$2:$C$6,2,FALSE)</f>
        <v>1</v>
      </c>
      <c r="N17" s="20" t="s">
        <v>218</v>
      </c>
      <c r="O17" s="24">
        <f>$O$16/$O$8</f>
        <v>0.34426229508196721</v>
      </c>
      <c r="Q17" s="25" t="s">
        <v>226</v>
      </c>
      <c r="R17" s="6">
        <f>_xlfn.AGGREGATE(14,4,(Staff[Department]=$R$13)*(Staff[Country]="IND")*Staff[Salary],1)</f>
        <v>115920</v>
      </c>
    </row>
    <row r="18" spans="1:18" x14ac:dyDescent="0.25">
      <c r="A18" s="7" t="s">
        <v>84</v>
      </c>
      <c r="B18" s="7" t="s">
        <v>8</v>
      </c>
      <c r="C18" s="7" t="s">
        <v>12</v>
      </c>
      <c r="D18" s="7">
        <v>32</v>
      </c>
      <c r="E18" s="8">
        <v>44354</v>
      </c>
      <c r="F18" s="9">
        <v>43840</v>
      </c>
      <c r="G18" s="7" t="s">
        <v>13</v>
      </c>
      <c r="H18" s="7" t="s">
        <v>204</v>
      </c>
      <c r="I18" s="11">
        <f ca="1">(TODAY()-Staff[[#This Row],[Date Joined]])/365</f>
        <v>2.2301369863013698</v>
      </c>
      <c r="J18" s="9">
        <f ca="1">(IF(Staff[Tenure]&gt;=2,3%,2%))*Staff[[#This Row],[Salary]]</f>
        <v>1315.2</v>
      </c>
      <c r="K18">
        <f>VLOOKUP(Staff[[#This Row],[Rating]],'Rating Count'!$B$2:$C$6,2,FALSE)</f>
        <v>4</v>
      </c>
      <c r="Q18" s="25" t="s">
        <v>227</v>
      </c>
      <c r="R18" s="6">
        <f>_xlfn.AGGREGATE(15,2,1/((Staff[Department]=$R$13)*(Staff[Country]="IND"))*Staff[Salary],1)</f>
        <v>37920</v>
      </c>
    </row>
    <row r="19" spans="1:18" x14ac:dyDescent="0.25">
      <c r="A19" s="7" t="s">
        <v>176</v>
      </c>
      <c r="B19" s="7" t="s">
        <v>8</v>
      </c>
      <c r="C19" s="7" t="s">
        <v>12</v>
      </c>
      <c r="D19">
        <v>32</v>
      </c>
      <c r="E19" s="8">
        <v>44293</v>
      </c>
      <c r="F19" s="9">
        <v>43840</v>
      </c>
      <c r="G19" s="7" t="s">
        <v>13</v>
      </c>
      <c r="H19" s="7" t="s">
        <v>206</v>
      </c>
      <c r="I19" s="11">
        <f ca="1">(TODAY()-Staff[[#This Row],[Date Joined]])/365</f>
        <v>2.3972602739726026</v>
      </c>
      <c r="J19" s="9">
        <f ca="1">(IF(Staff[Tenure]&gt;=2,3%,2%))*Staff[[#This Row],[Salary]]</f>
        <v>1315.2</v>
      </c>
      <c r="K19">
        <f>VLOOKUP(Staff[[#This Row],[Rating]],'Rating Count'!$B$2:$C$6,2,FALSE)</f>
        <v>4</v>
      </c>
      <c r="Q19" s="25" t="s">
        <v>223</v>
      </c>
      <c r="R19" s="22">
        <f>AVERAGEIFS(Staff[Age],Staff[Department],$R$13,Staff[Country],"IND")</f>
        <v>29.714285714285715</v>
      </c>
    </row>
    <row r="20" spans="1:18" x14ac:dyDescent="0.25">
      <c r="A20" s="7" t="s">
        <v>108</v>
      </c>
      <c r="B20" s="7" t="s">
        <v>8</v>
      </c>
      <c r="C20" s="7" t="s">
        <v>56</v>
      </c>
      <c r="D20">
        <v>32</v>
      </c>
      <c r="E20" s="8">
        <v>44400</v>
      </c>
      <c r="F20" s="9">
        <v>45510</v>
      </c>
      <c r="G20" s="7" t="s">
        <v>16</v>
      </c>
      <c r="H20" s="7" t="s">
        <v>204</v>
      </c>
      <c r="I20" s="11">
        <f ca="1">(TODAY()-Staff[[#This Row],[Date Joined]])/365</f>
        <v>2.1041095890410957</v>
      </c>
      <c r="J20" s="9">
        <f ca="1">(IF(Staff[Tenure]&gt;=2,3%,2%))*Staff[[#This Row],[Salary]]</f>
        <v>1365.3</v>
      </c>
      <c r="K20">
        <f>VLOOKUP(Staff[[#This Row],[Rating]],'Rating Count'!$B$2:$C$6,2,FALSE)</f>
        <v>3</v>
      </c>
      <c r="Q20" s="25" t="s">
        <v>224</v>
      </c>
      <c r="R20" s="5">
        <f>(COUNTIFS(Staff[Department],$R$13,Staff[Country],"IND",Staff[Rating],"Average"))/$R$15</f>
        <v>0.8214285714285714</v>
      </c>
    </row>
    <row r="21" spans="1:18" ht="21" x14ac:dyDescent="0.25">
      <c r="A21" s="7" t="s">
        <v>201</v>
      </c>
      <c r="B21" s="7" t="s">
        <v>8</v>
      </c>
      <c r="C21" s="7" t="s">
        <v>56</v>
      </c>
      <c r="D21">
        <v>32</v>
      </c>
      <c r="E21" s="8">
        <v>44339</v>
      </c>
      <c r="F21" s="9">
        <v>45510</v>
      </c>
      <c r="G21" s="7" t="s">
        <v>16</v>
      </c>
      <c r="H21" s="7" t="s">
        <v>206</v>
      </c>
      <c r="I21" s="11">
        <f ca="1">(TODAY()-Staff[[#This Row],[Date Joined]])/365</f>
        <v>2.2712328767123289</v>
      </c>
      <c r="J21" s="9">
        <f ca="1">(IF(Staff[Tenure]&gt;=2,3%,2%))*Staff[[#This Row],[Salary]]</f>
        <v>1365.3</v>
      </c>
      <c r="K21">
        <f>VLOOKUP(Staff[[#This Row],[Rating]],'Rating Count'!$B$2:$C$6,2,FALSE)</f>
        <v>3</v>
      </c>
      <c r="M21" s="10">
        <v>2</v>
      </c>
      <c r="N21" s="40" t="s">
        <v>237</v>
      </c>
      <c r="O21" s="41"/>
      <c r="Q21" s="25" t="s">
        <v>225</v>
      </c>
      <c r="R21" s="5">
        <f>(COUNTIFS(Staff[Department],$R$13,Staff[Country],"IND",Staff[Rating],"Poor"))/$R$15</f>
        <v>0</v>
      </c>
    </row>
    <row r="22" spans="1:18" x14ac:dyDescent="0.25">
      <c r="A22" s="7" t="s">
        <v>59</v>
      </c>
      <c r="B22" s="7" t="s">
        <v>15</v>
      </c>
      <c r="C22" s="7" t="s">
        <v>9</v>
      </c>
      <c r="D22">
        <v>26</v>
      </c>
      <c r="E22" s="8">
        <v>44225</v>
      </c>
      <c r="F22" s="9">
        <v>47360</v>
      </c>
      <c r="G22" s="7" t="s">
        <v>16</v>
      </c>
      <c r="H22" s="7" t="s">
        <v>204</v>
      </c>
      <c r="I22" s="11">
        <f ca="1">(TODAY()-Staff[[#This Row],[Date Joined]])/365</f>
        <v>2.5835616438356164</v>
      </c>
      <c r="J22" s="9">
        <f ca="1">(IF(Staff[Tenure]&gt;=2,3%,2%))*Staff[[#This Row],[Salary]]</f>
        <v>1420.8</v>
      </c>
      <c r="K22">
        <f>VLOOKUP(Staff[[#This Row],[Rating]],'Rating Count'!$B$2:$C$6,2,FALSE)</f>
        <v>3</v>
      </c>
      <c r="N22" s="12" t="s">
        <v>219</v>
      </c>
      <c r="O22" s="12" t="s">
        <v>115</v>
      </c>
      <c r="Q22" s="25" t="s">
        <v>228</v>
      </c>
      <c r="R22">
        <f ca="1">COUNTIFS(Staff[Department],$R$13,Staff[Country],"IND",Staff[Tenure],"&gt;2")</f>
        <v>10</v>
      </c>
    </row>
    <row r="23" spans="1:18" x14ac:dyDescent="0.25">
      <c r="A23" s="7" t="s">
        <v>151</v>
      </c>
      <c r="B23" s="7" t="s">
        <v>15</v>
      </c>
      <c r="C23" s="7" t="s">
        <v>9</v>
      </c>
      <c r="D23">
        <v>26</v>
      </c>
      <c r="E23" s="8">
        <v>44164</v>
      </c>
      <c r="F23" s="9">
        <v>47360</v>
      </c>
      <c r="G23" s="7" t="s">
        <v>16</v>
      </c>
      <c r="H23" s="7" t="s">
        <v>206</v>
      </c>
      <c r="I23" s="11">
        <f ca="1">(TODAY()-Staff[[#This Row],[Date Joined]])/365</f>
        <v>2.7506849315068491</v>
      </c>
      <c r="J23" s="9">
        <f ca="1">(IF(Staff[Tenure]&gt;=2,3%,2%))*Staff[[#This Row],[Salary]]</f>
        <v>1420.8</v>
      </c>
      <c r="K23">
        <f>VLOOKUP(Staff[[#This Row],[Rating]],'Rating Count'!$B$2:$C$6,2,FALSE)</f>
        <v>3</v>
      </c>
    </row>
    <row r="24" spans="1:18" x14ac:dyDescent="0.25">
      <c r="A24" s="7" t="s">
        <v>29</v>
      </c>
      <c r="B24" s="7" t="s">
        <v>15</v>
      </c>
      <c r="C24" s="7" t="s">
        <v>21</v>
      </c>
      <c r="D24">
        <v>28</v>
      </c>
      <c r="E24" s="8">
        <v>44041</v>
      </c>
      <c r="F24" s="9">
        <v>48170</v>
      </c>
      <c r="G24" s="7" t="s">
        <v>13</v>
      </c>
      <c r="H24" s="7" t="s">
        <v>204</v>
      </c>
      <c r="I24" s="11">
        <f ca="1">(TODAY()-Staff[[#This Row],[Date Joined]])/365</f>
        <v>3.0876712328767124</v>
      </c>
      <c r="J24" s="9">
        <f ca="1">(IF(Staff[Tenure]&gt;=2,3%,2%))*Staff[[#This Row],[Salary]]</f>
        <v>1445.1</v>
      </c>
      <c r="K24">
        <f>VLOOKUP(Staff[[#This Row],[Rating]],'Rating Count'!$B$2:$C$6,2,FALSE)</f>
        <v>4</v>
      </c>
      <c r="N24" s="18" t="s">
        <v>1</v>
      </c>
      <c r="O24" s="14" t="str">
        <f>VLOOKUP($O$22,Staff[],2,FALSE)</f>
        <v>Male</v>
      </c>
    </row>
    <row r="25" spans="1:18" x14ac:dyDescent="0.25">
      <c r="A25" s="7" t="s">
        <v>123</v>
      </c>
      <c r="B25" s="7" t="s">
        <v>15</v>
      </c>
      <c r="C25" s="7" t="s">
        <v>21</v>
      </c>
      <c r="D25">
        <v>28</v>
      </c>
      <c r="E25" s="8">
        <v>43980</v>
      </c>
      <c r="F25" s="9">
        <v>48170</v>
      </c>
      <c r="G25" s="7" t="s">
        <v>13</v>
      </c>
      <c r="H25" s="7" t="s">
        <v>206</v>
      </c>
      <c r="I25" s="11">
        <f ca="1">(TODAY()-Staff[[#This Row],[Date Joined]])/365</f>
        <v>3.2547945205479452</v>
      </c>
      <c r="J25" s="9">
        <f ca="1">(IF(Staff[Tenure]&gt;=2,3%,2%))*Staff[[#This Row],[Salary]]</f>
        <v>1445.1</v>
      </c>
      <c r="K25">
        <f>VLOOKUP(Staff[[#This Row],[Rating]],'Rating Count'!$B$2:$C$6,2,FALSE)</f>
        <v>4</v>
      </c>
      <c r="N25" s="18" t="s">
        <v>3</v>
      </c>
      <c r="O25" s="14">
        <f>VLOOKUP($O$22,Staff[],4,FALSE)</f>
        <v>33</v>
      </c>
      <c r="Q25" s="26" t="s">
        <v>229</v>
      </c>
      <c r="R25">
        <f>COUNTIFS(Staff[Department],$R$13,Staff[Country],"NZ")</f>
        <v>27</v>
      </c>
    </row>
    <row r="26" spans="1:18" x14ac:dyDescent="0.25">
      <c r="A26" s="7" t="s">
        <v>51</v>
      </c>
      <c r="B26" s="7" t="s">
        <v>15</v>
      </c>
      <c r="C26" s="7" t="s">
        <v>9</v>
      </c>
      <c r="D26" s="7">
        <v>33</v>
      </c>
      <c r="E26" s="8">
        <v>44701</v>
      </c>
      <c r="F26" s="9">
        <v>48530</v>
      </c>
      <c r="G26" s="7" t="s">
        <v>13</v>
      </c>
      <c r="H26" s="7" t="s">
        <v>204</v>
      </c>
      <c r="I26" s="11">
        <f ca="1">(TODAY()-Staff[[#This Row],[Date Joined]])/365</f>
        <v>1.2794520547945205</v>
      </c>
      <c r="J26" s="9">
        <f ca="1">(IF(Staff[Tenure]&gt;=2,3%,2%))*Staff[[#This Row],[Salary]]</f>
        <v>970.6</v>
      </c>
      <c r="K26">
        <f>VLOOKUP(Staff[[#This Row],[Rating]],'Rating Count'!$B$2:$C$6,2,FALSE)</f>
        <v>4</v>
      </c>
      <c r="N26" s="18" t="s">
        <v>6</v>
      </c>
      <c r="O26" s="14" t="str">
        <f>VLOOKUP($O$22,Staff[],7,FALSE)</f>
        <v>Average</v>
      </c>
      <c r="Q26" s="26" t="s">
        <v>230</v>
      </c>
      <c r="R26" s="6">
        <f>AVERAGEIFS(Staff[Salary],Staff[Department],$R$13,Staff[Country],"NZ")</f>
        <v>81222.592592592599</v>
      </c>
    </row>
    <row r="27" spans="1:18" x14ac:dyDescent="0.25">
      <c r="A27" s="7" t="s">
        <v>144</v>
      </c>
      <c r="B27" s="7" t="s">
        <v>15</v>
      </c>
      <c r="C27" s="7" t="s">
        <v>9</v>
      </c>
      <c r="D27">
        <v>33</v>
      </c>
      <c r="E27" s="8">
        <v>44640</v>
      </c>
      <c r="F27" s="9">
        <v>48530</v>
      </c>
      <c r="G27" s="7" t="s">
        <v>13</v>
      </c>
      <c r="H27" s="7" t="s">
        <v>206</v>
      </c>
      <c r="I27" s="11">
        <f ca="1">(TODAY()-Staff[[#This Row],[Date Joined]])/365</f>
        <v>1.4465753424657535</v>
      </c>
      <c r="J27" s="9">
        <f ca="1">(IF(Staff[Tenure]&gt;=2,3%,2%))*Staff[[#This Row],[Salary]]</f>
        <v>970.6</v>
      </c>
      <c r="K27">
        <f>VLOOKUP(Staff[[#This Row],[Rating]],'Rating Count'!$B$2:$C$6,2,FALSE)</f>
        <v>4</v>
      </c>
      <c r="N27" s="18" t="s">
        <v>216</v>
      </c>
      <c r="O27" s="15">
        <f>VLOOKUP($O$22,Staff[],5,FALSE)</f>
        <v>44324</v>
      </c>
      <c r="Q27" s="26" t="s">
        <v>231</v>
      </c>
      <c r="R27" s="6">
        <f>_xlfn.AGGREGATE(14,4,(Staff[Department]=$R$13)*(Staff[Country]="NZ")*Staff[Salary],1)</f>
        <v>115920</v>
      </c>
    </row>
    <row r="28" spans="1:18" x14ac:dyDescent="0.25">
      <c r="A28" s="7" t="s">
        <v>14</v>
      </c>
      <c r="B28" s="7" t="s">
        <v>15</v>
      </c>
      <c r="C28" s="7" t="s">
        <v>12</v>
      </c>
      <c r="D28">
        <v>31</v>
      </c>
      <c r="E28" s="8">
        <v>44511</v>
      </c>
      <c r="F28" s="9">
        <v>48950</v>
      </c>
      <c r="G28" s="7" t="s">
        <v>16</v>
      </c>
      <c r="H28" s="7" t="s">
        <v>204</v>
      </c>
      <c r="I28" s="11">
        <f ca="1">(TODAY()-Staff[[#This Row],[Date Joined]])/365</f>
        <v>1.8</v>
      </c>
      <c r="J28" s="9">
        <f ca="1">(IF(Staff[Tenure]&gt;=2,3%,2%))*Staff[[#This Row],[Salary]]</f>
        <v>979</v>
      </c>
      <c r="K28">
        <f>VLOOKUP(Staff[[#This Row],[Rating]],'Rating Count'!$B$2:$C$6,2,FALSE)</f>
        <v>3</v>
      </c>
      <c r="N28" s="18" t="s">
        <v>2</v>
      </c>
      <c r="O28" s="14" t="str">
        <f>VLOOKUP($O$22,Staff[],3,FALSE)</f>
        <v>Sales</v>
      </c>
      <c r="Q28" s="26" t="s">
        <v>232</v>
      </c>
      <c r="R28" s="6">
        <f>_xlfn.AGGREGATE(15,2,1/((Staff[Department]=$R$13)*(Staff[Country]="NZ"))*Staff[Salary],1)</f>
        <v>37920</v>
      </c>
    </row>
    <row r="29" spans="1:18" x14ac:dyDescent="0.25">
      <c r="A29" s="7" t="s">
        <v>113</v>
      </c>
      <c r="B29" s="7" t="s">
        <v>15</v>
      </c>
      <c r="C29" s="7" t="s">
        <v>12</v>
      </c>
      <c r="D29">
        <v>31</v>
      </c>
      <c r="E29" s="8">
        <v>44450</v>
      </c>
      <c r="F29" s="9">
        <v>48950</v>
      </c>
      <c r="G29" s="7" t="s">
        <v>16</v>
      </c>
      <c r="H29" s="7" t="s">
        <v>206</v>
      </c>
      <c r="I29" s="11">
        <f ca="1">(TODAY()-Staff[[#This Row],[Date Joined]])/365</f>
        <v>1.9671232876712328</v>
      </c>
      <c r="J29" s="9">
        <f ca="1">(IF(Staff[Tenure]&gt;=2,3%,2%))*Staff[[#This Row],[Salary]]</f>
        <v>979</v>
      </c>
      <c r="K29">
        <f>VLOOKUP(Staff[[#This Row],[Rating]],'Rating Count'!$B$2:$C$6,2,FALSE)</f>
        <v>3</v>
      </c>
      <c r="N29" s="18" t="s">
        <v>5</v>
      </c>
      <c r="O29" s="16">
        <f>VLOOKUP($O$22,Staff[],6,FALSE)</f>
        <v>74550</v>
      </c>
      <c r="Q29" s="26" t="s">
        <v>233</v>
      </c>
      <c r="R29" s="22">
        <f>AVERAGEIFS(Staff[Age],Staff[Department],$R$13,Staff[Country],"NZ")</f>
        <v>29.555555555555557</v>
      </c>
    </row>
    <row r="30" spans="1:18" x14ac:dyDescent="0.25">
      <c r="A30" s="7" t="s">
        <v>53</v>
      </c>
      <c r="B30" s="7" t="s">
        <v>15</v>
      </c>
      <c r="C30" s="7" t="s">
        <v>21</v>
      </c>
      <c r="D30" s="7">
        <v>27</v>
      </c>
      <c r="E30" s="8">
        <v>44567</v>
      </c>
      <c r="F30" s="9">
        <v>48980</v>
      </c>
      <c r="G30" s="7" t="s">
        <v>16</v>
      </c>
      <c r="H30" s="7" t="s">
        <v>204</v>
      </c>
      <c r="I30" s="11">
        <f ca="1">(TODAY()-Staff[[#This Row],[Date Joined]])/365</f>
        <v>1.6465753424657534</v>
      </c>
      <c r="J30" s="9">
        <f ca="1">(IF(Staff[Tenure]&gt;=2,3%,2%))*Staff[[#This Row],[Salary]]</f>
        <v>979.6</v>
      </c>
      <c r="K30">
        <f>VLOOKUP(Staff[[#This Row],[Rating]],'Rating Count'!$B$2:$C$6,2,FALSE)</f>
        <v>3</v>
      </c>
      <c r="N30" s="18" t="s">
        <v>203</v>
      </c>
      <c r="O30" s="14" t="str">
        <f>VLOOKUP($O$22,Staff[],8,FALSE)</f>
        <v>IND</v>
      </c>
      <c r="Q30" s="26" t="s">
        <v>234</v>
      </c>
      <c r="R30" s="5">
        <f>(COUNTIFS(Staff[Department],$R$13,Staff[Country],"NZ",Staff[Rating],"Average"))/$R$15</f>
        <v>0.7857142857142857</v>
      </c>
    </row>
    <row r="31" spans="1:18" x14ac:dyDescent="0.25">
      <c r="A31" s="7" t="s">
        <v>146</v>
      </c>
      <c r="B31" s="7" t="s">
        <v>15</v>
      </c>
      <c r="C31" s="7" t="s">
        <v>21</v>
      </c>
      <c r="D31">
        <v>27</v>
      </c>
      <c r="E31" s="8">
        <v>44506</v>
      </c>
      <c r="F31" s="9">
        <v>48980</v>
      </c>
      <c r="G31" s="7" t="s">
        <v>16</v>
      </c>
      <c r="H31" s="7" t="s">
        <v>206</v>
      </c>
      <c r="I31" s="11">
        <f ca="1">(TODAY()-Staff[[#This Row],[Date Joined]])/365</f>
        <v>1.8136986301369864</v>
      </c>
      <c r="J31" s="9">
        <f ca="1">(IF(Staff[Tenure]&gt;=2,3%,2%))*Staff[[#This Row],[Salary]]</f>
        <v>979.6</v>
      </c>
      <c r="K31">
        <f>VLOOKUP(Staff[[#This Row],[Rating]],'Rating Count'!$B$2:$C$6,2,FALSE)</f>
        <v>3</v>
      </c>
      <c r="N31" s="18" t="s">
        <v>215</v>
      </c>
      <c r="O31" s="17">
        <f ca="1">VLOOKUP(O22,Staff[],9,FALSE)</f>
        <v>2.3123287671232875</v>
      </c>
      <c r="Q31" s="26" t="s">
        <v>235</v>
      </c>
      <c r="R31" s="5">
        <f>(COUNTIFS(Staff[Department],$R$13,Staff[Country],"NZ",Staff[Rating],"Poor"))/$R$15</f>
        <v>0</v>
      </c>
    </row>
    <row r="32" spans="1:18" x14ac:dyDescent="0.25">
      <c r="A32" s="7" t="s">
        <v>73</v>
      </c>
      <c r="B32" s="7" t="s">
        <v>8</v>
      </c>
      <c r="C32" s="7" t="s">
        <v>19</v>
      </c>
      <c r="D32">
        <v>34</v>
      </c>
      <c r="E32" s="8">
        <v>44721</v>
      </c>
      <c r="F32" s="9">
        <v>49630</v>
      </c>
      <c r="G32" s="7" t="s">
        <v>24</v>
      </c>
      <c r="H32" s="7" t="s">
        <v>204</v>
      </c>
      <c r="I32" s="11">
        <f ca="1">(TODAY()-Staff[[#This Row],[Date Joined]])/365</f>
        <v>1.2246575342465753</v>
      </c>
      <c r="J32" s="9">
        <f ca="1">(IF(Staff[Tenure]&gt;=2,3%,2%))*Staff[[#This Row],[Salary]]</f>
        <v>992.6</v>
      </c>
      <c r="K32">
        <f>VLOOKUP(Staff[[#This Row],[Rating]],'Rating Count'!$B$2:$C$6,2,FALSE)</f>
        <v>2</v>
      </c>
      <c r="Q32" s="26" t="s">
        <v>236</v>
      </c>
      <c r="R32">
        <f ca="1">COUNTIFS(Staff[Department],$R$13,Staff[Country],"NZ",Staff[Tenure],"&gt;2")</f>
        <v>7</v>
      </c>
    </row>
    <row r="33" spans="1:11" x14ac:dyDescent="0.25">
      <c r="A33" s="7" t="s">
        <v>165</v>
      </c>
      <c r="B33" s="7" t="s">
        <v>8</v>
      </c>
      <c r="C33" s="7" t="s">
        <v>19</v>
      </c>
      <c r="D33">
        <v>34</v>
      </c>
      <c r="E33" s="8">
        <v>44660</v>
      </c>
      <c r="F33" s="9">
        <v>49630</v>
      </c>
      <c r="G33" s="7" t="s">
        <v>24</v>
      </c>
      <c r="H33" s="7" t="s">
        <v>206</v>
      </c>
      <c r="I33" s="11">
        <f ca="1">(TODAY()-Staff[[#This Row],[Date Joined]])/365</f>
        <v>1.3917808219178083</v>
      </c>
      <c r="J33" s="9">
        <f ca="1">(IF(Staff[Tenure]&gt;=2,3%,2%))*Staff[[#This Row],[Salary]]</f>
        <v>992.6</v>
      </c>
      <c r="K33">
        <f>VLOOKUP(Staff[[#This Row],[Rating]],'Rating Count'!$B$2:$C$6,2,FALSE)</f>
        <v>2</v>
      </c>
    </row>
    <row r="34" spans="1:11" x14ac:dyDescent="0.25">
      <c r="A34" s="7" t="s">
        <v>63</v>
      </c>
      <c r="B34" s="7" t="s">
        <v>15</v>
      </c>
      <c r="C34" s="7" t="s">
        <v>21</v>
      </c>
      <c r="D34">
        <v>24</v>
      </c>
      <c r="E34" s="8">
        <v>44436</v>
      </c>
      <c r="F34" s="9">
        <v>52610</v>
      </c>
      <c r="G34" s="7" t="s">
        <v>24</v>
      </c>
      <c r="H34" s="7" t="s">
        <v>204</v>
      </c>
      <c r="I34" s="11">
        <f ca="1">(TODAY()-Staff[[#This Row],[Date Joined]])/365</f>
        <v>2.0054794520547947</v>
      </c>
      <c r="J34" s="9">
        <f ca="1">(IF(Staff[Tenure]&gt;=2,3%,2%))*Staff[[#This Row],[Salary]]</f>
        <v>1578.3</v>
      </c>
      <c r="K34">
        <f>VLOOKUP(Staff[[#This Row],[Rating]],'Rating Count'!$B$2:$C$6,2,FALSE)</f>
        <v>2</v>
      </c>
    </row>
    <row r="35" spans="1:11" x14ac:dyDescent="0.25">
      <c r="A35" s="7" t="s">
        <v>155</v>
      </c>
      <c r="B35" s="7" t="s">
        <v>15</v>
      </c>
      <c r="C35" s="7" t="s">
        <v>21</v>
      </c>
      <c r="D35">
        <v>24</v>
      </c>
      <c r="E35" s="8">
        <v>44375</v>
      </c>
      <c r="F35" s="9">
        <v>52610</v>
      </c>
      <c r="G35" s="7" t="s">
        <v>24</v>
      </c>
      <c r="H35" s="7" t="s">
        <v>206</v>
      </c>
      <c r="I35" s="11">
        <f ca="1">(TODAY()-Staff[[#This Row],[Date Joined]])/365</f>
        <v>2.1726027397260275</v>
      </c>
      <c r="J35" s="9">
        <f ca="1">(IF(Staff[Tenure]&gt;=2,3%,2%))*Staff[[#This Row],[Salary]]</f>
        <v>1578.3</v>
      </c>
      <c r="K35">
        <f>VLOOKUP(Staff[[#This Row],[Rating]],'Rating Count'!$B$2:$C$6,2,FALSE)</f>
        <v>2</v>
      </c>
    </row>
    <row r="36" spans="1:11" x14ac:dyDescent="0.25">
      <c r="A36" s="7" t="s">
        <v>75</v>
      </c>
      <c r="B36" s="7" t="s">
        <v>8</v>
      </c>
      <c r="C36" s="7" t="s">
        <v>19</v>
      </c>
      <c r="D36" s="7">
        <v>28</v>
      </c>
      <c r="E36" s="8">
        <v>44357</v>
      </c>
      <c r="F36" s="9">
        <v>53240</v>
      </c>
      <c r="G36" s="7" t="s">
        <v>16</v>
      </c>
      <c r="H36" s="7" t="s">
        <v>204</v>
      </c>
      <c r="I36" s="11">
        <f ca="1">(TODAY()-Staff[[#This Row],[Date Joined]])/365</f>
        <v>2.2219178082191782</v>
      </c>
      <c r="J36" s="9">
        <f ca="1">(IF(Staff[Tenure]&gt;=2,3%,2%))*Staff[[#This Row],[Salary]]</f>
        <v>1597.2</v>
      </c>
      <c r="K36">
        <f>VLOOKUP(Staff[[#This Row],[Rating]],'Rating Count'!$B$2:$C$6,2,FALSE)</f>
        <v>3</v>
      </c>
    </row>
    <row r="37" spans="1:11" x14ac:dyDescent="0.25">
      <c r="A37" s="7" t="s">
        <v>167</v>
      </c>
      <c r="B37" s="7" t="s">
        <v>8</v>
      </c>
      <c r="C37" s="7" t="s">
        <v>19</v>
      </c>
      <c r="D37">
        <v>28</v>
      </c>
      <c r="E37" s="8">
        <v>44296</v>
      </c>
      <c r="F37" s="9">
        <v>53240</v>
      </c>
      <c r="G37" s="7" t="s">
        <v>16</v>
      </c>
      <c r="H37" s="7" t="s">
        <v>206</v>
      </c>
      <c r="I37" s="11">
        <f ca="1">(TODAY()-Staff[[#This Row],[Date Joined]])/365</f>
        <v>2.3890410958904109</v>
      </c>
      <c r="J37" s="9">
        <f ca="1">(IF(Staff[Tenure]&gt;=2,3%,2%))*Staff[[#This Row],[Salary]]</f>
        <v>1597.2</v>
      </c>
      <c r="K37">
        <f>VLOOKUP(Staff[[#This Row],[Rating]],'Rating Count'!$B$2:$C$6,2,FALSE)</f>
        <v>3</v>
      </c>
    </row>
    <row r="38" spans="1:11" x14ac:dyDescent="0.25">
      <c r="A38" s="7" t="s">
        <v>65</v>
      </c>
      <c r="B38" s="7" t="s">
        <v>15</v>
      </c>
      <c r="C38" s="7" t="s">
        <v>19</v>
      </c>
      <c r="D38" s="7">
        <v>32</v>
      </c>
      <c r="E38" s="8">
        <v>44465</v>
      </c>
      <c r="F38" s="9">
        <v>53540</v>
      </c>
      <c r="G38" s="7" t="s">
        <v>16</v>
      </c>
      <c r="H38" s="7" t="s">
        <v>204</v>
      </c>
      <c r="I38" s="11">
        <f ca="1">(TODAY()-Staff[[#This Row],[Date Joined]])/365</f>
        <v>1.9260273972602739</v>
      </c>
      <c r="J38" s="9">
        <f ca="1">(IF(Staff[Tenure]&gt;=2,3%,2%))*Staff[[#This Row],[Salary]]</f>
        <v>1070.8</v>
      </c>
      <c r="K38">
        <f>VLOOKUP(Staff[[#This Row],[Rating]],'Rating Count'!$B$2:$C$6,2,FALSE)</f>
        <v>3</v>
      </c>
    </row>
    <row r="39" spans="1:11" x14ac:dyDescent="0.25">
      <c r="A39" s="7" t="s">
        <v>46</v>
      </c>
      <c r="B39" s="7" t="s">
        <v>15</v>
      </c>
      <c r="C39" s="7" t="s">
        <v>9</v>
      </c>
      <c r="D39">
        <v>26</v>
      </c>
      <c r="E39" s="8">
        <v>44411</v>
      </c>
      <c r="F39" s="9">
        <v>53540</v>
      </c>
      <c r="G39" s="7" t="s">
        <v>16</v>
      </c>
      <c r="H39" s="7" t="s">
        <v>204</v>
      </c>
      <c r="I39" s="11">
        <f ca="1">(TODAY()-Staff[[#This Row],[Date Joined]])/365</f>
        <v>2.0739726027397261</v>
      </c>
      <c r="J39" s="9">
        <f ca="1">(IF(Staff[Tenure]&gt;=2,3%,2%))*Staff[[#This Row],[Salary]]</f>
        <v>1606.2</v>
      </c>
      <c r="K39">
        <f>VLOOKUP(Staff[[#This Row],[Rating]],'Rating Count'!$B$2:$C$6,2,FALSE)</f>
        <v>3</v>
      </c>
    </row>
    <row r="40" spans="1:11" x14ac:dyDescent="0.25">
      <c r="A40" s="7" t="s">
        <v>157</v>
      </c>
      <c r="B40" s="7" t="s">
        <v>15</v>
      </c>
      <c r="C40" s="7" t="s">
        <v>19</v>
      </c>
      <c r="D40">
        <v>32</v>
      </c>
      <c r="E40" s="8">
        <v>44403</v>
      </c>
      <c r="F40" s="9">
        <v>53540</v>
      </c>
      <c r="G40" s="7" t="s">
        <v>16</v>
      </c>
      <c r="H40" s="7" t="s">
        <v>206</v>
      </c>
      <c r="I40" s="11">
        <f ca="1">(TODAY()-Staff[[#This Row],[Date Joined]])/365</f>
        <v>2.095890410958904</v>
      </c>
      <c r="J40" s="9">
        <f ca="1">(IF(Staff[Tenure]&gt;=2,3%,2%))*Staff[[#This Row],[Salary]]</f>
        <v>1606.2</v>
      </c>
      <c r="K40">
        <f>VLOOKUP(Staff[[#This Row],[Rating]],'Rating Count'!$B$2:$C$6,2,FALSE)</f>
        <v>3</v>
      </c>
    </row>
    <row r="41" spans="1:11" x14ac:dyDescent="0.25">
      <c r="A41" s="7" t="s">
        <v>139</v>
      </c>
      <c r="B41" s="7" t="s">
        <v>15</v>
      </c>
      <c r="C41" s="7" t="s">
        <v>9</v>
      </c>
      <c r="D41">
        <v>26</v>
      </c>
      <c r="E41" s="8">
        <v>44350</v>
      </c>
      <c r="F41" s="9">
        <v>53540</v>
      </c>
      <c r="G41" s="7" t="s">
        <v>16</v>
      </c>
      <c r="H41" s="7" t="s">
        <v>206</v>
      </c>
      <c r="I41" s="11">
        <f ca="1">(TODAY()-Staff[[#This Row],[Date Joined]])/365</f>
        <v>2.2410958904109588</v>
      </c>
      <c r="J41" s="9">
        <f ca="1">(IF(Staff[Tenure]&gt;=2,3%,2%))*Staff[[#This Row],[Salary]]</f>
        <v>1606.2</v>
      </c>
      <c r="K41">
        <f>VLOOKUP(Staff[[#This Row],[Rating]],'Rating Count'!$B$2:$C$6,2,FALSE)</f>
        <v>3</v>
      </c>
    </row>
    <row r="42" spans="1:11" x14ac:dyDescent="0.25">
      <c r="A42" s="7" t="s">
        <v>82</v>
      </c>
      <c r="B42" s="7" t="s">
        <v>15</v>
      </c>
      <c r="C42" s="7" t="s">
        <v>12</v>
      </c>
      <c r="D42" s="7">
        <v>33</v>
      </c>
      <c r="E42" s="8">
        <v>44509</v>
      </c>
      <c r="F42" s="9">
        <v>53870</v>
      </c>
      <c r="G42" s="7" t="s">
        <v>16</v>
      </c>
      <c r="H42" s="7" t="s">
        <v>204</v>
      </c>
      <c r="I42" s="11">
        <f ca="1">(TODAY()-Staff[[#This Row],[Date Joined]])/365</f>
        <v>1.8054794520547945</v>
      </c>
      <c r="J42" s="9">
        <f ca="1">(IF(Staff[Tenure]&gt;=2,3%,2%))*Staff[[#This Row],[Salary]]</f>
        <v>1077.4000000000001</v>
      </c>
      <c r="K42">
        <f>VLOOKUP(Staff[[#This Row],[Rating]],'Rating Count'!$B$2:$C$6,2,FALSE)</f>
        <v>3</v>
      </c>
    </row>
    <row r="43" spans="1:11" x14ac:dyDescent="0.25">
      <c r="A43" s="7" t="s">
        <v>174</v>
      </c>
      <c r="B43" s="7" t="s">
        <v>15</v>
      </c>
      <c r="C43" s="7" t="s">
        <v>12</v>
      </c>
      <c r="D43">
        <v>33</v>
      </c>
      <c r="E43" s="8">
        <v>44448</v>
      </c>
      <c r="F43" s="9">
        <v>53870</v>
      </c>
      <c r="G43" s="7" t="s">
        <v>16</v>
      </c>
      <c r="H43" s="7" t="s">
        <v>206</v>
      </c>
      <c r="I43" s="11">
        <f ca="1">(TODAY()-Staff[[#This Row],[Date Joined]])/365</f>
        <v>1.9726027397260273</v>
      </c>
      <c r="J43" s="9">
        <f ca="1">(IF(Staff[Tenure]&gt;=2,3%,2%))*Staff[[#This Row],[Salary]]</f>
        <v>1077.4000000000001</v>
      </c>
      <c r="K43">
        <f>VLOOKUP(Staff[[#This Row],[Rating]],'Rating Count'!$B$2:$C$6,2,FALSE)</f>
        <v>3</v>
      </c>
    </row>
    <row r="44" spans="1:11" x14ac:dyDescent="0.25">
      <c r="A44" s="7" t="s">
        <v>89</v>
      </c>
      <c r="B44" s="7" t="s">
        <v>15</v>
      </c>
      <c r="C44" s="7" t="s">
        <v>19</v>
      </c>
      <c r="D44">
        <v>27</v>
      </c>
      <c r="E44" s="8">
        <v>44134</v>
      </c>
      <c r="F44" s="9">
        <v>54970</v>
      </c>
      <c r="G44" s="7" t="s">
        <v>16</v>
      </c>
      <c r="H44" s="7" t="s">
        <v>204</v>
      </c>
      <c r="I44" s="11">
        <f ca="1">(TODAY()-Staff[[#This Row],[Date Joined]])/365</f>
        <v>2.8328767123287673</v>
      </c>
      <c r="J44" s="9">
        <f ca="1">(IF(Staff[Tenure]&gt;=2,3%,2%))*Staff[[#This Row],[Salary]]</f>
        <v>1649.1</v>
      </c>
      <c r="K44">
        <f>VLOOKUP(Staff[[#This Row],[Rating]],'Rating Count'!$B$2:$C$6,2,FALSE)</f>
        <v>3</v>
      </c>
    </row>
    <row r="45" spans="1:11" x14ac:dyDescent="0.25">
      <c r="A45" s="7" t="s">
        <v>182</v>
      </c>
      <c r="B45" s="7" t="s">
        <v>15</v>
      </c>
      <c r="C45" s="7" t="s">
        <v>19</v>
      </c>
      <c r="D45">
        <v>27</v>
      </c>
      <c r="E45" s="8">
        <v>44073</v>
      </c>
      <c r="F45" s="9">
        <v>54970</v>
      </c>
      <c r="G45" s="7" t="s">
        <v>16</v>
      </c>
      <c r="H45" s="7" t="s">
        <v>206</v>
      </c>
      <c r="I45" s="11">
        <f ca="1">(TODAY()-Staff[[#This Row],[Date Joined]])/365</f>
        <v>3</v>
      </c>
      <c r="J45" s="9">
        <f ca="1">(IF(Staff[Tenure]&gt;=2,3%,2%))*Staff[[#This Row],[Salary]]</f>
        <v>1649.1</v>
      </c>
      <c r="K45">
        <f>VLOOKUP(Staff[[#This Row],[Rating]],'Rating Count'!$B$2:$C$6,2,FALSE)</f>
        <v>3</v>
      </c>
    </row>
    <row r="46" spans="1:11" x14ac:dyDescent="0.25">
      <c r="A46" s="7" t="s">
        <v>109</v>
      </c>
      <c r="B46" s="7" t="s">
        <v>8</v>
      </c>
      <c r="C46" s="7" t="s">
        <v>19</v>
      </c>
      <c r="D46">
        <v>38</v>
      </c>
      <c r="E46" s="8">
        <v>44329</v>
      </c>
      <c r="F46" s="9">
        <v>56870</v>
      </c>
      <c r="G46" s="7" t="s">
        <v>13</v>
      </c>
      <c r="H46" s="7" t="s">
        <v>204</v>
      </c>
      <c r="I46" s="11">
        <f ca="1">(TODAY()-Staff[[#This Row],[Date Joined]])/365</f>
        <v>2.2986301369863016</v>
      </c>
      <c r="J46" s="9">
        <f ca="1">(IF(Staff[Tenure]&gt;=2,3%,2%))*Staff[[#This Row],[Salary]]</f>
        <v>1706.1</v>
      </c>
      <c r="K46">
        <f>VLOOKUP(Staff[[#This Row],[Rating]],'Rating Count'!$B$2:$C$6,2,FALSE)</f>
        <v>4</v>
      </c>
    </row>
    <row r="47" spans="1:11" x14ac:dyDescent="0.25">
      <c r="A47" s="7" t="s">
        <v>202</v>
      </c>
      <c r="B47" s="7" t="s">
        <v>8</v>
      </c>
      <c r="C47" s="7" t="s">
        <v>19</v>
      </c>
      <c r="D47">
        <v>38</v>
      </c>
      <c r="E47" s="8">
        <v>44268</v>
      </c>
      <c r="F47" s="9">
        <v>56870</v>
      </c>
      <c r="G47" s="7" t="s">
        <v>13</v>
      </c>
      <c r="H47" s="7" t="s">
        <v>206</v>
      </c>
      <c r="I47" s="11">
        <f ca="1">(TODAY()-Staff[[#This Row],[Date Joined]])/365</f>
        <v>2.4657534246575343</v>
      </c>
      <c r="J47" s="9">
        <f ca="1">(IF(Staff[Tenure]&gt;=2,3%,2%))*Staff[[#This Row],[Salary]]</f>
        <v>1706.1</v>
      </c>
      <c r="K47">
        <f>VLOOKUP(Staff[[#This Row],[Rating]],'Rating Count'!$B$2:$C$6,2,FALSE)</f>
        <v>4</v>
      </c>
    </row>
    <row r="48" spans="1:11" x14ac:dyDescent="0.25">
      <c r="A48" s="7" t="s">
        <v>31</v>
      </c>
      <c r="B48" s="7" t="s">
        <v>15</v>
      </c>
      <c r="C48" s="7" t="s">
        <v>9</v>
      </c>
      <c r="D48" s="7">
        <v>21</v>
      </c>
      <c r="E48" s="8">
        <v>44762</v>
      </c>
      <c r="F48" s="9">
        <v>57090</v>
      </c>
      <c r="G48" s="7" t="s">
        <v>16</v>
      </c>
      <c r="H48" s="7" t="s">
        <v>204</v>
      </c>
      <c r="I48" s="11">
        <f ca="1">(TODAY()-Staff[[#This Row],[Date Joined]])/365</f>
        <v>1.1123287671232878</v>
      </c>
      <c r="J48" s="9">
        <f ca="1">(IF(Staff[Tenure]&gt;=2,3%,2%))*Staff[[#This Row],[Salary]]</f>
        <v>1141.8</v>
      </c>
      <c r="K48">
        <f>VLOOKUP(Staff[[#This Row],[Rating]],'Rating Count'!$B$2:$C$6,2,FALSE)</f>
        <v>3</v>
      </c>
    </row>
    <row r="49" spans="1:11" x14ac:dyDescent="0.25">
      <c r="A49" s="7" t="s">
        <v>125</v>
      </c>
      <c r="B49" s="7" t="s">
        <v>15</v>
      </c>
      <c r="C49" s="7" t="s">
        <v>9</v>
      </c>
      <c r="D49">
        <v>21</v>
      </c>
      <c r="E49" s="8">
        <v>44701</v>
      </c>
      <c r="F49" s="9">
        <v>57090</v>
      </c>
      <c r="G49" s="7" t="s">
        <v>16</v>
      </c>
      <c r="H49" s="7" t="s">
        <v>206</v>
      </c>
      <c r="I49" s="11">
        <f ca="1">(TODAY()-Staff[[#This Row],[Date Joined]])/365</f>
        <v>1.2794520547945205</v>
      </c>
      <c r="J49" s="9">
        <f ca="1">(IF(Staff[Tenure]&gt;=2,3%,2%))*Staff[[#This Row],[Salary]]</f>
        <v>1141.8</v>
      </c>
      <c r="K49">
        <f>VLOOKUP(Staff[[#This Row],[Rating]],'Rating Count'!$B$2:$C$6,2,FALSE)</f>
        <v>3</v>
      </c>
    </row>
    <row r="50" spans="1:11" x14ac:dyDescent="0.25">
      <c r="A50" s="7" t="s">
        <v>26</v>
      </c>
      <c r="B50" s="7" t="s">
        <v>8</v>
      </c>
      <c r="C50" s="7" t="s">
        <v>12</v>
      </c>
      <c r="D50" s="7">
        <v>31</v>
      </c>
      <c r="E50" s="8">
        <v>44663</v>
      </c>
      <c r="F50" s="9">
        <v>58100</v>
      </c>
      <c r="G50" s="7" t="s">
        <v>16</v>
      </c>
      <c r="H50" s="7" t="s">
        <v>204</v>
      </c>
      <c r="I50" s="11">
        <f ca="1">(TODAY()-Staff[[#This Row],[Date Joined]])/365</f>
        <v>1.3835616438356164</v>
      </c>
      <c r="J50" s="9">
        <f ca="1">(IF(Staff[Tenure]&gt;=2,3%,2%))*Staff[[#This Row],[Salary]]</f>
        <v>1162</v>
      </c>
      <c r="K50">
        <f>VLOOKUP(Staff[[#This Row],[Rating]],'Rating Count'!$B$2:$C$6,2,FALSE)</f>
        <v>3</v>
      </c>
    </row>
    <row r="51" spans="1:11" x14ac:dyDescent="0.25">
      <c r="A51" s="7" t="s">
        <v>120</v>
      </c>
      <c r="B51" s="7" t="s">
        <v>8</v>
      </c>
      <c r="C51" s="7" t="s">
        <v>12</v>
      </c>
      <c r="D51">
        <v>31</v>
      </c>
      <c r="E51" s="8">
        <v>44604</v>
      </c>
      <c r="F51" s="9">
        <v>58100</v>
      </c>
      <c r="G51" s="7" t="s">
        <v>16</v>
      </c>
      <c r="H51" s="7" t="s">
        <v>206</v>
      </c>
      <c r="I51" s="11">
        <f ca="1">(TODAY()-Staff[[#This Row],[Date Joined]])/365</f>
        <v>1.5452054794520549</v>
      </c>
      <c r="J51" s="9">
        <f ca="1">(IF(Staff[Tenure]&gt;=2,3%,2%))*Staff[[#This Row],[Salary]]</f>
        <v>1162</v>
      </c>
      <c r="K51">
        <f>VLOOKUP(Staff[[#This Row],[Rating]],'Rating Count'!$B$2:$C$6,2,FALSE)</f>
        <v>3</v>
      </c>
    </row>
    <row r="52" spans="1:11" x14ac:dyDescent="0.25">
      <c r="A52" s="7" t="s">
        <v>36</v>
      </c>
      <c r="B52" s="7" t="s">
        <v>8</v>
      </c>
      <c r="C52" s="7" t="s">
        <v>21</v>
      </c>
      <c r="D52" s="7">
        <v>34</v>
      </c>
      <c r="E52" s="8">
        <v>44653</v>
      </c>
      <c r="F52" s="9">
        <v>58940</v>
      </c>
      <c r="G52" s="7" t="s">
        <v>16</v>
      </c>
      <c r="H52" s="7" t="s">
        <v>204</v>
      </c>
      <c r="I52" s="11">
        <f ca="1">(TODAY()-Staff[[#This Row],[Date Joined]])/365</f>
        <v>1.4109589041095891</v>
      </c>
      <c r="J52" s="9">
        <f ca="1">(IF(Staff[Tenure]&gt;=2,3%,2%))*Staff[[#This Row],[Salary]]</f>
        <v>1178.8</v>
      </c>
      <c r="K52">
        <f>VLOOKUP(Staff[[#This Row],[Rating]],'Rating Count'!$B$2:$C$6,2,FALSE)</f>
        <v>3</v>
      </c>
    </row>
    <row r="53" spans="1:11" x14ac:dyDescent="0.25">
      <c r="A53" s="7" t="s">
        <v>130</v>
      </c>
      <c r="B53" s="7" t="s">
        <v>8</v>
      </c>
      <c r="C53" s="7" t="s">
        <v>21</v>
      </c>
      <c r="D53">
        <v>34</v>
      </c>
      <c r="E53" s="8">
        <v>44594</v>
      </c>
      <c r="F53" s="9">
        <v>58940</v>
      </c>
      <c r="G53" s="7" t="s">
        <v>16</v>
      </c>
      <c r="H53" s="7" t="s">
        <v>206</v>
      </c>
      <c r="I53" s="11">
        <f ca="1">(TODAY()-Staff[[#This Row],[Date Joined]])/365</f>
        <v>1.5726027397260274</v>
      </c>
      <c r="J53" s="9">
        <f ca="1">(IF(Staff[Tenure]&gt;=2,3%,2%))*Staff[[#This Row],[Salary]]</f>
        <v>1178.8</v>
      </c>
      <c r="K53">
        <f>VLOOKUP(Staff[[#This Row],[Rating]],'Rating Count'!$B$2:$C$6,2,FALSE)</f>
        <v>3</v>
      </c>
    </row>
    <row r="54" spans="1:11" x14ac:dyDescent="0.25">
      <c r="A54" s="7" t="s">
        <v>100</v>
      </c>
      <c r="B54" s="7" t="s">
        <v>15</v>
      </c>
      <c r="C54" s="7" t="s">
        <v>9</v>
      </c>
      <c r="D54">
        <v>19</v>
      </c>
      <c r="E54" s="8">
        <v>44277</v>
      </c>
      <c r="F54" s="9">
        <v>58960</v>
      </c>
      <c r="G54" s="7" t="s">
        <v>16</v>
      </c>
      <c r="H54" s="7" t="s">
        <v>204</v>
      </c>
      <c r="I54" s="11">
        <f ca="1">(TODAY()-Staff[[#This Row],[Date Joined]])/365</f>
        <v>2.441095890410959</v>
      </c>
      <c r="J54" s="9">
        <f ca="1">(IF(Staff[Tenure]&gt;=2,3%,2%))*Staff[[#This Row],[Salary]]</f>
        <v>1768.8</v>
      </c>
      <c r="K54">
        <f>VLOOKUP(Staff[[#This Row],[Rating]],'Rating Count'!$B$2:$C$6,2,FALSE)</f>
        <v>3</v>
      </c>
    </row>
    <row r="55" spans="1:11" x14ac:dyDescent="0.25">
      <c r="A55" s="7" t="s">
        <v>193</v>
      </c>
      <c r="B55" s="7" t="s">
        <v>15</v>
      </c>
      <c r="C55" s="7" t="s">
        <v>9</v>
      </c>
      <c r="D55">
        <v>19</v>
      </c>
      <c r="E55" s="8">
        <v>44218</v>
      </c>
      <c r="F55" s="9">
        <v>58960</v>
      </c>
      <c r="G55" s="7" t="s">
        <v>16</v>
      </c>
      <c r="H55" s="7" t="s">
        <v>206</v>
      </c>
      <c r="I55" s="11">
        <f ca="1">(TODAY()-Staff[[#This Row],[Date Joined]])/365</f>
        <v>2.6027397260273974</v>
      </c>
      <c r="J55" s="9">
        <f ca="1">(IF(Staff[Tenure]&gt;=2,3%,2%))*Staff[[#This Row],[Salary]]</f>
        <v>1768.8</v>
      </c>
      <c r="K55">
        <f>VLOOKUP(Staff[[#This Row],[Rating]],'Rating Count'!$B$2:$C$6,2,FALSE)</f>
        <v>3</v>
      </c>
    </row>
    <row r="56" spans="1:11" x14ac:dyDescent="0.25">
      <c r="A56" s="7" t="s">
        <v>79</v>
      </c>
      <c r="B56" s="7" t="s">
        <v>15</v>
      </c>
      <c r="C56" s="7" t="s">
        <v>21</v>
      </c>
      <c r="D56">
        <v>33</v>
      </c>
      <c r="E56" s="8">
        <v>44243</v>
      </c>
      <c r="F56" s="9">
        <v>59430</v>
      </c>
      <c r="G56" s="7" t="s">
        <v>16</v>
      </c>
      <c r="H56" s="7" t="s">
        <v>204</v>
      </c>
      <c r="I56" s="11">
        <f ca="1">(TODAY()-Staff[[#This Row],[Date Joined]])/365</f>
        <v>2.5342465753424657</v>
      </c>
      <c r="J56" s="9">
        <f ca="1">(IF(Staff[Tenure]&gt;=2,3%,2%))*Staff[[#This Row],[Salary]]</f>
        <v>1782.8999999999999</v>
      </c>
      <c r="K56">
        <f>VLOOKUP(Staff[[#This Row],[Rating]],'Rating Count'!$B$2:$C$6,2,FALSE)</f>
        <v>3</v>
      </c>
    </row>
    <row r="57" spans="1:11" x14ac:dyDescent="0.25">
      <c r="A57" s="7" t="s">
        <v>171</v>
      </c>
      <c r="B57" s="7" t="s">
        <v>15</v>
      </c>
      <c r="C57" s="7" t="s">
        <v>21</v>
      </c>
      <c r="D57">
        <v>33</v>
      </c>
      <c r="E57" s="8">
        <v>44181</v>
      </c>
      <c r="F57" s="9">
        <v>59430</v>
      </c>
      <c r="G57" s="7" t="s">
        <v>16</v>
      </c>
      <c r="H57" s="7" t="s">
        <v>206</v>
      </c>
      <c r="I57" s="11">
        <f ca="1">(TODAY()-Staff[[#This Row],[Date Joined]])/365</f>
        <v>2.7041095890410958</v>
      </c>
      <c r="J57" s="9">
        <f ca="1">(IF(Staff[Tenure]&gt;=2,3%,2%))*Staff[[#This Row],[Salary]]</f>
        <v>1782.8999999999999</v>
      </c>
      <c r="K57">
        <f>VLOOKUP(Staff[[#This Row],[Rating]],'Rating Count'!$B$2:$C$6,2,FALSE)</f>
        <v>3</v>
      </c>
    </row>
    <row r="58" spans="1:11" x14ac:dyDescent="0.25">
      <c r="A58" s="7" t="s">
        <v>38</v>
      </c>
      <c r="B58" s="7" t="s">
        <v>8</v>
      </c>
      <c r="C58" s="7" t="s">
        <v>21</v>
      </c>
      <c r="D58">
        <v>34</v>
      </c>
      <c r="E58" s="8">
        <v>44612</v>
      </c>
      <c r="F58" s="9">
        <v>60130</v>
      </c>
      <c r="G58" s="7" t="s">
        <v>16</v>
      </c>
      <c r="H58" s="7" t="s">
        <v>204</v>
      </c>
      <c r="I58" s="11">
        <f ca="1">(TODAY()-Staff[[#This Row],[Date Joined]])/365</f>
        <v>1.5232876712328767</v>
      </c>
      <c r="J58" s="9">
        <f ca="1">(IF(Staff[Tenure]&gt;=2,3%,2%))*Staff[[#This Row],[Salary]]</f>
        <v>1202.6000000000001</v>
      </c>
      <c r="K58">
        <f>VLOOKUP(Staff[[#This Row],[Rating]],'Rating Count'!$B$2:$C$6,2,FALSE)</f>
        <v>3</v>
      </c>
    </row>
    <row r="59" spans="1:11" x14ac:dyDescent="0.25">
      <c r="A59" s="7" t="s">
        <v>132</v>
      </c>
      <c r="B59" s="7" t="s">
        <v>8</v>
      </c>
      <c r="C59" s="7" t="s">
        <v>21</v>
      </c>
      <c r="D59">
        <v>34</v>
      </c>
      <c r="E59" s="8">
        <v>44550</v>
      </c>
      <c r="F59" s="9">
        <v>60130</v>
      </c>
      <c r="G59" s="7" t="s">
        <v>16</v>
      </c>
      <c r="H59" s="7" t="s">
        <v>206</v>
      </c>
      <c r="I59" s="11">
        <f ca="1">(TODAY()-Staff[[#This Row],[Date Joined]])/365</f>
        <v>1.6931506849315068</v>
      </c>
      <c r="J59" s="9">
        <f ca="1">(IF(Staff[Tenure]&gt;=2,3%,2%))*Staff[[#This Row],[Salary]]</f>
        <v>1202.6000000000001</v>
      </c>
      <c r="K59">
        <f>VLOOKUP(Staff[[#This Row],[Rating]],'Rating Count'!$B$2:$C$6,2,FALSE)</f>
        <v>3</v>
      </c>
    </row>
    <row r="60" spans="1:11" x14ac:dyDescent="0.25">
      <c r="A60" s="7" t="s">
        <v>37</v>
      </c>
      <c r="B60" s="7" t="s">
        <v>15</v>
      </c>
      <c r="C60" s="7" t="s">
        <v>9</v>
      </c>
      <c r="D60">
        <v>30</v>
      </c>
      <c r="E60" s="8">
        <v>44666</v>
      </c>
      <c r="F60" s="9">
        <v>60570</v>
      </c>
      <c r="G60" s="7" t="s">
        <v>16</v>
      </c>
      <c r="H60" s="7" t="s">
        <v>204</v>
      </c>
      <c r="I60" s="11">
        <f ca="1">(TODAY()-Staff[[#This Row],[Date Joined]])/365</f>
        <v>1.3753424657534246</v>
      </c>
      <c r="J60" s="9">
        <f ca="1">(IF(Staff[Tenure]&gt;=2,3%,2%))*Staff[[#This Row],[Salary]]</f>
        <v>1211.4000000000001</v>
      </c>
      <c r="K60">
        <f>VLOOKUP(Staff[[#This Row],[Rating]],'Rating Count'!$B$2:$C$6,2,FALSE)</f>
        <v>3</v>
      </c>
    </row>
    <row r="61" spans="1:11" x14ac:dyDescent="0.25">
      <c r="A61" s="7" t="s">
        <v>131</v>
      </c>
      <c r="B61" s="7" t="s">
        <v>15</v>
      </c>
      <c r="C61" s="7" t="s">
        <v>9</v>
      </c>
      <c r="D61">
        <v>30</v>
      </c>
      <c r="E61" s="8">
        <v>44607</v>
      </c>
      <c r="F61" s="9">
        <v>60570</v>
      </c>
      <c r="G61" s="7" t="s">
        <v>16</v>
      </c>
      <c r="H61" s="7" t="s">
        <v>206</v>
      </c>
      <c r="I61" s="11">
        <f ca="1">(TODAY()-Staff[[#This Row],[Date Joined]])/365</f>
        <v>1.536986301369863</v>
      </c>
      <c r="J61" s="9">
        <f ca="1">(IF(Staff[Tenure]&gt;=2,3%,2%))*Staff[[#This Row],[Salary]]</f>
        <v>1211.4000000000001</v>
      </c>
      <c r="K61">
        <f>VLOOKUP(Staff[[#This Row],[Rating]],'Rating Count'!$B$2:$C$6,2,FALSE)</f>
        <v>3</v>
      </c>
    </row>
    <row r="62" spans="1:11" x14ac:dyDescent="0.25">
      <c r="A62" s="7" t="s">
        <v>61</v>
      </c>
      <c r="B62" s="7" t="s">
        <v>8</v>
      </c>
      <c r="C62" s="7" t="s">
        <v>12</v>
      </c>
      <c r="D62" s="7">
        <v>24</v>
      </c>
      <c r="E62" s="8">
        <v>44148</v>
      </c>
      <c r="F62" s="9">
        <v>62780</v>
      </c>
      <c r="G62" s="7" t="s">
        <v>16</v>
      </c>
      <c r="H62" s="7" t="s">
        <v>204</v>
      </c>
      <c r="I62" s="11">
        <f ca="1">(TODAY()-Staff[[#This Row],[Date Joined]])/365</f>
        <v>2.7945205479452055</v>
      </c>
      <c r="J62" s="9">
        <f ca="1">(IF(Staff[Tenure]&gt;=2,3%,2%))*Staff[[#This Row],[Salary]]</f>
        <v>1883.3999999999999</v>
      </c>
      <c r="K62">
        <f>VLOOKUP(Staff[[#This Row],[Rating]],'Rating Count'!$B$2:$C$6,2,FALSE)</f>
        <v>3</v>
      </c>
    </row>
    <row r="63" spans="1:11" x14ac:dyDescent="0.25">
      <c r="A63" s="7" t="s">
        <v>153</v>
      </c>
      <c r="B63" s="7" t="s">
        <v>8</v>
      </c>
      <c r="C63" s="7" t="s">
        <v>12</v>
      </c>
      <c r="D63">
        <v>24</v>
      </c>
      <c r="E63" s="8">
        <v>44087</v>
      </c>
      <c r="F63" s="9">
        <v>62780</v>
      </c>
      <c r="G63" s="7" t="s">
        <v>16</v>
      </c>
      <c r="H63" s="7" t="s">
        <v>206</v>
      </c>
      <c r="I63" s="11">
        <f ca="1">(TODAY()-Staff[[#This Row],[Date Joined]])/365</f>
        <v>2.9616438356164383</v>
      </c>
      <c r="J63" s="9">
        <f ca="1">(IF(Staff[Tenure]&gt;=2,3%,2%))*Staff[[#This Row],[Salary]]</f>
        <v>1883.3999999999999</v>
      </c>
      <c r="K63">
        <f>VLOOKUP(Staff[[#This Row],[Rating]],'Rating Count'!$B$2:$C$6,2,FALSE)</f>
        <v>3</v>
      </c>
    </row>
    <row r="64" spans="1:11" x14ac:dyDescent="0.25">
      <c r="A64" s="7" t="s">
        <v>20</v>
      </c>
      <c r="B64" s="7" t="s">
        <v>205</v>
      </c>
      <c r="C64" s="7" t="s">
        <v>21</v>
      </c>
      <c r="D64">
        <v>30</v>
      </c>
      <c r="E64" s="8">
        <v>44597</v>
      </c>
      <c r="F64" s="9">
        <v>64000</v>
      </c>
      <c r="G64" s="7" t="s">
        <v>16</v>
      </c>
      <c r="H64" s="7" t="s">
        <v>204</v>
      </c>
      <c r="I64" s="11">
        <f ca="1">(TODAY()-Staff[[#This Row],[Date Joined]])/365</f>
        <v>1.5643835616438355</v>
      </c>
      <c r="J64" s="9">
        <f ca="1">(IF(Staff[Tenure]&gt;=2,3%,2%))*Staff[[#This Row],[Salary]]</f>
        <v>1280</v>
      </c>
      <c r="K64">
        <f>VLOOKUP(Staff[[#This Row],[Rating]],'Rating Count'!$B$2:$C$6,2,FALSE)</f>
        <v>3</v>
      </c>
    </row>
    <row r="65" spans="1:11" x14ac:dyDescent="0.25">
      <c r="A65" s="7" t="s">
        <v>116</v>
      </c>
      <c r="B65" s="7" t="s">
        <v>205</v>
      </c>
      <c r="C65" s="7" t="s">
        <v>21</v>
      </c>
      <c r="D65">
        <v>30</v>
      </c>
      <c r="E65" s="8">
        <v>44535</v>
      </c>
      <c r="F65" s="9">
        <v>64000</v>
      </c>
      <c r="G65" s="7" t="s">
        <v>16</v>
      </c>
      <c r="H65" s="7" t="s">
        <v>206</v>
      </c>
      <c r="I65" s="11">
        <f ca="1">(TODAY()-Staff[[#This Row],[Date Joined]])/365</f>
        <v>1.7342465753424658</v>
      </c>
      <c r="J65" s="9">
        <f ca="1">(IF(Staff[Tenure]&gt;=2,3%,2%))*Staff[[#This Row],[Salary]]</f>
        <v>1280</v>
      </c>
      <c r="K65">
        <f>VLOOKUP(Staff[[#This Row],[Rating]],'Rating Count'!$B$2:$C$6,2,FALSE)</f>
        <v>3</v>
      </c>
    </row>
    <row r="66" spans="1:11" x14ac:dyDescent="0.25">
      <c r="A66" s="7" t="s">
        <v>93</v>
      </c>
      <c r="B66" s="7" t="s">
        <v>8</v>
      </c>
      <c r="C66" s="7" t="s">
        <v>21</v>
      </c>
      <c r="D66">
        <v>33</v>
      </c>
      <c r="E66" s="8">
        <v>44067</v>
      </c>
      <c r="F66" s="9">
        <v>65360</v>
      </c>
      <c r="G66" s="7" t="s">
        <v>16</v>
      </c>
      <c r="H66" s="7" t="s">
        <v>204</v>
      </c>
      <c r="I66" s="11">
        <f ca="1">(TODAY()-Staff[[#This Row],[Date Joined]])/365</f>
        <v>3.0164383561643837</v>
      </c>
      <c r="J66" s="9">
        <f ca="1">(IF(Staff[Tenure]&gt;=2,3%,2%))*Staff[[#This Row],[Salary]]</f>
        <v>1960.8</v>
      </c>
      <c r="K66">
        <f>VLOOKUP(Staff[[#This Row],[Rating]],'Rating Count'!$B$2:$C$6,2,FALSE)</f>
        <v>3</v>
      </c>
    </row>
    <row r="67" spans="1:11" x14ac:dyDescent="0.25">
      <c r="A67" s="7" t="s">
        <v>186</v>
      </c>
      <c r="B67" s="7" t="s">
        <v>8</v>
      </c>
      <c r="C67" s="7" t="s">
        <v>21</v>
      </c>
      <c r="D67">
        <v>33</v>
      </c>
      <c r="E67" s="8">
        <v>44006</v>
      </c>
      <c r="F67" s="9">
        <v>65360</v>
      </c>
      <c r="G67" s="7" t="s">
        <v>16</v>
      </c>
      <c r="H67" s="7" t="s">
        <v>206</v>
      </c>
      <c r="I67" s="11">
        <f ca="1">(TODAY()-Staff[[#This Row],[Date Joined]])/365</f>
        <v>3.1835616438356165</v>
      </c>
      <c r="J67" s="9">
        <f ca="1">(IF(Staff[Tenure]&gt;=2,3%,2%))*Staff[[#This Row],[Salary]]</f>
        <v>1960.8</v>
      </c>
      <c r="K67">
        <f>VLOOKUP(Staff[[#This Row],[Rating]],'Rating Count'!$B$2:$C$6,2,FALSE)</f>
        <v>3</v>
      </c>
    </row>
    <row r="68" spans="1:11" x14ac:dyDescent="0.25">
      <c r="A68" s="7" t="s">
        <v>76</v>
      </c>
      <c r="B68" s="7" t="s">
        <v>15</v>
      </c>
      <c r="C68" s="7" t="s">
        <v>19</v>
      </c>
      <c r="D68" s="7">
        <v>25</v>
      </c>
      <c r="E68" s="8">
        <v>44383</v>
      </c>
      <c r="F68" s="9">
        <v>65700</v>
      </c>
      <c r="G68" s="7" t="s">
        <v>16</v>
      </c>
      <c r="H68" s="7" t="s">
        <v>204</v>
      </c>
      <c r="I68" s="11">
        <f ca="1">(TODAY()-Staff[[#This Row],[Date Joined]])/365</f>
        <v>2.1506849315068495</v>
      </c>
      <c r="J68" s="9">
        <f ca="1">(IF(Staff[Tenure]&gt;=2,3%,2%))*Staff[[#This Row],[Salary]]</f>
        <v>1971</v>
      </c>
      <c r="K68">
        <f>VLOOKUP(Staff[[#This Row],[Rating]],'Rating Count'!$B$2:$C$6,2,FALSE)</f>
        <v>3</v>
      </c>
    </row>
    <row r="69" spans="1:11" x14ac:dyDescent="0.25">
      <c r="A69" s="7" t="s">
        <v>168</v>
      </c>
      <c r="B69" s="7" t="s">
        <v>15</v>
      </c>
      <c r="C69" s="7" t="s">
        <v>19</v>
      </c>
      <c r="D69">
        <v>25</v>
      </c>
      <c r="E69" s="8">
        <v>44322</v>
      </c>
      <c r="F69" s="9">
        <v>65700</v>
      </c>
      <c r="G69" s="7" t="s">
        <v>16</v>
      </c>
      <c r="H69" s="7" t="s">
        <v>206</v>
      </c>
      <c r="I69" s="11">
        <f ca="1">(TODAY()-Staff[[#This Row],[Date Joined]])/365</f>
        <v>2.3178082191780822</v>
      </c>
      <c r="J69" s="9">
        <f ca="1">(IF(Staff[Tenure]&gt;=2,3%,2%))*Staff[[#This Row],[Salary]]</f>
        <v>1971</v>
      </c>
      <c r="K69">
        <f>VLOOKUP(Staff[[#This Row],[Rating]],'Rating Count'!$B$2:$C$6,2,FALSE)</f>
        <v>3</v>
      </c>
    </row>
    <row r="70" spans="1:11" x14ac:dyDescent="0.25">
      <c r="A70" s="7" t="s">
        <v>32</v>
      </c>
      <c r="B70" s="7" t="s">
        <v>8</v>
      </c>
      <c r="C70" s="7" t="s">
        <v>21</v>
      </c>
      <c r="D70">
        <v>21</v>
      </c>
      <c r="E70" s="8">
        <v>44317</v>
      </c>
      <c r="F70" s="9">
        <v>65920</v>
      </c>
      <c r="G70" s="7" t="s">
        <v>16</v>
      </c>
      <c r="H70" s="7" t="s">
        <v>204</v>
      </c>
      <c r="I70" s="11">
        <f ca="1">(TODAY()-Staff[[#This Row],[Date Joined]])/365</f>
        <v>2.3315068493150686</v>
      </c>
      <c r="J70" s="9">
        <f ca="1">(IF(Staff[Tenure]&gt;=2,3%,2%))*Staff[[#This Row],[Salary]]</f>
        <v>1977.6</v>
      </c>
      <c r="K70">
        <f>VLOOKUP(Staff[[#This Row],[Rating]],'Rating Count'!$B$2:$C$6,2,FALSE)</f>
        <v>3</v>
      </c>
    </row>
    <row r="71" spans="1:11" x14ac:dyDescent="0.25">
      <c r="A71" s="7" t="s">
        <v>126</v>
      </c>
      <c r="B71" s="7" t="s">
        <v>8</v>
      </c>
      <c r="C71" s="7" t="s">
        <v>21</v>
      </c>
      <c r="D71">
        <v>21</v>
      </c>
      <c r="E71" s="8">
        <v>44256</v>
      </c>
      <c r="F71" s="9">
        <v>65920</v>
      </c>
      <c r="G71" s="7" t="s">
        <v>16</v>
      </c>
      <c r="H71" s="7" t="s">
        <v>206</v>
      </c>
      <c r="I71" s="11">
        <f ca="1">(TODAY()-Staff[[#This Row],[Date Joined]])/365</f>
        <v>2.4986301369863013</v>
      </c>
      <c r="J71" s="9">
        <f ca="1">(IF(Staff[Tenure]&gt;=2,3%,2%))*Staff[[#This Row],[Salary]]</f>
        <v>1977.6</v>
      </c>
      <c r="K71">
        <f>VLOOKUP(Staff[[#This Row],[Rating]],'Rating Count'!$B$2:$C$6,2,FALSE)</f>
        <v>3</v>
      </c>
    </row>
    <row r="72" spans="1:11" x14ac:dyDescent="0.25">
      <c r="A72" s="7" t="s">
        <v>27</v>
      </c>
      <c r="B72" s="7" t="s">
        <v>8</v>
      </c>
      <c r="C72" s="7" t="s">
        <v>21</v>
      </c>
      <c r="D72" s="7">
        <v>30</v>
      </c>
      <c r="E72" s="8">
        <v>44389</v>
      </c>
      <c r="F72" s="9">
        <v>67910</v>
      </c>
      <c r="G72" s="7" t="s">
        <v>24</v>
      </c>
      <c r="H72" s="7" t="s">
        <v>204</v>
      </c>
      <c r="I72" s="11">
        <f ca="1">(TODAY()-Staff[[#This Row],[Date Joined]])/365</f>
        <v>2.1342465753424658</v>
      </c>
      <c r="J72" s="9">
        <f ca="1">(IF(Staff[Tenure]&gt;=2,3%,2%))*Staff[[#This Row],[Salary]]</f>
        <v>2037.3</v>
      </c>
      <c r="K72">
        <f>VLOOKUP(Staff[[#This Row],[Rating]],'Rating Count'!$B$2:$C$6,2,FALSE)</f>
        <v>2</v>
      </c>
    </row>
    <row r="73" spans="1:11" x14ac:dyDescent="0.25">
      <c r="A73" s="7" t="s">
        <v>121</v>
      </c>
      <c r="B73" s="7" t="s">
        <v>8</v>
      </c>
      <c r="C73" s="7" t="s">
        <v>21</v>
      </c>
      <c r="D73">
        <v>30</v>
      </c>
      <c r="E73" s="8">
        <v>44328</v>
      </c>
      <c r="F73" s="9">
        <v>67910</v>
      </c>
      <c r="G73" s="7" t="s">
        <v>24</v>
      </c>
      <c r="H73" s="7" t="s">
        <v>206</v>
      </c>
      <c r="I73" s="11">
        <f ca="1">(TODAY()-Staff[[#This Row],[Date Joined]])/365</f>
        <v>2.3013698630136985</v>
      </c>
      <c r="J73" s="9">
        <f ca="1">(IF(Staff[Tenure]&gt;=2,3%,2%))*Staff[[#This Row],[Salary]]</f>
        <v>2037.3</v>
      </c>
      <c r="K73">
        <f>VLOOKUP(Staff[[#This Row],[Rating]],'Rating Count'!$B$2:$C$6,2,FALSE)</f>
        <v>2</v>
      </c>
    </row>
    <row r="74" spans="1:11" x14ac:dyDescent="0.25">
      <c r="A74" s="7" t="s">
        <v>45</v>
      </c>
      <c r="B74" s="7" t="s">
        <v>15</v>
      </c>
      <c r="C74" s="7" t="s">
        <v>9</v>
      </c>
      <c r="D74">
        <v>30</v>
      </c>
      <c r="E74" s="8">
        <v>44701</v>
      </c>
      <c r="F74" s="9">
        <v>67950</v>
      </c>
      <c r="G74" s="7" t="s">
        <v>16</v>
      </c>
      <c r="H74" s="7" t="s">
        <v>204</v>
      </c>
      <c r="I74" s="11">
        <f ca="1">(TODAY()-Staff[[#This Row],[Date Joined]])/365</f>
        <v>1.2794520547945205</v>
      </c>
      <c r="J74" s="9">
        <f ca="1">(IF(Staff[Tenure]&gt;=2,3%,2%))*Staff[[#This Row],[Salary]]</f>
        <v>1359</v>
      </c>
      <c r="K74">
        <f>VLOOKUP(Staff[[#This Row],[Rating]],'Rating Count'!$B$2:$C$6,2,FALSE)</f>
        <v>3</v>
      </c>
    </row>
    <row r="75" spans="1:11" x14ac:dyDescent="0.25">
      <c r="A75" s="7" t="s">
        <v>138</v>
      </c>
      <c r="B75" s="7" t="s">
        <v>15</v>
      </c>
      <c r="C75" s="7" t="s">
        <v>9</v>
      </c>
      <c r="D75">
        <v>30</v>
      </c>
      <c r="E75" s="8">
        <v>44640</v>
      </c>
      <c r="F75" s="9">
        <v>67950</v>
      </c>
      <c r="G75" s="7" t="s">
        <v>16</v>
      </c>
      <c r="H75" s="7" t="s">
        <v>206</v>
      </c>
      <c r="I75" s="11">
        <f ca="1">(TODAY()-Staff[[#This Row],[Date Joined]])/365</f>
        <v>1.4465753424657535</v>
      </c>
      <c r="J75" s="9">
        <f ca="1">(IF(Staff[Tenure]&gt;=2,3%,2%))*Staff[[#This Row],[Salary]]</f>
        <v>1359</v>
      </c>
      <c r="K75">
        <f>VLOOKUP(Staff[[#This Row],[Rating]],'Rating Count'!$B$2:$C$6,2,FALSE)</f>
        <v>3</v>
      </c>
    </row>
    <row r="76" spans="1:11" x14ac:dyDescent="0.25">
      <c r="A76" s="7" t="s">
        <v>91</v>
      </c>
      <c r="B76" s="7" t="s">
        <v>8</v>
      </c>
      <c r="C76" s="7" t="s">
        <v>19</v>
      </c>
      <c r="D76">
        <v>20</v>
      </c>
      <c r="E76" s="8">
        <v>44537</v>
      </c>
      <c r="F76" s="9">
        <v>68900</v>
      </c>
      <c r="G76" s="7" t="s">
        <v>24</v>
      </c>
      <c r="H76" s="7" t="s">
        <v>204</v>
      </c>
      <c r="I76" s="11">
        <f ca="1">(TODAY()-Staff[[#This Row],[Date Joined]])/365</f>
        <v>1.7287671232876711</v>
      </c>
      <c r="J76" s="9">
        <f ca="1">(IF(Staff[Tenure]&gt;=2,3%,2%))*Staff[[#This Row],[Salary]]</f>
        <v>1378</v>
      </c>
      <c r="K76">
        <f>VLOOKUP(Staff[[#This Row],[Rating]],'Rating Count'!$B$2:$C$6,2,FALSE)</f>
        <v>2</v>
      </c>
    </row>
    <row r="77" spans="1:11" x14ac:dyDescent="0.25">
      <c r="A77" s="7" t="s">
        <v>184</v>
      </c>
      <c r="B77" s="7" t="s">
        <v>8</v>
      </c>
      <c r="C77" s="7" t="s">
        <v>19</v>
      </c>
      <c r="D77">
        <v>20</v>
      </c>
      <c r="E77" s="8">
        <v>44476</v>
      </c>
      <c r="F77" s="9">
        <v>68900</v>
      </c>
      <c r="G77" s="7" t="s">
        <v>24</v>
      </c>
      <c r="H77" s="7" t="s">
        <v>206</v>
      </c>
      <c r="I77" s="11">
        <f ca="1">(TODAY()-Staff[[#This Row],[Date Joined]])/365</f>
        <v>1.8958904109589041</v>
      </c>
      <c r="J77" s="9">
        <f ca="1">(IF(Staff[Tenure]&gt;=2,3%,2%))*Staff[[#This Row],[Salary]]</f>
        <v>1378</v>
      </c>
      <c r="K77">
        <f>VLOOKUP(Staff[[#This Row],[Rating]],'Rating Count'!$B$2:$C$6,2,FALSE)</f>
        <v>2</v>
      </c>
    </row>
    <row r="78" spans="1:11" x14ac:dyDescent="0.25">
      <c r="A78" s="7" t="s">
        <v>97</v>
      </c>
      <c r="B78" s="7" t="s">
        <v>15</v>
      </c>
      <c r="C78" s="7" t="s">
        <v>12</v>
      </c>
      <c r="D78" s="7">
        <v>37</v>
      </c>
      <c r="E78" s="8">
        <v>44701</v>
      </c>
      <c r="F78" s="9">
        <v>69070</v>
      </c>
      <c r="G78" s="7" t="s">
        <v>16</v>
      </c>
      <c r="H78" s="7" t="s">
        <v>204</v>
      </c>
      <c r="I78" s="11">
        <f ca="1">(TODAY()-Staff[[#This Row],[Date Joined]])/365</f>
        <v>1.2794520547945205</v>
      </c>
      <c r="J78" s="9">
        <f ca="1">(IF(Staff[Tenure]&gt;=2,3%,2%))*Staff[[#This Row],[Salary]]</f>
        <v>1381.4</v>
      </c>
      <c r="K78">
        <f>VLOOKUP(Staff[[#This Row],[Rating]],'Rating Count'!$B$2:$C$6,2,FALSE)</f>
        <v>3</v>
      </c>
    </row>
    <row r="79" spans="1:11" x14ac:dyDescent="0.25">
      <c r="A79" s="7" t="s">
        <v>190</v>
      </c>
      <c r="B79" s="7" t="s">
        <v>15</v>
      </c>
      <c r="C79" s="7" t="s">
        <v>12</v>
      </c>
      <c r="D79">
        <v>37</v>
      </c>
      <c r="E79" s="8">
        <v>44640</v>
      </c>
      <c r="F79" s="9">
        <v>69070</v>
      </c>
      <c r="G79" s="7" t="s">
        <v>16</v>
      </c>
      <c r="H79" s="7" t="s">
        <v>206</v>
      </c>
      <c r="I79" s="11">
        <f ca="1">(TODAY()-Staff[[#This Row],[Date Joined]])/365</f>
        <v>1.4465753424657535</v>
      </c>
      <c r="J79" s="9">
        <f ca="1">(IF(Staff[Tenure]&gt;=2,3%,2%))*Staff[[#This Row],[Salary]]</f>
        <v>1381.4</v>
      </c>
      <c r="K79">
        <f>VLOOKUP(Staff[[#This Row],[Rating]],'Rating Count'!$B$2:$C$6,2,FALSE)</f>
        <v>3</v>
      </c>
    </row>
    <row r="80" spans="1:11" x14ac:dyDescent="0.25">
      <c r="A80" s="7" t="s">
        <v>25</v>
      </c>
      <c r="B80" s="7" t="s">
        <v>15</v>
      </c>
      <c r="C80" s="7" t="s">
        <v>12</v>
      </c>
      <c r="D80">
        <v>30</v>
      </c>
      <c r="E80" s="8">
        <v>44273</v>
      </c>
      <c r="F80" s="9">
        <v>69120</v>
      </c>
      <c r="G80" s="7" t="s">
        <v>16</v>
      </c>
      <c r="H80" s="7" t="s">
        <v>204</v>
      </c>
      <c r="I80" s="11">
        <f ca="1">(TODAY()-Staff[[#This Row],[Date Joined]])/365</f>
        <v>2.452054794520548</v>
      </c>
      <c r="J80" s="9">
        <f ca="1">(IF(Staff[Tenure]&gt;=2,3%,2%))*Staff[[#This Row],[Salary]]</f>
        <v>2073.6</v>
      </c>
      <c r="K80">
        <f>VLOOKUP(Staff[[#This Row],[Rating]],'Rating Count'!$B$2:$C$6,2,FALSE)</f>
        <v>3</v>
      </c>
    </row>
    <row r="81" spans="1:11" x14ac:dyDescent="0.25">
      <c r="A81" s="7" t="s">
        <v>119</v>
      </c>
      <c r="B81" s="7" t="s">
        <v>15</v>
      </c>
      <c r="C81" s="7" t="s">
        <v>12</v>
      </c>
      <c r="D81">
        <v>30</v>
      </c>
      <c r="E81" s="8">
        <v>44214</v>
      </c>
      <c r="F81" s="9">
        <v>69120</v>
      </c>
      <c r="G81" s="7" t="s">
        <v>16</v>
      </c>
      <c r="H81" s="7" t="s">
        <v>206</v>
      </c>
      <c r="I81" s="11">
        <f ca="1">(TODAY()-Staff[[#This Row],[Date Joined]])/365</f>
        <v>2.6136986301369864</v>
      </c>
      <c r="J81" s="9">
        <f ca="1">(IF(Staff[Tenure]&gt;=2,3%,2%))*Staff[[#This Row],[Salary]]</f>
        <v>2073.6</v>
      </c>
      <c r="K81">
        <f>VLOOKUP(Staff[[#This Row],[Rating]],'Rating Count'!$B$2:$C$6,2,FALSE)</f>
        <v>3</v>
      </c>
    </row>
    <row r="82" spans="1:11" x14ac:dyDescent="0.25">
      <c r="A82" s="7" t="s">
        <v>67</v>
      </c>
      <c r="B82" s="7" t="s">
        <v>15</v>
      </c>
      <c r="C82" s="7" t="s">
        <v>12</v>
      </c>
      <c r="D82">
        <v>30</v>
      </c>
      <c r="E82" s="8">
        <v>44850</v>
      </c>
      <c r="F82" s="9">
        <v>69710</v>
      </c>
      <c r="G82" s="7" t="s">
        <v>16</v>
      </c>
      <c r="H82" s="7" t="s">
        <v>204</v>
      </c>
      <c r="I82" s="11">
        <f ca="1">(TODAY()-Staff[[#This Row],[Date Joined]])/365</f>
        <v>0.87123287671232874</v>
      </c>
      <c r="J82" s="9">
        <f ca="1">(IF(Staff[Tenure]&gt;=2,3%,2%))*Staff[[#This Row],[Salary]]</f>
        <v>1394.2</v>
      </c>
      <c r="K82">
        <f>VLOOKUP(Staff[[#This Row],[Rating]],'Rating Count'!$B$2:$C$6,2,FALSE)</f>
        <v>3</v>
      </c>
    </row>
    <row r="83" spans="1:11" x14ac:dyDescent="0.25">
      <c r="A83" s="7" t="s">
        <v>159</v>
      </c>
      <c r="B83" s="7" t="s">
        <v>15</v>
      </c>
      <c r="C83" s="7" t="s">
        <v>12</v>
      </c>
      <c r="D83">
        <v>30</v>
      </c>
      <c r="E83" s="8">
        <v>44789</v>
      </c>
      <c r="F83" s="9">
        <v>69710</v>
      </c>
      <c r="G83" s="7" t="s">
        <v>16</v>
      </c>
      <c r="H83" s="7" t="s">
        <v>206</v>
      </c>
      <c r="I83" s="11">
        <f ca="1">(TODAY()-Staff[[#This Row],[Date Joined]])/365</f>
        <v>1.0383561643835617</v>
      </c>
      <c r="J83" s="9">
        <f ca="1">(IF(Staff[Tenure]&gt;=2,3%,2%))*Staff[[#This Row],[Salary]]</f>
        <v>1394.2</v>
      </c>
      <c r="K83">
        <f>VLOOKUP(Staff[[#This Row],[Rating]],'Rating Count'!$B$2:$C$6,2,FALSE)</f>
        <v>3</v>
      </c>
    </row>
    <row r="84" spans="1:11" x14ac:dyDescent="0.25">
      <c r="A84" s="7" t="s">
        <v>90</v>
      </c>
      <c r="B84" s="7" t="s">
        <v>15</v>
      </c>
      <c r="C84" s="7" t="s">
        <v>21</v>
      </c>
      <c r="D84">
        <v>42</v>
      </c>
      <c r="E84" s="8">
        <v>44731</v>
      </c>
      <c r="F84" s="9">
        <v>70270</v>
      </c>
      <c r="G84" s="7" t="s">
        <v>24</v>
      </c>
      <c r="H84" s="7" t="s">
        <v>204</v>
      </c>
      <c r="I84" s="11">
        <f ca="1">(TODAY()-Staff[[#This Row],[Date Joined]])/365</f>
        <v>1.1972602739726028</v>
      </c>
      <c r="J84" s="9">
        <f ca="1">(IF(Staff[Tenure]&gt;=2,3%,2%))*Staff[[#This Row],[Salary]]</f>
        <v>1405.4</v>
      </c>
      <c r="K84">
        <f>VLOOKUP(Staff[[#This Row],[Rating]],'Rating Count'!$B$2:$C$6,2,FALSE)</f>
        <v>2</v>
      </c>
    </row>
    <row r="85" spans="1:11" x14ac:dyDescent="0.25">
      <c r="A85" s="7" t="s">
        <v>183</v>
      </c>
      <c r="B85" s="7" t="s">
        <v>15</v>
      </c>
      <c r="C85" s="7" t="s">
        <v>21</v>
      </c>
      <c r="D85">
        <v>42</v>
      </c>
      <c r="E85" s="8">
        <v>44670</v>
      </c>
      <c r="F85" s="9">
        <v>70270</v>
      </c>
      <c r="G85" s="7" t="s">
        <v>24</v>
      </c>
      <c r="H85" s="7" t="s">
        <v>206</v>
      </c>
      <c r="I85" s="11">
        <f ca="1">(TODAY()-Staff[[#This Row],[Date Joined]])/365</f>
        <v>1.3643835616438356</v>
      </c>
      <c r="J85" s="9">
        <f ca="1">(IF(Staff[Tenure]&gt;=2,3%,2%))*Staff[[#This Row],[Salary]]</f>
        <v>1405.4</v>
      </c>
      <c r="K85">
        <f>VLOOKUP(Staff[[#This Row],[Rating]],'Rating Count'!$B$2:$C$6,2,FALSE)</f>
        <v>2</v>
      </c>
    </row>
    <row r="86" spans="1:11" x14ac:dyDescent="0.25">
      <c r="A86" s="7" t="s">
        <v>70</v>
      </c>
      <c r="B86" s="7" t="s">
        <v>15</v>
      </c>
      <c r="C86" s="7" t="s">
        <v>9</v>
      </c>
      <c r="D86" s="7">
        <v>46</v>
      </c>
      <c r="E86" s="8">
        <v>44758</v>
      </c>
      <c r="F86" s="9">
        <v>70610</v>
      </c>
      <c r="G86" s="7" t="s">
        <v>16</v>
      </c>
      <c r="H86" s="7" t="s">
        <v>204</v>
      </c>
      <c r="I86" s="11">
        <f ca="1">(TODAY()-Staff[[#This Row],[Date Joined]])/365</f>
        <v>1.1232876712328768</v>
      </c>
      <c r="J86" s="9">
        <f ca="1">(IF(Staff[Tenure]&gt;=2,3%,2%))*Staff[[#This Row],[Salary]]</f>
        <v>1412.2</v>
      </c>
      <c r="K86">
        <f>VLOOKUP(Staff[[#This Row],[Rating]],'Rating Count'!$B$2:$C$6,2,FALSE)</f>
        <v>3</v>
      </c>
    </row>
    <row r="87" spans="1:11" x14ac:dyDescent="0.25">
      <c r="A87" s="7" t="s">
        <v>162</v>
      </c>
      <c r="B87" s="7" t="s">
        <v>15</v>
      </c>
      <c r="C87" s="7" t="s">
        <v>9</v>
      </c>
      <c r="D87">
        <v>46</v>
      </c>
      <c r="E87" s="8">
        <v>44697</v>
      </c>
      <c r="F87" s="9">
        <v>70610</v>
      </c>
      <c r="G87" s="7" t="s">
        <v>16</v>
      </c>
      <c r="H87" s="7" t="s">
        <v>206</v>
      </c>
      <c r="I87" s="11">
        <f ca="1">(TODAY()-Staff[[#This Row],[Date Joined]])/365</f>
        <v>1.2904109589041095</v>
      </c>
      <c r="J87" s="9">
        <f ca="1">(IF(Staff[Tenure]&gt;=2,3%,2%))*Staff[[#This Row],[Salary]]</f>
        <v>1412.2</v>
      </c>
      <c r="K87">
        <f>VLOOKUP(Staff[[#This Row],[Rating]],'Rating Count'!$B$2:$C$6,2,FALSE)</f>
        <v>3</v>
      </c>
    </row>
    <row r="88" spans="1:11" x14ac:dyDescent="0.25">
      <c r="A88" s="7" t="s">
        <v>94</v>
      </c>
      <c r="B88" s="7" t="s">
        <v>15</v>
      </c>
      <c r="C88" s="7" t="s">
        <v>21</v>
      </c>
      <c r="D88">
        <v>36</v>
      </c>
      <c r="E88" s="8">
        <v>44333</v>
      </c>
      <c r="F88" s="9">
        <v>71380</v>
      </c>
      <c r="G88" s="7" t="s">
        <v>16</v>
      </c>
      <c r="H88" s="7" t="s">
        <v>204</v>
      </c>
      <c r="I88" s="11">
        <f ca="1">(TODAY()-Staff[[#This Row],[Date Joined]])/365</f>
        <v>2.2876712328767121</v>
      </c>
      <c r="J88" s="9">
        <f ca="1">(IF(Staff[Tenure]&gt;=2,3%,2%))*Staff[[#This Row],[Salary]]</f>
        <v>2141.4</v>
      </c>
      <c r="K88">
        <f>VLOOKUP(Staff[[#This Row],[Rating]],'Rating Count'!$B$2:$C$6,2,FALSE)</f>
        <v>3</v>
      </c>
    </row>
    <row r="89" spans="1:11" x14ac:dyDescent="0.25">
      <c r="A89" s="7" t="s">
        <v>187</v>
      </c>
      <c r="B89" s="7" t="s">
        <v>15</v>
      </c>
      <c r="C89" s="7" t="s">
        <v>21</v>
      </c>
      <c r="D89">
        <v>36</v>
      </c>
      <c r="E89" s="8">
        <v>44272</v>
      </c>
      <c r="F89" s="9">
        <v>71380</v>
      </c>
      <c r="G89" s="7" t="s">
        <v>16</v>
      </c>
      <c r="H89" s="7" t="s">
        <v>206</v>
      </c>
      <c r="I89" s="11">
        <f ca="1">(TODAY()-Staff[[#This Row],[Date Joined]])/365</f>
        <v>2.4547945205479453</v>
      </c>
      <c r="J89" s="9">
        <f ca="1">(IF(Staff[Tenure]&gt;=2,3%,2%))*Staff[[#This Row],[Salary]]</f>
        <v>2141.4</v>
      </c>
      <c r="K89">
        <f>VLOOKUP(Staff[[#This Row],[Rating]],'Rating Count'!$B$2:$C$6,2,FALSE)</f>
        <v>3</v>
      </c>
    </row>
    <row r="90" spans="1:11" x14ac:dyDescent="0.25">
      <c r="A90" s="7" t="s">
        <v>18</v>
      </c>
      <c r="B90" s="7" t="s">
        <v>15</v>
      </c>
      <c r="C90" s="7" t="s">
        <v>19</v>
      </c>
      <c r="D90">
        <v>33</v>
      </c>
      <c r="E90" s="8">
        <v>44385</v>
      </c>
      <c r="F90" s="9">
        <v>74550</v>
      </c>
      <c r="G90" s="7" t="s">
        <v>16</v>
      </c>
      <c r="H90" s="7" t="s">
        <v>204</v>
      </c>
      <c r="I90" s="11">
        <f ca="1">(TODAY()-Staff[[#This Row],[Date Joined]])/365</f>
        <v>2.1452054794520548</v>
      </c>
      <c r="J90" s="9">
        <f ca="1">(IF(Staff[Tenure]&gt;=2,3%,2%))*Staff[[#This Row],[Salary]]</f>
        <v>2236.5</v>
      </c>
      <c r="K90">
        <f>VLOOKUP(Staff[[#This Row],[Rating]],'Rating Count'!$B$2:$C$6,2,FALSE)</f>
        <v>3</v>
      </c>
    </row>
    <row r="91" spans="1:11" x14ac:dyDescent="0.25">
      <c r="A91" s="7" t="s">
        <v>115</v>
      </c>
      <c r="B91" s="7" t="s">
        <v>15</v>
      </c>
      <c r="C91" s="7" t="s">
        <v>19</v>
      </c>
      <c r="D91">
        <v>33</v>
      </c>
      <c r="E91" s="8">
        <v>44324</v>
      </c>
      <c r="F91" s="9">
        <v>74550</v>
      </c>
      <c r="G91" s="7" t="s">
        <v>16</v>
      </c>
      <c r="H91" s="7" t="s">
        <v>206</v>
      </c>
      <c r="I91" s="11">
        <f ca="1">(TODAY()-Staff[[#This Row],[Date Joined]])/365</f>
        <v>2.3123287671232875</v>
      </c>
      <c r="J91" s="9">
        <f ca="1">(IF(Staff[Tenure]&gt;=2,3%,2%))*Staff[[#This Row],[Salary]]</f>
        <v>2236.5</v>
      </c>
      <c r="K91">
        <f>VLOOKUP(Staff[[#This Row],[Rating]],'Rating Count'!$B$2:$C$6,2,FALSE)</f>
        <v>3</v>
      </c>
    </row>
    <row r="92" spans="1:11" x14ac:dyDescent="0.25">
      <c r="A92" s="7" t="s">
        <v>7</v>
      </c>
      <c r="B92" s="7" t="s">
        <v>8</v>
      </c>
      <c r="C92" s="7" t="s">
        <v>9</v>
      </c>
      <c r="D92">
        <v>42</v>
      </c>
      <c r="E92" s="8">
        <v>44779</v>
      </c>
      <c r="F92" s="9">
        <v>75000</v>
      </c>
      <c r="G92" s="7" t="s">
        <v>10</v>
      </c>
      <c r="H92" s="7" t="s">
        <v>204</v>
      </c>
      <c r="I92" s="11">
        <f ca="1">(TODAY()-Staff[[#This Row],[Date Joined]])/365</f>
        <v>1.0657534246575342</v>
      </c>
      <c r="J92" s="9">
        <f ca="1">(IF(Staff[Tenure]&gt;=2,3%,2%))*Staff[[#This Row],[Salary]]</f>
        <v>1500</v>
      </c>
      <c r="K92">
        <f>VLOOKUP(Staff[[#This Row],[Rating]],'Rating Count'!$B$2:$C$6,2,FALSE)</f>
        <v>5</v>
      </c>
    </row>
    <row r="93" spans="1:11" x14ac:dyDescent="0.25">
      <c r="A93" s="7" t="s">
        <v>111</v>
      </c>
      <c r="B93" s="7" t="s">
        <v>8</v>
      </c>
      <c r="C93" s="7" t="s">
        <v>9</v>
      </c>
      <c r="D93">
        <v>42</v>
      </c>
      <c r="E93" s="8">
        <v>44718</v>
      </c>
      <c r="F93" s="9">
        <v>75000</v>
      </c>
      <c r="G93" s="7" t="s">
        <v>10</v>
      </c>
      <c r="H93" s="7" t="s">
        <v>206</v>
      </c>
      <c r="I93" s="11">
        <f ca="1">(TODAY()-Staff[[#This Row],[Date Joined]])/365</f>
        <v>1.2328767123287672</v>
      </c>
      <c r="J93" s="9">
        <f ca="1">(IF(Staff[Tenure]&gt;=2,3%,2%))*Staff[[#This Row],[Salary]]</f>
        <v>1500</v>
      </c>
      <c r="K93">
        <f>VLOOKUP(Staff[[#This Row],[Rating]],'Rating Count'!$B$2:$C$6,2,FALSE)</f>
        <v>5</v>
      </c>
    </row>
    <row r="94" spans="1:11" x14ac:dyDescent="0.25">
      <c r="A94" s="7" t="s">
        <v>95</v>
      </c>
      <c r="B94" s="7" t="s">
        <v>8</v>
      </c>
      <c r="C94" s="7" t="s">
        <v>12</v>
      </c>
      <c r="D94">
        <v>33</v>
      </c>
      <c r="E94" s="8">
        <v>44312</v>
      </c>
      <c r="F94" s="9">
        <v>75280</v>
      </c>
      <c r="G94" s="7" t="s">
        <v>16</v>
      </c>
      <c r="H94" s="7" t="s">
        <v>204</v>
      </c>
      <c r="I94" s="11">
        <f ca="1">(TODAY()-Staff[[#This Row],[Date Joined]])/365</f>
        <v>2.3452054794520549</v>
      </c>
      <c r="J94" s="9">
        <f ca="1">(IF(Staff[Tenure]&gt;=2,3%,2%))*Staff[[#This Row],[Salary]]</f>
        <v>2258.4</v>
      </c>
      <c r="K94">
        <f>VLOOKUP(Staff[[#This Row],[Rating]],'Rating Count'!$B$2:$C$6,2,FALSE)</f>
        <v>3</v>
      </c>
    </row>
    <row r="95" spans="1:11" x14ac:dyDescent="0.25">
      <c r="A95" s="7" t="s">
        <v>188</v>
      </c>
      <c r="B95" s="7" t="s">
        <v>8</v>
      </c>
      <c r="C95" s="7" t="s">
        <v>12</v>
      </c>
      <c r="D95">
        <v>33</v>
      </c>
      <c r="E95" s="8">
        <v>44253</v>
      </c>
      <c r="F95" s="9">
        <v>75280</v>
      </c>
      <c r="G95" s="7" t="s">
        <v>16</v>
      </c>
      <c r="H95" s="7" t="s">
        <v>206</v>
      </c>
      <c r="I95" s="11">
        <f ca="1">(TODAY()-Staff[[#This Row],[Date Joined]])/365</f>
        <v>2.506849315068493</v>
      </c>
      <c r="J95" s="9">
        <f ca="1">(IF(Staff[Tenure]&gt;=2,3%,2%))*Staff[[#This Row],[Salary]]</f>
        <v>2258.4</v>
      </c>
      <c r="K95">
        <f>VLOOKUP(Staff[[#This Row],[Rating]],'Rating Count'!$B$2:$C$6,2,FALSE)</f>
        <v>3</v>
      </c>
    </row>
    <row r="96" spans="1:11" x14ac:dyDescent="0.25">
      <c r="A96" s="7" t="s">
        <v>41</v>
      </c>
      <c r="B96" s="7" t="s">
        <v>8</v>
      </c>
      <c r="C96" s="7" t="s">
        <v>12</v>
      </c>
      <c r="D96">
        <v>33</v>
      </c>
      <c r="E96" s="8">
        <v>44374</v>
      </c>
      <c r="F96" s="9">
        <v>75480</v>
      </c>
      <c r="G96" s="7" t="s">
        <v>42</v>
      </c>
      <c r="H96" s="7" t="s">
        <v>204</v>
      </c>
      <c r="I96" s="11">
        <f ca="1">(TODAY()-Staff[[#This Row],[Date Joined]])/365</f>
        <v>2.1753424657534248</v>
      </c>
      <c r="J96" s="9">
        <f ca="1">(IF(Staff[Tenure]&gt;=2,3%,2%))*Staff[[#This Row],[Salary]]</f>
        <v>2264.4</v>
      </c>
      <c r="K96">
        <f>VLOOKUP(Staff[[#This Row],[Rating]],'Rating Count'!$B$2:$C$6,2,FALSE)</f>
        <v>1</v>
      </c>
    </row>
    <row r="97" spans="1:11" x14ac:dyDescent="0.25">
      <c r="A97" s="7" t="s">
        <v>135</v>
      </c>
      <c r="B97" s="7" t="s">
        <v>8</v>
      </c>
      <c r="C97" s="7" t="s">
        <v>12</v>
      </c>
      <c r="D97">
        <v>33</v>
      </c>
      <c r="E97" s="8">
        <v>44313</v>
      </c>
      <c r="F97" s="9">
        <v>75480</v>
      </c>
      <c r="G97" s="7" t="s">
        <v>42</v>
      </c>
      <c r="H97" s="7" t="s">
        <v>206</v>
      </c>
      <c r="I97" s="11">
        <f ca="1">(TODAY()-Staff[[#This Row],[Date Joined]])/365</f>
        <v>2.3424657534246576</v>
      </c>
      <c r="J97" s="9">
        <f ca="1">(IF(Staff[Tenure]&gt;=2,3%,2%))*Staff[[#This Row],[Salary]]</f>
        <v>2264.4</v>
      </c>
      <c r="K97">
        <f>VLOOKUP(Staff[[#This Row],[Rating]],'Rating Count'!$B$2:$C$6,2,FALSE)</f>
        <v>1</v>
      </c>
    </row>
    <row r="98" spans="1:11" x14ac:dyDescent="0.25">
      <c r="A98" s="7" t="s">
        <v>78</v>
      </c>
      <c r="B98" s="7" t="s">
        <v>15</v>
      </c>
      <c r="C98" s="7" t="s">
        <v>56</v>
      </c>
      <c r="D98" s="7">
        <v>21</v>
      </c>
      <c r="E98" s="8">
        <v>44242</v>
      </c>
      <c r="F98" s="9">
        <v>75880</v>
      </c>
      <c r="G98" s="7" t="s">
        <v>16</v>
      </c>
      <c r="H98" s="7" t="s">
        <v>204</v>
      </c>
      <c r="I98" s="11">
        <f ca="1">(TODAY()-Staff[[#This Row],[Date Joined]])/365</f>
        <v>2.536986301369863</v>
      </c>
      <c r="J98" s="9">
        <f ca="1">(IF(Staff[Tenure]&gt;=2,3%,2%))*Staff[[#This Row],[Salary]]</f>
        <v>2276.4</v>
      </c>
      <c r="K98">
        <f>VLOOKUP(Staff[[#This Row],[Rating]],'Rating Count'!$B$2:$C$6,2,FALSE)</f>
        <v>3</v>
      </c>
    </row>
    <row r="99" spans="1:11" x14ac:dyDescent="0.25">
      <c r="A99" s="7" t="s">
        <v>170</v>
      </c>
      <c r="B99" s="7" t="s">
        <v>15</v>
      </c>
      <c r="C99" s="7" t="s">
        <v>56</v>
      </c>
      <c r="D99">
        <v>21</v>
      </c>
      <c r="E99" s="8">
        <v>44180</v>
      </c>
      <c r="F99" s="9">
        <v>75880</v>
      </c>
      <c r="G99" s="7" t="s">
        <v>16</v>
      </c>
      <c r="H99" s="7" t="s">
        <v>206</v>
      </c>
      <c r="I99" s="11">
        <f ca="1">(TODAY()-Staff[[#This Row],[Date Joined]])/365</f>
        <v>2.7068493150684931</v>
      </c>
      <c r="J99" s="9">
        <f ca="1">(IF(Staff[Tenure]&gt;=2,3%,2%))*Staff[[#This Row],[Salary]]</f>
        <v>2276.4</v>
      </c>
      <c r="K99">
        <f>VLOOKUP(Staff[[#This Row],[Rating]],'Rating Count'!$B$2:$C$6,2,FALSE)</f>
        <v>3</v>
      </c>
    </row>
    <row r="100" spans="1:11" x14ac:dyDescent="0.25">
      <c r="A100" s="7" t="s">
        <v>35</v>
      </c>
      <c r="B100" s="7" t="s">
        <v>8</v>
      </c>
      <c r="C100" s="7" t="s">
        <v>21</v>
      </c>
      <c r="D100">
        <v>28</v>
      </c>
      <c r="E100" s="8">
        <v>44185</v>
      </c>
      <c r="F100" s="9">
        <v>75970</v>
      </c>
      <c r="G100" s="7" t="s">
        <v>16</v>
      </c>
      <c r="H100" s="7" t="s">
        <v>204</v>
      </c>
      <c r="I100" s="11">
        <f ca="1">(TODAY()-Staff[[#This Row],[Date Joined]])/365</f>
        <v>2.6931506849315068</v>
      </c>
      <c r="J100" s="9">
        <f ca="1">(IF(Staff[Tenure]&gt;=2,3%,2%))*Staff[[#This Row],[Salary]]</f>
        <v>2279.1</v>
      </c>
      <c r="K100">
        <f>VLOOKUP(Staff[[#This Row],[Rating]],'Rating Count'!$B$2:$C$6,2,FALSE)</f>
        <v>3</v>
      </c>
    </row>
    <row r="101" spans="1:11" x14ac:dyDescent="0.25">
      <c r="A101" s="7" t="s">
        <v>129</v>
      </c>
      <c r="B101" s="7" t="s">
        <v>8</v>
      </c>
      <c r="C101" s="7" t="s">
        <v>21</v>
      </c>
      <c r="D101">
        <v>28</v>
      </c>
      <c r="E101" s="8">
        <v>44124</v>
      </c>
      <c r="F101" s="9">
        <v>75970</v>
      </c>
      <c r="G101" s="7" t="s">
        <v>16</v>
      </c>
      <c r="H101" s="7" t="s">
        <v>206</v>
      </c>
      <c r="I101" s="11">
        <f ca="1">(TODAY()-Staff[[#This Row],[Date Joined]])/365</f>
        <v>2.8602739726027395</v>
      </c>
      <c r="J101" s="9">
        <f ca="1">(IF(Staff[Tenure]&gt;=2,3%,2%))*Staff[[#This Row],[Salary]]</f>
        <v>2279.1</v>
      </c>
      <c r="K101">
        <f>VLOOKUP(Staff[[#This Row],[Rating]],'Rating Count'!$B$2:$C$6,2,FALSE)</f>
        <v>3</v>
      </c>
    </row>
    <row r="102" spans="1:11" x14ac:dyDescent="0.25">
      <c r="A102" s="7" t="s">
        <v>62</v>
      </c>
      <c r="B102" s="7" t="s">
        <v>8</v>
      </c>
      <c r="C102" s="7" t="s">
        <v>9</v>
      </c>
      <c r="D102">
        <v>22</v>
      </c>
      <c r="E102" s="8">
        <v>44450</v>
      </c>
      <c r="F102" s="9">
        <v>76900</v>
      </c>
      <c r="G102" s="7" t="s">
        <v>13</v>
      </c>
      <c r="H102" s="7" t="s">
        <v>204</v>
      </c>
      <c r="I102" s="11">
        <f ca="1">(TODAY()-Staff[[#This Row],[Date Joined]])/365</f>
        <v>1.9671232876712328</v>
      </c>
      <c r="J102" s="9">
        <f ca="1">(IF(Staff[Tenure]&gt;=2,3%,2%))*Staff[[#This Row],[Salary]]</f>
        <v>1538</v>
      </c>
      <c r="K102">
        <f>VLOOKUP(Staff[[#This Row],[Rating]],'Rating Count'!$B$2:$C$6,2,FALSE)</f>
        <v>4</v>
      </c>
    </row>
    <row r="103" spans="1:11" x14ac:dyDescent="0.25">
      <c r="A103" s="7" t="s">
        <v>154</v>
      </c>
      <c r="B103" s="7" t="s">
        <v>8</v>
      </c>
      <c r="C103" s="7" t="s">
        <v>9</v>
      </c>
      <c r="D103">
        <v>22</v>
      </c>
      <c r="E103" s="8">
        <v>44388</v>
      </c>
      <c r="F103" s="9">
        <v>76900</v>
      </c>
      <c r="G103" s="7" t="s">
        <v>13</v>
      </c>
      <c r="H103" s="7" t="s">
        <v>206</v>
      </c>
      <c r="I103" s="11">
        <f ca="1">(TODAY()-Staff[[#This Row],[Date Joined]])/365</f>
        <v>2.1369863013698631</v>
      </c>
      <c r="J103" s="9">
        <f ca="1">(IF(Staff[Tenure]&gt;=2,3%,2%))*Staff[[#This Row],[Salary]]</f>
        <v>2307</v>
      </c>
      <c r="K103">
        <f>VLOOKUP(Staff[[#This Row],[Rating]],'Rating Count'!$B$2:$C$6,2,FALSE)</f>
        <v>4</v>
      </c>
    </row>
    <row r="104" spans="1:11" x14ac:dyDescent="0.25">
      <c r="A104" s="7" t="s">
        <v>72</v>
      </c>
      <c r="B104" s="7" t="s">
        <v>8</v>
      </c>
      <c r="C104" s="7" t="s">
        <v>9</v>
      </c>
      <c r="D104">
        <v>36</v>
      </c>
      <c r="E104" s="8">
        <v>44529</v>
      </c>
      <c r="F104" s="9">
        <v>78390</v>
      </c>
      <c r="G104" s="7" t="s">
        <v>16</v>
      </c>
      <c r="H104" s="7" t="s">
        <v>204</v>
      </c>
      <c r="I104" s="11">
        <f ca="1">(TODAY()-Staff[[#This Row],[Date Joined]])/365</f>
        <v>1.7506849315068493</v>
      </c>
      <c r="J104" s="9">
        <f ca="1">(IF(Staff[Tenure]&gt;=2,3%,2%))*Staff[[#This Row],[Salary]]</f>
        <v>1567.8</v>
      </c>
      <c r="K104">
        <f>VLOOKUP(Staff[[#This Row],[Rating]],'Rating Count'!$B$2:$C$6,2,FALSE)</f>
        <v>3</v>
      </c>
    </row>
    <row r="105" spans="1:11" x14ac:dyDescent="0.25">
      <c r="A105" s="7" t="s">
        <v>164</v>
      </c>
      <c r="B105" s="7" t="s">
        <v>8</v>
      </c>
      <c r="C105" s="7" t="s">
        <v>9</v>
      </c>
      <c r="D105">
        <v>36</v>
      </c>
      <c r="E105" s="8">
        <v>44468</v>
      </c>
      <c r="F105" s="9">
        <v>78390</v>
      </c>
      <c r="G105" s="7" t="s">
        <v>16</v>
      </c>
      <c r="H105" s="7" t="s">
        <v>206</v>
      </c>
      <c r="I105" s="11">
        <f ca="1">(TODAY()-Staff[[#This Row],[Date Joined]])/365</f>
        <v>1.9178082191780821</v>
      </c>
      <c r="J105" s="9">
        <f ca="1">(IF(Staff[Tenure]&gt;=2,3%,2%))*Staff[[#This Row],[Salary]]</f>
        <v>1567.8</v>
      </c>
      <c r="K105">
        <f>VLOOKUP(Staff[[#This Row],[Rating]],'Rating Count'!$B$2:$C$6,2,FALSE)</f>
        <v>3</v>
      </c>
    </row>
    <row r="106" spans="1:11" x14ac:dyDescent="0.25">
      <c r="A106" s="7" t="s">
        <v>48</v>
      </c>
      <c r="B106" s="7" t="s">
        <v>8</v>
      </c>
      <c r="C106" s="7" t="s">
        <v>19</v>
      </c>
      <c r="D106">
        <v>36</v>
      </c>
      <c r="E106" s="8">
        <v>44494</v>
      </c>
      <c r="F106" s="9">
        <v>78540</v>
      </c>
      <c r="G106" s="7" t="s">
        <v>16</v>
      </c>
      <c r="H106" s="7" t="s">
        <v>204</v>
      </c>
      <c r="I106" s="11">
        <f ca="1">(TODAY()-Staff[[#This Row],[Date Joined]])/365</f>
        <v>1.8465753424657534</v>
      </c>
      <c r="J106" s="9">
        <f ca="1">(IF(Staff[Tenure]&gt;=2,3%,2%))*Staff[[#This Row],[Salary]]</f>
        <v>1570.8</v>
      </c>
      <c r="K106">
        <f>VLOOKUP(Staff[[#This Row],[Rating]],'Rating Count'!$B$2:$C$6,2,FALSE)</f>
        <v>3</v>
      </c>
    </row>
    <row r="107" spans="1:11" x14ac:dyDescent="0.25">
      <c r="A107" s="7" t="s">
        <v>141</v>
      </c>
      <c r="B107" s="7" t="s">
        <v>8</v>
      </c>
      <c r="C107" s="7" t="s">
        <v>19</v>
      </c>
      <c r="D107">
        <v>36</v>
      </c>
      <c r="E107" s="8">
        <v>44433</v>
      </c>
      <c r="F107" s="9">
        <v>78540</v>
      </c>
      <c r="G107" s="7" t="s">
        <v>16</v>
      </c>
      <c r="H107" s="7" t="s">
        <v>206</v>
      </c>
      <c r="I107" s="11">
        <f ca="1">(TODAY()-Staff[[#This Row],[Date Joined]])/365</f>
        <v>2.0136986301369864</v>
      </c>
      <c r="J107" s="9">
        <f ca="1">(IF(Staff[Tenure]&gt;=2,3%,2%))*Staff[[#This Row],[Salary]]</f>
        <v>2356.1999999999998</v>
      </c>
      <c r="K107">
        <f>VLOOKUP(Staff[[#This Row],[Rating]],'Rating Count'!$B$2:$C$6,2,FALSE)</f>
        <v>3</v>
      </c>
    </row>
    <row r="108" spans="1:11" x14ac:dyDescent="0.25">
      <c r="A108" s="7" t="s">
        <v>104</v>
      </c>
      <c r="B108" s="7" t="s">
        <v>15</v>
      </c>
      <c r="C108" s="7" t="s">
        <v>9</v>
      </c>
      <c r="D108">
        <v>20</v>
      </c>
      <c r="E108" s="8">
        <v>44744</v>
      </c>
      <c r="F108" s="9">
        <v>79570</v>
      </c>
      <c r="G108" s="7" t="s">
        <v>16</v>
      </c>
      <c r="H108" s="7" t="s">
        <v>204</v>
      </c>
      <c r="I108" s="11">
        <f ca="1">(TODAY()-Staff[[#This Row],[Date Joined]])/365</f>
        <v>1.1616438356164382</v>
      </c>
      <c r="J108" s="9">
        <f ca="1">(IF(Staff[Tenure]&gt;=2,3%,2%))*Staff[[#This Row],[Salary]]</f>
        <v>1591.4</v>
      </c>
      <c r="K108">
        <f>VLOOKUP(Staff[[#This Row],[Rating]],'Rating Count'!$B$2:$C$6,2,FALSE)</f>
        <v>3</v>
      </c>
    </row>
    <row r="109" spans="1:11" x14ac:dyDescent="0.25">
      <c r="A109" s="7" t="s">
        <v>197</v>
      </c>
      <c r="B109" s="7" t="s">
        <v>15</v>
      </c>
      <c r="C109" s="7" t="s">
        <v>9</v>
      </c>
      <c r="D109">
        <v>20</v>
      </c>
      <c r="E109" s="8">
        <v>44683</v>
      </c>
      <c r="F109" s="9">
        <v>79570</v>
      </c>
      <c r="G109" s="7" t="s">
        <v>16</v>
      </c>
      <c r="H109" s="7" t="s">
        <v>206</v>
      </c>
      <c r="I109" s="11">
        <f ca="1">(TODAY()-Staff[[#This Row],[Date Joined]])/365</f>
        <v>1.3287671232876712</v>
      </c>
      <c r="J109" s="9">
        <f ca="1">(IF(Staff[Tenure]&gt;=2,3%,2%))*Staff[[#This Row],[Salary]]</f>
        <v>1591.4</v>
      </c>
      <c r="K109">
        <f>VLOOKUP(Staff[[#This Row],[Rating]],'Rating Count'!$B$2:$C$6,2,FALSE)</f>
        <v>3</v>
      </c>
    </row>
    <row r="110" spans="1:11" x14ac:dyDescent="0.25">
      <c r="A110" s="7" t="s">
        <v>39</v>
      </c>
      <c r="B110" s="7" t="s">
        <v>8</v>
      </c>
      <c r="C110" s="7" t="s">
        <v>12</v>
      </c>
      <c r="D110">
        <v>25</v>
      </c>
      <c r="E110" s="8">
        <v>44694</v>
      </c>
      <c r="F110" s="9">
        <v>80700</v>
      </c>
      <c r="G110" s="7" t="s">
        <v>13</v>
      </c>
      <c r="H110" s="7" t="s">
        <v>204</v>
      </c>
      <c r="I110" s="11">
        <f ca="1">(TODAY()-Staff[[#This Row],[Date Joined]])/365</f>
        <v>1.2986301369863014</v>
      </c>
      <c r="J110" s="9">
        <f ca="1">(IF(Staff[Tenure]&gt;=2,3%,2%))*Staff[[#This Row],[Salary]]</f>
        <v>1614</v>
      </c>
      <c r="K110">
        <f>VLOOKUP(Staff[[#This Row],[Rating]],'Rating Count'!$B$2:$C$6,2,FALSE)</f>
        <v>4</v>
      </c>
    </row>
    <row r="111" spans="1:11" x14ac:dyDescent="0.25">
      <c r="A111" s="7" t="s">
        <v>133</v>
      </c>
      <c r="B111" s="7" t="s">
        <v>8</v>
      </c>
      <c r="C111" s="7" t="s">
        <v>12</v>
      </c>
      <c r="D111">
        <v>25</v>
      </c>
      <c r="E111" s="8">
        <v>44633</v>
      </c>
      <c r="F111" s="9">
        <v>80700</v>
      </c>
      <c r="G111" s="7" t="s">
        <v>13</v>
      </c>
      <c r="H111" s="7" t="s">
        <v>206</v>
      </c>
      <c r="I111" s="11">
        <f ca="1">(TODAY()-Staff[[#This Row],[Date Joined]])/365</f>
        <v>1.4657534246575343</v>
      </c>
      <c r="J111" s="9">
        <f ca="1">(IF(Staff[Tenure]&gt;=2,3%,2%))*Staff[[#This Row],[Salary]]</f>
        <v>1614</v>
      </c>
      <c r="K111">
        <f>VLOOKUP(Staff[[#This Row],[Rating]],'Rating Count'!$B$2:$C$6,2,FALSE)</f>
        <v>4</v>
      </c>
    </row>
    <row r="112" spans="1:11" x14ac:dyDescent="0.25">
      <c r="A112" s="7" t="s">
        <v>92</v>
      </c>
      <c r="B112" s="7" t="s">
        <v>8</v>
      </c>
      <c r="C112" s="7" t="s">
        <v>12</v>
      </c>
      <c r="D112">
        <v>27</v>
      </c>
      <c r="E112" s="8">
        <v>44686</v>
      </c>
      <c r="F112" s="9">
        <v>83750</v>
      </c>
      <c r="G112" s="7" t="s">
        <v>16</v>
      </c>
      <c r="H112" s="7" t="s">
        <v>204</v>
      </c>
      <c r="I112" s="11">
        <f ca="1">(TODAY()-Staff[[#This Row],[Date Joined]])/365</f>
        <v>1.3205479452054794</v>
      </c>
      <c r="J112" s="9">
        <f ca="1">(IF(Staff[Tenure]&gt;=2,3%,2%))*Staff[[#This Row],[Salary]]</f>
        <v>1675</v>
      </c>
      <c r="K112">
        <f>VLOOKUP(Staff[[#This Row],[Rating]],'Rating Count'!$B$2:$C$6,2,FALSE)</f>
        <v>3</v>
      </c>
    </row>
    <row r="113" spans="1:11" x14ac:dyDescent="0.25">
      <c r="A113" s="7" t="s">
        <v>185</v>
      </c>
      <c r="B113" s="7" t="s">
        <v>8</v>
      </c>
      <c r="C113" s="7" t="s">
        <v>12</v>
      </c>
      <c r="D113">
        <v>27</v>
      </c>
      <c r="E113" s="8">
        <v>44625</v>
      </c>
      <c r="F113" s="9">
        <v>83750</v>
      </c>
      <c r="G113" s="7" t="s">
        <v>16</v>
      </c>
      <c r="H113" s="7" t="s">
        <v>206</v>
      </c>
      <c r="I113" s="11">
        <f ca="1">(TODAY()-Staff[[#This Row],[Date Joined]])/365</f>
        <v>1.4876712328767123</v>
      </c>
      <c r="J113" s="9">
        <f ca="1">(IF(Staff[Tenure]&gt;=2,3%,2%))*Staff[[#This Row],[Salary]]</f>
        <v>1675</v>
      </c>
      <c r="K113">
        <f>VLOOKUP(Staff[[#This Row],[Rating]],'Rating Count'!$B$2:$C$6,2,FALSE)</f>
        <v>3</v>
      </c>
    </row>
    <row r="114" spans="1:11" x14ac:dyDescent="0.25">
      <c r="A114" s="7" t="s">
        <v>28</v>
      </c>
      <c r="B114" s="7" t="s">
        <v>8</v>
      </c>
      <c r="C114" s="7" t="s">
        <v>21</v>
      </c>
      <c r="D114">
        <v>34</v>
      </c>
      <c r="E114" s="8">
        <v>44459</v>
      </c>
      <c r="F114" s="9">
        <v>85000</v>
      </c>
      <c r="G114" s="7" t="s">
        <v>16</v>
      </c>
      <c r="H114" s="7" t="s">
        <v>204</v>
      </c>
      <c r="I114" s="11">
        <f ca="1">(TODAY()-Staff[[#This Row],[Date Joined]])/365</f>
        <v>1.9424657534246574</v>
      </c>
      <c r="J114" s="9">
        <f ca="1">(IF(Staff[Tenure]&gt;=2,3%,2%))*Staff[[#This Row],[Salary]]</f>
        <v>1700</v>
      </c>
      <c r="K114">
        <f>VLOOKUP(Staff[[#This Row],[Rating]],'Rating Count'!$B$2:$C$6,2,FALSE)</f>
        <v>3</v>
      </c>
    </row>
    <row r="115" spans="1:11" x14ac:dyDescent="0.25">
      <c r="A115" s="7" t="s">
        <v>122</v>
      </c>
      <c r="B115" s="7" t="s">
        <v>8</v>
      </c>
      <c r="C115" s="7" t="s">
        <v>21</v>
      </c>
      <c r="D115">
        <v>34</v>
      </c>
      <c r="E115" s="8">
        <v>44397</v>
      </c>
      <c r="F115" s="9">
        <v>85000</v>
      </c>
      <c r="G115" s="7" t="s">
        <v>16</v>
      </c>
      <c r="H115" s="7" t="s">
        <v>206</v>
      </c>
      <c r="I115" s="11">
        <f ca="1">(TODAY()-Staff[[#This Row],[Date Joined]])/365</f>
        <v>2.1123287671232878</v>
      </c>
      <c r="J115" s="9">
        <f ca="1">(IF(Staff[Tenure]&gt;=2,3%,2%))*Staff[[#This Row],[Salary]]</f>
        <v>2550</v>
      </c>
      <c r="K115">
        <f>VLOOKUP(Staff[[#This Row],[Rating]],'Rating Count'!$B$2:$C$6,2,FALSE)</f>
        <v>3</v>
      </c>
    </row>
    <row r="116" spans="1:11" x14ac:dyDescent="0.25">
      <c r="A116" s="7" t="s">
        <v>88</v>
      </c>
      <c r="B116" s="7" t="s">
        <v>8</v>
      </c>
      <c r="C116" s="7" t="s">
        <v>21</v>
      </c>
      <c r="D116">
        <v>33</v>
      </c>
      <c r="E116" s="8">
        <v>44809</v>
      </c>
      <c r="F116" s="9">
        <v>86570</v>
      </c>
      <c r="G116" s="7" t="s">
        <v>16</v>
      </c>
      <c r="H116" s="7" t="s">
        <v>204</v>
      </c>
      <c r="I116" s="11">
        <f ca="1">(TODAY()-Staff[[#This Row],[Date Joined]])/365</f>
        <v>0.98356164383561639</v>
      </c>
      <c r="J116" s="9">
        <f ca="1">(IF(Staff[Tenure]&gt;=2,3%,2%))*Staff[[#This Row],[Salary]]</f>
        <v>1731.4</v>
      </c>
      <c r="K116">
        <f>VLOOKUP(Staff[[#This Row],[Rating]],'Rating Count'!$B$2:$C$6,2,FALSE)</f>
        <v>3</v>
      </c>
    </row>
    <row r="117" spans="1:11" x14ac:dyDescent="0.25">
      <c r="A117" s="7" t="s">
        <v>181</v>
      </c>
      <c r="B117" s="7" t="s">
        <v>8</v>
      </c>
      <c r="C117" s="7" t="s">
        <v>21</v>
      </c>
      <c r="D117">
        <v>33</v>
      </c>
      <c r="E117" s="8">
        <v>44747</v>
      </c>
      <c r="F117" s="9">
        <v>86570</v>
      </c>
      <c r="G117" s="7" t="s">
        <v>16</v>
      </c>
      <c r="H117" s="7" t="s">
        <v>206</v>
      </c>
      <c r="I117" s="11">
        <f ca="1">(TODAY()-Staff[[#This Row],[Date Joined]])/365</f>
        <v>1.1534246575342466</v>
      </c>
      <c r="J117" s="9">
        <f ca="1">(IF(Staff[Tenure]&gt;=2,3%,2%))*Staff[[#This Row],[Salary]]</f>
        <v>1731.4</v>
      </c>
      <c r="K117">
        <f>VLOOKUP(Staff[[#This Row],[Rating]],'Rating Count'!$B$2:$C$6,2,FALSE)</f>
        <v>3</v>
      </c>
    </row>
    <row r="118" spans="1:11" x14ac:dyDescent="0.25">
      <c r="A118" s="7" t="s">
        <v>74</v>
      </c>
      <c r="B118" s="7" t="s">
        <v>8</v>
      </c>
      <c r="C118" s="7" t="s">
        <v>12</v>
      </c>
      <c r="D118">
        <v>40</v>
      </c>
      <c r="E118" s="8">
        <v>44337</v>
      </c>
      <c r="F118" s="9">
        <v>87620</v>
      </c>
      <c r="G118" s="7" t="s">
        <v>16</v>
      </c>
      <c r="H118" s="7" t="s">
        <v>204</v>
      </c>
      <c r="I118" s="11">
        <f ca="1">(TODAY()-Staff[[#This Row],[Date Joined]])/365</f>
        <v>2.2767123287671232</v>
      </c>
      <c r="J118" s="9">
        <f ca="1">(IF(Staff[Tenure]&gt;=2,3%,2%))*Staff[[#This Row],[Salary]]</f>
        <v>2628.6</v>
      </c>
      <c r="K118">
        <f>VLOOKUP(Staff[[#This Row],[Rating]],'Rating Count'!$B$2:$C$6,2,FALSE)</f>
        <v>3</v>
      </c>
    </row>
    <row r="119" spans="1:11" x14ac:dyDescent="0.25">
      <c r="A119" s="7" t="s">
        <v>166</v>
      </c>
      <c r="B119" s="7" t="s">
        <v>8</v>
      </c>
      <c r="C119" s="7" t="s">
        <v>12</v>
      </c>
      <c r="D119">
        <v>40</v>
      </c>
      <c r="E119" s="8">
        <v>44276</v>
      </c>
      <c r="F119" s="9">
        <v>87620</v>
      </c>
      <c r="G119" s="7" t="s">
        <v>16</v>
      </c>
      <c r="H119" s="7" t="s">
        <v>206</v>
      </c>
      <c r="I119" s="11">
        <f ca="1">(TODAY()-Staff[[#This Row],[Date Joined]])/365</f>
        <v>2.4438356164383563</v>
      </c>
      <c r="J119" s="9">
        <f ca="1">(IF(Staff[Tenure]&gt;=2,3%,2%))*Staff[[#This Row],[Salary]]</f>
        <v>2628.6</v>
      </c>
      <c r="K119">
        <f>VLOOKUP(Staff[[#This Row],[Rating]],'Rating Count'!$B$2:$C$6,2,FALSE)</f>
        <v>3</v>
      </c>
    </row>
    <row r="120" spans="1:11" x14ac:dyDescent="0.25">
      <c r="A120" s="7" t="s">
        <v>23</v>
      </c>
      <c r="B120" s="7" t="s">
        <v>15</v>
      </c>
      <c r="C120" s="7" t="s">
        <v>12</v>
      </c>
      <c r="D120">
        <v>37</v>
      </c>
      <c r="E120" s="8">
        <v>44338</v>
      </c>
      <c r="F120" s="9">
        <v>88050</v>
      </c>
      <c r="G120" s="7" t="s">
        <v>24</v>
      </c>
      <c r="H120" s="7" t="s">
        <v>204</v>
      </c>
      <c r="I120" s="11">
        <f ca="1">(TODAY()-Staff[[#This Row],[Date Joined]])/365</f>
        <v>2.2739726027397262</v>
      </c>
      <c r="J120" s="9">
        <f ca="1">(IF(Staff[Tenure]&gt;=2,3%,2%))*Staff[[#This Row],[Salary]]</f>
        <v>2641.5</v>
      </c>
      <c r="K120">
        <f>VLOOKUP(Staff[[#This Row],[Rating]],'Rating Count'!$B$2:$C$6,2,FALSE)</f>
        <v>2</v>
      </c>
    </row>
    <row r="121" spans="1:11" x14ac:dyDescent="0.25">
      <c r="A121" s="7" t="s">
        <v>118</v>
      </c>
      <c r="B121" s="7" t="s">
        <v>15</v>
      </c>
      <c r="C121" s="7" t="s">
        <v>12</v>
      </c>
      <c r="D121">
        <v>37</v>
      </c>
      <c r="E121" s="8">
        <v>44277</v>
      </c>
      <c r="F121" s="9">
        <v>88050</v>
      </c>
      <c r="G121" s="7" t="s">
        <v>24</v>
      </c>
      <c r="H121" s="7" t="s">
        <v>206</v>
      </c>
      <c r="I121" s="11">
        <f ca="1">(TODAY()-Staff[[#This Row],[Date Joined]])/365</f>
        <v>2.441095890410959</v>
      </c>
      <c r="J121" s="9">
        <f ca="1">(IF(Staff[Tenure]&gt;=2,3%,2%))*Staff[[#This Row],[Salary]]</f>
        <v>2641.5</v>
      </c>
      <c r="K121">
        <f>VLOOKUP(Staff[[#This Row],[Rating]],'Rating Count'!$B$2:$C$6,2,FALSE)</f>
        <v>2</v>
      </c>
    </row>
    <row r="122" spans="1:11" x14ac:dyDescent="0.25">
      <c r="A122" s="7" t="s">
        <v>11</v>
      </c>
      <c r="B122" s="7" t="s">
        <v>205</v>
      </c>
      <c r="C122" s="7" t="s">
        <v>12</v>
      </c>
      <c r="D122">
        <v>26</v>
      </c>
      <c r="E122" s="8">
        <v>44271</v>
      </c>
      <c r="F122" s="9">
        <v>90700</v>
      </c>
      <c r="G122" s="7" t="s">
        <v>13</v>
      </c>
      <c r="H122" s="7" t="s">
        <v>204</v>
      </c>
      <c r="I122" s="11">
        <f ca="1">(TODAY()-Staff[[#This Row],[Date Joined]])/365</f>
        <v>2.4575342465753423</v>
      </c>
      <c r="J122" s="9">
        <f ca="1">(IF(Staff[Tenure]&gt;=2,3%,2%))*Staff[[#This Row],[Salary]]</f>
        <v>2721</v>
      </c>
      <c r="K122">
        <f>VLOOKUP(Staff[[#This Row],[Rating]],'Rating Count'!$B$2:$C$6,2,FALSE)</f>
        <v>4</v>
      </c>
    </row>
    <row r="123" spans="1:11" x14ac:dyDescent="0.25">
      <c r="A123" s="7" t="s">
        <v>112</v>
      </c>
      <c r="B123" s="7" t="s">
        <v>205</v>
      </c>
      <c r="C123" s="7" t="s">
        <v>12</v>
      </c>
      <c r="D123">
        <v>27</v>
      </c>
      <c r="E123" s="8">
        <v>44212</v>
      </c>
      <c r="F123" s="9">
        <v>90700</v>
      </c>
      <c r="G123" s="7" t="s">
        <v>13</v>
      </c>
      <c r="H123" s="7" t="s">
        <v>206</v>
      </c>
      <c r="I123" s="11">
        <f ca="1">(TODAY()-Staff[[#This Row],[Date Joined]])/365</f>
        <v>2.6191780821917807</v>
      </c>
      <c r="J123" s="9">
        <f ca="1">(IF(Staff[Tenure]&gt;=2,3%,2%))*Staff[[#This Row],[Salary]]</f>
        <v>2721</v>
      </c>
      <c r="K123">
        <f>VLOOKUP(Staff[[#This Row],[Rating]],'Rating Count'!$B$2:$C$6,2,FALSE)</f>
        <v>4</v>
      </c>
    </row>
    <row r="124" spans="1:11" x14ac:dyDescent="0.25">
      <c r="A124" s="7" t="s">
        <v>52</v>
      </c>
      <c r="B124" s="7" t="s">
        <v>205</v>
      </c>
      <c r="C124" s="7" t="s">
        <v>12</v>
      </c>
      <c r="D124">
        <v>32</v>
      </c>
      <c r="E124" s="8">
        <v>44774</v>
      </c>
      <c r="F124" s="9">
        <v>91310</v>
      </c>
      <c r="G124" s="7" t="s">
        <v>16</v>
      </c>
      <c r="H124" s="7" t="s">
        <v>204</v>
      </c>
      <c r="I124" s="11">
        <f ca="1">(TODAY()-Staff[[#This Row],[Date Joined]])/365</f>
        <v>1.0794520547945206</v>
      </c>
      <c r="J124" s="9">
        <f ca="1">(IF(Staff[Tenure]&gt;=2,3%,2%))*Staff[[#This Row],[Salary]]</f>
        <v>1826.2</v>
      </c>
      <c r="K124">
        <f>VLOOKUP(Staff[[#This Row],[Rating]],'Rating Count'!$B$2:$C$6,2,FALSE)</f>
        <v>3</v>
      </c>
    </row>
    <row r="125" spans="1:11" x14ac:dyDescent="0.25">
      <c r="A125" s="7" t="s">
        <v>145</v>
      </c>
      <c r="B125" s="7" t="s">
        <v>205</v>
      </c>
      <c r="C125" s="7" t="s">
        <v>12</v>
      </c>
      <c r="D125">
        <v>32</v>
      </c>
      <c r="E125" s="8">
        <v>44713</v>
      </c>
      <c r="F125" s="9">
        <v>91310</v>
      </c>
      <c r="G125" s="7" t="s">
        <v>16</v>
      </c>
      <c r="H125" s="7" t="s">
        <v>206</v>
      </c>
      <c r="I125" s="11">
        <f ca="1">(TODAY()-Staff[[#This Row],[Date Joined]])/365</f>
        <v>1.2465753424657535</v>
      </c>
      <c r="J125" s="9">
        <f ca="1">(IF(Staff[Tenure]&gt;=2,3%,2%))*Staff[[#This Row],[Salary]]</f>
        <v>1826.2</v>
      </c>
      <c r="K125">
        <f>VLOOKUP(Staff[[#This Row],[Rating]],'Rating Count'!$B$2:$C$6,2,FALSE)</f>
        <v>3</v>
      </c>
    </row>
    <row r="126" spans="1:11" x14ac:dyDescent="0.25">
      <c r="A126" s="7" t="s">
        <v>68</v>
      </c>
      <c r="B126" s="7" t="s">
        <v>15</v>
      </c>
      <c r="C126" s="7" t="s">
        <v>21</v>
      </c>
      <c r="D126">
        <v>27</v>
      </c>
      <c r="E126" s="8">
        <v>44236</v>
      </c>
      <c r="F126" s="9">
        <v>91650</v>
      </c>
      <c r="G126" s="7" t="s">
        <v>13</v>
      </c>
      <c r="H126" s="7" t="s">
        <v>204</v>
      </c>
      <c r="I126" s="11">
        <f ca="1">(TODAY()-Staff[[#This Row],[Date Joined]])/365</f>
        <v>2.5534246575342467</v>
      </c>
      <c r="J126" s="9">
        <f ca="1">(IF(Staff[Tenure]&gt;=2,3%,2%))*Staff[[#This Row],[Salary]]</f>
        <v>2749.5</v>
      </c>
      <c r="K126">
        <f>VLOOKUP(Staff[[#This Row],[Rating]],'Rating Count'!$B$2:$C$6,2,FALSE)</f>
        <v>4</v>
      </c>
    </row>
    <row r="127" spans="1:11" x14ac:dyDescent="0.25">
      <c r="A127" s="7" t="s">
        <v>160</v>
      </c>
      <c r="B127" s="7" t="s">
        <v>15</v>
      </c>
      <c r="C127" s="7" t="s">
        <v>21</v>
      </c>
      <c r="D127">
        <v>27</v>
      </c>
      <c r="E127" s="8">
        <v>44174</v>
      </c>
      <c r="F127" s="9">
        <v>91650</v>
      </c>
      <c r="G127" s="7" t="s">
        <v>13</v>
      </c>
      <c r="H127" s="7" t="s">
        <v>206</v>
      </c>
      <c r="I127" s="11">
        <f ca="1">(TODAY()-Staff[[#This Row],[Date Joined]])/365</f>
        <v>2.7232876712328768</v>
      </c>
      <c r="J127" s="9">
        <f ca="1">(IF(Staff[Tenure]&gt;=2,3%,2%))*Staff[[#This Row],[Salary]]</f>
        <v>2749.5</v>
      </c>
      <c r="K127">
        <f>VLOOKUP(Staff[[#This Row],[Rating]],'Rating Count'!$B$2:$C$6,2,FALSE)</f>
        <v>4</v>
      </c>
    </row>
    <row r="128" spans="1:11" x14ac:dyDescent="0.25">
      <c r="A128" s="7" t="s">
        <v>102</v>
      </c>
      <c r="B128" s="7" t="s">
        <v>8</v>
      </c>
      <c r="C128" s="7" t="s">
        <v>21</v>
      </c>
      <c r="D128">
        <v>34</v>
      </c>
      <c r="E128" s="8">
        <v>44445</v>
      </c>
      <c r="F128" s="9">
        <v>92450</v>
      </c>
      <c r="G128" s="7" t="s">
        <v>16</v>
      </c>
      <c r="H128" s="7" t="s">
        <v>204</v>
      </c>
      <c r="I128" s="11">
        <f ca="1">(TODAY()-Staff[[#This Row],[Date Joined]])/365</f>
        <v>1.9808219178082191</v>
      </c>
      <c r="J128" s="9">
        <f ca="1">(IF(Staff[Tenure]&gt;=2,3%,2%))*Staff[[#This Row],[Salary]]</f>
        <v>1849</v>
      </c>
      <c r="K128">
        <f>VLOOKUP(Staff[[#This Row],[Rating]],'Rating Count'!$B$2:$C$6,2,FALSE)</f>
        <v>3</v>
      </c>
    </row>
    <row r="129" spans="1:11" x14ac:dyDescent="0.25">
      <c r="A129" s="7" t="s">
        <v>195</v>
      </c>
      <c r="B129" s="7" t="s">
        <v>8</v>
      </c>
      <c r="C129" s="7" t="s">
        <v>21</v>
      </c>
      <c r="D129">
        <v>34</v>
      </c>
      <c r="E129" s="8">
        <v>44383</v>
      </c>
      <c r="F129" s="9">
        <v>92450</v>
      </c>
      <c r="G129" s="7" t="s">
        <v>16</v>
      </c>
      <c r="H129" s="7" t="s">
        <v>206</v>
      </c>
      <c r="I129" s="11">
        <f ca="1">(TODAY()-Staff[[#This Row],[Date Joined]])/365</f>
        <v>2.1506849315068495</v>
      </c>
      <c r="J129" s="9">
        <f ca="1">(IF(Staff[Tenure]&gt;=2,3%,2%))*Staff[[#This Row],[Salary]]</f>
        <v>2773.5</v>
      </c>
      <c r="K129">
        <f>VLOOKUP(Staff[[#This Row],[Rating]],'Rating Count'!$B$2:$C$6,2,FALSE)</f>
        <v>3</v>
      </c>
    </row>
    <row r="130" spans="1:11" x14ac:dyDescent="0.25">
      <c r="A130" s="7" t="s">
        <v>77</v>
      </c>
      <c r="B130" s="7" t="s">
        <v>8</v>
      </c>
      <c r="C130" s="7" t="s">
        <v>19</v>
      </c>
      <c r="D130">
        <v>25</v>
      </c>
      <c r="E130" s="8">
        <v>44205</v>
      </c>
      <c r="F130" s="9">
        <v>92700</v>
      </c>
      <c r="G130" s="7" t="s">
        <v>16</v>
      </c>
      <c r="H130" s="7" t="s">
        <v>204</v>
      </c>
      <c r="I130" s="11">
        <f ca="1">(TODAY()-Staff[[#This Row],[Date Joined]])/365</f>
        <v>2.6383561643835618</v>
      </c>
      <c r="J130" s="9">
        <f ca="1">(IF(Staff[Tenure]&gt;=2,3%,2%))*Staff[[#This Row],[Salary]]</f>
        <v>2781</v>
      </c>
      <c r="K130">
        <f>VLOOKUP(Staff[[#This Row],[Rating]],'Rating Count'!$B$2:$C$6,2,FALSE)</f>
        <v>3</v>
      </c>
    </row>
    <row r="131" spans="1:11" x14ac:dyDescent="0.25">
      <c r="A131" s="7" t="s">
        <v>169</v>
      </c>
      <c r="B131" s="7" t="s">
        <v>8</v>
      </c>
      <c r="C131" s="7" t="s">
        <v>19</v>
      </c>
      <c r="D131">
        <v>25</v>
      </c>
      <c r="E131" s="8">
        <v>44144</v>
      </c>
      <c r="F131" s="9">
        <v>92700</v>
      </c>
      <c r="G131" s="7" t="s">
        <v>16</v>
      </c>
      <c r="H131" s="7" t="s">
        <v>206</v>
      </c>
      <c r="I131" s="11">
        <f ca="1">(TODAY()-Staff[[#This Row],[Date Joined]])/365</f>
        <v>2.8054794520547945</v>
      </c>
      <c r="J131" s="9">
        <f ca="1">(IF(Staff[Tenure]&gt;=2,3%,2%))*Staff[[#This Row],[Salary]]</f>
        <v>2781</v>
      </c>
      <c r="K131">
        <f>VLOOKUP(Staff[[#This Row],[Rating]],'Rating Count'!$B$2:$C$6,2,FALSE)</f>
        <v>3</v>
      </c>
    </row>
    <row r="132" spans="1:11" x14ac:dyDescent="0.25">
      <c r="A132" s="7" t="s">
        <v>71</v>
      </c>
      <c r="B132" s="7" t="s">
        <v>8</v>
      </c>
      <c r="C132" s="7" t="s">
        <v>12</v>
      </c>
      <c r="D132">
        <v>33</v>
      </c>
      <c r="E132" s="8">
        <v>44190</v>
      </c>
      <c r="F132" s="9">
        <v>96140</v>
      </c>
      <c r="G132" s="7" t="s">
        <v>16</v>
      </c>
      <c r="H132" s="7" t="s">
        <v>204</v>
      </c>
      <c r="I132" s="11">
        <f ca="1">(TODAY()-Staff[[#This Row],[Date Joined]])/365</f>
        <v>2.6794520547945204</v>
      </c>
      <c r="J132" s="9">
        <f ca="1">(IF(Staff[Tenure]&gt;=2,3%,2%))*Staff[[#This Row],[Salary]]</f>
        <v>2884.2</v>
      </c>
      <c r="K132">
        <f>VLOOKUP(Staff[[#This Row],[Rating]],'Rating Count'!$B$2:$C$6,2,FALSE)</f>
        <v>3</v>
      </c>
    </row>
    <row r="133" spans="1:11" x14ac:dyDescent="0.25">
      <c r="A133" s="7" t="s">
        <v>163</v>
      </c>
      <c r="B133" s="7" t="s">
        <v>8</v>
      </c>
      <c r="C133" s="7" t="s">
        <v>12</v>
      </c>
      <c r="D133">
        <v>33</v>
      </c>
      <c r="E133" s="8">
        <v>44129</v>
      </c>
      <c r="F133" s="9">
        <v>96140</v>
      </c>
      <c r="G133" s="7" t="s">
        <v>16</v>
      </c>
      <c r="H133" s="7" t="s">
        <v>206</v>
      </c>
      <c r="I133" s="11">
        <f ca="1">(TODAY()-Staff[[#This Row],[Date Joined]])/365</f>
        <v>2.8465753424657536</v>
      </c>
      <c r="J133" s="9">
        <f ca="1">(IF(Staff[Tenure]&gt;=2,3%,2%))*Staff[[#This Row],[Salary]]</f>
        <v>2884.2</v>
      </c>
      <c r="K133">
        <f>VLOOKUP(Staff[[#This Row],[Rating]],'Rating Count'!$B$2:$C$6,2,FALSE)</f>
        <v>3</v>
      </c>
    </row>
    <row r="134" spans="1:11" x14ac:dyDescent="0.25">
      <c r="A134" s="7" t="s">
        <v>85</v>
      </c>
      <c r="B134" s="7" t="s">
        <v>15</v>
      </c>
      <c r="C134" s="7" t="s">
        <v>21</v>
      </c>
      <c r="D134">
        <v>30</v>
      </c>
      <c r="E134" s="8">
        <v>44606</v>
      </c>
      <c r="F134" s="9">
        <v>96800</v>
      </c>
      <c r="G134" s="7" t="s">
        <v>16</v>
      </c>
      <c r="H134" s="7" t="s">
        <v>204</v>
      </c>
      <c r="I134" s="11">
        <f ca="1">(TODAY()-Staff[[#This Row],[Date Joined]])/365</f>
        <v>1.5397260273972602</v>
      </c>
      <c r="J134" s="9">
        <f ca="1">(IF(Staff[Tenure]&gt;=2,3%,2%))*Staff[[#This Row],[Salary]]</f>
        <v>1936</v>
      </c>
      <c r="K134">
        <f>VLOOKUP(Staff[[#This Row],[Rating]],'Rating Count'!$B$2:$C$6,2,FALSE)</f>
        <v>3</v>
      </c>
    </row>
    <row r="135" spans="1:11" x14ac:dyDescent="0.25">
      <c r="A135" s="7" t="s">
        <v>177</v>
      </c>
      <c r="B135" s="7" t="s">
        <v>15</v>
      </c>
      <c r="C135" s="7" t="s">
        <v>21</v>
      </c>
      <c r="D135">
        <v>30</v>
      </c>
      <c r="E135" s="8">
        <v>44544</v>
      </c>
      <c r="F135" s="9">
        <v>96800</v>
      </c>
      <c r="G135" s="7" t="s">
        <v>16</v>
      </c>
      <c r="H135" s="7" t="s">
        <v>206</v>
      </c>
      <c r="I135" s="11">
        <f ca="1">(TODAY()-Staff[[#This Row],[Date Joined]])/365</f>
        <v>1.7095890410958905</v>
      </c>
      <c r="J135" s="9">
        <f ca="1">(IF(Staff[Tenure]&gt;=2,3%,2%))*Staff[[#This Row],[Salary]]</f>
        <v>1936</v>
      </c>
      <c r="K135">
        <f>VLOOKUP(Staff[[#This Row],[Rating]],'Rating Count'!$B$2:$C$6,2,FALSE)</f>
        <v>3</v>
      </c>
    </row>
    <row r="136" spans="1:11" x14ac:dyDescent="0.25">
      <c r="A136" s="7" t="s">
        <v>105</v>
      </c>
      <c r="B136" s="7" t="s">
        <v>15</v>
      </c>
      <c r="C136" s="7" t="s">
        <v>9</v>
      </c>
      <c r="D136" s="7">
        <v>40</v>
      </c>
      <c r="E136" s="8">
        <v>44263</v>
      </c>
      <c r="F136" s="9">
        <v>99750</v>
      </c>
      <c r="G136" s="7" t="s">
        <v>16</v>
      </c>
      <c r="H136" s="7" t="s">
        <v>204</v>
      </c>
      <c r="I136" s="11">
        <f ca="1">(TODAY()-Staff[[#This Row],[Date Joined]])/365</f>
        <v>2.4794520547945207</v>
      </c>
      <c r="J136" s="9">
        <f ca="1">(IF(Staff[Tenure]&gt;=2,3%,2%))*Staff[[#This Row],[Salary]]</f>
        <v>2992.5</v>
      </c>
      <c r="K136">
        <f>VLOOKUP(Staff[[#This Row],[Rating]],'Rating Count'!$B$2:$C$6,2,FALSE)</f>
        <v>3</v>
      </c>
    </row>
    <row r="137" spans="1:11" x14ac:dyDescent="0.25">
      <c r="A137" s="7" t="s">
        <v>198</v>
      </c>
      <c r="B137" s="7" t="s">
        <v>15</v>
      </c>
      <c r="C137" s="7" t="s">
        <v>9</v>
      </c>
      <c r="D137">
        <v>40</v>
      </c>
      <c r="E137" s="8">
        <v>44204</v>
      </c>
      <c r="F137" s="9">
        <v>99750</v>
      </c>
      <c r="G137" s="7" t="s">
        <v>16</v>
      </c>
      <c r="H137" s="7" t="s">
        <v>206</v>
      </c>
      <c r="I137" s="11">
        <f ca="1">(TODAY()-Staff[[#This Row],[Date Joined]])/365</f>
        <v>2.6410958904109587</v>
      </c>
      <c r="J137" s="9">
        <f ca="1">(IF(Staff[Tenure]&gt;=2,3%,2%))*Staff[[#This Row],[Salary]]</f>
        <v>2992.5</v>
      </c>
      <c r="K137">
        <f>VLOOKUP(Staff[[#This Row],[Rating]],'Rating Count'!$B$2:$C$6,2,FALSE)</f>
        <v>3</v>
      </c>
    </row>
    <row r="138" spans="1:11" x14ac:dyDescent="0.25">
      <c r="A138" s="7" t="s">
        <v>107</v>
      </c>
      <c r="B138" s="7" t="s">
        <v>8</v>
      </c>
      <c r="C138" s="7" t="s">
        <v>9</v>
      </c>
      <c r="D138">
        <v>28</v>
      </c>
      <c r="E138" s="8">
        <v>44630</v>
      </c>
      <c r="F138" s="9">
        <v>99970</v>
      </c>
      <c r="G138" s="7" t="s">
        <v>16</v>
      </c>
      <c r="H138" s="7" t="s">
        <v>204</v>
      </c>
      <c r="I138" s="11">
        <f ca="1">(TODAY()-Staff[[#This Row],[Date Joined]])/365</f>
        <v>1.473972602739726</v>
      </c>
      <c r="J138" s="9">
        <f ca="1">(IF(Staff[Tenure]&gt;=2,3%,2%))*Staff[[#This Row],[Salary]]</f>
        <v>1999.4</v>
      </c>
      <c r="K138">
        <f>VLOOKUP(Staff[[#This Row],[Rating]],'Rating Count'!$B$2:$C$6,2,FALSE)</f>
        <v>3</v>
      </c>
    </row>
    <row r="139" spans="1:11" x14ac:dyDescent="0.25">
      <c r="A139" s="7" t="s">
        <v>200</v>
      </c>
      <c r="B139" s="7" t="s">
        <v>8</v>
      </c>
      <c r="C139" s="7" t="s">
        <v>9</v>
      </c>
      <c r="D139">
        <v>28</v>
      </c>
      <c r="E139" s="8">
        <v>44571</v>
      </c>
      <c r="F139" s="9">
        <v>99970</v>
      </c>
      <c r="G139" s="7" t="s">
        <v>16</v>
      </c>
      <c r="H139" s="7" t="s">
        <v>206</v>
      </c>
      <c r="I139" s="11">
        <f ca="1">(TODAY()-Staff[[#This Row],[Date Joined]])/365</f>
        <v>1.6356164383561644</v>
      </c>
      <c r="J139" s="9">
        <f ca="1">(IF(Staff[Tenure]&gt;=2,3%,2%))*Staff[[#This Row],[Salary]]</f>
        <v>1999.4</v>
      </c>
      <c r="K139">
        <f>VLOOKUP(Staff[[#This Row],[Rating]],'Rating Count'!$B$2:$C$6,2,FALSE)</f>
        <v>3</v>
      </c>
    </row>
    <row r="140" spans="1:11" x14ac:dyDescent="0.25">
      <c r="A140" s="7" t="s">
        <v>103</v>
      </c>
      <c r="B140" s="7" t="s">
        <v>15</v>
      </c>
      <c r="C140" s="7" t="s">
        <v>12</v>
      </c>
      <c r="D140">
        <v>24</v>
      </c>
      <c r="E140" s="8">
        <v>44686</v>
      </c>
      <c r="F140" s="9">
        <v>100420</v>
      </c>
      <c r="G140" s="7" t="s">
        <v>16</v>
      </c>
      <c r="H140" s="7" t="s">
        <v>204</v>
      </c>
      <c r="I140" s="11">
        <f ca="1">(TODAY()-Staff[[#This Row],[Date Joined]])/365</f>
        <v>1.3205479452054794</v>
      </c>
      <c r="J140" s="9">
        <f ca="1">(IF(Staff[Tenure]&gt;=2,3%,2%))*Staff[[#This Row],[Salary]]</f>
        <v>2008.4</v>
      </c>
      <c r="K140">
        <f>VLOOKUP(Staff[[#This Row],[Rating]],'Rating Count'!$B$2:$C$6,2,FALSE)</f>
        <v>3</v>
      </c>
    </row>
    <row r="141" spans="1:11" x14ac:dyDescent="0.25">
      <c r="A141" s="7" t="s">
        <v>196</v>
      </c>
      <c r="B141" s="7" t="s">
        <v>15</v>
      </c>
      <c r="C141" s="7" t="s">
        <v>12</v>
      </c>
      <c r="D141">
        <v>24</v>
      </c>
      <c r="E141" s="8">
        <v>44625</v>
      </c>
      <c r="F141" s="9">
        <v>100420</v>
      </c>
      <c r="G141" s="7" t="s">
        <v>16</v>
      </c>
      <c r="H141" s="7" t="s">
        <v>206</v>
      </c>
      <c r="I141" s="11">
        <f ca="1">(TODAY()-Staff[[#This Row],[Date Joined]])/365</f>
        <v>1.4876712328767123</v>
      </c>
      <c r="J141" s="9">
        <f ca="1">(IF(Staff[Tenure]&gt;=2,3%,2%))*Staff[[#This Row],[Salary]]</f>
        <v>2008.4</v>
      </c>
      <c r="K141">
        <f>VLOOKUP(Staff[[#This Row],[Rating]],'Rating Count'!$B$2:$C$6,2,FALSE)</f>
        <v>3</v>
      </c>
    </row>
    <row r="142" spans="1:11" x14ac:dyDescent="0.25">
      <c r="A142" s="7" t="s">
        <v>50</v>
      </c>
      <c r="B142" s="7" t="s">
        <v>15</v>
      </c>
      <c r="C142" s="7" t="s">
        <v>9</v>
      </c>
      <c r="D142">
        <v>31</v>
      </c>
      <c r="E142" s="8">
        <v>44724</v>
      </c>
      <c r="F142" s="9">
        <v>103550</v>
      </c>
      <c r="G142" s="7" t="s">
        <v>16</v>
      </c>
      <c r="H142" s="7" t="s">
        <v>204</v>
      </c>
      <c r="I142" s="11">
        <f ca="1">(TODAY()-Staff[[#This Row],[Date Joined]])/365</f>
        <v>1.2164383561643837</v>
      </c>
      <c r="J142" s="9">
        <f ca="1">(IF(Staff[Tenure]&gt;=2,3%,2%))*Staff[[#This Row],[Salary]]</f>
        <v>2071</v>
      </c>
      <c r="K142">
        <f>VLOOKUP(Staff[[#This Row],[Rating]],'Rating Count'!$B$2:$C$6,2,FALSE)</f>
        <v>3</v>
      </c>
    </row>
    <row r="143" spans="1:11" x14ac:dyDescent="0.25">
      <c r="A143" s="7" t="s">
        <v>143</v>
      </c>
      <c r="B143" s="7" t="s">
        <v>15</v>
      </c>
      <c r="C143" s="7" t="s">
        <v>9</v>
      </c>
      <c r="D143">
        <v>31</v>
      </c>
      <c r="E143" s="8">
        <v>44663</v>
      </c>
      <c r="F143" s="9">
        <v>103550</v>
      </c>
      <c r="G143" s="7" t="s">
        <v>16</v>
      </c>
      <c r="H143" s="7" t="s">
        <v>206</v>
      </c>
      <c r="I143" s="11">
        <f ca="1">(TODAY()-Staff[[#This Row],[Date Joined]])/365</f>
        <v>1.3835616438356164</v>
      </c>
      <c r="J143" s="9">
        <f ca="1">(IF(Staff[Tenure]&gt;=2,3%,2%))*Staff[[#This Row],[Salary]]</f>
        <v>2071</v>
      </c>
      <c r="K143">
        <f>VLOOKUP(Staff[[#This Row],[Rating]],'Rating Count'!$B$2:$C$6,2,FALSE)</f>
        <v>3</v>
      </c>
    </row>
    <row r="144" spans="1:11" x14ac:dyDescent="0.25">
      <c r="A144" s="7" t="s">
        <v>96</v>
      </c>
      <c r="B144" s="7" t="s">
        <v>8</v>
      </c>
      <c r="C144" s="7" t="s">
        <v>9</v>
      </c>
      <c r="D144">
        <v>28</v>
      </c>
      <c r="E144" s="8">
        <v>44649</v>
      </c>
      <c r="F144" s="9">
        <v>104120</v>
      </c>
      <c r="G144" s="7" t="s">
        <v>16</v>
      </c>
      <c r="H144" s="7" t="s">
        <v>204</v>
      </c>
      <c r="I144" s="11">
        <f ca="1">(TODAY()-Staff[[#This Row],[Date Joined]])/365</f>
        <v>1.4219178082191781</v>
      </c>
      <c r="J144" s="9">
        <f ca="1">(IF(Staff[Tenure]&gt;=2,3%,2%))*Staff[[#This Row],[Salary]]</f>
        <v>2082.4</v>
      </c>
      <c r="K144">
        <f>VLOOKUP(Staff[[#This Row],[Rating]],'Rating Count'!$B$2:$C$6,2,FALSE)</f>
        <v>3</v>
      </c>
    </row>
    <row r="145" spans="1:11" x14ac:dyDescent="0.25">
      <c r="A145" s="7" t="s">
        <v>189</v>
      </c>
      <c r="B145" s="7" t="s">
        <v>8</v>
      </c>
      <c r="C145" s="7" t="s">
        <v>9</v>
      </c>
      <c r="D145">
        <v>28</v>
      </c>
      <c r="E145" s="8">
        <v>44590</v>
      </c>
      <c r="F145" s="9">
        <v>104120</v>
      </c>
      <c r="G145" s="7" t="s">
        <v>16</v>
      </c>
      <c r="H145" s="7" t="s">
        <v>206</v>
      </c>
      <c r="I145" s="11">
        <f ca="1">(TODAY()-Staff[[#This Row],[Date Joined]])/365</f>
        <v>1.5835616438356164</v>
      </c>
      <c r="J145" s="9">
        <f ca="1">(IF(Staff[Tenure]&gt;=2,3%,2%))*Staff[[#This Row],[Salary]]</f>
        <v>2082.4</v>
      </c>
      <c r="K145">
        <f>VLOOKUP(Staff[[#This Row],[Rating]],'Rating Count'!$B$2:$C$6,2,FALSE)</f>
        <v>3</v>
      </c>
    </row>
    <row r="146" spans="1:11" x14ac:dyDescent="0.25">
      <c r="A146" s="7" t="s">
        <v>101</v>
      </c>
      <c r="B146" s="7" t="s">
        <v>8</v>
      </c>
      <c r="C146" s="7" t="s">
        <v>12</v>
      </c>
      <c r="D146">
        <v>40</v>
      </c>
      <c r="E146" s="8">
        <v>44381</v>
      </c>
      <c r="F146" s="9">
        <v>104410</v>
      </c>
      <c r="G146" s="7" t="s">
        <v>16</v>
      </c>
      <c r="H146" s="7" t="s">
        <v>204</v>
      </c>
      <c r="I146" s="11">
        <f ca="1">(TODAY()-Staff[[#This Row],[Date Joined]])/365</f>
        <v>2.1561643835616437</v>
      </c>
      <c r="J146" s="9">
        <f ca="1">(IF(Staff[Tenure]&gt;=2,3%,2%))*Staff[[#This Row],[Salary]]</f>
        <v>3132.2999999999997</v>
      </c>
      <c r="K146">
        <f>VLOOKUP(Staff[[#This Row],[Rating]],'Rating Count'!$B$2:$C$6,2,FALSE)</f>
        <v>3</v>
      </c>
    </row>
    <row r="147" spans="1:11" x14ac:dyDescent="0.25">
      <c r="A147" s="7" t="s">
        <v>194</v>
      </c>
      <c r="B147" s="7" t="s">
        <v>8</v>
      </c>
      <c r="C147" s="7" t="s">
        <v>12</v>
      </c>
      <c r="D147">
        <v>40</v>
      </c>
      <c r="E147" s="8">
        <v>44320</v>
      </c>
      <c r="F147" s="9">
        <v>104410</v>
      </c>
      <c r="G147" s="7" t="s">
        <v>16</v>
      </c>
      <c r="H147" s="7" t="s">
        <v>206</v>
      </c>
      <c r="I147" s="11">
        <f ca="1">(TODAY()-Staff[[#This Row],[Date Joined]])/365</f>
        <v>2.3232876712328765</v>
      </c>
      <c r="J147" s="9">
        <f ca="1">(IF(Staff[Tenure]&gt;=2,3%,2%))*Staff[[#This Row],[Salary]]</f>
        <v>3132.2999999999997</v>
      </c>
      <c r="K147">
        <f>VLOOKUP(Staff[[#This Row],[Rating]],'Rating Count'!$B$2:$C$6,2,FALSE)</f>
        <v>3</v>
      </c>
    </row>
    <row r="148" spans="1:11" x14ac:dyDescent="0.25">
      <c r="A148" s="7" t="s">
        <v>43</v>
      </c>
      <c r="B148" s="7" t="s">
        <v>8</v>
      </c>
      <c r="C148" s="7" t="s">
        <v>9</v>
      </c>
      <c r="D148">
        <v>28</v>
      </c>
      <c r="E148" s="8">
        <v>44486</v>
      </c>
      <c r="F148" s="9">
        <v>104770</v>
      </c>
      <c r="G148" s="7" t="s">
        <v>16</v>
      </c>
      <c r="H148" s="7" t="s">
        <v>204</v>
      </c>
      <c r="I148" s="11">
        <f ca="1">(TODAY()-Staff[[#This Row],[Date Joined]])/365</f>
        <v>1.8684931506849316</v>
      </c>
      <c r="J148" s="9">
        <f ca="1">(IF(Staff[Tenure]&gt;=2,3%,2%))*Staff[[#This Row],[Salary]]</f>
        <v>2095.4</v>
      </c>
      <c r="K148">
        <f>VLOOKUP(Staff[[#This Row],[Rating]],'Rating Count'!$B$2:$C$6,2,FALSE)</f>
        <v>3</v>
      </c>
    </row>
    <row r="149" spans="1:11" x14ac:dyDescent="0.25">
      <c r="A149" s="7" t="s">
        <v>136</v>
      </c>
      <c r="B149" s="7" t="s">
        <v>8</v>
      </c>
      <c r="C149" s="7" t="s">
        <v>9</v>
      </c>
      <c r="D149">
        <v>28</v>
      </c>
      <c r="E149" s="8">
        <v>44425</v>
      </c>
      <c r="F149" s="9">
        <v>104770</v>
      </c>
      <c r="G149" s="7" t="s">
        <v>16</v>
      </c>
      <c r="H149" s="7" t="s">
        <v>206</v>
      </c>
      <c r="I149" s="11">
        <f ca="1">(TODAY()-Staff[[#This Row],[Date Joined]])/365</f>
        <v>2.0356164383561643</v>
      </c>
      <c r="J149" s="9">
        <f ca="1">(IF(Staff[Tenure]&gt;=2,3%,2%))*Staff[[#This Row],[Salary]]</f>
        <v>3143.1</v>
      </c>
      <c r="K149">
        <f>VLOOKUP(Staff[[#This Row],[Rating]],'Rating Count'!$B$2:$C$6,2,FALSE)</f>
        <v>3</v>
      </c>
    </row>
    <row r="150" spans="1:11" x14ac:dyDescent="0.25">
      <c r="A150" s="7" t="s">
        <v>69</v>
      </c>
      <c r="B150" s="7" t="s">
        <v>15</v>
      </c>
      <c r="C150" s="7" t="s">
        <v>9</v>
      </c>
      <c r="D150">
        <v>23</v>
      </c>
      <c r="E150" s="8">
        <v>44440</v>
      </c>
      <c r="F150" s="9">
        <v>106460</v>
      </c>
      <c r="G150" s="7" t="s">
        <v>16</v>
      </c>
      <c r="H150" s="7" t="s">
        <v>204</v>
      </c>
      <c r="I150" s="11">
        <f ca="1">(TODAY()-Staff[[#This Row],[Date Joined]])/365</f>
        <v>1.9945205479452055</v>
      </c>
      <c r="J150" s="9">
        <f ca="1">(IF(Staff[Tenure]&gt;=2,3%,2%))*Staff[[#This Row],[Salary]]</f>
        <v>2129.1999999999998</v>
      </c>
      <c r="K150">
        <f>VLOOKUP(Staff[[#This Row],[Rating]],'Rating Count'!$B$2:$C$6,2,FALSE)</f>
        <v>3</v>
      </c>
    </row>
    <row r="151" spans="1:11" x14ac:dyDescent="0.25">
      <c r="A151" s="7" t="s">
        <v>161</v>
      </c>
      <c r="B151" s="7" t="s">
        <v>15</v>
      </c>
      <c r="C151" s="7" t="s">
        <v>9</v>
      </c>
      <c r="D151">
        <v>23</v>
      </c>
      <c r="E151" s="8">
        <v>44378</v>
      </c>
      <c r="F151" s="9">
        <v>106460</v>
      </c>
      <c r="G151" s="7" t="s">
        <v>16</v>
      </c>
      <c r="H151" s="7" t="s">
        <v>206</v>
      </c>
      <c r="I151" s="11">
        <f ca="1">(TODAY()-Staff[[#This Row],[Date Joined]])/365</f>
        <v>2.1643835616438358</v>
      </c>
      <c r="J151" s="9">
        <f ca="1">(IF(Staff[Tenure]&gt;=2,3%,2%))*Staff[[#This Row],[Salary]]</f>
        <v>3193.7999999999997</v>
      </c>
      <c r="K151">
        <f>VLOOKUP(Staff[[#This Row],[Rating]],'Rating Count'!$B$2:$C$6,2,FALSE)</f>
        <v>3</v>
      </c>
    </row>
    <row r="152" spans="1:11" x14ac:dyDescent="0.25">
      <c r="A152" s="7" t="s">
        <v>22</v>
      </c>
      <c r="B152" s="7" t="s">
        <v>15</v>
      </c>
      <c r="C152" s="7" t="s">
        <v>12</v>
      </c>
      <c r="D152" s="7">
        <v>20</v>
      </c>
      <c r="E152" s="8">
        <v>44459</v>
      </c>
      <c r="F152" s="9">
        <v>107700</v>
      </c>
      <c r="G152" s="7" t="s">
        <v>16</v>
      </c>
      <c r="H152" s="7" t="s">
        <v>204</v>
      </c>
      <c r="I152" s="11">
        <f ca="1">(TODAY()-Staff[[#This Row],[Date Joined]])/365</f>
        <v>1.9424657534246574</v>
      </c>
      <c r="J152" s="9">
        <f ca="1">(IF(Staff[Tenure]&gt;=2,3%,2%))*Staff[[#This Row],[Salary]]</f>
        <v>2154</v>
      </c>
      <c r="K152">
        <f>VLOOKUP(Staff[[#This Row],[Rating]],'Rating Count'!$B$2:$C$6,2,FALSE)</f>
        <v>3</v>
      </c>
    </row>
    <row r="153" spans="1:11" x14ac:dyDescent="0.25">
      <c r="A153" s="7" t="s">
        <v>117</v>
      </c>
      <c r="B153" s="7" t="s">
        <v>15</v>
      </c>
      <c r="C153" s="7" t="s">
        <v>12</v>
      </c>
      <c r="D153">
        <v>20</v>
      </c>
      <c r="E153" s="8">
        <v>44397</v>
      </c>
      <c r="F153" s="9">
        <v>107700</v>
      </c>
      <c r="G153" s="7" t="s">
        <v>16</v>
      </c>
      <c r="H153" s="7" t="s">
        <v>206</v>
      </c>
      <c r="I153" s="11">
        <f ca="1">(TODAY()-Staff[[#This Row],[Date Joined]])/365</f>
        <v>2.1123287671232878</v>
      </c>
      <c r="J153" s="9">
        <f ca="1">(IF(Staff[Tenure]&gt;=2,3%,2%))*Staff[[#This Row],[Salary]]</f>
        <v>3231</v>
      </c>
      <c r="K153">
        <f>VLOOKUP(Staff[[#This Row],[Rating]],'Rating Count'!$B$2:$C$6,2,FALSE)</f>
        <v>3</v>
      </c>
    </row>
    <row r="154" spans="1:11" x14ac:dyDescent="0.25">
      <c r="A154" s="7" t="s">
        <v>33</v>
      </c>
      <c r="B154" s="7" t="s">
        <v>8</v>
      </c>
      <c r="C154" s="7" t="s">
        <v>19</v>
      </c>
      <c r="D154">
        <v>38</v>
      </c>
      <c r="E154" s="8">
        <v>44377</v>
      </c>
      <c r="F154" s="9">
        <v>109160</v>
      </c>
      <c r="G154" s="7" t="s">
        <v>10</v>
      </c>
      <c r="H154" s="7" t="s">
        <v>204</v>
      </c>
      <c r="I154" s="11">
        <f ca="1">(TODAY()-Staff[[#This Row],[Date Joined]])/365</f>
        <v>2.1671232876712327</v>
      </c>
      <c r="J154" s="9">
        <f ca="1">(IF(Staff[Tenure]&gt;=2,3%,2%))*Staff[[#This Row],[Salary]]</f>
        <v>3274.7999999999997</v>
      </c>
      <c r="K154">
        <f>VLOOKUP(Staff[[#This Row],[Rating]],'Rating Count'!$B$2:$C$6,2,FALSE)</f>
        <v>5</v>
      </c>
    </row>
    <row r="155" spans="1:11" x14ac:dyDescent="0.25">
      <c r="A155" s="7" t="s">
        <v>127</v>
      </c>
      <c r="B155" s="7" t="s">
        <v>8</v>
      </c>
      <c r="C155" s="7" t="s">
        <v>19</v>
      </c>
      <c r="D155">
        <v>38</v>
      </c>
      <c r="E155" s="8">
        <v>44316</v>
      </c>
      <c r="F155" s="9">
        <v>109160</v>
      </c>
      <c r="G155" s="7" t="s">
        <v>10</v>
      </c>
      <c r="H155" s="7" t="s">
        <v>206</v>
      </c>
      <c r="I155" s="11">
        <f ca="1">(TODAY()-Staff[[#This Row],[Date Joined]])/365</f>
        <v>2.3342465753424659</v>
      </c>
      <c r="J155" s="9">
        <f ca="1">(IF(Staff[Tenure]&gt;=2,3%,2%))*Staff[[#This Row],[Salary]]</f>
        <v>3274.7999999999997</v>
      </c>
      <c r="K155">
        <f>VLOOKUP(Staff[[#This Row],[Rating]],'Rating Count'!$B$2:$C$6,2,FALSE)</f>
        <v>5</v>
      </c>
    </row>
    <row r="156" spans="1:11" x14ac:dyDescent="0.25">
      <c r="A156" s="7" t="s">
        <v>34</v>
      </c>
      <c r="B156" s="7" t="s">
        <v>15</v>
      </c>
      <c r="C156" s="7" t="s">
        <v>9</v>
      </c>
      <c r="D156">
        <v>25</v>
      </c>
      <c r="E156" s="8">
        <v>44726</v>
      </c>
      <c r="F156" s="9">
        <v>109190</v>
      </c>
      <c r="G156" s="7" t="s">
        <v>13</v>
      </c>
      <c r="H156" s="7" t="s">
        <v>204</v>
      </c>
      <c r="I156" s="11">
        <f ca="1">(TODAY()-Staff[[#This Row],[Date Joined]])/365</f>
        <v>1.210958904109589</v>
      </c>
      <c r="J156" s="9">
        <f ca="1">(IF(Staff[Tenure]&gt;=2,3%,2%))*Staff[[#This Row],[Salary]]</f>
        <v>2183.8000000000002</v>
      </c>
      <c r="K156">
        <f>VLOOKUP(Staff[[#This Row],[Rating]],'Rating Count'!$B$2:$C$6,2,FALSE)</f>
        <v>4</v>
      </c>
    </row>
    <row r="157" spans="1:11" x14ac:dyDescent="0.25">
      <c r="A157" s="7" t="s">
        <v>128</v>
      </c>
      <c r="B157" s="7" t="s">
        <v>15</v>
      </c>
      <c r="C157" s="7" t="s">
        <v>9</v>
      </c>
      <c r="D157">
        <v>25</v>
      </c>
      <c r="E157" s="8">
        <v>44665</v>
      </c>
      <c r="F157" s="9">
        <v>109190</v>
      </c>
      <c r="G157" s="7" t="s">
        <v>13</v>
      </c>
      <c r="H157" s="7" t="s">
        <v>206</v>
      </c>
      <c r="I157" s="11">
        <f ca="1">(TODAY()-Staff[[#This Row],[Date Joined]])/365</f>
        <v>1.3780821917808219</v>
      </c>
      <c r="J157" s="9">
        <f ca="1">(IF(Staff[Tenure]&gt;=2,3%,2%))*Staff[[#This Row],[Salary]]</f>
        <v>2183.8000000000002</v>
      </c>
      <c r="K157">
        <f>VLOOKUP(Staff[[#This Row],[Rating]],'Rating Count'!$B$2:$C$6,2,FALSE)</f>
        <v>4</v>
      </c>
    </row>
    <row r="158" spans="1:11" x14ac:dyDescent="0.25">
      <c r="A158" s="7" t="s">
        <v>87</v>
      </c>
      <c r="B158" s="7" t="s">
        <v>15</v>
      </c>
      <c r="C158" s="7" t="s">
        <v>12</v>
      </c>
      <c r="D158" s="7">
        <v>29</v>
      </c>
      <c r="E158" s="8">
        <v>44180</v>
      </c>
      <c r="F158" s="9">
        <v>112110</v>
      </c>
      <c r="G158" s="7" t="s">
        <v>24</v>
      </c>
      <c r="H158" s="7" t="s">
        <v>204</v>
      </c>
      <c r="I158" s="11">
        <f ca="1">(TODAY()-Staff[[#This Row],[Date Joined]])/365</f>
        <v>2.7068493150684931</v>
      </c>
      <c r="J158" s="9">
        <f ca="1">(IF(Staff[Tenure]&gt;=2,3%,2%))*Staff[[#This Row],[Salary]]</f>
        <v>3363.2999999999997</v>
      </c>
      <c r="K158">
        <f>VLOOKUP(Staff[[#This Row],[Rating]],'Rating Count'!$B$2:$C$6,2,FALSE)</f>
        <v>2</v>
      </c>
    </row>
    <row r="159" spans="1:11" x14ac:dyDescent="0.25">
      <c r="A159" s="7" t="s">
        <v>180</v>
      </c>
      <c r="B159" s="7" t="s">
        <v>15</v>
      </c>
      <c r="C159" s="7" t="s">
        <v>12</v>
      </c>
      <c r="D159">
        <v>29</v>
      </c>
      <c r="E159" s="8">
        <v>44119</v>
      </c>
      <c r="F159" s="9">
        <v>112110</v>
      </c>
      <c r="G159" s="7" t="s">
        <v>24</v>
      </c>
      <c r="H159" s="7" t="s">
        <v>206</v>
      </c>
      <c r="I159" s="11">
        <f ca="1">(TODAY()-Staff[[#This Row],[Date Joined]])/365</f>
        <v>2.8739726027397259</v>
      </c>
      <c r="J159" s="9">
        <f ca="1">(IF(Staff[Tenure]&gt;=2,3%,2%))*Staff[[#This Row],[Salary]]</f>
        <v>3363.2999999999997</v>
      </c>
      <c r="K159">
        <f>VLOOKUP(Staff[[#This Row],[Rating]],'Rating Count'!$B$2:$C$6,2,FALSE)</f>
        <v>2</v>
      </c>
    </row>
    <row r="160" spans="1:11" x14ac:dyDescent="0.25">
      <c r="A160" s="7" t="s">
        <v>81</v>
      </c>
      <c r="B160" s="7" t="s">
        <v>8</v>
      </c>
      <c r="C160" s="7" t="s">
        <v>9</v>
      </c>
      <c r="D160" s="7">
        <v>30</v>
      </c>
      <c r="E160" s="8">
        <v>44861</v>
      </c>
      <c r="F160" s="9">
        <v>112570</v>
      </c>
      <c r="G160" s="7" t="s">
        <v>16</v>
      </c>
      <c r="H160" s="7" t="s">
        <v>204</v>
      </c>
      <c r="I160" s="11">
        <f ca="1">(TODAY()-Staff[[#This Row],[Date Joined]])/365</f>
        <v>0.84109589041095889</v>
      </c>
      <c r="J160" s="9">
        <f ca="1">(IF(Staff[Tenure]&gt;=2,3%,2%))*Staff[[#This Row],[Salary]]</f>
        <v>2251.4</v>
      </c>
      <c r="K160">
        <f>VLOOKUP(Staff[[#This Row],[Rating]],'Rating Count'!$B$2:$C$6,2,FALSE)</f>
        <v>3</v>
      </c>
    </row>
    <row r="161" spans="1:11" x14ac:dyDescent="0.25">
      <c r="A161" s="7" t="s">
        <v>173</v>
      </c>
      <c r="B161" s="7" t="s">
        <v>8</v>
      </c>
      <c r="C161" s="7" t="s">
        <v>9</v>
      </c>
      <c r="D161">
        <v>30</v>
      </c>
      <c r="E161" s="8">
        <v>44800</v>
      </c>
      <c r="F161" s="9">
        <v>112570</v>
      </c>
      <c r="G161" s="7" t="s">
        <v>16</v>
      </c>
      <c r="H161" s="7" t="s">
        <v>206</v>
      </c>
      <c r="I161" s="11">
        <f ca="1">(TODAY()-Staff[[#This Row],[Date Joined]])/365</f>
        <v>1.0082191780821919</v>
      </c>
      <c r="J161" s="9">
        <f ca="1">(IF(Staff[Tenure]&gt;=2,3%,2%))*Staff[[#This Row],[Salary]]</f>
        <v>2251.4</v>
      </c>
      <c r="K161">
        <f>VLOOKUP(Staff[[#This Row],[Rating]],'Rating Count'!$B$2:$C$6,2,FALSE)</f>
        <v>3</v>
      </c>
    </row>
    <row r="162" spans="1:11" x14ac:dyDescent="0.25">
      <c r="A162" s="7" t="s">
        <v>64</v>
      </c>
      <c r="B162" s="7" t="s">
        <v>15</v>
      </c>
      <c r="C162" s="7" t="s">
        <v>12</v>
      </c>
      <c r="D162">
        <v>20</v>
      </c>
      <c r="E162" s="8">
        <v>44183</v>
      </c>
      <c r="F162" s="9">
        <v>112650</v>
      </c>
      <c r="G162" s="7" t="s">
        <v>16</v>
      </c>
      <c r="H162" s="7" t="s">
        <v>204</v>
      </c>
      <c r="I162" s="11">
        <f ca="1">(TODAY()-Staff[[#This Row],[Date Joined]])/365</f>
        <v>2.6986301369863015</v>
      </c>
      <c r="J162" s="9">
        <f ca="1">(IF(Staff[Tenure]&gt;=2,3%,2%))*Staff[[#This Row],[Salary]]</f>
        <v>3379.5</v>
      </c>
      <c r="K162">
        <f>VLOOKUP(Staff[[#This Row],[Rating]],'Rating Count'!$B$2:$C$6,2,FALSE)</f>
        <v>3</v>
      </c>
    </row>
    <row r="163" spans="1:11" x14ac:dyDescent="0.25">
      <c r="A163" s="7" t="s">
        <v>156</v>
      </c>
      <c r="B163" s="7" t="s">
        <v>15</v>
      </c>
      <c r="C163" s="7" t="s">
        <v>12</v>
      </c>
      <c r="D163">
        <v>20</v>
      </c>
      <c r="E163" s="8">
        <v>44122</v>
      </c>
      <c r="F163" s="9">
        <v>112650</v>
      </c>
      <c r="G163" s="7" t="s">
        <v>16</v>
      </c>
      <c r="H163" s="7" t="s">
        <v>206</v>
      </c>
      <c r="I163" s="11">
        <f ca="1">(TODAY()-Staff[[#This Row],[Date Joined]])/365</f>
        <v>2.8657534246575342</v>
      </c>
      <c r="J163" s="9">
        <f ca="1">(IF(Staff[Tenure]&gt;=2,3%,2%))*Staff[[#This Row],[Salary]]</f>
        <v>3379.5</v>
      </c>
      <c r="K163">
        <f>VLOOKUP(Staff[[#This Row],[Rating]],'Rating Count'!$B$2:$C$6,2,FALSE)</f>
        <v>3</v>
      </c>
    </row>
    <row r="164" spans="1:11" x14ac:dyDescent="0.25">
      <c r="A164" s="7" t="s">
        <v>178</v>
      </c>
      <c r="B164" s="7" t="s">
        <v>15</v>
      </c>
      <c r="C164" s="7" t="s">
        <v>9</v>
      </c>
      <c r="D164">
        <v>34</v>
      </c>
      <c r="E164" s="8">
        <v>44642</v>
      </c>
      <c r="F164" s="9">
        <v>112650</v>
      </c>
      <c r="G164" s="7" t="s">
        <v>16</v>
      </c>
      <c r="H164" s="7" t="s">
        <v>206</v>
      </c>
      <c r="I164" s="11">
        <f ca="1">(TODAY()-Staff[[#This Row],[Date Joined]])/365</f>
        <v>1.441095890410959</v>
      </c>
      <c r="J164" s="9">
        <f ca="1">(IF(Staff[Tenure]&gt;=2,3%,2%))*Staff[[#This Row],[Salary]]</f>
        <v>2253</v>
      </c>
      <c r="K164">
        <f>VLOOKUP(Staff[[#This Row],[Rating]],'Rating Count'!$B$2:$C$6,2,FALSE)</f>
        <v>3</v>
      </c>
    </row>
    <row r="165" spans="1:11" x14ac:dyDescent="0.25">
      <c r="A165" s="7" t="s">
        <v>58</v>
      </c>
      <c r="B165" s="7" t="s">
        <v>15</v>
      </c>
      <c r="C165" s="7" t="s">
        <v>19</v>
      </c>
      <c r="D165" s="7">
        <v>22</v>
      </c>
      <c r="E165" s="8">
        <v>44446</v>
      </c>
      <c r="F165" s="9">
        <v>112780</v>
      </c>
      <c r="G165" s="7" t="s">
        <v>13</v>
      </c>
      <c r="H165" s="7" t="s">
        <v>204</v>
      </c>
      <c r="I165" s="11">
        <f ca="1">(TODAY()-Staff[[#This Row],[Date Joined]])/365</f>
        <v>1.978082191780822</v>
      </c>
      <c r="J165" s="9">
        <f ca="1">(IF(Staff[Tenure]&gt;=2,3%,2%))*Staff[[#This Row],[Salary]]</f>
        <v>2255.6</v>
      </c>
      <c r="K165">
        <f>VLOOKUP(Staff[[#This Row],[Rating]],'Rating Count'!$B$2:$C$6,2,FALSE)</f>
        <v>4</v>
      </c>
    </row>
    <row r="166" spans="1:11" x14ac:dyDescent="0.25">
      <c r="A166" s="7" t="s">
        <v>150</v>
      </c>
      <c r="B166" s="7" t="s">
        <v>15</v>
      </c>
      <c r="C166" s="7" t="s">
        <v>19</v>
      </c>
      <c r="D166">
        <v>22</v>
      </c>
      <c r="E166" s="8">
        <v>44384</v>
      </c>
      <c r="F166" s="9">
        <v>112780</v>
      </c>
      <c r="G166" s="7" t="s">
        <v>13</v>
      </c>
      <c r="H166" s="7" t="s">
        <v>206</v>
      </c>
      <c r="I166" s="11">
        <f ca="1">(TODAY()-Staff[[#This Row],[Date Joined]])/365</f>
        <v>2.1479452054794521</v>
      </c>
      <c r="J166" s="9">
        <f ca="1">(IF(Staff[Tenure]&gt;=2,3%,2%))*Staff[[#This Row],[Salary]]</f>
        <v>3383.4</v>
      </c>
      <c r="K166">
        <f>VLOOKUP(Staff[[#This Row],[Rating]],'Rating Count'!$B$2:$C$6,2,FALSE)</f>
        <v>4</v>
      </c>
    </row>
    <row r="167" spans="1:11" x14ac:dyDescent="0.25">
      <c r="A167" s="7" t="s">
        <v>98</v>
      </c>
      <c r="B167" s="7" t="s">
        <v>15</v>
      </c>
      <c r="C167" s="7" t="s">
        <v>9</v>
      </c>
      <c r="D167">
        <v>27</v>
      </c>
      <c r="E167" s="8">
        <v>44609</v>
      </c>
      <c r="F167" s="9">
        <v>113280</v>
      </c>
      <c r="G167" s="7" t="s">
        <v>42</v>
      </c>
      <c r="H167" s="7" t="s">
        <v>204</v>
      </c>
      <c r="I167" s="11">
        <f ca="1">(TODAY()-Staff[[#This Row],[Date Joined]])/365</f>
        <v>1.5315068493150685</v>
      </c>
      <c r="J167" s="9">
        <f ca="1">(IF(Staff[Tenure]&gt;=2,3%,2%))*Staff[[#This Row],[Salary]]</f>
        <v>2265.6</v>
      </c>
      <c r="K167">
        <f>VLOOKUP(Staff[[#This Row],[Rating]],'Rating Count'!$B$2:$C$6,2,FALSE)</f>
        <v>1</v>
      </c>
    </row>
    <row r="168" spans="1:11" x14ac:dyDescent="0.25">
      <c r="A168" s="7" t="s">
        <v>191</v>
      </c>
      <c r="B168" s="7" t="s">
        <v>15</v>
      </c>
      <c r="C168" s="7" t="s">
        <v>9</v>
      </c>
      <c r="D168">
        <v>27</v>
      </c>
      <c r="E168" s="8">
        <v>44547</v>
      </c>
      <c r="F168" s="9">
        <v>113280</v>
      </c>
      <c r="G168" s="7" t="s">
        <v>42</v>
      </c>
      <c r="H168" s="7" t="s">
        <v>206</v>
      </c>
      <c r="I168" s="11">
        <f ca="1">(TODAY()-Staff[[#This Row],[Date Joined]])/365</f>
        <v>1.7013698630136986</v>
      </c>
      <c r="J168" s="9">
        <f ca="1">(IF(Staff[Tenure]&gt;=2,3%,2%))*Staff[[#This Row],[Salary]]</f>
        <v>2265.6</v>
      </c>
      <c r="K168">
        <f>VLOOKUP(Staff[[#This Row],[Rating]],'Rating Count'!$B$2:$C$6,2,FALSE)</f>
        <v>1</v>
      </c>
    </row>
    <row r="169" spans="1:11" x14ac:dyDescent="0.25">
      <c r="A169" s="7" t="s">
        <v>54</v>
      </c>
      <c r="B169" s="7" t="s">
        <v>8</v>
      </c>
      <c r="C169" s="7" t="s">
        <v>9</v>
      </c>
      <c r="D169">
        <v>30</v>
      </c>
      <c r="E169" s="8">
        <v>44850</v>
      </c>
      <c r="F169" s="9">
        <v>114180</v>
      </c>
      <c r="G169" s="7" t="s">
        <v>16</v>
      </c>
      <c r="H169" s="7" t="s">
        <v>204</v>
      </c>
      <c r="I169" s="11">
        <f ca="1">(TODAY()-Staff[[#This Row],[Date Joined]])/365</f>
        <v>0.87123287671232874</v>
      </c>
      <c r="J169" s="9">
        <f ca="1">(IF(Staff[Tenure]&gt;=2,3%,2%))*Staff[[#This Row],[Salary]]</f>
        <v>2283.6</v>
      </c>
      <c r="K169">
        <f>VLOOKUP(Staff[[#This Row],[Rating]],'Rating Count'!$B$2:$C$6,2,FALSE)</f>
        <v>3</v>
      </c>
    </row>
    <row r="170" spans="1:11" x14ac:dyDescent="0.25">
      <c r="A170" s="7" t="s">
        <v>147</v>
      </c>
      <c r="B170" s="7" t="s">
        <v>8</v>
      </c>
      <c r="C170" s="7" t="s">
        <v>9</v>
      </c>
      <c r="D170">
        <v>30</v>
      </c>
      <c r="E170" s="8">
        <v>44789</v>
      </c>
      <c r="F170" s="9">
        <v>114180</v>
      </c>
      <c r="G170" s="7" t="s">
        <v>16</v>
      </c>
      <c r="H170" s="7" t="s">
        <v>206</v>
      </c>
      <c r="I170" s="11">
        <f ca="1">(TODAY()-Staff[[#This Row],[Date Joined]])/365</f>
        <v>1.0383561643835617</v>
      </c>
      <c r="J170" s="9">
        <f ca="1">(IF(Staff[Tenure]&gt;=2,3%,2%))*Staff[[#This Row],[Salary]]</f>
        <v>2283.6</v>
      </c>
      <c r="K170">
        <f>VLOOKUP(Staff[[#This Row],[Rating]],'Rating Count'!$B$2:$C$6,2,FALSE)</f>
        <v>3</v>
      </c>
    </row>
    <row r="171" spans="1:11" x14ac:dyDescent="0.25">
      <c r="A171" s="7" t="s">
        <v>17</v>
      </c>
      <c r="B171" s="7" t="s">
        <v>8</v>
      </c>
      <c r="C171" s="7" t="s">
        <v>12</v>
      </c>
      <c r="D171">
        <v>43</v>
      </c>
      <c r="E171" s="8">
        <v>45045</v>
      </c>
      <c r="F171" s="9">
        <v>114870</v>
      </c>
      <c r="G171" s="7" t="s">
        <v>16</v>
      </c>
      <c r="H171" s="7" t="s">
        <v>204</v>
      </c>
      <c r="I171" s="11">
        <f ca="1">(TODAY()-Staff[[#This Row],[Date Joined]])/365</f>
        <v>0.33698630136986302</v>
      </c>
      <c r="J171" s="9">
        <f ca="1">(IF(Staff[Tenure]&gt;=2,3%,2%))*Staff[[#This Row],[Salary]]</f>
        <v>2297.4</v>
      </c>
      <c r="K171">
        <f>VLOOKUP(Staff[[#This Row],[Rating]],'Rating Count'!$B$2:$C$6,2,FALSE)</f>
        <v>3</v>
      </c>
    </row>
    <row r="172" spans="1:11" x14ac:dyDescent="0.25">
      <c r="A172" s="7" t="s">
        <v>114</v>
      </c>
      <c r="B172" s="7" t="s">
        <v>8</v>
      </c>
      <c r="C172" s="7" t="s">
        <v>12</v>
      </c>
      <c r="D172">
        <v>44</v>
      </c>
      <c r="E172" s="8">
        <v>44985</v>
      </c>
      <c r="F172" s="9">
        <v>114870</v>
      </c>
      <c r="G172" s="7" t="s">
        <v>16</v>
      </c>
      <c r="H172" s="7" t="s">
        <v>206</v>
      </c>
      <c r="I172" s="11">
        <f ca="1">(TODAY()-Staff[[#This Row],[Date Joined]])/365</f>
        <v>0.50136986301369868</v>
      </c>
      <c r="J172" s="9">
        <f ca="1">(IF(Staff[Tenure]&gt;=2,3%,2%))*Staff[[#This Row],[Salary]]</f>
        <v>2297.4</v>
      </c>
      <c r="K172">
        <f>VLOOKUP(Staff[[#This Row],[Rating]],'Rating Count'!$B$2:$C$6,2,FALSE)</f>
        <v>3</v>
      </c>
    </row>
    <row r="173" spans="1:11" x14ac:dyDescent="0.25">
      <c r="A173" s="7" t="s">
        <v>83</v>
      </c>
      <c r="B173" s="7" t="s">
        <v>8</v>
      </c>
      <c r="C173" s="7" t="s">
        <v>9</v>
      </c>
      <c r="D173">
        <v>36</v>
      </c>
      <c r="E173" s="8">
        <v>44085</v>
      </c>
      <c r="F173" s="9">
        <v>114890</v>
      </c>
      <c r="G173" s="7" t="s">
        <v>16</v>
      </c>
      <c r="H173" s="7" t="s">
        <v>204</v>
      </c>
      <c r="I173" s="11">
        <f ca="1">(TODAY()-Staff[[#This Row],[Date Joined]])/365</f>
        <v>2.967123287671233</v>
      </c>
      <c r="J173" s="9">
        <f ca="1">(IF(Staff[Tenure]&gt;=2,3%,2%))*Staff[[#This Row],[Salary]]</f>
        <v>3446.7</v>
      </c>
      <c r="K173">
        <f>VLOOKUP(Staff[[#This Row],[Rating]],'Rating Count'!$B$2:$C$6,2,FALSE)</f>
        <v>3</v>
      </c>
    </row>
    <row r="174" spans="1:11" x14ac:dyDescent="0.25">
      <c r="A174" s="7" t="s">
        <v>175</v>
      </c>
      <c r="B174" s="7" t="s">
        <v>8</v>
      </c>
      <c r="C174" s="7" t="s">
        <v>9</v>
      </c>
      <c r="D174">
        <v>36</v>
      </c>
      <c r="E174" s="8">
        <v>44023</v>
      </c>
      <c r="F174" s="9">
        <v>114890</v>
      </c>
      <c r="G174" s="7" t="s">
        <v>16</v>
      </c>
      <c r="H174" s="7" t="s">
        <v>206</v>
      </c>
      <c r="I174" s="11">
        <f ca="1">(TODAY()-Staff[[#This Row],[Date Joined]])/365</f>
        <v>3.1369863013698631</v>
      </c>
      <c r="J174" s="9">
        <f ca="1">(IF(Staff[Tenure]&gt;=2,3%,2%))*Staff[[#This Row],[Salary]]</f>
        <v>3446.7</v>
      </c>
      <c r="K174">
        <f>VLOOKUP(Staff[[#This Row],[Rating]],'Rating Count'!$B$2:$C$6,2,FALSE)</f>
        <v>3</v>
      </c>
    </row>
    <row r="175" spans="1:11" x14ac:dyDescent="0.25">
      <c r="A175" s="7" t="s">
        <v>49</v>
      </c>
      <c r="B175" s="7" t="s">
        <v>205</v>
      </c>
      <c r="C175" s="7" t="s">
        <v>21</v>
      </c>
      <c r="D175" s="7">
        <v>37</v>
      </c>
      <c r="E175" s="8">
        <v>44146</v>
      </c>
      <c r="F175" s="9">
        <v>115440</v>
      </c>
      <c r="G175" s="7" t="s">
        <v>24</v>
      </c>
      <c r="H175" s="7" t="s">
        <v>204</v>
      </c>
      <c r="I175" s="11">
        <f ca="1">(TODAY()-Staff[[#This Row],[Date Joined]])/365</f>
        <v>2.8</v>
      </c>
      <c r="J175" s="9">
        <f ca="1">(IF(Staff[Tenure]&gt;=2,3%,2%))*Staff[[#This Row],[Salary]]</f>
        <v>3463.2</v>
      </c>
      <c r="K175">
        <f>VLOOKUP(Staff[[#This Row],[Rating]],'Rating Count'!$B$2:$C$6,2,FALSE)</f>
        <v>2</v>
      </c>
    </row>
    <row r="176" spans="1:11" x14ac:dyDescent="0.25">
      <c r="A176" s="7" t="s">
        <v>142</v>
      </c>
      <c r="B176" s="7" t="s">
        <v>205</v>
      </c>
      <c r="C176" s="7" t="s">
        <v>21</v>
      </c>
      <c r="D176">
        <v>37</v>
      </c>
      <c r="E176" s="8">
        <v>44085</v>
      </c>
      <c r="F176" s="9">
        <v>115440</v>
      </c>
      <c r="G176" s="7" t="s">
        <v>24</v>
      </c>
      <c r="H176" s="7" t="s">
        <v>206</v>
      </c>
      <c r="I176" s="11">
        <f ca="1">(TODAY()-Staff[[#This Row],[Date Joined]])/365</f>
        <v>2.967123287671233</v>
      </c>
      <c r="J176" s="9">
        <f ca="1">(IF(Staff[Tenure]&gt;=2,3%,2%))*Staff[[#This Row],[Salary]]</f>
        <v>3463.2</v>
      </c>
      <c r="K176">
        <f>VLOOKUP(Staff[[#This Row],[Rating]],'Rating Count'!$B$2:$C$6,2,FALSE)</f>
        <v>2</v>
      </c>
    </row>
    <row r="177" spans="1:11" x14ac:dyDescent="0.25">
      <c r="A177" s="7" t="s">
        <v>40</v>
      </c>
      <c r="B177" s="7" t="s">
        <v>15</v>
      </c>
      <c r="C177" s="7" t="s">
        <v>9</v>
      </c>
      <c r="D177">
        <v>33</v>
      </c>
      <c r="E177" s="8">
        <v>44164</v>
      </c>
      <c r="F177" s="9">
        <v>115920</v>
      </c>
      <c r="G177" s="7" t="s">
        <v>16</v>
      </c>
      <c r="H177" s="7" t="s">
        <v>204</v>
      </c>
      <c r="I177" s="11">
        <f ca="1">(TODAY()-Staff[[#This Row],[Date Joined]])/365</f>
        <v>2.7506849315068491</v>
      </c>
      <c r="J177" s="9">
        <f ca="1">(IF(Staff[Tenure]&gt;=2,3%,2%))*Staff[[#This Row],[Salary]]</f>
        <v>3477.6</v>
      </c>
      <c r="K177">
        <f>VLOOKUP(Staff[[#This Row],[Rating]],'Rating Count'!$B$2:$C$6,2,FALSE)</f>
        <v>3</v>
      </c>
    </row>
    <row r="178" spans="1:11" x14ac:dyDescent="0.25">
      <c r="A178" s="7" t="s">
        <v>134</v>
      </c>
      <c r="B178" s="7" t="s">
        <v>15</v>
      </c>
      <c r="C178" s="7" t="s">
        <v>9</v>
      </c>
      <c r="D178">
        <v>33</v>
      </c>
      <c r="E178" s="8">
        <v>44103</v>
      </c>
      <c r="F178" s="9">
        <v>115920</v>
      </c>
      <c r="G178" s="7" t="s">
        <v>16</v>
      </c>
      <c r="H178" s="7" t="s">
        <v>206</v>
      </c>
      <c r="I178" s="11">
        <f ca="1">(TODAY()-Staff[[#This Row],[Date Joined]])/365</f>
        <v>2.9178082191780823</v>
      </c>
      <c r="J178" s="9">
        <f ca="1">(IF(Staff[Tenure]&gt;=2,3%,2%))*Staff[[#This Row],[Salary]]</f>
        <v>3477.6</v>
      </c>
      <c r="K178">
        <f>VLOOKUP(Staff[[#This Row],[Rating]],'Rating Count'!$B$2:$C$6,2,FALSE)</f>
        <v>3</v>
      </c>
    </row>
    <row r="179" spans="1:11" x14ac:dyDescent="0.25">
      <c r="A179" s="7" t="s">
        <v>55</v>
      </c>
      <c r="B179" s="7" t="s">
        <v>8</v>
      </c>
      <c r="C179" s="7" t="s">
        <v>56</v>
      </c>
      <c r="D179">
        <v>37</v>
      </c>
      <c r="E179" s="8">
        <v>44451</v>
      </c>
      <c r="F179" s="9">
        <v>118100</v>
      </c>
      <c r="G179" s="7" t="s">
        <v>16</v>
      </c>
      <c r="H179" s="7" t="s">
        <v>204</v>
      </c>
      <c r="I179" s="11">
        <f ca="1">(TODAY()-Staff[[#This Row],[Date Joined]])/365</f>
        <v>1.9643835616438357</v>
      </c>
      <c r="J179" s="9">
        <f ca="1">(IF(Staff[Tenure]&gt;=2,3%,2%))*Staff[[#This Row],[Salary]]</f>
        <v>2362</v>
      </c>
      <c r="K179">
        <f>VLOOKUP(Staff[[#This Row],[Rating]],'Rating Count'!$B$2:$C$6,2,FALSE)</f>
        <v>3</v>
      </c>
    </row>
    <row r="180" spans="1:11" x14ac:dyDescent="0.25">
      <c r="A180" s="7" t="s">
        <v>148</v>
      </c>
      <c r="B180" s="7" t="s">
        <v>8</v>
      </c>
      <c r="C180" s="7" t="s">
        <v>56</v>
      </c>
      <c r="D180">
        <v>37</v>
      </c>
      <c r="E180" s="8">
        <v>44389</v>
      </c>
      <c r="F180" s="9">
        <v>118100</v>
      </c>
      <c r="G180" s="7" t="s">
        <v>16</v>
      </c>
      <c r="H180" s="7" t="s">
        <v>206</v>
      </c>
      <c r="I180" s="11">
        <f ca="1">(TODAY()-Staff[[#This Row],[Date Joined]])/365</f>
        <v>2.1342465753424658</v>
      </c>
      <c r="J180" s="9">
        <f ca="1">(IF(Staff[Tenure]&gt;=2,3%,2%))*Staff[[#This Row],[Salary]]</f>
        <v>3543</v>
      </c>
      <c r="K180">
        <f>VLOOKUP(Staff[[#This Row],[Rating]],'Rating Count'!$B$2:$C$6,2,FALSE)</f>
        <v>3</v>
      </c>
    </row>
    <row r="181" spans="1:11" x14ac:dyDescent="0.25">
      <c r="A181" s="7" t="s">
        <v>106</v>
      </c>
      <c r="B181" s="7" t="s">
        <v>15</v>
      </c>
      <c r="C181" s="7" t="s">
        <v>12</v>
      </c>
      <c r="D181">
        <v>36</v>
      </c>
      <c r="E181" s="8">
        <v>44019</v>
      </c>
      <c r="F181" s="9">
        <v>118840</v>
      </c>
      <c r="G181" s="7" t="s">
        <v>16</v>
      </c>
      <c r="H181" s="7" t="s">
        <v>204</v>
      </c>
      <c r="I181" s="11">
        <f ca="1">(TODAY()-Staff[[#This Row],[Date Joined]])/365</f>
        <v>3.1479452054794521</v>
      </c>
      <c r="J181" s="9">
        <f ca="1">(IF(Staff[Tenure]&gt;=2,3%,2%))*Staff[[#This Row],[Salary]]</f>
        <v>3565.2</v>
      </c>
      <c r="K181">
        <f>VLOOKUP(Staff[[#This Row],[Rating]],'Rating Count'!$B$2:$C$6,2,FALSE)</f>
        <v>3</v>
      </c>
    </row>
    <row r="182" spans="1:11" x14ac:dyDescent="0.25">
      <c r="A182" s="7" t="s">
        <v>199</v>
      </c>
      <c r="B182" s="7" t="s">
        <v>15</v>
      </c>
      <c r="C182" s="7" t="s">
        <v>12</v>
      </c>
      <c r="D182">
        <v>36</v>
      </c>
      <c r="E182" s="8">
        <v>43958</v>
      </c>
      <c r="F182" s="9">
        <v>118840</v>
      </c>
      <c r="G182" s="7" t="s">
        <v>16</v>
      </c>
      <c r="H182" s="7" t="s">
        <v>206</v>
      </c>
      <c r="I182" s="11">
        <f ca="1">(TODAY()-Staff[[#This Row],[Date Joined]])/365</f>
        <v>3.3150684931506849</v>
      </c>
      <c r="J182" s="9">
        <f ca="1">(IF(Staff[Tenure]&gt;=2,3%,2%))*Staff[[#This Row],[Salary]]</f>
        <v>3565.2</v>
      </c>
      <c r="K182">
        <f>VLOOKUP(Staff[[#This Row],[Rating]],'Rating Count'!$B$2:$C$6,2,FALSE)</f>
        <v>3</v>
      </c>
    </row>
    <row r="183" spans="1:11" x14ac:dyDescent="0.25">
      <c r="A183" s="7" t="s">
        <v>60</v>
      </c>
      <c r="B183" s="7" t="s">
        <v>8</v>
      </c>
      <c r="C183" s="7" t="s">
        <v>56</v>
      </c>
      <c r="D183" s="7">
        <v>27</v>
      </c>
      <c r="E183" s="8">
        <v>44122</v>
      </c>
      <c r="F183" s="9">
        <v>119110</v>
      </c>
      <c r="G183" s="7" t="s">
        <v>16</v>
      </c>
      <c r="H183" s="7" t="s">
        <v>204</v>
      </c>
      <c r="I183" s="11">
        <f ca="1">(TODAY()-Staff[[#This Row],[Date Joined]])/365</f>
        <v>2.8657534246575342</v>
      </c>
      <c r="J183" s="9">
        <f ca="1">(IF(Staff[Tenure]&gt;=2,3%,2%))*Staff[[#This Row],[Salary]]</f>
        <v>3573.2999999999997</v>
      </c>
      <c r="K183">
        <f>VLOOKUP(Staff[[#This Row],[Rating]],'Rating Count'!$B$2:$C$6,2,FALSE)</f>
        <v>3</v>
      </c>
    </row>
    <row r="184" spans="1:11" x14ac:dyDescent="0.25">
      <c r="A184" s="7" t="s">
        <v>152</v>
      </c>
      <c r="B184" s="7" t="s">
        <v>8</v>
      </c>
      <c r="C184" s="7" t="s">
        <v>56</v>
      </c>
      <c r="D184">
        <v>27</v>
      </c>
      <c r="E184" s="8">
        <v>44061</v>
      </c>
      <c r="F184" s="9">
        <v>119110</v>
      </c>
      <c r="G184" s="7" t="s">
        <v>16</v>
      </c>
      <c r="H184" s="7" t="s">
        <v>206</v>
      </c>
      <c r="I184" s="11">
        <f ca="1">(TODAY()-Staff[[#This Row],[Date Joined]])/365</f>
        <v>3.032876712328767</v>
      </c>
      <c r="J184" s="9">
        <f ca="1">(IF(Staff[Tenure]&gt;=2,3%,2%))*Staff[[#This Row],[Salary]]</f>
        <v>3573.2999999999997</v>
      </c>
      <c r="K184">
        <f>VLOOKUP(Staff[[#This Row],[Rating]],'Rating Count'!$B$2:$C$6,2,FALSE)</f>
        <v>3</v>
      </c>
    </row>
  </sheetData>
  <mergeCells count="3">
    <mergeCell ref="N7:O7"/>
    <mergeCell ref="Q12:R12"/>
    <mergeCell ref="N21:O21"/>
  </mergeCells>
  <phoneticPr fontId="4" type="noConversion"/>
  <conditionalFormatting sqref="F2:F184">
    <cfRule type="colorScale" priority="1">
      <colorScale>
        <cfvo type="min"/>
        <cfvo type="percentile" val="50"/>
        <cfvo type="max"/>
        <color rgb="FFF8696B"/>
        <color rgb="FFFCFCFF"/>
        <color rgb="FF5A8AC6"/>
      </colorScale>
    </cfRule>
  </conditionalFormatting>
  <dataValidations count="1">
    <dataValidation type="list" allowBlank="1" showInputMessage="1" showErrorMessage="1" sqref="O22" xr:uid="{BB383C67-2799-4048-A728-625FF951BD5B}">
      <formula1>$A$2:$A$184</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4E095-4286-443C-B6B5-C8B0CB6E0A9B}">
  <sheetPr>
    <tabColor theme="8" tint="-0.249977111117893"/>
  </sheetPr>
  <dimension ref="A2:I31"/>
  <sheetViews>
    <sheetView showGridLines="0" tabSelected="1" topLeftCell="A8" zoomScale="57" zoomScaleNormal="57" workbookViewId="0">
      <selection activeCell="B18" sqref="B18"/>
    </sheetView>
  </sheetViews>
  <sheetFormatPr defaultRowHeight="15" x14ac:dyDescent="0.25"/>
  <cols>
    <col min="1" max="1" width="10.28515625" customWidth="1"/>
    <col min="2" max="2" width="32.28515625" bestFit="1" customWidth="1"/>
    <col min="3" max="3" width="2.28515625" customWidth="1"/>
    <col min="4" max="4" width="28.42578125" bestFit="1" customWidth="1"/>
    <col min="5" max="5" width="2.28515625" customWidth="1"/>
    <col min="6" max="6" width="19" bestFit="1" customWidth="1"/>
    <col min="7" max="7" width="2.28515625" customWidth="1"/>
    <col min="8" max="8" width="23.7109375" bestFit="1" customWidth="1"/>
  </cols>
  <sheetData>
    <row r="2" spans="1:9" ht="61.5" customHeight="1" x14ac:dyDescent="0.25">
      <c r="B2" s="44" t="s">
        <v>264</v>
      </c>
      <c r="C2" s="44"/>
      <c r="D2" s="44"/>
      <c r="E2" s="44"/>
      <c r="F2" s="44"/>
      <c r="G2" s="44"/>
      <c r="H2" s="44"/>
    </row>
    <row r="3" spans="1:9" ht="6" customHeight="1" x14ac:dyDescent="0.25">
      <c r="B3" s="37"/>
      <c r="C3" s="37"/>
      <c r="D3" s="37"/>
      <c r="E3" s="37"/>
      <c r="F3" s="37"/>
      <c r="G3" s="37"/>
      <c r="H3" s="37"/>
    </row>
    <row r="4" spans="1:9" ht="35.25" customHeight="1" x14ac:dyDescent="0.25">
      <c r="A4" s="31"/>
      <c r="B4" s="38" t="s">
        <v>261</v>
      </c>
      <c r="C4" s="32"/>
      <c r="D4" s="38" t="s">
        <v>262</v>
      </c>
      <c r="E4" s="32"/>
      <c r="F4" s="38" t="s">
        <v>209</v>
      </c>
      <c r="G4" s="32"/>
      <c r="H4" s="38" t="s">
        <v>263</v>
      </c>
      <c r="I4" s="31"/>
    </row>
    <row r="5" spans="1:9" ht="6.75" customHeight="1" x14ac:dyDescent="0.25">
      <c r="A5" s="31"/>
      <c r="B5" s="32"/>
      <c r="C5" s="32"/>
      <c r="D5" s="32"/>
      <c r="E5" s="32"/>
      <c r="F5" s="32"/>
      <c r="G5" s="32"/>
      <c r="H5" s="32"/>
      <c r="I5" s="31"/>
    </row>
    <row r="6" spans="1:9" ht="63" customHeight="1" x14ac:dyDescent="0.25">
      <c r="A6" s="31"/>
      <c r="B6" s="36">
        <f>COUNTA(Staff[Name])</f>
        <v>183</v>
      </c>
      <c r="C6" s="31"/>
      <c r="D6" s="35">
        <f>AVERAGE(Staff[Salary])</f>
        <v>77173.715846994543</v>
      </c>
      <c r="E6" s="31"/>
      <c r="F6" s="34">
        <f>AVERAGE(Staff[Age])</f>
        <v>30.42622950819672</v>
      </c>
      <c r="G6" s="31"/>
      <c r="H6" s="33">
        <f>(COUNTIF(Staff[Gender],"Female"))/$B$6</f>
        <v>0.46994535519125685</v>
      </c>
      <c r="I6" s="31"/>
    </row>
    <row r="7" spans="1:9" x14ac:dyDescent="0.25">
      <c r="A7" s="31"/>
      <c r="B7" s="31"/>
      <c r="C7" s="31"/>
      <c r="D7" s="31"/>
      <c r="E7" s="31"/>
      <c r="F7" s="31"/>
      <c r="G7" s="31"/>
      <c r="H7" s="31"/>
      <c r="I7" s="31"/>
    </row>
    <row r="8" spans="1:9" x14ac:dyDescent="0.25">
      <c r="A8" s="31"/>
      <c r="B8" s="31"/>
      <c r="C8" s="31"/>
      <c r="D8" s="31"/>
      <c r="E8" s="31"/>
      <c r="F8" s="31"/>
      <c r="G8" s="31"/>
      <c r="H8" s="31"/>
      <c r="I8" s="31"/>
    </row>
    <row r="9" spans="1:9" x14ac:dyDescent="0.25">
      <c r="A9" s="31"/>
      <c r="B9" s="31"/>
      <c r="C9" s="31"/>
      <c r="D9" s="31"/>
      <c r="E9" s="31"/>
      <c r="F9" s="31"/>
      <c r="G9" s="31"/>
      <c r="H9" s="31"/>
      <c r="I9" s="31"/>
    </row>
    <row r="10" spans="1:9" x14ac:dyDescent="0.25">
      <c r="A10" s="31"/>
      <c r="B10" s="31"/>
      <c r="C10" s="31"/>
      <c r="D10" s="31"/>
      <c r="E10" s="31"/>
      <c r="F10" s="31"/>
      <c r="G10" s="31"/>
      <c r="H10" s="31"/>
      <c r="I10" s="31"/>
    </row>
    <row r="11" spans="1:9" x14ac:dyDescent="0.25">
      <c r="A11" s="31"/>
      <c r="B11" s="31"/>
      <c r="C11" s="31"/>
      <c r="D11" s="31"/>
      <c r="E11" s="31"/>
      <c r="F11" s="31"/>
      <c r="G11" s="31"/>
      <c r="H11" s="31"/>
      <c r="I11" s="31"/>
    </row>
    <row r="12" spans="1:9" x14ac:dyDescent="0.25">
      <c r="A12" s="31"/>
      <c r="B12" s="31"/>
      <c r="C12" s="31"/>
      <c r="D12" s="31"/>
      <c r="E12" s="31"/>
      <c r="F12" s="31"/>
      <c r="G12" s="31"/>
      <c r="H12" s="31"/>
      <c r="I12" s="31"/>
    </row>
    <row r="13" spans="1:9" x14ac:dyDescent="0.25">
      <c r="A13" s="31"/>
      <c r="B13" s="31"/>
      <c r="C13" s="31"/>
      <c r="D13" s="31"/>
      <c r="E13" s="31"/>
      <c r="F13" s="31"/>
      <c r="G13" s="31"/>
      <c r="H13" s="31"/>
      <c r="I13" s="31"/>
    </row>
    <row r="14" spans="1:9" x14ac:dyDescent="0.25">
      <c r="A14" s="31"/>
      <c r="B14" s="31"/>
      <c r="C14" s="31"/>
      <c r="D14" s="31"/>
      <c r="E14" s="31"/>
      <c r="F14" s="31"/>
      <c r="G14" s="31"/>
      <c r="H14" s="31"/>
      <c r="I14" s="31"/>
    </row>
    <row r="15" spans="1:9" x14ac:dyDescent="0.25">
      <c r="A15" s="31"/>
      <c r="B15" s="31"/>
      <c r="C15" s="31"/>
      <c r="D15" s="31"/>
      <c r="E15" s="31"/>
      <c r="F15" s="31"/>
      <c r="G15" s="31"/>
      <c r="H15" s="31"/>
      <c r="I15" s="31"/>
    </row>
    <row r="16" spans="1:9" x14ac:dyDescent="0.25">
      <c r="A16" s="31"/>
      <c r="B16" s="31"/>
      <c r="C16" s="31"/>
      <c r="D16" s="31"/>
      <c r="E16" s="31"/>
      <c r="F16" s="31"/>
      <c r="G16" s="31"/>
      <c r="H16" s="31"/>
      <c r="I16" s="31"/>
    </row>
    <row r="17" spans="1:9" x14ac:dyDescent="0.25">
      <c r="A17" s="31"/>
      <c r="B17" s="31"/>
      <c r="C17" s="31"/>
      <c r="D17" s="31"/>
      <c r="E17" s="31"/>
      <c r="F17" s="31"/>
      <c r="G17" s="31"/>
      <c r="H17" s="31"/>
      <c r="I17" s="31"/>
    </row>
    <row r="18" spans="1:9" x14ac:dyDescent="0.25">
      <c r="A18" s="31"/>
      <c r="B18" s="31"/>
      <c r="C18" s="31"/>
      <c r="D18" s="31"/>
      <c r="E18" s="31"/>
      <c r="F18" s="31"/>
      <c r="G18" s="31"/>
      <c r="H18" s="31"/>
      <c r="I18" s="31"/>
    </row>
    <row r="19" spans="1:9" x14ac:dyDescent="0.25">
      <c r="A19" s="31"/>
      <c r="B19" s="31"/>
      <c r="C19" s="31"/>
      <c r="D19" s="31"/>
      <c r="E19" s="31"/>
      <c r="F19" s="31"/>
      <c r="G19" s="31"/>
      <c r="H19" s="31"/>
      <c r="I19" s="31"/>
    </row>
    <row r="20" spans="1:9" x14ac:dyDescent="0.25">
      <c r="A20" s="31"/>
      <c r="B20" s="31"/>
      <c r="C20" s="31"/>
      <c r="D20" s="31"/>
      <c r="E20" s="31"/>
      <c r="F20" s="31"/>
      <c r="G20" s="31"/>
      <c r="H20" s="31"/>
      <c r="I20" s="31"/>
    </row>
    <row r="21" spans="1:9" x14ac:dyDescent="0.25">
      <c r="A21" s="31"/>
      <c r="B21" s="31"/>
      <c r="C21" s="31"/>
      <c r="D21" s="31"/>
      <c r="E21" s="31"/>
      <c r="F21" s="31"/>
      <c r="G21" s="31"/>
      <c r="H21" s="31"/>
      <c r="I21" s="31"/>
    </row>
    <row r="22" spans="1:9" x14ac:dyDescent="0.25">
      <c r="A22" s="31"/>
      <c r="B22" s="31"/>
      <c r="C22" s="31"/>
      <c r="D22" s="31"/>
      <c r="E22" s="31"/>
      <c r="F22" s="31"/>
      <c r="G22" s="31"/>
      <c r="H22" s="31"/>
      <c r="I22" s="31"/>
    </row>
    <row r="23" spans="1:9" x14ac:dyDescent="0.25">
      <c r="A23" s="31"/>
      <c r="B23" s="31"/>
      <c r="C23" s="31"/>
      <c r="D23" s="31"/>
      <c r="E23" s="31"/>
      <c r="F23" s="31"/>
      <c r="G23" s="31"/>
      <c r="H23" s="31"/>
      <c r="I23" s="31"/>
    </row>
    <row r="24" spans="1:9" x14ac:dyDescent="0.25">
      <c r="A24" s="31"/>
      <c r="B24" s="31"/>
      <c r="C24" s="31"/>
      <c r="D24" s="31"/>
      <c r="E24" s="31"/>
      <c r="F24" s="31"/>
      <c r="G24" s="31"/>
      <c r="H24" s="31"/>
      <c r="I24" s="31"/>
    </row>
    <row r="25" spans="1:9" x14ac:dyDescent="0.25">
      <c r="A25" s="31"/>
      <c r="B25" s="31"/>
      <c r="C25" s="31"/>
      <c r="D25" s="31"/>
      <c r="E25" s="31"/>
      <c r="F25" s="31"/>
      <c r="G25" s="31"/>
      <c r="H25" s="31"/>
      <c r="I25" s="31"/>
    </row>
    <row r="26" spans="1:9" x14ac:dyDescent="0.25">
      <c r="A26" s="31"/>
      <c r="B26" s="31"/>
      <c r="C26" s="31"/>
      <c r="D26" s="31"/>
      <c r="E26" s="31"/>
      <c r="F26" s="31"/>
      <c r="G26" s="31"/>
      <c r="H26" s="31"/>
      <c r="I26" s="31"/>
    </row>
    <row r="27" spans="1:9" x14ac:dyDescent="0.25">
      <c r="A27" s="31"/>
      <c r="B27" s="31"/>
      <c r="C27" s="31"/>
      <c r="D27" s="31"/>
      <c r="E27" s="31"/>
      <c r="F27" s="31"/>
      <c r="G27" s="31"/>
      <c r="H27" s="31"/>
      <c r="I27" s="31"/>
    </row>
    <row r="28" spans="1:9" x14ac:dyDescent="0.25">
      <c r="A28" s="31"/>
      <c r="B28" s="31"/>
      <c r="C28" s="31"/>
      <c r="D28" s="31"/>
      <c r="E28" s="31"/>
      <c r="F28" s="31"/>
      <c r="G28" s="31"/>
      <c r="H28" s="31"/>
      <c r="I28" s="31"/>
    </row>
    <row r="29" spans="1:9" x14ac:dyDescent="0.25">
      <c r="A29" s="31"/>
      <c r="B29" s="31"/>
      <c r="C29" s="31"/>
      <c r="D29" s="31"/>
      <c r="E29" s="31"/>
      <c r="F29" s="31"/>
      <c r="G29" s="31"/>
      <c r="H29" s="31"/>
      <c r="I29" s="31"/>
    </row>
    <row r="30" spans="1:9" x14ac:dyDescent="0.25">
      <c r="A30" s="31"/>
      <c r="B30" s="31"/>
      <c r="C30" s="31"/>
      <c r="D30" s="31"/>
      <c r="E30" s="31"/>
      <c r="F30" s="31"/>
      <c r="G30" s="31"/>
      <c r="H30" s="31"/>
      <c r="I30" s="31"/>
    </row>
    <row r="31" spans="1:9" x14ac:dyDescent="0.25">
      <c r="A31" s="31"/>
      <c r="B31" s="31"/>
      <c r="C31" s="31"/>
      <c r="D31" s="31"/>
      <c r="E31" s="31"/>
      <c r="F31" s="31"/>
      <c r="G31" s="31"/>
      <c r="H31" s="31"/>
      <c r="I31" s="31"/>
    </row>
  </sheetData>
  <mergeCells count="1">
    <mergeCell ref="B2:H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4074C-4B1C-453F-8919-A993FDE6B526}">
  <sheetPr>
    <tabColor theme="3" tint="0.39997558519241921"/>
  </sheetPr>
  <dimension ref="A1:G6"/>
  <sheetViews>
    <sheetView workbookViewId="0">
      <selection activeCell="F7" sqref="F7"/>
    </sheetView>
  </sheetViews>
  <sheetFormatPr defaultRowHeight="15" x14ac:dyDescent="0.25"/>
  <cols>
    <col min="1" max="1" width="17.5703125" bestFit="1" customWidth="1"/>
    <col min="2" max="2" width="16.28515625" bestFit="1" customWidth="1"/>
    <col min="3" max="4" width="7.5703125" bestFit="1" customWidth="1"/>
    <col min="5" max="5" width="11.28515625" bestFit="1" customWidth="1"/>
    <col min="6" max="6" width="16.28515625" bestFit="1" customWidth="1"/>
    <col min="7" max="7" width="16" bestFit="1" customWidth="1"/>
    <col min="8" max="8" width="18" bestFit="1" customWidth="1"/>
  </cols>
  <sheetData>
    <row r="1" spans="1:7" x14ac:dyDescent="0.25">
      <c r="B1" s="27" t="s">
        <v>240</v>
      </c>
    </row>
    <row r="2" spans="1:7" ht="21" x14ac:dyDescent="0.25">
      <c r="A2" s="27" t="s">
        <v>242</v>
      </c>
      <c r="B2" t="s">
        <v>8</v>
      </c>
      <c r="C2" t="s">
        <v>15</v>
      </c>
      <c r="G2" s="19">
        <v>4</v>
      </c>
    </row>
    <row r="3" spans="1:7" x14ac:dyDescent="0.25">
      <c r="A3" s="28" t="s">
        <v>247</v>
      </c>
      <c r="B3" s="7">
        <v>86</v>
      </c>
      <c r="C3" s="7">
        <v>89</v>
      </c>
    </row>
    <row r="4" spans="1:7" x14ac:dyDescent="0.25">
      <c r="A4" s="28" t="s">
        <v>246</v>
      </c>
      <c r="B4" s="11">
        <v>31.406976744186046</v>
      </c>
      <c r="C4" s="11">
        <v>29.393258426966291</v>
      </c>
    </row>
    <row r="5" spans="1:7" x14ac:dyDescent="0.25">
      <c r="A5" s="28" t="s">
        <v>245</v>
      </c>
      <c r="B5" s="29">
        <v>78284.186046511633</v>
      </c>
      <c r="C5" s="29">
        <v>74915.168539325838</v>
      </c>
    </row>
    <row r="6" spans="1:7" x14ac:dyDescent="0.25">
      <c r="A6" s="28" t="s">
        <v>244</v>
      </c>
      <c r="B6" s="11">
        <v>2.0134437719018794</v>
      </c>
      <c r="C6" s="11">
        <v>2.0043404648299208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35538-CF99-4F21-B6B0-A09EECD735A5}">
  <sheetPr>
    <tabColor rgb="FF92D050"/>
  </sheetPr>
  <dimension ref="B27:X30"/>
  <sheetViews>
    <sheetView zoomScale="55" zoomScaleNormal="55" workbookViewId="0">
      <selection activeCell="O36" sqref="O36"/>
    </sheetView>
  </sheetViews>
  <sheetFormatPr defaultRowHeight="15" x14ac:dyDescent="0.25"/>
  <sheetData>
    <row r="27" spans="2:24" ht="15" customHeight="1" x14ac:dyDescent="0.25">
      <c r="P27" s="43" t="s">
        <v>250</v>
      </c>
      <c r="Q27" s="43"/>
      <c r="R27" s="43"/>
      <c r="S27" s="43"/>
      <c r="T27" s="43"/>
      <c r="U27" s="43"/>
      <c r="V27" s="43"/>
      <c r="W27" s="43"/>
      <c r="X27" s="43"/>
    </row>
    <row r="28" spans="2:24" x14ac:dyDescent="0.25">
      <c r="B28" s="42" t="s">
        <v>249</v>
      </c>
      <c r="C28" s="42"/>
      <c r="D28" s="42"/>
      <c r="E28" s="42"/>
      <c r="F28" s="42"/>
      <c r="G28" s="42"/>
      <c r="H28" s="42"/>
      <c r="I28" s="42"/>
      <c r="J28" s="42"/>
      <c r="K28" s="42"/>
      <c r="L28" s="42"/>
      <c r="M28" s="42"/>
      <c r="N28" s="42"/>
      <c r="P28" s="43"/>
      <c r="Q28" s="43"/>
      <c r="R28" s="43"/>
      <c r="S28" s="43"/>
      <c r="T28" s="43"/>
      <c r="U28" s="43"/>
      <c r="V28" s="43"/>
      <c r="W28" s="43"/>
      <c r="X28" s="43"/>
    </row>
    <row r="29" spans="2:24" x14ac:dyDescent="0.25">
      <c r="B29" s="42"/>
      <c r="C29" s="42"/>
      <c r="D29" s="42"/>
      <c r="E29" s="42"/>
      <c r="F29" s="42"/>
      <c r="G29" s="42"/>
      <c r="H29" s="42"/>
      <c r="I29" s="42"/>
      <c r="J29" s="42"/>
      <c r="K29" s="42"/>
      <c r="L29" s="42"/>
      <c r="M29" s="42"/>
      <c r="N29" s="42"/>
      <c r="P29" s="43"/>
      <c r="Q29" s="43"/>
      <c r="R29" s="43"/>
      <c r="S29" s="43"/>
      <c r="T29" s="43"/>
      <c r="U29" s="43"/>
      <c r="V29" s="43"/>
      <c r="W29" s="43"/>
      <c r="X29" s="43"/>
    </row>
    <row r="30" spans="2:24" x14ac:dyDescent="0.25">
      <c r="P30" s="43"/>
      <c r="Q30" s="43"/>
      <c r="R30" s="43"/>
      <c r="S30" s="43"/>
      <c r="T30" s="43"/>
      <c r="U30" s="43"/>
      <c r="V30" s="43"/>
      <c r="W30" s="43"/>
      <c r="X30" s="43"/>
    </row>
  </sheetData>
  <mergeCells count="2">
    <mergeCell ref="B28:N29"/>
    <mergeCell ref="P27:X3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6AAF5-A467-4428-B9DB-E223A251CEE9}">
  <sheetPr>
    <tabColor rgb="FFC00000"/>
  </sheetPr>
  <dimension ref="B4:I18"/>
  <sheetViews>
    <sheetView workbookViewId="0">
      <selection activeCell="C7" sqref="C7"/>
    </sheetView>
  </sheetViews>
  <sheetFormatPr defaultRowHeight="15" x14ac:dyDescent="0.25"/>
  <cols>
    <col min="2" max="2" width="14.28515625" bestFit="1" customWidth="1"/>
    <col min="3" max="3" width="14.42578125" bestFit="1" customWidth="1"/>
    <col min="4" max="4" width="16.42578125" bestFit="1" customWidth="1"/>
    <col min="5" max="5" width="15.42578125" bestFit="1" customWidth="1"/>
    <col min="6" max="6" width="15.7109375" bestFit="1" customWidth="1"/>
    <col min="7" max="7" width="14.140625" bestFit="1" customWidth="1"/>
    <col min="8" max="8" width="11.85546875" bestFit="1" customWidth="1"/>
    <col min="9" max="9" width="12.85546875" bestFit="1" customWidth="1"/>
    <col min="10" max="10" width="19.140625" bestFit="1" customWidth="1"/>
    <col min="11" max="11" width="24.7109375" bestFit="1" customWidth="1"/>
    <col min="12" max="12" width="15" bestFit="1" customWidth="1"/>
    <col min="13" max="13" width="21.5703125" bestFit="1" customWidth="1"/>
    <col min="14" max="14" width="29.28515625" bestFit="1" customWidth="1"/>
    <col min="15" max="15" width="17.5703125" bestFit="1" customWidth="1"/>
    <col min="16" max="16" width="28.85546875" bestFit="1" customWidth="1"/>
    <col min="17" max="17" width="15.7109375" bestFit="1" customWidth="1"/>
    <col min="18" max="18" width="16.140625" bestFit="1" customWidth="1"/>
    <col min="19" max="19" width="19.140625" bestFit="1" customWidth="1"/>
    <col min="20" max="20" width="12.42578125" bestFit="1" customWidth="1"/>
    <col min="21" max="21" width="12.7109375" bestFit="1" customWidth="1"/>
    <col min="22" max="22" width="12.5703125" bestFit="1" customWidth="1"/>
    <col min="23" max="23" width="16.7109375" bestFit="1" customWidth="1"/>
    <col min="24" max="24" width="13.7109375" bestFit="1" customWidth="1"/>
    <col min="25" max="25" width="11.28515625" bestFit="1" customWidth="1"/>
    <col min="26" max="26" width="14.7109375" bestFit="1" customWidth="1"/>
    <col min="27" max="27" width="11.5703125" bestFit="1" customWidth="1"/>
    <col min="28" max="28" width="8.85546875" bestFit="1" customWidth="1"/>
    <col min="29" max="29" width="11" bestFit="1" customWidth="1"/>
    <col min="30" max="30" width="13.5703125" bestFit="1" customWidth="1"/>
    <col min="31" max="31" width="12.7109375" bestFit="1" customWidth="1"/>
    <col min="32" max="32" width="25.5703125" bestFit="1" customWidth="1"/>
    <col min="33" max="33" width="13.85546875" bestFit="1" customWidth="1"/>
    <col min="34" max="34" width="12.5703125" bestFit="1" customWidth="1"/>
    <col min="35" max="35" width="13.5703125" bestFit="1" customWidth="1"/>
    <col min="36" max="36" width="12.42578125" bestFit="1" customWidth="1"/>
    <col min="37" max="37" width="18.140625" bestFit="1" customWidth="1"/>
    <col min="38" max="38" width="13.28515625" bestFit="1" customWidth="1"/>
    <col min="39" max="39" width="14" bestFit="1" customWidth="1"/>
    <col min="40" max="40" width="25.140625" bestFit="1" customWidth="1"/>
    <col min="41" max="41" width="14.28515625" bestFit="1" customWidth="1"/>
    <col min="42" max="43" width="14.5703125" bestFit="1" customWidth="1"/>
    <col min="44" max="44" width="11.28515625" bestFit="1" customWidth="1"/>
    <col min="45" max="45" width="19.85546875" bestFit="1" customWidth="1"/>
    <col min="46" max="46" width="22.140625" bestFit="1" customWidth="1"/>
    <col min="47" max="47" width="16.5703125" bestFit="1" customWidth="1"/>
    <col min="48" max="48" width="13.42578125" bestFit="1" customWidth="1"/>
    <col min="49" max="49" width="16.5703125" bestFit="1" customWidth="1"/>
    <col min="50" max="50" width="14.140625" bestFit="1" customWidth="1"/>
    <col min="51" max="51" width="16.7109375" bestFit="1" customWidth="1"/>
    <col min="52" max="52" width="11.7109375" bestFit="1" customWidth="1"/>
    <col min="53" max="53" width="13.7109375" bestFit="1" customWidth="1"/>
    <col min="54" max="54" width="12.7109375" bestFit="1" customWidth="1"/>
    <col min="55" max="55" width="18" bestFit="1" customWidth="1"/>
    <col min="56" max="57" width="13.7109375" bestFit="1" customWidth="1"/>
    <col min="58" max="58" width="22.7109375" bestFit="1" customWidth="1"/>
    <col min="59" max="59" width="16.140625" bestFit="1" customWidth="1"/>
    <col min="60" max="60" width="20.42578125" bestFit="1" customWidth="1"/>
    <col min="61" max="61" width="11.7109375" bestFit="1" customWidth="1"/>
    <col min="62" max="62" width="15.28515625" bestFit="1" customWidth="1"/>
    <col min="63" max="63" width="12.7109375" bestFit="1" customWidth="1"/>
    <col min="64" max="64" width="15.85546875" bestFit="1" customWidth="1"/>
    <col min="65" max="65" width="15.5703125" bestFit="1" customWidth="1"/>
    <col min="66" max="67" width="16.140625" bestFit="1" customWidth="1"/>
    <col min="68" max="68" width="15.140625" bestFit="1" customWidth="1"/>
    <col min="69" max="69" width="17.7109375" bestFit="1" customWidth="1"/>
    <col min="70" max="70" width="11.28515625" bestFit="1" customWidth="1"/>
    <col min="71" max="71" width="10.140625" bestFit="1" customWidth="1"/>
    <col min="72" max="72" width="13.42578125" bestFit="1" customWidth="1"/>
    <col min="73" max="73" width="20.28515625" bestFit="1" customWidth="1"/>
    <col min="74" max="74" width="12.7109375" bestFit="1" customWidth="1"/>
    <col min="75" max="75" width="21.42578125" bestFit="1" customWidth="1"/>
    <col min="76" max="76" width="14" bestFit="1" customWidth="1"/>
    <col min="77" max="77" width="19.5703125" bestFit="1" customWidth="1"/>
    <col min="78" max="78" width="12.85546875" bestFit="1" customWidth="1"/>
    <col min="79" max="79" width="21.5703125" bestFit="1" customWidth="1"/>
    <col min="80" max="80" width="12.42578125" bestFit="1" customWidth="1"/>
    <col min="81" max="81" width="15.140625" bestFit="1" customWidth="1"/>
    <col min="82" max="82" width="14.7109375" bestFit="1" customWidth="1"/>
    <col min="83" max="83" width="11.28515625" bestFit="1" customWidth="1"/>
    <col min="84" max="84" width="21.5703125" bestFit="1" customWidth="1"/>
    <col min="85" max="85" width="21.42578125" bestFit="1" customWidth="1"/>
    <col min="86" max="86" width="15.7109375" bestFit="1" customWidth="1"/>
    <col min="87" max="87" width="16.42578125" bestFit="1" customWidth="1"/>
    <col min="88" max="88" width="18.140625" bestFit="1" customWidth="1"/>
    <col min="89" max="89" width="12" bestFit="1" customWidth="1"/>
    <col min="90" max="90" width="12.140625" bestFit="1" customWidth="1"/>
    <col min="91" max="91" width="12.85546875" bestFit="1" customWidth="1"/>
    <col min="92" max="92" width="13.85546875" bestFit="1" customWidth="1"/>
    <col min="93" max="93" width="12.5703125" bestFit="1" customWidth="1"/>
    <col min="94" max="94" width="18.5703125" bestFit="1" customWidth="1"/>
    <col min="95" max="95" width="16.28515625" bestFit="1" customWidth="1"/>
    <col min="96" max="96" width="20.42578125" bestFit="1" customWidth="1"/>
    <col min="97" max="97" width="16.28515625" bestFit="1" customWidth="1"/>
    <col min="98" max="98" width="19.85546875" bestFit="1" customWidth="1"/>
    <col min="99" max="99" width="21" bestFit="1" customWidth="1"/>
    <col min="100" max="100" width="11.5703125" bestFit="1" customWidth="1"/>
    <col min="101" max="101" width="13.42578125" bestFit="1" customWidth="1"/>
    <col min="102" max="102" width="12.42578125" bestFit="1" customWidth="1"/>
    <col min="103" max="103" width="12.28515625" bestFit="1" customWidth="1"/>
    <col min="104" max="104" width="16.7109375" bestFit="1" customWidth="1"/>
    <col min="105" max="105" width="19" bestFit="1" customWidth="1"/>
    <col min="106" max="106" width="19.85546875" bestFit="1" customWidth="1"/>
    <col min="107" max="107" width="26.5703125" bestFit="1" customWidth="1"/>
    <col min="108" max="108" width="15.140625" bestFit="1" customWidth="1"/>
    <col min="109" max="109" width="20.42578125" bestFit="1" customWidth="1"/>
    <col min="110" max="110" width="15" bestFit="1" customWidth="1"/>
    <col min="111" max="111" width="15.140625" bestFit="1" customWidth="1"/>
    <col min="112" max="112" width="14.28515625" bestFit="1" customWidth="1"/>
    <col min="113" max="113" width="19" bestFit="1" customWidth="1"/>
    <col min="114" max="114" width="15.7109375" bestFit="1" customWidth="1"/>
    <col min="115" max="115" width="15.140625" bestFit="1" customWidth="1"/>
    <col min="116" max="116" width="29.42578125" bestFit="1" customWidth="1"/>
    <col min="117" max="117" width="15" bestFit="1" customWidth="1"/>
    <col min="118" max="118" width="14.42578125" bestFit="1" customWidth="1"/>
    <col min="119" max="119" width="15.140625" bestFit="1" customWidth="1"/>
    <col min="120" max="120" width="13.5703125" bestFit="1" customWidth="1"/>
    <col min="121" max="121" width="12.85546875" bestFit="1" customWidth="1"/>
    <col min="122" max="122" width="12.28515625" bestFit="1" customWidth="1"/>
    <col min="123" max="123" width="15.7109375" bestFit="1" customWidth="1"/>
    <col min="124" max="124" width="14" bestFit="1" customWidth="1"/>
    <col min="125" max="125" width="10.28515625" bestFit="1" customWidth="1"/>
    <col min="126" max="126" width="10.85546875" bestFit="1" customWidth="1"/>
    <col min="127" max="127" width="11.42578125" bestFit="1" customWidth="1"/>
    <col min="128" max="128" width="17.7109375" bestFit="1" customWidth="1"/>
    <col min="129" max="129" width="13.5703125" bestFit="1" customWidth="1"/>
    <col min="130" max="130" width="13.7109375" bestFit="1" customWidth="1"/>
    <col min="131" max="131" width="14.7109375" bestFit="1" customWidth="1"/>
    <col min="132" max="132" width="22" bestFit="1" customWidth="1"/>
    <col min="133" max="133" width="18" bestFit="1" customWidth="1"/>
    <col min="134" max="134" width="19.28515625" bestFit="1" customWidth="1"/>
    <col min="135" max="135" width="15" bestFit="1" customWidth="1"/>
    <col min="136" max="136" width="24.140625" bestFit="1" customWidth="1"/>
    <col min="137" max="137" width="16.28515625" bestFit="1" customWidth="1"/>
    <col min="138" max="139" width="12.7109375" bestFit="1" customWidth="1"/>
    <col min="140" max="140" width="11.42578125" bestFit="1" customWidth="1"/>
    <col min="141" max="141" width="21.5703125" bestFit="1" customWidth="1"/>
    <col min="142" max="142" width="20.140625" bestFit="1" customWidth="1"/>
    <col min="143" max="143" width="22.140625" bestFit="1" customWidth="1"/>
    <col min="144" max="144" width="14.85546875" bestFit="1" customWidth="1"/>
    <col min="145" max="145" width="18" bestFit="1" customWidth="1"/>
    <col min="146" max="146" width="19.42578125" bestFit="1" customWidth="1"/>
    <col min="147" max="147" width="12.140625" bestFit="1" customWidth="1"/>
    <col min="148" max="148" width="20.28515625" bestFit="1" customWidth="1"/>
    <col min="149" max="149" width="15.140625" bestFit="1" customWidth="1"/>
    <col min="150" max="150" width="12.28515625" bestFit="1" customWidth="1"/>
    <col min="151" max="151" width="14.28515625" bestFit="1" customWidth="1"/>
    <col min="152" max="152" width="13.5703125" bestFit="1" customWidth="1"/>
    <col min="153" max="153" width="14.85546875" bestFit="1" customWidth="1"/>
    <col min="154" max="154" width="19.42578125" bestFit="1" customWidth="1"/>
    <col min="155" max="155" width="11.7109375" bestFit="1" customWidth="1"/>
    <col min="156" max="156" width="16.85546875" bestFit="1" customWidth="1"/>
    <col min="157" max="157" width="22.140625" bestFit="1" customWidth="1"/>
    <col min="158" max="158" width="13.42578125" bestFit="1" customWidth="1"/>
    <col min="159" max="159" width="30" bestFit="1" customWidth="1"/>
    <col min="160" max="160" width="12.5703125" bestFit="1" customWidth="1"/>
    <col min="161" max="161" width="15.140625" bestFit="1" customWidth="1"/>
    <col min="162" max="162" width="23.140625" bestFit="1" customWidth="1"/>
    <col min="163" max="163" width="19.140625" bestFit="1" customWidth="1"/>
    <col min="164" max="164" width="13.28515625" bestFit="1" customWidth="1"/>
    <col min="165" max="165" width="11.42578125" bestFit="1" customWidth="1"/>
    <col min="166" max="166" width="13.42578125" bestFit="1" customWidth="1"/>
    <col min="167" max="167" width="14.28515625" bestFit="1" customWidth="1"/>
    <col min="168" max="168" width="15.140625" bestFit="1" customWidth="1"/>
    <col min="169" max="169" width="11.5703125" bestFit="1" customWidth="1"/>
    <col min="170" max="170" width="12.140625" bestFit="1" customWidth="1"/>
    <col min="171" max="171" width="14.140625" bestFit="1" customWidth="1"/>
    <col min="172" max="172" width="17.28515625" bestFit="1" customWidth="1"/>
    <col min="173" max="173" width="11.85546875" bestFit="1" customWidth="1"/>
    <col min="174" max="174" width="18.7109375" bestFit="1" customWidth="1"/>
    <col min="175" max="175" width="12.140625" bestFit="1" customWidth="1"/>
    <col min="176" max="176" width="9.85546875" bestFit="1" customWidth="1"/>
    <col min="177" max="177" width="17.28515625" bestFit="1" customWidth="1"/>
    <col min="178" max="178" width="18.7109375" bestFit="1" customWidth="1"/>
    <col min="179" max="179" width="18.5703125" bestFit="1" customWidth="1"/>
    <col min="180" max="180" width="18.42578125" bestFit="1" customWidth="1"/>
    <col min="181" max="181" width="16.85546875" bestFit="1" customWidth="1"/>
    <col min="182" max="182" width="14.28515625" bestFit="1" customWidth="1"/>
    <col min="183" max="183" width="12.7109375" bestFit="1" customWidth="1"/>
    <col min="184" max="184" width="13.42578125" bestFit="1" customWidth="1"/>
    <col min="185" max="185" width="10.5703125" bestFit="1" customWidth="1"/>
    <col min="186" max="186" width="11.28515625" bestFit="1" customWidth="1"/>
  </cols>
  <sheetData>
    <row r="4" spans="2:4" x14ac:dyDescent="0.25">
      <c r="B4" s="27" t="s">
        <v>243</v>
      </c>
      <c r="C4" t="s">
        <v>247</v>
      </c>
      <c r="D4" t="s">
        <v>245</v>
      </c>
    </row>
    <row r="5" spans="2:4" x14ac:dyDescent="0.25">
      <c r="B5" s="28" t="s">
        <v>10</v>
      </c>
      <c r="C5" s="7">
        <v>4</v>
      </c>
      <c r="D5" s="29">
        <v>92080</v>
      </c>
    </row>
    <row r="6" spans="2:4" x14ac:dyDescent="0.25">
      <c r="B6" s="28" t="s">
        <v>13</v>
      </c>
      <c r="C6" s="7">
        <v>20</v>
      </c>
      <c r="D6" s="29">
        <v>75933</v>
      </c>
    </row>
    <row r="7" spans="2:4" x14ac:dyDescent="0.25">
      <c r="B7" s="28" t="s">
        <v>16</v>
      </c>
      <c r="C7" s="7">
        <v>137</v>
      </c>
      <c r="D7" s="29">
        <v>76798.759124087592</v>
      </c>
    </row>
    <row r="8" spans="2:4" x14ac:dyDescent="0.25">
      <c r="B8" s="28" t="s">
        <v>24</v>
      </c>
      <c r="C8" s="7">
        <v>16</v>
      </c>
      <c r="D8" s="29">
        <v>78115</v>
      </c>
    </row>
    <row r="9" spans="2:4" x14ac:dyDescent="0.25">
      <c r="B9" s="28" t="s">
        <v>42</v>
      </c>
      <c r="C9" s="7">
        <v>6</v>
      </c>
      <c r="D9" s="29">
        <v>77423.333333333328</v>
      </c>
    </row>
    <row r="10" spans="2:4" x14ac:dyDescent="0.25">
      <c r="B10" s="28" t="s">
        <v>241</v>
      </c>
      <c r="C10" s="7">
        <v>183</v>
      </c>
      <c r="D10" s="29">
        <v>77173.715846994543</v>
      </c>
    </row>
    <row r="17" spans="5:9" x14ac:dyDescent="0.25">
      <c r="E17" s="42" t="s">
        <v>252</v>
      </c>
      <c r="F17" s="42"/>
      <c r="G17" s="42"/>
      <c r="H17" s="42"/>
      <c r="I17" s="42"/>
    </row>
    <row r="18" spans="5:9" x14ac:dyDescent="0.25">
      <c r="E18" s="42"/>
      <c r="F18" s="42"/>
      <c r="G18" s="42"/>
      <c r="H18" s="42"/>
      <c r="I18" s="42"/>
    </row>
  </sheetData>
  <mergeCells count="1">
    <mergeCell ref="E17:I18"/>
  </mergeCells>
  <conditionalFormatting pivot="1" sqref="D5:D9">
    <cfRule type="dataBar" priority="1">
      <dataBar>
        <cfvo type="min"/>
        <cfvo type="max"/>
        <color rgb="FF008AEF"/>
      </dataBar>
      <extLst>
        <ext xmlns:x14="http://schemas.microsoft.com/office/spreadsheetml/2009/9/main" uri="{B025F937-C7B1-47D3-B67F-A62EFF666E3E}">
          <x14:id>{4CD05C75-F6C0-4A2B-B3D2-F59CFCA7138F}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4CD05C75-F6C0-4A2B-B3D2-F59CFCA7138F}">
            <x14:dataBar minLength="0" maxLength="100" border="1" negativeBarBorderColorSameAsPositive="0">
              <x14:cfvo type="autoMin"/>
              <x14:cfvo type="autoMax"/>
              <x14:borderColor rgb="FF008AEF"/>
              <x14:negativeFillColor rgb="FFFF0000"/>
              <x14:negativeBorderColor rgb="FFFF0000"/>
              <x14:axisColor rgb="FF000000"/>
            </x14:dataBar>
          </x14:cfRule>
          <xm:sqref>D5:D9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CEA6-1284-4D2A-BF1F-6BF84F4BDEF7}">
  <sheetPr>
    <tabColor rgb="FFFF0000"/>
  </sheetPr>
  <dimension ref="B3:S40"/>
  <sheetViews>
    <sheetView zoomScale="85" zoomScaleNormal="85" workbookViewId="0">
      <selection activeCell="R5" sqref="R5"/>
    </sheetView>
  </sheetViews>
  <sheetFormatPr defaultRowHeight="15" x14ac:dyDescent="0.25"/>
  <cols>
    <col min="2" max="2" width="13.28515625" bestFit="1" customWidth="1"/>
    <col min="3" max="3" width="14.42578125" bestFit="1" customWidth="1"/>
    <col min="4" max="6" width="4.85546875" bestFit="1" customWidth="1"/>
    <col min="7" max="7" width="11.28515625" bestFit="1" customWidth="1"/>
    <col min="8" max="8" width="4" bestFit="1" customWidth="1"/>
    <col min="9" max="9" width="6.7109375" bestFit="1" customWidth="1"/>
    <col min="10" max="10" width="4.42578125" bestFit="1" customWidth="1"/>
    <col min="11" max="11" width="4.28515625" bestFit="1" customWidth="1"/>
    <col min="12" max="12" width="6.7109375" bestFit="1" customWidth="1"/>
    <col min="13" max="13" width="4.5703125" bestFit="1" customWidth="1"/>
    <col min="14" max="14" width="4.28515625" bestFit="1" customWidth="1"/>
    <col min="15" max="15" width="11.28515625" bestFit="1" customWidth="1"/>
    <col min="16" max="33" width="16.28515625" bestFit="1" customWidth="1"/>
    <col min="34" max="34" width="11.28515625" bestFit="1" customWidth="1"/>
    <col min="35" max="161" width="16.28515625" bestFit="1" customWidth="1"/>
    <col min="162" max="162" width="11.28515625" bestFit="1" customWidth="1"/>
  </cols>
  <sheetData>
    <row r="3" spans="2:19" x14ac:dyDescent="0.25">
      <c r="B3" s="27" t="s">
        <v>243</v>
      </c>
      <c r="C3" t="s">
        <v>247</v>
      </c>
    </row>
    <row r="4" spans="2:19" x14ac:dyDescent="0.25">
      <c r="B4" s="28" t="s">
        <v>253</v>
      </c>
      <c r="C4" s="7">
        <v>37</v>
      </c>
      <c r="Q4" t="s">
        <v>257</v>
      </c>
      <c r="R4" t="s">
        <v>258</v>
      </c>
      <c r="S4" t="s">
        <v>259</v>
      </c>
    </row>
    <row r="5" spans="2:19" x14ac:dyDescent="0.25">
      <c r="B5" s="28" t="s">
        <v>254</v>
      </c>
      <c r="C5" s="7">
        <v>82</v>
      </c>
      <c r="P5">
        <v>1</v>
      </c>
      <c r="Q5" s="30">
        <f>EDATE(DATE(2020,4,1),P5+0)</f>
        <v>43952</v>
      </c>
      <c r="R5">
        <f>COUNTIFS(Staff[Date Joined],"&gt;="&amp;Q5,Staff[Date Joined],"&lt;="&amp;EOMONTH(Q5,0))</f>
        <v>3</v>
      </c>
      <c r="S5">
        <f>SUM($R$5:R5)</f>
        <v>3</v>
      </c>
    </row>
    <row r="6" spans="2:19" x14ac:dyDescent="0.25">
      <c r="B6" s="28" t="s">
        <v>255</v>
      </c>
      <c r="C6" s="7">
        <v>62</v>
      </c>
      <c r="P6">
        <v>2</v>
      </c>
      <c r="Q6" s="30">
        <f t="shared" ref="Q6:Q40" si="0">EDATE(DATE(2020,4,1),P6+0)</f>
        <v>43983</v>
      </c>
      <c r="R6">
        <f>COUNTIFS(Staff[Date Joined],"&gt;="&amp;Q6,Staff[Date Joined],"&lt;="&amp;EOMONTH(Q6,0))</f>
        <v>1</v>
      </c>
      <c r="S6">
        <f>SUM($R$5:R6)</f>
        <v>4</v>
      </c>
    </row>
    <row r="7" spans="2:19" x14ac:dyDescent="0.25">
      <c r="B7" s="28" t="s">
        <v>256</v>
      </c>
      <c r="C7" s="7">
        <v>2</v>
      </c>
      <c r="P7">
        <v>3</v>
      </c>
      <c r="Q7" s="30">
        <f t="shared" si="0"/>
        <v>44013</v>
      </c>
      <c r="R7">
        <f>COUNTIFS(Staff[Date Joined],"&gt;="&amp;Q7,Staff[Date Joined],"&lt;="&amp;EOMONTH(Q7,0))</f>
        <v>5</v>
      </c>
      <c r="S7">
        <f>SUM($R$5:R7)</f>
        <v>9</v>
      </c>
    </row>
    <row r="8" spans="2:19" x14ac:dyDescent="0.25">
      <c r="B8" s="28" t="s">
        <v>241</v>
      </c>
      <c r="C8" s="7">
        <v>183</v>
      </c>
      <c r="P8">
        <v>4</v>
      </c>
      <c r="Q8" s="30">
        <f t="shared" si="0"/>
        <v>44044</v>
      </c>
      <c r="R8">
        <f>COUNTIFS(Staff[Date Joined],"&gt;="&amp;Q8,Staff[Date Joined],"&lt;="&amp;EOMONTH(Q8,0))</f>
        <v>3</v>
      </c>
      <c r="S8">
        <f>SUM($R$5:R8)</f>
        <v>12</v>
      </c>
    </row>
    <row r="9" spans="2:19" x14ac:dyDescent="0.25">
      <c r="P9">
        <v>5</v>
      </c>
      <c r="Q9" s="30">
        <f t="shared" si="0"/>
        <v>44075</v>
      </c>
      <c r="R9">
        <f>COUNTIFS(Staff[Date Joined],"&gt;="&amp;Q9,Staff[Date Joined],"&lt;="&amp;EOMONTH(Q9,0))</f>
        <v>6</v>
      </c>
      <c r="S9">
        <f>SUM($R$5:R9)</f>
        <v>18</v>
      </c>
    </row>
    <row r="10" spans="2:19" x14ac:dyDescent="0.25">
      <c r="P10">
        <v>6</v>
      </c>
      <c r="Q10" s="30">
        <f t="shared" si="0"/>
        <v>44105</v>
      </c>
      <c r="R10">
        <f>COUNTIFS(Staff[Date Joined],"&gt;="&amp;Q10,Staff[Date Joined],"&lt;="&amp;EOMONTH(Q10,0))</f>
        <v>6</v>
      </c>
      <c r="S10">
        <f>SUM($R$5:R10)</f>
        <v>24</v>
      </c>
    </row>
    <row r="11" spans="2:19" x14ac:dyDescent="0.25">
      <c r="P11">
        <v>7</v>
      </c>
      <c r="Q11" s="30">
        <f t="shared" si="0"/>
        <v>44136</v>
      </c>
      <c r="R11">
        <f>COUNTIFS(Staff[Date Joined],"&gt;="&amp;Q11,Staff[Date Joined],"&lt;="&amp;EOMONTH(Q11,0))</f>
        <v>6</v>
      </c>
      <c r="S11">
        <f>SUM($R$5:R11)</f>
        <v>30</v>
      </c>
    </row>
    <row r="12" spans="2:19" x14ac:dyDescent="0.25">
      <c r="P12">
        <v>8</v>
      </c>
      <c r="Q12" s="30">
        <f t="shared" si="0"/>
        <v>44166</v>
      </c>
      <c r="R12">
        <f>COUNTIFS(Staff[Date Joined],"&gt;="&amp;Q12,Staff[Date Joined],"&lt;="&amp;EOMONTH(Q12,0))</f>
        <v>7</v>
      </c>
      <c r="S12">
        <f>SUM($R$5:R12)</f>
        <v>37</v>
      </c>
    </row>
    <row r="13" spans="2:19" x14ac:dyDescent="0.25">
      <c r="P13">
        <v>9</v>
      </c>
      <c r="Q13" s="30">
        <f t="shared" si="0"/>
        <v>44197</v>
      </c>
      <c r="R13">
        <f>COUNTIFS(Staff[Date Joined],"&gt;="&amp;Q13,Staff[Date Joined],"&lt;="&amp;EOMONTH(Q13,0))</f>
        <v>6</v>
      </c>
      <c r="S13">
        <f>SUM($R$5:R13)</f>
        <v>43</v>
      </c>
    </row>
    <row r="14" spans="2:19" x14ac:dyDescent="0.25">
      <c r="P14">
        <v>10</v>
      </c>
      <c r="Q14" s="30">
        <f t="shared" si="0"/>
        <v>44228</v>
      </c>
      <c r="R14">
        <f>COUNTIFS(Staff[Date Joined],"&gt;="&amp;Q14,Staff[Date Joined],"&lt;="&amp;EOMONTH(Q14,0))</f>
        <v>4</v>
      </c>
      <c r="S14">
        <f>SUM($R$5:R14)</f>
        <v>47</v>
      </c>
    </row>
    <row r="15" spans="2:19" x14ac:dyDescent="0.25">
      <c r="P15">
        <v>11</v>
      </c>
      <c r="Q15" s="30">
        <f t="shared" si="0"/>
        <v>44256</v>
      </c>
      <c r="R15">
        <f>COUNTIFS(Staff[Date Joined],"&gt;="&amp;Q15,Staff[Date Joined],"&lt;="&amp;EOMONTH(Q15,0))</f>
        <v>9</v>
      </c>
      <c r="S15">
        <f>SUM($R$5:R15)</f>
        <v>56</v>
      </c>
    </row>
    <row r="16" spans="2:19" x14ac:dyDescent="0.25">
      <c r="P16">
        <v>12</v>
      </c>
      <c r="Q16" s="30">
        <f t="shared" si="0"/>
        <v>44287</v>
      </c>
      <c r="R16">
        <f>COUNTIFS(Staff[Date Joined],"&gt;="&amp;Q16,Staff[Date Joined],"&lt;="&amp;EOMONTH(Q16,0))</f>
        <v>5</v>
      </c>
      <c r="S16">
        <f>SUM($R$5:R16)</f>
        <v>61</v>
      </c>
    </row>
    <row r="17" spans="16:19" x14ac:dyDescent="0.25">
      <c r="P17">
        <v>13</v>
      </c>
      <c r="Q17" s="30">
        <f t="shared" si="0"/>
        <v>44317</v>
      </c>
      <c r="R17">
        <f>COUNTIFS(Staff[Date Joined],"&gt;="&amp;Q17,Staff[Date Joined],"&lt;="&amp;EOMONTH(Q17,0))</f>
        <v>10</v>
      </c>
      <c r="S17">
        <f>SUM($R$5:R17)</f>
        <v>71</v>
      </c>
    </row>
    <row r="18" spans="16:19" x14ac:dyDescent="0.25">
      <c r="P18">
        <v>14</v>
      </c>
      <c r="Q18" s="30">
        <f t="shared" si="0"/>
        <v>44348</v>
      </c>
      <c r="R18">
        <f>COUNTIFS(Staff[Date Joined],"&gt;="&amp;Q18,Staff[Date Joined],"&lt;="&amp;EOMONTH(Q18,0))</f>
        <v>6</v>
      </c>
      <c r="S18">
        <f>SUM($R$5:R18)</f>
        <v>77</v>
      </c>
    </row>
    <row r="19" spans="16:19" x14ac:dyDescent="0.25">
      <c r="P19">
        <v>15</v>
      </c>
      <c r="Q19" s="30">
        <f t="shared" si="0"/>
        <v>44378</v>
      </c>
      <c r="R19">
        <f>COUNTIFS(Staff[Date Joined],"&gt;="&amp;Q19,Staff[Date Joined],"&lt;="&amp;EOMONTH(Q19,0))</f>
        <v>13</v>
      </c>
      <c r="S19">
        <f>SUM($R$5:R19)</f>
        <v>90</v>
      </c>
    </row>
    <row r="20" spans="16:19" x14ac:dyDescent="0.25">
      <c r="P20">
        <v>16</v>
      </c>
      <c r="Q20" s="30">
        <f t="shared" si="0"/>
        <v>44409</v>
      </c>
      <c r="R20">
        <f>COUNTIFS(Staff[Date Joined],"&gt;="&amp;Q20,Staff[Date Joined],"&lt;="&amp;EOMONTH(Q20,0))</f>
        <v>4</v>
      </c>
      <c r="S20">
        <f>SUM($R$5:R20)</f>
        <v>94</v>
      </c>
    </row>
    <row r="21" spans="16:19" x14ac:dyDescent="0.25">
      <c r="P21">
        <v>17</v>
      </c>
      <c r="Q21" s="30">
        <f t="shared" si="0"/>
        <v>44440</v>
      </c>
      <c r="R21">
        <f>COUNTIFS(Staff[Date Joined],"&gt;="&amp;Q21,Staff[Date Joined],"&lt;="&amp;EOMONTH(Q21,0))</f>
        <v>11</v>
      </c>
      <c r="S21">
        <f>SUM($R$5:R21)</f>
        <v>105</v>
      </c>
    </row>
    <row r="22" spans="16:19" x14ac:dyDescent="0.25">
      <c r="P22">
        <v>18</v>
      </c>
      <c r="Q22" s="30">
        <f t="shared" si="0"/>
        <v>44470</v>
      </c>
      <c r="R22">
        <f>COUNTIFS(Staff[Date Joined],"&gt;="&amp;Q22,Staff[Date Joined],"&lt;="&amp;EOMONTH(Q22,0))</f>
        <v>3</v>
      </c>
      <c r="S22">
        <f>SUM($R$5:R22)</f>
        <v>108</v>
      </c>
    </row>
    <row r="23" spans="16:19" x14ac:dyDescent="0.25">
      <c r="P23">
        <v>19</v>
      </c>
      <c r="Q23" s="30">
        <f t="shared" si="0"/>
        <v>44501</v>
      </c>
      <c r="R23">
        <f>COUNTIFS(Staff[Date Joined],"&gt;="&amp;Q23,Staff[Date Joined],"&lt;="&amp;EOMONTH(Q23,0))</f>
        <v>4</v>
      </c>
      <c r="S23">
        <f>SUM($R$5:R23)</f>
        <v>112</v>
      </c>
    </row>
    <row r="24" spans="16:19" x14ac:dyDescent="0.25">
      <c r="P24">
        <v>20</v>
      </c>
      <c r="Q24" s="30">
        <f t="shared" si="0"/>
        <v>44531</v>
      </c>
      <c r="R24">
        <f>COUNTIFS(Staff[Date Joined],"&gt;="&amp;Q24,Staff[Date Joined],"&lt;="&amp;EOMONTH(Q24,0))</f>
        <v>7</v>
      </c>
      <c r="S24">
        <f>SUM($R$5:R24)</f>
        <v>119</v>
      </c>
    </row>
    <row r="25" spans="16:19" x14ac:dyDescent="0.25">
      <c r="P25">
        <v>21</v>
      </c>
      <c r="Q25" s="30">
        <f t="shared" si="0"/>
        <v>44562</v>
      </c>
      <c r="R25">
        <f>COUNTIFS(Staff[Date Joined],"&gt;="&amp;Q25,Staff[Date Joined],"&lt;="&amp;EOMONTH(Q25,0))</f>
        <v>3</v>
      </c>
      <c r="S25">
        <f>SUM($R$5:R25)</f>
        <v>122</v>
      </c>
    </row>
    <row r="26" spans="16:19" x14ac:dyDescent="0.25">
      <c r="P26">
        <v>22</v>
      </c>
      <c r="Q26" s="30">
        <f t="shared" si="0"/>
        <v>44593</v>
      </c>
      <c r="R26">
        <f>COUNTIFS(Staff[Date Joined],"&gt;="&amp;Q26,Staff[Date Joined],"&lt;="&amp;EOMONTH(Q26,0))</f>
        <v>10</v>
      </c>
      <c r="S26">
        <f>SUM($R$5:R26)</f>
        <v>132</v>
      </c>
    </row>
    <row r="27" spans="16:19" x14ac:dyDescent="0.25">
      <c r="P27">
        <v>23</v>
      </c>
      <c r="Q27" s="30">
        <f t="shared" si="0"/>
        <v>44621</v>
      </c>
      <c r="R27">
        <f>COUNTIFS(Staff[Date Joined],"&gt;="&amp;Q27,Staff[Date Joined],"&lt;="&amp;EOMONTH(Q27,0))</f>
        <v>9</v>
      </c>
      <c r="S27">
        <f>SUM($R$5:R27)</f>
        <v>141</v>
      </c>
    </row>
    <row r="28" spans="16:19" x14ac:dyDescent="0.25">
      <c r="P28">
        <v>24</v>
      </c>
      <c r="Q28" s="30">
        <f t="shared" si="0"/>
        <v>44652</v>
      </c>
      <c r="R28">
        <f>COUNTIFS(Staff[Date Joined],"&gt;="&amp;Q28,Staff[Date Joined],"&lt;="&amp;EOMONTH(Q28,0))</f>
        <v>9</v>
      </c>
      <c r="S28">
        <f>SUM($R$5:R28)</f>
        <v>150</v>
      </c>
    </row>
    <row r="29" spans="16:19" x14ac:dyDescent="0.25">
      <c r="P29">
        <v>25</v>
      </c>
      <c r="Q29" s="30">
        <f t="shared" si="0"/>
        <v>44682</v>
      </c>
      <c r="R29">
        <f>COUNTIFS(Staff[Date Joined],"&gt;="&amp;Q29,Staff[Date Joined],"&lt;="&amp;EOMONTH(Q29,0))</f>
        <v>9</v>
      </c>
      <c r="S29">
        <f>SUM($R$5:R29)</f>
        <v>159</v>
      </c>
    </row>
    <row r="30" spans="16:19" x14ac:dyDescent="0.25">
      <c r="P30">
        <v>26</v>
      </c>
      <c r="Q30" s="30">
        <f t="shared" si="0"/>
        <v>44713</v>
      </c>
      <c r="R30">
        <f>COUNTIFS(Staff[Date Joined],"&gt;="&amp;Q30,Staff[Date Joined],"&lt;="&amp;EOMONTH(Q30,0))</f>
        <v>7</v>
      </c>
      <c r="S30">
        <f>SUM($R$5:R30)</f>
        <v>166</v>
      </c>
    </row>
    <row r="31" spans="16:19" x14ac:dyDescent="0.25">
      <c r="P31">
        <v>27</v>
      </c>
      <c r="Q31" s="30">
        <f t="shared" si="0"/>
        <v>44743</v>
      </c>
      <c r="R31">
        <f>COUNTIFS(Staff[Date Joined],"&gt;="&amp;Q31,Staff[Date Joined],"&lt;="&amp;EOMONTH(Q31,0))</f>
        <v>5</v>
      </c>
      <c r="S31">
        <f>SUM($R$5:R31)</f>
        <v>171</v>
      </c>
    </row>
    <row r="32" spans="16:19" x14ac:dyDescent="0.25">
      <c r="P32">
        <v>28</v>
      </c>
      <c r="Q32" s="30">
        <f t="shared" si="0"/>
        <v>44774</v>
      </c>
      <c r="R32">
        <f>COUNTIFS(Staff[Date Joined],"&gt;="&amp;Q32,Staff[Date Joined],"&lt;="&amp;EOMONTH(Q32,0))</f>
        <v>5</v>
      </c>
      <c r="S32">
        <f>SUM($R$5:R32)</f>
        <v>176</v>
      </c>
    </row>
    <row r="33" spans="16:19" x14ac:dyDescent="0.25">
      <c r="P33">
        <v>29</v>
      </c>
      <c r="Q33" s="30">
        <f t="shared" si="0"/>
        <v>44805</v>
      </c>
      <c r="R33">
        <f>COUNTIFS(Staff[Date Joined],"&gt;="&amp;Q33,Staff[Date Joined],"&lt;="&amp;EOMONTH(Q33,0))</f>
        <v>2</v>
      </c>
      <c r="S33">
        <f>SUM($R$5:R33)</f>
        <v>178</v>
      </c>
    </row>
    <row r="34" spans="16:19" x14ac:dyDescent="0.25">
      <c r="P34">
        <v>30</v>
      </c>
      <c r="Q34" s="30">
        <f t="shared" si="0"/>
        <v>44835</v>
      </c>
      <c r="R34">
        <f>COUNTIFS(Staff[Date Joined],"&gt;="&amp;Q34,Staff[Date Joined],"&lt;="&amp;EOMONTH(Q34,0))</f>
        <v>3</v>
      </c>
      <c r="S34">
        <f>SUM($R$5:R34)</f>
        <v>181</v>
      </c>
    </row>
    <row r="35" spans="16:19" x14ac:dyDescent="0.25">
      <c r="P35">
        <v>31</v>
      </c>
      <c r="Q35" s="30">
        <f t="shared" si="0"/>
        <v>44866</v>
      </c>
      <c r="R35">
        <f>COUNTIFS(Staff[Date Joined],"&gt;="&amp;Q35,Staff[Date Joined],"&lt;="&amp;EOMONTH(Q35,0))</f>
        <v>0</v>
      </c>
      <c r="S35">
        <f>SUM($R$5:R35)</f>
        <v>181</v>
      </c>
    </row>
    <row r="36" spans="16:19" x14ac:dyDescent="0.25">
      <c r="P36">
        <v>32</v>
      </c>
      <c r="Q36" s="30">
        <f t="shared" si="0"/>
        <v>44896</v>
      </c>
      <c r="R36">
        <f>COUNTIFS(Staff[Date Joined],"&gt;="&amp;Q36,Staff[Date Joined],"&lt;="&amp;EOMONTH(Q36,0))</f>
        <v>0</v>
      </c>
      <c r="S36">
        <f>SUM($R$5:R36)</f>
        <v>181</v>
      </c>
    </row>
    <row r="37" spans="16:19" x14ac:dyDescent="0.25">
      <c r="P37">
        <v>33</v>
      </c>
      <c r="Q37" s="30">
        <f t="shared" si="0"/>
        <v>44927</v>
      </c>
      <c r="R37">
        <f>COUNTIFS(Staff[Date Joined],"&gt;="&amp;Q37,Staff[Date Joined],"&lt;="&amp;EOMONTH(Q37,0))</f>
        <v>0</v>
      </c>
      <c r="S37">
        <f>SUM($R$5:R37)</f>
        <v>181</v>
      </c>
    </row>
    <row r="38" spans="16:19" x14ac:dyDescent="0.25">
      <c r="P38">
        <v>34</v>
      </c>
      <c r="Q38" s="30">
        <f t="shared" si="0"/>
        <v>44958</v>
      </c>
      <c r="R38">
        <f>COUNTIFS(Staff[Date Joined],"&gt;="&amp;Q38,Staff[Date Joined],"&lt;="&amp;EOMONTH(Q38,0))</f>
        <v>1</v>
      </c>
      <c r="S38">
        <f>SUM($R$5:R38)</f>
        <v>182</v>
      </c>
    </row>
    <row r="39" spans="16:19" x14ac:dyDescent="0.25">
      <c r="P39">
        <v>35</v>
      </c>
      <c r="Q39" s="30">
        <f t="shared" si="0"/>
        <v>44986</v>
      </c>
      <c r="R39">
        <f>COUNTIFS(Staff[Date Joined],"&gt;="&amp;Q39,Staff[Date Joined],"&lt;="&amp;EOMONTH(Q39,0))</f>
        <v>0</v>
      </c>
      <c r="S39">
        <f>SUM($R$5:R39)</f>
        <v>182</v>
      </c>
    </row>
    <row r="40" spans="16:19" x14ac:dyDescent="0.25">
      <c r="P40">
        <v>36</v>
      </c>
      <c r="Q40" s="30">
        <f t="shared" si="0"/>
        <v>45017</v>
      </c>
      <c r="R40">
        <f>COUNTIFS(Staff[Date Joined],"&gt;="&amp;Q40,Staff[Date Joined],"&lt;="&amp;EOMONTH(Q40,0))</f>
        <v>1</v>
      </c>
      <c r="S40">
        <f>SUM($R$5:R40)</f>
        <v>183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BCBFD-71CF-4215-81EC-47B48B2EDA37}">
  <dimension ref="B2:C8"/>
  <sheetViews>
    <sheetView workbookViewId="0">
      <selection activeCell="C3" sqref="C3"/>
    </sheetView>
  </sheetViews>
  <sheetFormatPr defaultRowHeight="15" x14ac:dyDescent="0.25"/>
  <cols>
    <col min="2" max="2" width="13.140625" bestFit="1" customWidth="1"/>
    <col min="3" max="3" width="17.5703125" bestFit="1" customWidth="1"/>
    <col min="4" max="162" width="4.5703125" bestFit="1" customWidth="1"/>
    <col min="163" max="163" width="11.28515625" bestFit="1" customWidth="1"/>
  </cols>
  <sheetData>
    <row r="2" spans="2:3" x14ac:dyDescent="0.25">
      <c r="B2" s="27" t="s">
        <v>243</v>
      </c>
      <c r="C2" t="s">
        <v>244</v>
      </c>
    </row>
    <row r="3" spans="2:3" x14ac:dyDescent="0.25">
      <c r="B3" s="28" t="s">
        <v>21</v>
      </c>
      <c r="C3" s="11">
        <v>2.1461427541456386</v>
      </c>
    </row>
    <row r="4" spans="2:3" x14ac:dyDescent="0.25">
      <c r="B4" s="28" t="s">
        <v>56</v>
      </c>
      <c r="C4" s="11">
        <v>2.4493150684931502</v>
      </c>
    </row>
    <row r="5" spans="2:3" x14ac:dyDescent="0.25">
      <c r="B5" s="28" t="s">
        <v>9</v>
      </c>
      <c r="C5" s="11">
        <v>1.7595018679950183</v>
      </c>
    </row>
    <row r="6" spans="2:3" x14ac:dyDescent="0.25">
      <c r="B6" s="28" t="s">
        <v>19</v>
      </c>
      <c r="C6" s="11">
        <v>2.0536203522504892</v>
      </c>
    </row>
    <row r="7" spans="2:3" x14ac:dyDescent="0.25">
      <c r="B7" s="28" t="s">
        <v>12</v>
      </c>
      <c r="C7" s="11">
        <v>2.0845763571790972</v>
      </c>
    </row>
    <row r="8" spans="2:3" x14ac:dyDescent="0.25">
      <c r="B8" s="28" t="s">
        <v>241</v>
      </c>
      <c r="C8" s="11">
        <v>2.0108690770267232</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1 0 5 c a 6 6 - b c b 0 - 4 e 1 2 - a 7 a 8 - d 1 1 e a 0 5 e b 5 5 6 "   x m l n s = " h t t p : / / s c h e m a s . m i c r o s o f t . c o m / D a t a M a s h u p " > A A A A A J 4 E A A B Q S w M E F A A C A A g A 3 Y P P V h 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D d g 8 9 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Y P P V h H l H f C Z A Q A A 7 Q Q A A B M A H A B G b 3 J t d W x h c y 9 T Z W N 0 a W 9 u M S 5 t I K I Y A C i g F A A A A A A A A A A A A A A A A A A A A A A A A A A A A J 1 S w W r C Q B C 9 C / m H Z X t R C I J Q e h E P k p R i D x Z U W q h I W Z N R g 5 v d s J k U J f j v n R i t q 4 m t m E v g 7 c y b 9 + Z N C g F G W r F x + e 9 0 n Y b T S F f C Q M i G n 1 9 j F I s F 6 z E J 6 D Q Y f W O d m Q A I e d 4 E I N t e Z g w o / N B m P d d 6 3 W z l 0 6 G I o c e P v X y 2 m 3 p a I R X N 3 J L i g f f D k O i 9 L E U d c + K a i L m E N q G e l l m s m u U Q l 3 F P Z w r N l r s M R L B i x M p b T i N S t U S 2 9 I E K I 3 G / e q u 9 1 o C 3 E m p J Y y b b B E 4 G J k a o d K F N X N o o H t O j l z z n B T U 5 Q Y I Z w g Z 3 L s v 5 C 6 g Q T A X u L 4 v S g c K n x 3 b B s w d H A i O 1 r N T 6 A o G 9 6 k h B e H w L C c I o L t t 8 S I T B m A x U W s d C i v 1 6 r U m 7 1 s 0 5 X S y i J r D B 0 L 8 x s e t Z l V M 9 H c / J Y j M / X p Z r h 2 y J v i u b 2 n 1 f W e z 5 5 s o b C r b / x n R a z U V 8 1 + O 5 c h y V Q 7 L c j y D W 3 + T e z x I Z B a Q 2 P e 3 A j 1 J S F m A 1 t w P n G U 8 i R U A V 7 0 J m 1 h 4 P + B 5 t 1 o 5 z V S a l y 9 9 w V U g / 1 J u z R v f X 2 p / K O 7 X S L 5 R Z 4 u 0 7 q 2 P r / g B Q S w E C L Q A U A A I A C A D d g 8 9 W E P E Y v a M A A A D 2 A A A A E g A A A A A A A A A A A A A A A A A A A A A A Q 2 9 u Z m l n L 1 B h Y 2 t h Z 2 U u e G 1 s U E s B A i 0 A F A A C A A g A 3 Y P P V g / K 6 a u k A A A A 6 Q A A A B M A A A A A A A A A A A A A A A A A 7 w A A A F t D b 2 5 0 Z W 5 0 X 1 R 5 c G V z X S 5 4 b W x Q S w E C L Q A U A A I A C A D d g 8 9 W E e U d 8 J k B A A D t B A A A E w A A A A A A A A A A A A A A A A D g A Q A A R m 9 y b X V s Y X M v U 2 V j d G l v b j E u b V B L B Q Y A A A A A A w A D A M I A A A D G 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3 I w A A A A A A A B U 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W l 9 T d G F m Z 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M t M D Y t M T V U M T U 6 M z A 6 N T c u M D U 3 N z Q w M F o i I C 8 + P E V u d H J 5 I F R 5 c G U 9 I k Z p b G x D b 2 x 1 b W 5 U e X B l c y I g V m F s d W U 9 I n N B Q U F B Q U F B Q U F B Q T 0 i I C 8 + P E V u d H J 5 I F R 5 c G U 9 I k Z p b G x D b 2 x 1 b W 5 O Y W 1 l c y I g V m F s d W U 9 I n N b J n F 1 b 3 Q 7 T m F t Z S Z x d W 9 0 O y w m c X V v d D t H Z W 5 k Z X I m c X V v d D s s J n F 1 b 3 Q 7 R G V w Y X J 0 b W V u d C Z x d W 9 0 O y w m c X V v d D t B Z 2 U m c X V v d D s s J n F 1 b 3 Q 7 R G F 0 Z S B K b 2 l u Z W Q m c X V v d D s s J n F 1 b 3 Q 7 U 2 F s Y X J 5 J n F 1 b 3 Q 7 L C Z x d W 9 0 O 1 J h d G l u Z y Z x d W 9 0 O y w m c X V v d D t D b 3 V u d H J 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T l p f U 3 R h Z m Y v U 2 9 1 c m N l L n t O Y W 1 l L D B 9 J n F 1 b 3 Q 7 L C Z x d W 9 0 O 1 N l Y 3 R p b 2 4 x L 0 5 a X 1 N 0 Y W Z m L 1 N v d X J j Z S 5 7 R 2 V u Z G V y L D F 9 J n F 1 b 3 Q 7 L C Z x d W 9 0 O 1 N l Y 3 R p b 2 4 x L 0 5 a X 1 N 0 Y W Z m L 1 N v d X J j Z S 5 7 R G V w Y X J 0 b W V u d C w y f S Z x d W 9 0 O y w m c X V v d D t T Z W N 0 a W 9 u M S 9 O W l 9 T d G F m Z i 9 T b 3 V y Y 2 U u e 0 F n Z S w z f S Z x d W 9 0 O y w m c X V v d D t T Z W N 0 a W 9 u M S 9 O W l 9 T d G F m Z i 9 T b 3 V y Y 2 U u e 0 R h d G U g S m 9 p b m V k L D R 9 J n F 1 b 3 Q 7 L C Z x d W 9 0 O 1 N l Y 3 R p b 2 4 x L 0 5 a X 1 N 0 Y W Z m L 1 N v d X J j Z S 5 7 U 2 F s Y X J 5 L D V 9 J n F 1 b 3 Q 7 L C Z x d W 9 0 O 1 N l Y 3 R p b 2 4 x L 0 5 a X 1 N 0 Y W Z m L 1 N v d X J j Z S 5 7 U m F 0 a W 5 n L D Z 9 J n F 1 b 3 Q 7 L C Z x d W 9 0 O 1 N l Y 3 R p b 2 4 x L 0 5 a X 1 N 0 Y W Z m L 0 F k Z G V k I E N 1 c 3 R v b S 5 7 Q 2 9 1 b n R y e S w 3 f S Z x d W 9 0 O 1 0 s J n F 1 b 3 Q 7 Q 2 9 s d W 1 u Q 2 9 1 b n Q m c X V v d D s 6 O C w m c X V v d D t L Z X l D b 2 x 1 b W 5 O Y W 1 l c y Z x d W 9 0 O z p b X S w m c X V v d D t D b 2 x 1 b W 5 J Z G V u d G l 0 a W V z J n F 1 b 3 Q 7 O l s m c X V v d D t T Z W N 0 a W 9 u M S 9 O W l 9 T d G F m Z i 9 T b 3 V y Y 2 U u e 0 5 h b W U s M H 0 m c X V v d D s s J n F 1 b 3 Q 7 U 2 V j d G l v b j E v T l p f U 3 R h Z m Y v U 2 9 1 c m N l L n t H Z W 5 k Z X I s M X 0 m c X V v d D s s J n F 1 b 3 Q 7 U 2 V j d G l v b j E v T l p f U 3 R h Z m Y v U 2 9 1 c m N l L n t E Z X B h c n R t Z W 5 0 L D J 9 J n F 1 b 3 Q 7 L C Z x d W 9 0 O 1 N l Y 3 R p b 2 4 x L 0 5 a X 1 N 0 Y W Z m L 1 N v d X J j Z S 5 7 Q W d l L D N 9 J n F 1 b 3 Q 7 L C Z x d W 9 0 O 1 N l Y 3 R p b 2 4 x L 0 5 a X 1 N 0 Y W Z m L 1 N v d X J j Z S 5 7 R G F 0 Z S B K b 2 l u Z W Q s N H 0 m c X V v d D s s J n F 1 b 3 Q 7 U 2 V j d G l v b j E v T l p f U 3 R h Z m Y v U 2 9 1 c m N l L n t T Y W x h c n k s N X 0 m c X V v d D s s J n F 1 b 3 Q 7 U 2 V j d G l v b j E v T l p f U 3 R h Z m Y v U 2 9 1 c m N l L n t S Y X R p b m c s N n 0 m c X V v d D s s J n F 1 b 3 Q 7 U 2 V j d G l v b j E v T l p f U 3 R h Z m Y v Q W R k Z W Q g Q 3 V z d G 9 t L n t D b 3 V u d H J 5 L D d 9 J n F 1 b 3 Q 7 X S w m c X V v d D t S Z W x h d G l v b n N o a X B J b m Z v J n F 1 b 3 Q 7 O l t d f S I g L z 4 8 R W 5 0 c n k g V H l w Z T 0 i U X V l c n l J R C I g V m F s d W U 9 I n M 0 Z j A 0 M G Y 2 Y y 0 0 Y T J i L T R k M j M t Y m Y 2 Y y 1 m N j h i M j Q x Z T c 1 N z Q i I C 8 + P C 9 T d G F i b G V F b n R y a W V z P j w v S X R l b T 4 8 S X R l b T 4 8 S X R l b U x v Y 2 F 0 a W 9 u P j x J d G V t V H l w Z T 5 G b 3 J t d W x h P C 9 J d G V t V H l w Z T 4 8 S X R l b V B h d G g + U 2 V j d G l v b j E v T l p f U 3 R h Z m Y v U 2 9 1 c m N l P C 9 J d G V t U G F 0 a D 4 8 L 0 l 0 Z W 1 M b 2 N h d G l v b j 4 8 U 3 R h Y m x l R W 5 0 c m l l c y A v P j w v S X R l b T 4 8 S X R l b T 4 8 S X R l b U x v Y 2 F 0 a W 9 u P j x J d G V t V H l w Z T 5 G b 3 J t d W x h P C 9 J d G V t V H l w Z T 4 8 S X R l b V B h d G g + U 2 V j d G l v b j E v S W 5 k a W F f U 3 R h Z m Y 8 L 0 l 0 Z W 1 Q Y X R o P j w v S X R l b U x v Y 2 F 0 a W 9 u P j x T d G F i b G V F b n R y a W V z P j x F b n R y e S B U e X B l P S J J c 1 B y a X Z h d G U i I F Z h b H V l P S J s M C I g L z 4 8 R W 5 0 c n k g V H l w Z T 0 i T G 9 h Z G V k V G 9 B b m F s e X N p c 1 N l c n Z p Y 2 V z I i B W Y W x 1 Z T 0 i b D A i I C 8 + P E V u d H J 5 I F R 5 c G U 9 I k Z p b G x T d G F 0 d X M i I F Z h b H V l P S J z Q 2 9 t c G x l d G U i I C 8 + P E V u d H J 5 I F R 5 c G U 9 I k Z p b G x D b 2 x 1 b W 5 O Y W 1 l c y I g V m F s d W U 9 I n N b J n F 1 b 3 Q 7 T m F t Z S Z x d W 9 0 O y w m c X V v d D t H Z W 5 k Z X I m c X V v d D s s J n F 1 b 3 Q 7 Q W d l J n F 1 b 3 Q 7 L C Z x d W 9 0 O 1 J h d G l u Z y Z x d W 9 0 O y w m c X V v d D t E Y X R l I E p v a W 5 l Z C Z x d W 9 0 O y w m c X V v d D t E Z X B h c n R t Z W 5 0 J n F 1 b 3 Q 7 L C Z x d W 9 0 O 1 N h b G F y e S Z x d W 9 0 O y w m c X V v d D t D b 3 V u d H J 5 J n F 1 b 3 Q 7 X S I g L z 4 8 R W 5 0 c n k g V H l w Z T 0 i R m l s b E N v b H V t b l R 5 c G V z I i B W Y W x 1 Z T 0 i c 0 J n W U R C Z 2 N H Q X d B P S I g L z 4 8 R W 5 0 c n k g V H l w Z T 0 i R m l s b E x h c 3 R V c G R h d G V k I i B W Y W x 1 Z T 0 i Z D I w M j M t M D Y t M T V U M T U 6 M z A 6 N T c u M D Y z N z M 2 M l o i I C 8 + P E V u d H J 5 I F R 5 c G U 9 I k Z p b G x F c n J v c k N v d W 5 0 I i B W Y W x 1 Z T 0 i b D A i I C 8 + P E V u d H J 5 I F R 5 c G U 9 I k Z p b G x F c n J v c k N v Z G U i I F Z h b H V l P S J z V W 5 r b m 9 3 b i I g L z 4 8 R W 5 0 c n k g V H l w Z T 0 i R m l s b E N v d W 5 0 I i B W Y W x 1 Z T 0 i b D E x M i I g L z 4 8 R W 5 0 c n k g V H l w Z T 0 i Q W R k Z W R U b 0 R h d G F N b 2 R l b C I g V m F s d W U 9 I m w x 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4 L C Z x d W 9 0 O 2 t l e U N v b H V t b k 5 h b W V z J n F 1 b 3 Q 7 O l t d L C Z x d W 9 0 O 3 F 1 Z X J 5 U m V s Y X R p b 2 5 z a G l w c y Z x d W 9 0 O z p b X S w m c X V v d D t j b 2 x 1 b W 5 J Z G V u d G l 0 a W V z J n F 1 b 3 Q 7 O l s m c X V v d D t T Z W N 0 a W 9 u M S 9 J b m R p Y V 9 T d G F m Z i 9 D a G F u Z 2 V k I F R 5 c G U u e 0 5 h b W U s M H 0 m c X V v d D s s J n F 1 b 3 Q 7 U 2 V j d G l v b j E v S W 5 k a W F f U 3 R h Z m Y v Q 2 h h b m d l Z C B U e X B l L n t H Z W 5 k Z X I s M X 0 m c X V v d D s s J n F 1 b 3 Q 7 U 2 V j d G l v b j E v S W 5 k a W F f U 3 R h Z m Y v Q 2 h h b m d l Z C B U e X B l L n t B Z 2 U s M n 0 m c X V v d D s s J n F 1 b 3 Q 7 U 2 V j d G l v b j E v S W 5 k a W F f U 3 R h Z m Y v Q 2 h h b m d l Z C B U e X B l L n t S Y X R p b m c s M 3 0 m c X V v d D s s J n F 1 b 3 Q 7 U 2 V j d G l v b j E v S W 5 k a W F f U 3 R h Z m Y v Q 2 h h b m d l Z C B U e X B l L n t E Y X R l I E p v a W 5 l Z C w 0 f S Z x d W 9 0 O y w m c X V v d D t T Z W N 0 a W 9 u M S 9 J b m R p Y V 9 T d G F m Z i 9 D a G F u Z 2 V k I F R 5 c G U u e 0 R l c G F y d G 1 l b n Q s N X 0 m c X V v d D s s J n F 1 b 3 Q 7 U 2 V j d G l v b j E v S W 5 k a W F f U 3 R h Z m Y v Q 2 h h b m d l Z C B U e X B l L n t T Y W x h c n k s N n 0 m c X V v d D s s J n F 1 b 3 Q 7 U 2 V j d G l v b j E v S W 5 k a W F f U 3 R h Z m Y v Q W R k Z W Q g Q 3 V z d G 9 t L n t D b 3 V u d H J 5 L D d 9 J n F 1 b 3 Q 7 X S w m c X V v d D t D b 2 x 1 b W 5 D b 3 V u d C Z x d W 9 0 O z o 4 L C Z x d W 9 0 O 0 t l e U N v b H V t b k 5 h b W V z J n F 1 b 3 Q 7 O l t d L C Z x d W 9 0 O 0 N v b H V t b k l k Z W 5 0 a X R p Z X M m c X V v d D s 6 W y Z x d W 9 0 O 1 N l Y 3 R p b 2 4 x L 0 l u Z G l h X 1 N 0 Y W Z m L 0 N o Y W 5 n Z W Q g V H l w Z S 5 7 T m F t Z S w w f S Z x d W 9 0 O y w m c X V v d D t T Z W N 0 a W 9 u M S 9 J b m R p Y V 9 T d G F m Z i 9 D a G F u Z 2 V k I F R 5 c G U u e 0 d l b m R l c i w x f S Z x d W 9 0 O y w m c X V v d D t T Z W N 0 a W 9 u M S 9 J b m R p Y V 9 T d G F m Z i 9 D a G F u Z 2 V k I F R 5 c G U u e 0 F n Z S w y f S Z x d W 9 0 O y w m c X V v d D t T Z W N 0 a W 9 u M S 9 J b m R p Y V 9 T d G F m Z i 9 D a G F u Z 2 V k I F R 5 c G U u e 1 J h d G l u Z y w z f S Z x d W 9 0 O y w m c X V v d D t T Z W N 0 a W 9 u M S 9 J b m R p Y V 9 T d G F m Z i 9 D a G F u Z 2 V k I F R 5 c G U u e 0 R h d G U g S m 9 p b m V k L D R 9 J n F 1 b 3 Q 7 L C Z x d W 9 0 O 1 N l Y 3 R p b 2 4 x L 0 l u Z G l h X 1 N 0 Y W Z m L 0 N o Y W 5 n Z W Q g V H l w Z S 5 7 R G V w Y X J 0 b W V u d C w 1 f S Z x d W 9 0 O y w m c X V v d D t T Z W N 0 a W 9 u M S 9 J b m R p Y V 9 T d G F m Z i 9 D a G F u Z 2 V k I F R 5 c G U u e 1 N h b G F y e S w 2 f S Z x d W 9 0 O y w m c X V v d D t T Z W N 0 a W 9 u M S 9 J b m R p Y V 9 T d G F m Z i 9 B Z G R l Z C B D d X N 0 b 2 0 u e 0 N v d W 5 0 c n k s N 3 0 m c X V v d D t d L C Z x d W 9 0 O 1 J l b G F 0 a W 9 u c 2 h p c E l u Z m 8 m c X V v d D s 6 W 1 1 9 I i A v P j x F b n R y e S B U e X B l P S J R d W V y e U l E I i B W Y W x 1 Z T 0 i c z J i M m Y 2 M j I 4 L T E 3 Z D A t N G I 3 M i 1 h M j Q 0 L T Z j M T J k N j J l N z d l O S I g L z 4 8 L 1 N 0 Y W J s Z U V u d H J p Z X M + P C 9 J d G V t P j x J d G V t P j x J d G V t T G 9 j Y X R p b 2 4 + P E l 0 Z W 1 U e X B l P k Z v c m 1 1 b G E 8 L 0 l 0 Z W 1 U e X B l P j x J d G V t U G F 0 a D 5 T Z W N 0 a W 9 u M S 9 J b m R p Y V 9 T d G F m Z i 9 T b 3 V y Y 2 U 8 L 0 l 0 Z W 1 Q Y X R o P j w v S X R l b U x v Y 2 F 0 a W 9 u P j x T d G F i b G V F b n R y a W V z I C 8 + P C 9 J d G V t P j x J d G V t P j x J d G V t T G 9 j Y X R p b 2 4 + P E l 0 Z W 1 U e X B l P k Z v c m 1 1 b G E 8 L 0 l 0 Z W 1 U e X B l P j x J d G V t U G F 0 a D 5 T Z W N 0 a W 9 u M S 9 J b m R p Y V 9 T d G F m Z i 9 D a G F u Z 2 V k J T I w V H l w Z T w v S X R l b V B h d G g + P C 9 J d G V t T G 9 j Y X R p b 2 4 + P F N 0 Y W J s Z U V u d H J p Z X M g L z 4 8 L 0 l 0 Z W 0 + P E l 0 Z W 0 + P E l 0 Z W 1 M b 2 N h d G l v b j 4 8 S X R l b V R 5 c G U + R m 9 y b X V s Y T w v S X R l b V R 5 c G U + P E l 0 Z W 1 Q Y X R o P l N l Y 3 R p b 2 4 x L 0 5 a X 1 N 0 Y W Z m L 0 F k Z G V k J T I w Q 3 V z d G 9 t P C 9 J d G V t U G F 0 a D 4 8 L 0 l 0 Z W 1 M b 2 N h d G l v b j 4 8 U 3 R h Y m x l R W 5 0 c m l l c y A v P j w v S X R l b T 4 8 S X R l b T 4 8 S X R l b U x v Y 2 F 0 a W 9 u P j x J d G V t V H l w Z T 5 G b 3 J t d W x h P C 9 J d G V t V H l w Z T 4 8 S X R l b V B h d G g + U 2 V j d G l v b j E v S W 5 k a W F f U 3 R h Z m Y v Q W R k Z W Q l M j B D d X N 0 b 2 0 8 L 0 l 0 Z W 1 Q Y X R o P j w v S X R l b U x v Y 2 F 0 a W 9 u P j x T d G F i b G V F b n R y a W V z I C 8 + P C 9 J d G V t P j x J d G V t P j x J d G V t T G 9 j Y X R p b 2 4 + P E l 0 Z W 1 U e X B l P k Z v c m 1 1 b G E 8 L 0 l 0 Z W 1 U e X B l P j x J d G V t U G F 0 a D 5 T Z W N 0 a W 9 u M S 9 T d G F m Z 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G F m Z i I g L z 4 8 R W 5 0 c n k g V H l w Z T 0 i R m l s b G V k Q 2 9 t c G x l d G V S Z X N 1 b H R U b 1 d v c m t z a G V l d C I g V m F s d W U 9 I m w x I i A v P j x F b n R y e S B U e X B l P S J B Z G R l Z F R v R G F 0 Y U 1 v Z G V s I i B W Y W x 1 Z T 0 i b D A i I C 8 + P E V u d H J 5 I F R 5 c G U 9 I k Z p b G x D b 3 V u d C I g V m F s d W U 9 I m w x O D M i I C 8 + P E V u d H J 5 I F R 5 c G U 9 I k Z p b G x F c n J v c k N v Z G U i I F Z h b H V l P S J z V W 5 r b m 9 3 b i I g L z 4 8 R W 5 0 c n k g V H l w Z T 0 i R m l s b E V y c m 9 y Q 2 9 1 b n Q i I F Z h b H V l P S J s M C I g L z 4 8 R W 5 0 c n k g V H l w Z T 0 i R m l s b E x h c 3 R V c G R h d G V k I i B W Y W x 1 Z T 0 i Z D I w M j M t M D Y t M T V U M T U 6 M z A 6 N T g u M T Y w M T g 2 M F o i I C 8 + P E V u d H J 5 I F R 5 c G U 9 I k Z p b G x D b 2 x 1 b W 5 U e X B l c y I g V m F s d W U 9 I n N C Z 1 l H Q X d r U k J n W T 0 i I C 8 + P E V u d H J 5 I F R 5 c G U 9 I k Z p b G x D b 2 x 1 b W 5 O Y W 1 l c y I g V m F s d W U 9 I n N b J n F 1 b 3 Q 7 T m F t Z S Z x d W 9 0 O y w m c X V v d D t H Z W 5 k Z X I m c X V v d D s s J n F 1 b 3 Q 7 R G V w Y X J 0 b W V u d C Z x d W 9 0 O y w m c X V v d D t B Z 2 U m c X V v d D s s J n F 1 b 3 Q 7 R G F 0 Z S B K b 2 l u Z W Q m c X V v d D s s J n F 1 b 3 Q 7 U 2 F s Y X J 5 J n F 1 b 3 Q 7 L C Z x d W 9 0 O 1 J h d G l u Z y Z x d W 9 0 O y w m c X V v d D t D b 3 V u d H J 5 J n F 1 b 3 Q 7 X S I g L z 4 8 R W 5 0 c n k g V H l w Z T 0 i R m l s b F N 0 Y X R 1 c y I g V m F s d W U 9 I n N D b 2 1 w b G V 0 Z S I g L z 4 8 R W 5 0 c n k g V H l w Z T 0 i U m V s Y X R p b 2 5 z a G l w S W 5 m b 0 N v b n R h a W 5 l c i I g V m F s d W U 9 I n N 7 J n F 1 b 3 Q 7 Y 2 9 s d W 1 u Q 2 9 1 b n Q m c X V v d D s 6 O C w m c X V v d D t r Z X l D b 2 x 1 b W 5 O Y W 1 l c y Z x d W 9 0 O z p b J n F 1 b 3 Q 7 T m F t Z S Z x d W 9 0 O 1 0 s J n F 1 b 3 Q 7 c X V l c n l S Z W x h d G l v b n N o a X B z J n F 1 b 3 Q 7 O l t d L C Z x d W 9 0 O 2 N v b H V t b k l k Z W 5 0 a X R p Z X M m c X V v d D s 6 W y Z x d W 9 0 O 1 N l Y 3 R p b 2 4 x L 1 N 0 Y W Z m L 0 N o Y W 5 n Z W Q g V H l w Z S 5 7 T m F t Z S w w f S Z x d W 9 0 O y w m c X V v d D t T Z W N 0 a W 9 u M S 9 T d G F m Z i 9 S Z X B s Y W N l Z C B W Y W x 1 Z S 5 7 R 2 V u Z G V y L D F 9 J n F 1 b 3 Q 7 L C Z x d W 9 0 O 1 N l Y 3 R p b 2 4 x L 1 N 0 Y W Z m L 0 N o Y W 5 n Z W Q g V H l w Z S 5 7 R G V w Y X J 0 b W V u d C w y f S Z x d W 9 0 O y w m c X V v d D t T Z W N 0 a W 9 u M S 9 T d G F m Z i 9 D a G F u Z 2 V k I F R 5 c G U u e 0 F n Z S w z f S Z x d W 9 0 O y w m c X V v d D t T Z W N 0 a W 9 u M S 9 T d G F m Z i 9 D a G F u Z 2 V k I F R 5 c G U u e 0 R h d G U g S m 9 p b m V k L D R 9 J n F 1 b 3 Q 7 L C Z x d W 9 0 O 1 N l Y 3 R p b 2 4 x L 1 N 0 Y W Z m L 0 N o Y W 5 n Z W Q g V H l w Z S 5 7 U 2 F s Y X J 5 L D V 9 J n F 1 b 3 Q 7 L C Z x d W 9 0 O 1 N l Y 3 R p b 2 4 x L 1 N 0 Y W Z m L 0 N o Y W 5 n Z W Q g V H l w Z S 5 7 U m F 0 a W 5 n L D Z 9 J n F 1 b 3 Q 7 L C Z x d W 9 0 O 1 N l Y 3 R p b 2 4 x L 1 N 0 Y W Z m L 0 N o Y W 5 n Z W Q g V H l w Z S 5 7 Q 2 9 1 b n R y e S w 3 f S Z x d W 9 0 O 1 0 s J n F 1 b 3 Q 7 Q 2 9 s d W 1 u Q 2 9 1 b n Q m c X V v d D s 6 O C w m c X V v d D t L Z X l D b 2 x 1 b W 5 O Y W 1 l c y Z x d W 9 0 O z p b J n F 1 b 3 Q 7 T m F t Z S Z x d W 9 0 O 1 0 s J n F 1 b 3 Q 7 Q 2 9 s d W 1 u S W R l b n R p d G l l c y Z x d W 9 0 O z p b J n F 1 b 3 Q 7 U 2 V j d G l v b j E v U 3 R h Z m Y v Q 2 h h b m d l Z C B U e X B l L n t O Y W 1 l L D B 9 J n F 1 b 3 Q 7 L C Z x d W 9 0 O 1 N l Y 3 R p b 2 4 x L 1 N 0 Y W Z m L 1 J l c G x h Y 2 V k I F Z h b H V l L n t H Z W 5 k Z X I s M X 0 m c X V v d D s s J n F 1 b 3 Q 7 U 2 V j d G l v b j E v U 3 R h Z m Y v Q 2 h h b m d l Z C B U e X B l L n t E Z X B h c n R t Z W 5 0 L D J 9 J n F 1 b 3 Q 7 L C Z x d W 9 0 O 1 N l Y 3 R p b 2 4 x L 1 N 0 Y W Z m L 0 N o Y W 5 n Z W Q g V H l w Z S 5 7 Q W d l L D N 9 J n F 1 b 3 Q 7 L C Z x d W 9 0 O 1 N l Y 3 R p b 2 4 x L 1 N 0 Y W Z m L 0 N o Y W 5 n Z W Q g V H l w Z S 5 7 R G F 0 Z S B K b 2 l u Z W Q s N H 0 m c X V v d D s s J n F 1 b 3 Q 7 U 2 V j d G l v b j E v U 3 R h Z m Y v Q 2 h h b m d l Z C B U e X B l L n t T Y W x h c n k s N X 0 m c X V v d D s s J n F 1 b 3 Q 7 U 2 V j d G l v b j E v U 3 R h Z m Y v Q 2 h h b m d l Z C B U e X B l L n t S Y X R p b m c s N n 0 m c X V v d D s s J n F 1 b 3 Q 7 U 2 V j d G l v b j E v U 3 R h Z m Y v Q 2 h h b m d l Z C B U e X B l L n t D b 3 V u d H J 5 L D d 9 J n F 1 b 3 Q 7 X S w m c X V v d D t S Z W x h d G l v b n N o a X B J b m Z v J n F 1 b 3 Q 7 O l t d f S I g L z 4 8 R W 5 0 c n k g V H l w Z T 0 i U X V l c n l J R C I g V m F s d W U 9 I n M 4 M D B k M D d h Z S 0 2 Y W Y 1 L T R i Z D E t O G Y 3 Y y 0 z Y T N l O G J k N T R j Z W U i I C 8 + P E V u d H J 5 I F R 5 c G U 9 I l J l Y 2 9 2 Z X J 5 V G F y Z 2 V 0 U m 9 3 I i B W Y W x 1 Z T 0 i b D E i I C 8 + P E V u d H J 5 I F R 5 c G U 9 I l J l Y 2 9 2 Z X J 5 V G F y Z 2 V 0 Q 2 9 s d W 1 u I i B W Y W x 1 Z T 0 i b D E i I C 8 + P E V u d H J 5 I F R 5 c G U 9 I l J l Y 2 9 2 Z X J 5 V G F y Z 2 V 0 U 2 h l Z X Q i I F Z h b H V l P S J z U 2 h l Z X Q y I i A v P j w v U 3 R h Y m x l R W 5 0 c m l l c z 4 8 L 0 l 0 Z W 0 + P E l 0 Z W 0 + P E l 0 Z W 1 M b 2 N h d G l v b j 4 8 S X R l b V R 5 c G U + R m 9 y b X V s Y T w v S X R l b V R 5 c G U + P E l 0 Z W 1 Q Y X R o P l N l Y 3 R p b 2 4 x L 1 N 0 Y W Z m L 1 N v d X J j Z T w v S X R l b V B h d G g + P C 9 J d G V t T G 9 j Y X R p b 2 4 + P F N 0 Y W J s Z U V u d H J p Z X M g L z 4 8 L 0 l 0 Z W 0 + P E l 0 Z W 0 + P E l 0 Z W 1 M b 2 N h d G l v b j 4 8 S X R l b V R 5 c G U + R m 9 y b X V s Y T w v S X R l b V R 5 c G U + P E l 0 Z W 1 Q Y X R o P l N l Y 3 R p b 2 4 x L 1 N 0 Y W Z m L 0 N o Y W 5 n Z W Q l M j B U e X B l P C 9 J d G V t U G F 0 a D 4 8 L 0 l 0 Z W 1 M b 2 N h d G l v b j 4 8 U 3 R h Y m x l R W 5 0 c m l l c y A v P j w v S X R l b T 4 8 S X R l b T 4 8 S X R l b U x v Y 2 F 0 a W 9 u P j x J d G V t V H l w Z T 5 G b 3 J t d W x h P C 9 J d G V t V H l w Z T 4 8 S X R l b V B h d G g + U 2 V j d G l v b j E v U 3 R h Z m Y v U m V t b 3 Z l Z C U y M E R 1 c G x p Y 2 F 0 Z X M 8 L 0 l 0 Z W 1 Q Y X R o P j w v S X R l b U x v Y 2 F 0 a W 9 u P j x T d G F i b G V F b n R y a W V z I C 8 + P C 9 J d G V t P j x J d G V t P j x J d G V t T G 9 j Y X R p b 2 4 + P E l 0 Z W 1 U e X B l P k Z v c m 1 1 b G E 8 L 0 l 0 Z W 1 U e X B l P j x J d G V t U G F 0 a D 5 T Z W N 0 a W 9 u M S 9 T d G F m Z i 9 S Z X B s Y W N l Z C U y M F Z h b H V l P C 9 J d G V t U G F 0 a D 4 8 L 0 l 0 Z W 1 M b 2 N h d G l v b j 4 8 U 3 R h Y m x l R W 5 0 c m l l c y A v P j w v S X R l b T 4 8 S X R l b T 4 8 S X R l b U x v Y 2 F 0 a W 9 u P j x J d G V t V H l w Z T 5 G b 3 J t d W x h P C 9 J d G V t V H l w Z T 4 8 S X R l b V B h d G g + U 2 V j d G l v b j E v U 3 R h Z m Y v U m V t b 3 Z l Z C U y M E R 1 c G x p Y 2 F 0 Z X M x P C 9 J d G V t U G F 0 a D 4 8 L 0 l 0 Z W 1 M b 2 N h d G l v b j 4 8 U 3 R h Y m x l R W 5 0 c m l l c y A v P j w v S X R l b T 4 8 L 0 l 0 Z W 1 z P j w v T G 9 j Y W x Q Y W N r Y W d l T W V 0 Y W R h d G F G a W x l P h Y A A A B Q S w U G A A A A A A A A A A A A A A A A A A A A A A A A J g E A A A E A A A D Q j J 3 f A R X R E Y x 6 A M B P w p f r A Q A A A H 5 l 3 s I b 3 y h L v n K L m U N y b I 8 A A A A A A g A A A A A A E G Y A A A A B A A A g A A A A Y b G F L m 8 Y 1 / 8 Y s T X F u K t b n p E 1 x w N 1 R 6 i 8 7 O q t T O n 4 4 x s A A A A A D o A A A A A C A A A g A A A A d r a D D n n C R Q o S 2 M K 2 h j k w w t S c W L M x i 9 4 / e 3 f S n F E w B M 1 Q A A A A 9 G q H v 5 d d r m O l 7 w O d 8 3 u 6 / A w 0 4 C f f Z Y s f + e W y 4 3 V H u w f J b q b N 8 0 E / h + 1 I E P W t B 1 g C E P z 0 h O k M z / f g I z 3 m 0 t R S X B I f K Y I d 5 m N H o l + r u 4 o Y 1 + 1 A A A A A u 9 J n y W n M / F w 4 r S J W i 2 D A T V j R l 4 W h w 6 s b f 6 p e n I 7 A N p V g n K u G D Y 6 S B H K 8 J 5 K L P G 0 K 5 W r v E d D 4 C u 8 G b 5 J H J / n + k A = = < / D a t a M a s h u p > 
</file>

<file path=customXml/itemProps1.xml><?xml version="1.0" encoding="utf-8"?>
<ds:datastoreItem xmlns:ds="http://schemas.openxmlformats.org/officeDocument/2006/customXml" ds:itemID="{B644FA7D-A739-4EA9-972C-FB87C7F189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NZ Staff</vt:lpstr>
      <vt:lpstr>India Staff</vt:lpstr>
      <vt:lpstr>All Staff</vt:lpstr>
      <vt:lpstr>Employee Report Dashboard</vt:lpstr>
      <vt:lpstr>Male vs. Female</vt:lpstr>
      <vt:lpstr>Salary Distribution</vt:lpstr>
      <vt:lpstr>Salary vs. Rating</vt:lpstr>
      <vt:lpstr>Employee Trend</vt:lpstr>
      <vt:lpstr>Sheet1</vt:lpstr>
      <vt:lpstr>Rating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Lateef</cp:lastModifiedBy>
  <dcterms:created xsi:type="dcterms:W3CDTF">2021-03-14T20:21:32Z</dcterms:created>
  <dcterms:modified xsi:type="dcterms:W3CDTF">2023-09-03T09:05:05Z</dcterms:modified>
</cp:coreProperties>
</file>