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yero\Downloads\Tinvio\Ask3\"/>
    </mc:Choice>
  </mc:AlternateContent>
  <xr:revisionPtr revIDLastSave="0" documentId="13_ncr:1_{BF49045A-488F-4867-8C98-31531E33D92B}" xr6:coauthVersionLast="47" xr6:coauthVersionMax="47" xr10:uidLastSave="{00000000-0000-0000-0000-000000000000}"/>
  <bookViews>
    <workbookView xWindow="37320" yWindow="5190" windowWidth="29040" windowHeight="1572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70" i="1"/>
  <c r="B69" i="1"/>
  <c r="B68" i="1"/>
  <c r="B72" i="1" s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66" i="1" s="1"/>
  <c r="B24" i="1"/>
  <c r="B23" i="1"/>
  <c r="B22" i="1"/>
  <c r="B21" i="1"/>
  <c r="B20" i="1"/>
  <c r="B17" i="1"/>
  <c r="B16" i="1"/>
  <c r="B15" i="1"/>
  <c r="B14" i="1"/>
  <c r="B13" i="1"/>
  <c r="B12" i="1"/>
  <c r="B9" i="1"/>
  <c r="B8" i="1"/>
  <c r="B7" i="1"/>
  <c r="B10" i="1" s="1"/>
  <c r="B18" i="1" s="1"/>
  <c r="B73" i="1" l="1"/>
</calcChain>
</file>

<file path=xl/sharedStrings.xml><?xml version="1.0" encoding="utf-8"?>
<sst xmlns="http://schemas.openxmlformats.org/spreadsheetml/2006/main" count="73" uniqueCount="73">
  <si>
    <t>Total</t>
  </si>
  <si>
    <t>Revenue</t>
  </si>
  <si>
    <t xml:space="preserve">   444.0200 Intercompany Revenue</t>
  </si>
  <si>
    <t xml:space="preserve">   444.0600 Intercompany Revenue Markup</t>
  </si>
  <si>
    <t xml:space="preserve">   Sales</t>
  </si>
  <si>
    <t>Total Revenue</t>
  </si>
  <si>
    <t>Cost of Sales</t>
  </si>
  <si>
    <t xml:space="preserve">   544.0200 Intercompany Expense</t>
  </si>
  <si>
    <t xml:space="preserve">   611.0100 Subcontractors-GENERAL</t>
  </si>
  <si>
    <t xml:space="preserve">   611.0200 Subcontractors-ELECTRICAL</t>
  </si>
  <si>
    <t xml:space="preserve">   612.0000 Consultants</t>
  </si>
  <si>
    <t xml:space="preserve">   629.0000 Hardwr/Equip/Supls</t>
  </si>
  <si>
    <t>Total Cost of Sales</t>
  </si>
  <si>
    <t>Gross Profit</t>
  </si>
  <si>
    <t>Expenses</t>
  </si>
  <si>
    <t xml:space="preserve">   521.0000 Travel-Trans,Lodg,Misc.</t>
  </si>
  <si>
    <t xml:space="preserve">   521.5000 Travel-Meals</t>
  </si>
  <si>
    <t xml:space="preserve">   524.0000 Telephone/Internet</t>
  </si>
  <si>
    <t xml:space="preserve">   529.0000 Misc Reimbursable Expense</t>
  </si>
  <si>
    <t xml:space="preserve">   601.0000 Direct Labor</t>
  </si>
  <si>
    <t xml:space="preserve">   602.0000 Direct Contract Labor</t>
  </si>
  <si>
    <t xml:space="preserve">   621.0000 Travel, Meals, Lodging</t>
  </si>
  <si>
    <t xml:space="preserve">   626.0000 Misc. Direct Project Cost</t>
  </si>
  <si>
    <t xml:space="preserve">   628.0000 Permits</t>
  </si>
  <si>
    <t xml:space="preserve">   639.1900 DIRECT SALES TAX - INDONESIA</t>
  </si>
  <si>
    <t xml:space="preserve">   701.0000 Indirect Labor</t>
  </si>
  <si>
    <t xml:space="preserve">   711.0000 Vacation</t>
  </si>
  <si>
    <t xml:space="preserve">   712.0000 Sick</t>
  </si>
  <si>
    <t xml:space="preserve">   713.0000 Holiday</t>
  </si>
  <si>
    <t xml:space="preserve">   714.0000 Bonuses-Annual</t>
  </si>
  <si>
    <t xml:space="preserve">   714.0500 Bonus-Annual Expat</t>
  </si>
  <si>
    <t xml:space="preserve">   714.6000 Bonus-Non Annual</t>
  </si>
  <si>
    <t xml:space="preserve">   714.6500 Bonus-Non Annual Expat</t>
  </si>
  <si>
    <t xml:space="preserve">   715.0000 Employees Benefits</t>
  </si>
  <si>
    <t xml:space="preserve">   719.0000 Payroll Variance</t>
  </si>
  <si>
    <t xml:space="preserve">   719.0100 Payroll Benefit-Tuition</t>
  </si>
  <si>
    <t xml:space="preserve">   719.0500 Payroll Variance-Expat</t>
  </si>
  <si>
    <t xml:space="preserve">   721.0000 Payroll Taxes</t>
  </si>
  <si>
    <t xml:space="preserve">   736.0000 Business Meals</t>
  </si>
  <si>
    <t xml:space="preserve">   737.0000 Travel</t>
  </si>
  <si>
    <t xml:space="preserve">   739.1900 INDIRECT SALES TAX - INDONESIA</t>
  </si>
  <si>
    <t xml:space="preserve">   741.0000 Accounting</t>
  </si>
  <si>
    <t xml:space="preserve">   744.0000 Company secretary</t>
  </si>
  <si>
    <t xml:space="preserve">   747.7000 IT Support, Programming and Sys Maint</t>
  </si>
  <si>
    <t xml:space="preserve">   748.0000 Payroll processing fee</t>
  </si>
  <si>
    <t xml:space="preserve">   749.00000 Recruitment fees</t>
  </si>
  <si>
    <t xml:space="preserve">   757.2000 Insurance-Group</t>
  </si>
  <si>
    <t xml:space="preserve">   758.0000 Interest Expense</t>
  </si>
  <si>
    <t xml:space="preserve">   760.0000 Legal Fees</t>
  </si>
  <si>
    <t xml:space="preserve">   763.0000 Office Expense</t>
  </si>
  <si>
    <t xml:space="preserve">   763.5000 Bank Charges</t>
  </si>
  <si>
    <t xml:space="preserve">   767.0000 Postage/Deliveries</t>
  </si>
  <si>
    <t xml:space="preserve">   773.5000 Rent-Corp.Apt</t>
  </si>
  <si>
    <t xml:space="preserve">   773.5001 Rent-Office</t>
  </si>
  <si>
    <t xml:space="preserve">   777.0000 Supplies</t>
  </si>
  <si>
    <t xml:space="preserve">   779.0000 Telephone</t>
  </si>
  <si>
    <t xml:space="preserve">   801.0100 Intercompany Revenue-Overhead</t>
  </si>
  <si>
    <t xml:space="preserve">   801.0600 Intercompany Revenue Markup-Overhead</t>
  </si>
  <si>
    <t xml:space="preserve">   807.0000 Foreign Exch. (Gain)/Loss</t>
  </si>
  <si>
    <t xml:space="preserve">   808.0000 Corporate Income Tax</t>
  </si>
  <si>
    <t xml:space="preserve">   Stamp duty</t>
  </si>
  <si>
    <t>Total Expenses</t>
  </si>
  <si>
    <t>Other Expenses</t>
  </si>
  <si>
    <t xml:space="preserve">   Unrealised Gain or Loss</t>
  </si>
  <si>
    <t xml:space="preserve">   753.0000 Depreciation</t>
  </si>
  <si>
    <t xml:space="preserve">   Exchange Gain or Loss</t>
  </si>
  <si>
    <t xml:space="preserve">   Other Expense</t>
  </si>
  <si>
    <t>Total Other Expenses</t>
  </si>
  <si>
    <t>Profit/Loss</t>
  </si>
  <si>
    <t>Thursday, Apr 25, 2024 05:42:32 PM GMT+8 - Accrual Basis</t>
  </si>
  <si>
    <t>BCEI SG PTE. LTD.</t>
  </si>
  <si>
    <t>Profit and Loss</t>
  </si>
  <si>
    <t>January -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</si>
</sst>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S$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tabSelected="1" topLeftCell="A45" workbookViewId="0">
      <selection activeCell="B33" sqref="B33"/>
    </sheetView>
  </sheetViews>
  <sheetFormatPr defaultRowHeight="14.5" x14ac:dyDescent="0.35"/>
  <cols>
    <col min="1" max="1" width="43" customWidth="1"/>
    <col min="2" max="2" width="15.453125" customWidth="1"/>
  </cols>
  <sheetData>
    <row r="1" spans="1:2" ht="18" x14ac:dyDescent="0.4">
      <c r="A1" s="10" t="s">
        <v>70</v>
      </c>
      <c r="B1" s="9"/>
    </row>
    <row r="2" spans="1:2" ht="18" x14ac:dyDescent="0.4">
      <c r="A2" s="10" t="s">
        <v>71</v>
      </c>
      <c r="B2" s="9"/>
    </row>
    <row r="3" spans="1:2" x14ac:dyDescent="0.35">
      <c r="A3" s="11" t="s">
        <v>72</v>
      </c>
      <c r="B3" s="9"/>
    </row>
    <row r="5" spans="1:2" x14ac:dyDescent="0.35">
      <c r="A5" s="1"/>
      <c r="B5" s="2" t="s">
        <v>0</v>
      </c>
    </row>
    <row r="6" spans="1:2" x14ac:dyDescent="0.35">
      <c r="A6" s="3" t="s">
        <v>1</v>
      </c>
      <c r="B6" s="4"/>
    </row>
    <row r="7" spans="1:2" x14ac:dyDescent="0.35">
      <c r="A7" s="3" t="s">
        <v>2</v>
      </c>
      <c r="B7" s="5">
        <f>1072482</f>
        <v>1072482</v>
      </c>
    </row>
    <row r="8" spans="1:2" x14ac:dyDescent="0.35">
      <c r="A8" s="3" t="s">
        <v>3</v>
      </c>
      <c r="B8" s="5">
        <f>144661.83</f>
        <v>144661.82999999999</v>
      </c>
    </row>
    <row r="9" spans="1:2" x14ac:dyDescent="0.35">
      <c r="A9" s="3" t="s">
        <v>4</v>
      </c>
      <c r="B9" s="5">
        <f>8445562.41</f>
        <v>8445562.4100000001</v>
      </c>
    </row>
    <row r="10" spans="1:2" x14ac:dyDescent="0.35">
      <c r="A10" s="3" t="s">
        <v>5</v>
      </c>
      <c r="B10" s="6">
        <f>((B7)+(B8))+(B9)</f>
        <v>9662706.2400000002</v>
      </c>
    </row>
    <row r="11" spans="1:2" x14ac:dyDescent="0.35">
      <c r="A11" s="3" t="s">
        <v>6</v>
      </c>
      <c r="B11" s="4"/>
    </row>
    <row r="12" spans="1:2" x14ac:dyDescent="0.35">
      <c r="A12" s="3" t="s">
        <v>7</v>
      </c>
      <c r="B12" s="5">
        <f>6997804.5</f>
        <v>6997804.5</v>
      </c>
    </row>
    <row r="13" spans="1:2" x14ac:dyDescent="0.35">
      <c r="A13" s="3" t="s">
        <v>8</v>
      </c>
      <c r="B13" s="5">
        <f>1130789.27</f>
        <v>1130789.27</v>
      </c>
    </row>
    <row r="14" spans="1:2" x14ac:dyDescent="0.35">
      <c r="A14" s="3" t="s">
        <v>9</v>
      </c>
      <c r="B14" s="5">
        <f>13505.31</f>
        <v>13505.31</v>
      </c>
    </row>
    <row r="15" spans="1:2" x14ac:dyDescent="0.35">
      <c r="A15" s="3" t="s">
        <v>10</v>
      </c>
      <c r="B15" s="5">
        <f>660620.14</f>
        <v>660620.14</v>
      </c>
    </row>
    <row r="16" spans="1:2" x14ac:dyDescent="0.35">
      <c r="A16" s="3" t="s">
        <v>11</v>
      </c>
      <c r="B16" s="5">
        <f>6015.3</f>
        <v>6015.3</v>
      </c>
    </row>
    <row r="17" spans="1:2" x14ac:dyDescent="0.35">
      <c r="A17" s="3" t="s">
        <v>12</v>
      </c>
      <c r="B17" s="6">
        <f>((((B12)+(B13))+(B14))+(B15))+(B16)</f>
        <v>8808734.5199999996</v>
      </c>
    </row>
    <row r="18" spans="1:2" x14ac:dyDescent="0.35">
      <c r="A18" s="3" t="s">
        <v>13</v>
      </c>
      <c r="B18" s="6">
        <f>(B10)-(B17)</f>
        <v>853971.72000000067</v>
      </c>
    </row>
    <row r="19" spans="1:2" x14ac:dyDescent="0.35">
      <c r="A19" s="3" t="s">
        <v>14</v>
      </c>
      <c r="B19" s="4"/>
    </row>
    <row r="20" spans="1:2" x14ac:dyDescent="0.35">
      <c r="A20" s="3" t="s">
        <v>15</v>
      </c>
      <c r="B20" s="5">
        <f>103874.38</f>
        <v>103874.38</v>
      </c>
    </row>
    <row r="21" spans="1:2" x14ac:dyDescent="0.35">
      <c r="A21" s="3" t="s">
        <v>16</v>
      </c>
      <c r="B21" s="5">
        <f>93.23</f>
        <v>93.23</v>
      </c>
    </row>
    <row r="22" spans="1:2" x14ac:dyDescent="0.35">
      <c r="A22" s="3" t="s">
        <v>17</v>
      </c>
      <c r="B22" s="5">
        <f>604.54</f>
        <v>604.54</v>
      </c>
    </row>
    <row r="23" spans="1:2" x14ac:dyDescent="0.35">
      <c r="A23" s="3" t="s">
        <v>18</v>
      </c>
      <c r="B23" s="5">
        <f>810.8</f>
        <v>810.8</v>
      </c>
    </row>
    <row r="24" spans="1:2" x14ac:dyDescent="0.35">
      <c r="A24" s="3" t="s">
        <v>19</v>
      </c>
      <c r="B24" s="5">
        <f>125935.24</f>
        <v>125935.24</v>
      </c>
    </row>
    <row r="25" spans="1:2" x14ac:dyDescent="0.35">
      <c r="A25" s="3" t="s">
        <v>20</v>
      </c>
      <c r="B25" s="5">
        <f>380763.18</f>
        <v>380763.18</v>
      </c>
    </row>
    <row r="26" spans="1:2" x14ac:dyDescent="0.35">
      <c r="A26" s="3" t="s">
        <v>21</v>
      </c>
      <c r="B26" s="5">
        <f>9439.23</f>
        <v>9439.23</v>
      </c>
    </row>
    <row r="27" spans="1:2" x14ac:dyDescent="0.35">
      <c r="A27" s="3" t="s">
        <v>22</v>
      </c>
      <c r="B27" s="5">
        <f>6523.99</f>
        <v>6523.99</v>
      </c>
    </row>
    <row r="28" spans="1:2" x14ac:dyDescent="0.35">
      <c r="A28" s="3" t="s">
        <v>23</v>
      </c>
      <c r="B28" s="5">
        <f>17575.06</f>
        <v>17575.060000000001</v>
      </c>
    </row>
    <row r="29" spans="1:2" x14ac:dyDescent="0.35">
      <c r="A29" s="3" t="s">
        <v>24</v>
      </c>
      <c r="B29" s="5">
        <f>63227.86</f>
        <v>63227.86</v>
      </c>
    </row>
    <row r="30" spans="1:2" x14ac:dyDescent="0.35">
      <c r="A30" s="3" t="s">
        <v>25</v>
      </c>
      <c r="B30" s="5">
        <f>69405.34</f>
        <v>69405.34</v>
      </c>
    </row>
    <row r="31" spans="1:2" x14ac:dyDescent="0.35">
      <c r="A31" s="3" t="s">
        <v>26</v>
      </c>
      <c r="B31" s="5">
        <f>7753.36</f>
        <v>7753.36</v>
      </c>
    </row>
    <row r="32" spans="1:2" x14ac:dyDescent="0.35">
      <c r="A32" s="3" t="s">
        <v>27</v>
      </c>
      <c r="B32" s="5">
        <f>3353.6</f>
        <v>3353.6</v>
      </c>
    </row>
    <row r="33" spans="1:2" x14ac:dyDescent="0.35">
      <c r="A33" s="3" t="s">
        <v>28</v>
      </c>
      <c r="B33" s="5">
        <f>7753.4</f>
        <v>7753.4</v>
      </c>
    </row>
    <row r="34" spans="1:2" x14ac:dyDescent="0.35">
      <c r="A34" s="3" t="s">
        <v>29</v>
      </c>
      <c r="B34" s="5">
        <f>113560.33</f>
        <v>113560.33</v>
      </c>
    </row>
    <row r="35" spans="1:2" x14ac:dyDescent="0.35">
      <c r="A35" s="3" t="s">
        <v>30</v>
      </c>
      <c r="B35" s="5">
        <f>398361.86</f>
        <v>398361.86</v>
      </c>
    </row>
    <row r="36" spans="1:2" x14ac:dyDescent="0.35">
      <c r="A36" s="3" t="s">
        <v>31</v>
      </c>
      <c r="B36" s="5">
        <f>19757</f>
        <v>19757</v>
      </c>
    </row>
    <row r="37" spans="1:2" x14ac:dyDescent="0.35">
      <c r="A37" s="3" t="s">
        <v>32</v>
      </c>
      <c r="B37" s="5">
        <f>8400</f>
        <v>8400</v>
      </c>
    </row>
    <row r="38" spans="1:2" x14ac:dyDescent="0.35">
      <c r="A38" s="3" t="s">
        <v>33</v>
      </c>
      <c r="B38" s="5">
        <f>-714.25</f>
        <v>-714.25</v>
      </c>
    </row>
    <row r="39" spans="1:2" x14ac:dyDescent="0.35">
      <c r="A39" s="3" t="s">
        <v>34</v>
      </c>
      <c r="B39" s="5">
        <f>24933.17</f>
        <v>24933.17</v>
      </c>
    </row>
    <row r="40" spans="1:2" x14ac:dyDescent="0.35">
      <c r="A40" s="3" t="s">
        <v>35</v>
      </c>
      <c r="B40" s="5">
        <f>111900.41</f>
        <v>111900.41</v>
      </c>
    </row>
    <row r="41" spans="1:2" x14ac:dyDescent="0.35">
      <c r="A41" s="3" t="s">
        <v>36</v>
      </c>
      <c r="B41" s="5">
        <f>268279.89</f>
        <v>268279.89</v>
      </c>
    </row>
    <row r="42" spans="1:2" x14ac:dyDescent="0.35">
      <c r="A42" s="3" t="s">
        <v>37</v>
      </c>
      <c r="B42" s="5">
        <f>29754</f>
        <v>29754</v>
      </c>
    </row>
    <row r="43" spans="1:2" x14ac:dyDescent="0.35">
      <c r="A43" s="3" t="s">
        <v>38</v>
      </c>
      <c r="B43" s="5">
        <f>135.28</f>
        <v>135.28</v>
      </c>
    </row>
    <row r="44" spans="1:2" x14ac:dyDescent="0.35">
      <c r="A44" s="3" t="s">
        <v>39</v>
      </c>
      <c r="B44" s="5">
        <f>1461.96</f>
        <v>1461.96</v>
      </c>
    </row>
    <row r="45" spans="1:2" x14ac:dyDescent="0.35">
      <c r="A45" s="3" t="s">
        <v>40</v>
      </c>
      <c r="B45" s="5">
        <f>1284.03</f>
        <v>1284.03</v>
      </c>
    </row>
    <row r="46" spans="1:2" x14ac:dyDescent="0.35">
      <c r="A46" s="3" t="s">
        <v>41</v>
      </c>
      <c r="B46" s="5">
        <f>40369.43</f>
        <v>40369.43</v>
      </c>
    </row>
    <row r="47" spans="1:2" x14ac:dyDescent="0.35">
      <c r="A47" s="3" t="s">
        <v>42</v>
      </c>
      <c r="B47" s="5">
        <f>1500</f>
        <v>1500</v>
      </c>
    </row>
    <row r="48" spans="1:2" x14ac:dyDescent="0.35">
      <c r="A48" s="3" t="s">
        <v>43</v>
      </c>
      <c r="B48" s="5">
        <f>23000</f>
        <v>23000</v>
      </c>
    </row>
    <row r="49" spans="1:2" x14ac:dyDescent="0.35">
      <c r="A49" s="3" t="s">
        <v>44</v>
      </c>
      <c r="B49" s="5">
        <f>2438.49</f>
        <v>2438.4899999999998</v>
      </c>
    </row>
    <row r="50" spans="1:2" x14ac:dyDescent="0.35">
      <c r="A50" s="3" t="s">
        <v>45</v>
      </c>
      <c r="B50" s="5">
        <f>17050</f>
        <v>17050</v>
      </c>
    </row>
    <row r="51" spans="1:2" x14ac:dyDescent="0.35">
      <c r="A51" s="3" t="s">
        <v>46</v>
      </c>
      <c r="B51" s="5">
        <f>314024.86</f>
        <v>314024.86</v>
      </c>
    </row>
    <row r="52" spans="1:2" x14ac:dyDescent="0.35">
      <c r="A52" s="3" t="s">
        <v>47</v>
      </c>
      <c r="B52" s="5">
        <f>33452.11</f>
        <v>33452.11</v>
      </c>
    </row>
    <row r="53" spans="1:2" x14ac:dyDescent="0.35">
      <c r="A53" s="3" t="s">
        <v>48</v>
      </c>
      <c r="B53" s="5">
        <f>138693.54</f>
        <v>138693.54</v>
      </c>
    </row>
    <row r="54" spans="1:2" x14ac:dyDescent="0.35">
      <c r="A54" s="3" t="s">
        <v>49</v>
      </c>
      <c r="B54" s="5">
        <f>873</f>
        <v>873</v>
      </c>
    </row>
    <row r="55" spans="1:2" x14ac:dyDescent="0.35">
      <c r="A55" s="3" t="s">
        <v>50</v>
      </c>
      <c r="B55" s="5">
        <f>14248.08</f>
        <v>14248.08</v>
      </c>
    </row>
    <row r="56" spans="1:2" x14ac:dyDescent="0.35">
      <c r="A56" s="3" t="s">
        <v>51</v>
      </c>
      <c r="B56" s="5">
        <f>105.46</f>
        <v>105.46</v>
      </c>
    </row>
    <row r="57" spans="1:2" x14ac:dyDescent="0.35">
      <c r="A57" s="3" t="s">
        <v>52</v>
      </c>
      <c r="B57" s="5">
        <f>19160.17</f>
        <v>19160.169999999998</v>
      </c>
    </row>
    <row r="58" spans="1:2" x14ac:dyDescent="0.35">
      <c r="A58" s="3" t="s">
        <v>53</v>
      </c>
      <c r="B58" s="5">
        <f>400.96</f>
        <v>400.96</v>
      </c>
    </row>
    <row r="59" spans="1:2" x14ac:dyDescent="0.35">
      <c r="A59" s="3" t="s">
        <v>54</v>
      </c>
      <c r="B59" s="5">
        <f>666.4</f>
        <v>666.4</v>
      </c>
    </row>
    <row r="60" spans="1:2" x14ac:dyDescent="0.35">
      <c r="A60" s="3" t="s">
        <v>55</v>
      </c>
      <c r="B60" s="5">
        <f>1562.57</f>
        <v>1562.57</v>
      </c>
    </row>
    <row r="61" spans="1:2" x14ac:dyDescent="0.35">
      <c r="A61" s="3" t="s">
        <v>56</v>
      </c>
      <c r="B61" s="5">
        <f>-2000496.28</f>
        <v>-2000496.28</v>
      </c>
    </row>
    <row r="62" spans="1:2" x14ac:dyDescent="0.35">
      <c r="A62" s="3" t="s">
        <v>57</v>
      </c>
      <c r="B62" s="5">
        <f>-114828.49</f>
        <v>-114828.49</v>
      </c>
    </row>
    <row r="63" spans="1:2" x14ac:dyDescent="0.35">
      <c r="A63" s="3" t="s">
        <v>58</v>
      </c>
      <c r="B63" s="5">
        <f>0.34</f>
        <v>0.34</v>
      </c>
    </row>
    <row r="64" spans="1:2" x14ac:dyDescent="0.35">
      <c r="A64" s="3" t="s">
        <v>59</v>
      </c>
      <c r="B64" s="5">
        <f>73986.82</f>
        <v>73986.820000000007</v>
      </c>
    </row>
    <row r="65" spans="1:2" x14ac:dyDescent="0.35">
      <c r="A65" s="3" t="s">
        <v>60</v>
      </c>
      <c r="B65" s="5">
        <f>1152</f>
        <v>1152</v>
      </c>
    </row>
    <row r="66" spans="1:2" x14ac:dyDescent="0.35">
      <c r="A66" s="3" t="s">
        <v>61</v>
      </c>
      <c r="B66" s="6">
        <f>(((((((((((((((((((((((((((((((((((((((((((((B20)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</f>
        <v>341586.34999999905</v>
      </c>
    </row>
    <row r="67" spans="1:2" x14ac:dyDescent="0.35">
      <c r="A67" s="3" t="s">
        <v>62</v>
      </c>
      <c r="B67" s="4"/>
    </row>
    <row r="68" spans="1:2" x14ac:dyDescent="0.35">
      <c r="A68" s="3" t="s">
        <v>63</v>
      </c>
      <c r="B68" s="5">
        <f>-5665.38</f>
        <v>-5665.38</v>
      </c>
    </row>
    <row r="69" spans="1:2" x14ac:dyDescent="0.35">
      <c r="A69" s="3" t="s">
        <v>64</v>
      </c>
      <c r="B69" s="5">
        <f>148398.75</f>
        <v>148398.75</v>
      </c>
    </row>
    <row r="70" spans="1:2" x14ac:dyDescent="0.35">
      <c r="A70" s="3" t="s">
        <v>65</v>
      </c>
      <c r="B70" s="5">
        <f>15946.56</f>
        <v>15946.56</v>
      </c>
    </row>
    <row r="71" spans="1:2" x14ac:dyDescent="0.35">
      <c r="A71" s="3" t="s">
        <v>66</v>
      </c>
      <c r="B71" s="5">
        <f>0</f>
        <v>0</v>
      </c>
    </row>
    <row r="72" spans="1:2" x14ac:dyDescent="0.35">
      <c r="A72" s="3" t="s">
        <v>67</v>
      </c>
      <c r="B72" s="6">
        <f>(((B68)+(B69))+(B70))+(B71)</f>
        <v>158679.93</v>
      </c>
    </row>
    <row r="73" spans="1:2" x14ac:dyDescent="0.35">
      <c r="A73" s="3" t="s">
        <v>68</v>
      </c>
      <c r="B73" s="7">
        <f>(((B18)-(B66))+(0))-(B72)</f>
        <v>353705.44000000163</v>
      </c>
    </row>
    <row r="74" spans="1:2" x14ac:dyDescent="0.35">
      <c r="A74" s="3"/>
      <c r="B74" s="4"/>
    </row>
    <row r="77" spans="1:2" x14ac:dyDescent="0.35">
      <c r="A77" s="8" t="s">
        <v>69</v>
      </c>
      <c r="B77" s="9"/>
    </row>
  </sheetData>
  <mergeCells count="4">
    <mergeCell ref="A77:B77"/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 Wye Rock</cp:lastModifiedBy>
  <dcterms:created xsi:type="dcterms:W3CDTF">2024-04-25T09:42:32Z</dcterms:created>
  <dcterms:modified xsi:type="dcterms:W3CDTF">2024-05-05T03:05:45Z</dcterms:modified>
</cp:coreProperties>
</file>