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esktop\"/>
    </mc:Choice>
  </mc:AlternateContent>
  <xr:revisionPtr revIDLastSave="0" documentId="8_{9D15C87C-1C11-4D22-A3F1-3D77D93817D1}" xr6:coauthVersionLast="47" xr6:coauthVersionMax="47" xr10:uidLastSave="{00000000-0000-0000-0000-000000000000}"/>
  <bookViews>
    <workbookView xWindow="28680" yWindow="-120" windowWidth="29040" windowHeight="15720" xr2:uid="{396AAC43-FB4A-40EC-BC58-E9FF1526674B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N10" i="1"/>
  <c r="C26" i="1" s="1"/>
  <c r="N9" i="1"/>
  <c r="D47" i="1"/>
  <c r="F47" i="1" s="1"/>
  <c r="D36" i="1"/>
  <c r="M9" i="1"/>
  <c r="M8" i="1"/>
  <c r="M7" i="1"/>
  <c r="O8" i="1"/>
  <c r="N8" i="1"/>
  <c r="M10" i="1"/>
  <c r="N7" i="1"/>
  <c r="O7" i="1"/>
  <c r="F58" i="1"/>
  <c r="F59" i="1"/>
  <c r="F60" i="1"/>
  <c r="F61" i="1"/>
  <c r="F62" i="1"/>
  <c r="F63" i="1"/>
  <c r="F64" i="1"/>
  <c r="F48" i="1"/>
  <c r="F49" i="1"/>
  <c r="F50" i="1"/>
  <c r="F51" i="1"/>
  <c r="F52" i="1"/>
  <c r="F53" i="1"/>
  <c r="F36" i="1"/>
  <c r="F37" i="1"/>
  <c r="F38" i="1"/>
  <c r="F39" i="1"/>
  <c r="F40" i="1"/>
  <c r="F41" i="1"/>
  <c r="F42" i="1"/>
  <c r="E58" i="1"/>
  <c r="E59" i="1"/>
  <c r="E60" i="1"/>
  <c r="E61" i="1"/>
  <c r="E62" i="1"/>
  <c r="E63" i="1"/>
  <c r="E64" i="1"/>
  <c r="E47" i="1"/>
  <c r="E48" i="1"/>
  <c r="E49" i="1"/>
  <c r="E50" i="1"/>
  <c r="E51" i="1"/>
  <c r="E52" i="1"/>
  <c r="E53" i="1"/>
  <c r="E36" i="1"/>
  <c r="E37" i="1"/>
  <c r="E38" i="1"/>
  <c r="E39" i="1"/>
  <c r="E40" i="1"/>
  <c r="E41" i="1"/>
  <c r="E42" i="1"/>
  <c r="D60" i="1"/>
  <c r="D58" i="1"/>
  <c r="D59" i="1"/>
  <c r="D61" i="1"/>
  <c r="D62" i="1"/>
  <c r="D63" i="1"/>
  <c r="D64" i="1"/>
  <c r="D48" i="1"/>
  <c r="D49" i="1"/>
  <c r="D50" i="1"/>
  <c r="D51" i="1"/>
  <c r="D52" i="1"/>
  <c r="D53" i="1"/>
  <c r="C58" i="1"/>
  <c r="C59" i="1"/>
  <c r="C60" i="1"/>
  <c r="C61" i="1"/>
  <c r="C62" i="1"/>
  <c r="C63" i="1"/>
  <c r="C64" i="1"/>
  <c r="C47" i="1"/>
  <c r="C48" i="1"/>
  <c r="C49" i="1"/>
  <c r="C50" i="1"/>
  <c r="C51" i="1"/>
  <c r="C52" i="1"/>
  <c r="C53" i="1"/>
  <c r="C36" i="1"/>
  <c r="C37" i="1"/>
  <c r="C38" i="1"/>
  <c r="C39" i="1"/>
  <c r="C40" i="1"/>
  <c r="C41" i="1"/>
  <c r="C42" i="1"/>
  <c r="D37" i="1"/>
  <c r="D38" i="1"/>
  <c r="D39" i="1"/>
  <c r="D40" i="1"/>
  <c r="D41" i="1"/>
  <c r="D42" i="1"/>
  <c r="B58" i="1"/>
  <c r="B59" i="1"/>
  <c r="B60" i="1"/>
  <c r="B61" i="1"/>
  <c r="B62" i="1"/>
  <c r="B63" i="1"/>
  <c r="B64" i="1"/>
  <c r="B47" i="1"/>
  <c r="B36" i="1" s="1"/>
  <c r="B48" i="1"/>
  <c r="B49" i="1"/>
  <c r="B50" i="1"/>
  <c r="B51" i="1"/>
  <c r="B40" i="1" s="1"/>
  <c r="B52" i="1"/>
  <c r="B41" i="1" s="1"/>
  <c r="B53" i="1"/>
  <c r="B37" i="1"/>
  <c r="B38" i="1"/>
  <c r="B39" i="1"/>
  <c r="B42" i="1"/>
  <c r="B25" i="1"/>
  <c r="D25" i="1"/>
  <c r="C25" i="1"/>
  <c r="D26" i="1"/>
  <c r="B26" i="1"/>
  <c r="C24" i="1"/>
  <c r="D24" i="1"/>
  <c r="B24" i="1"/>
  <c r="D23" i="1"/>
  <c r="C23" i="1"/>
  <c r="B23" i="1"/>
  <c r="H12" i="1"/>
  <c r="N11" i="1" l="1"/>
  <c r="O11" i="1"/>
  <c r="M11" i="1"/>
  <c r="B27" i="1"/>
  <c r="C27" i="1"/>
  <c r="D27" i="1"/>
</calcChain>
</file>

<file path=xl/sharedStrings.xml><?xml version="1.0" encoding="utf-8"?>
<sst xmlns="http://schemas.openxmlformats.org/spreadsheetml/2006/main" count="62" uniqueCount="35">
  <si>
    <t>Datos del problema</t>
  </si>
  <si>
    <t>Alternativas</t>
  </si>
  <si>
    <t>Alt. 1</t>
  </si>
  <si>
    <t>Alt. 2</t>
  </si>
  <si>
    <t>Alt. 3</t>
  </si>
  <si>
    <t>Cafés/Mes/Máquinas</t>
  </si>
  <si>
    <t>Coste alquiler de espacio (€)</t>
  </si>
  <si>
    <t>Comisiones variables</t>
  </si>
  <si>
    <t>Comisión mínima por café (€)</t>
  </si>
  <si>
    <t>Comisión máxima por café (€)</t>
  </si>
  <si>
    <t>Cantidad límite de cafés</t>
  </si>
  <si>
    <t>Gasto mensual</t>
  </si>
  <si>
    <t>€</t>
  </si>
  <si>
    <t>Costes fijos por máquina</t>
  </si>
  <si>
    <t>Número de máquinas</t>
  </si>
  <si>
    <t>Precio por café</t>
  </si>
  <si>
    <t>Coste variable por café</t>
  </si>
  <si>
    <t>Margen por café</t>
  </si>
  <si>
    <t>1) Beneficios promedio obtenidos en cada alternativa para Café Express</t>
  </si>
  <si>
    <t>Ingresos</t>
  </si>
  <si>
    <t>Costes variables</t>
  </si>
  <si>
    <t>Comisiones</t>
  </si>
  <si>
    <t>Costes fijos</t>
  </si>
  <si>
    <t>Beneficio</t>
  </si>
  <si>
    <t>número de cafés/mes/máquina oscila en el siguiente rango: 500, 1000, 1500, 2000, 2500, 3000, 3500</t>
  </si>
  <si>
    <t>Tabla datos (alternativa 1)</t>
  </si>
  <si>
    <t>Tabla datos (alternativa 2)</t>
  </si>
  <si>
    <t>Tabla datos (alternativa 3)</t>
  </si>
  <si>
    <t>Beneficio (1)</t>
  </si>
  <si>
    <t>Beneficio (2)</t>
  </si>
  <si>
    <t>Beneficio (3)</t>
  </si>
  <si>
    <t>Representación gráfica de la solución</t>
  </si>
  <si>
    <t>3) Cantidad de cafés que debe suministrar cada máquina para obtener beneficios cero en las tres alternativas</t>
  </si>
  <si>
    <t>(calcular los puntos muertos). Explica cuál es la mejor alternativa.</t>
  </si>
  <si>
    <t>Promedio de consumo de cafés/mes/máquina 1.500 cafés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</si>
</sst>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9" formatCode="0.000"/>
    <numFmt numFmtId="170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0AB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7" xfId="0" applyBorder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8" xfId="0" applyFont="1" applyBorder="1"/>
    <xf numFmtId="0" fontId="0" fillId="2" borderId="4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1" xfId="0" applyBorder="1" applyAlignment="1">
      <alignment horizontal="center"/>
    </xf>
    <xf numFmtId="6" fontId="0" fillId="0" borderId="4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29" xfId="0" applyFill="1" applyBorder="1"/>
    <xf numFmtId="0" fontId="0" fillId="2" borderId="22" xfId="0" applyFill="1" applyBorder="1"/>
    <xf numFmtId="0" fontId="2" fillId="2" borderId="29" xfId="0" applyFont="1" applyFill="1" applyBorder="1" applyAlignment="1">
      <alignment horizontal="center"/>
    </xf>
    <xf numFmtId="170" fontId="0" fillId="2" borderId="4" xfId="0" applyNumberFormat="1" applyFill="1" applyBorder="1"/>
    <xf numFmtId="170" fontId="0" fillId="2" borderId="22" xfId="0" applyNumberFormat="1" applyFill="1" applyBorder="1"/>
    <xf numFmtId="1" fontId="0" fillId="2" borderId="4" xfId="0" applyNumberFormat="1" applyFill="1" applyBorder="1"/>
    <xf numFmtId="1" fontId="0" fillId="2" borderId="22" xfId="0" applyNumberFormat="1" applyFill="1" applyBorder="1"/>
    <xf numFmtId="2" fontId="0" fillId="0" borderId="10" xfId="0" applyNumberFormat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/>
  </cellXfs>
  <cellStyles count="1">
    <cellStyle name="Normal" xfId="0" builtinId="0"/>
  </cellStyles>
  <dxfs count="33">
    <dxf>
      <numFmt numFmtId="1" formatCode="0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0.0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EFE0AB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double">
          <color auto="1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ill>
        <patternFill patternType="solid">
          <fgColor indexed="64"/>
          <bgColor rgb="FFEFE0A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FE0AB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double">
          <color auto="1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ill>
        <patternFill patternType="solid">
          <fgColor indexed="64"/>
          <bgColor rgb="FFEFE0A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FE0AB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FE0AB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rgb="FFEFE0AB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double">
          <color auto="1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colors>
    <mruColors>
      <color rgb="FFEFE0AB"/>
      <color rgb="FFE7D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7109965925053"/>
          <c:y val="4.0962616889177232E-2"/>
          <c:w val="0.8775948729537677"/>
          <c:h val="0.82421139474945881"/>
        </c:manualLayout>
      </c:layout>
      <c:lineChart>
        <c:grouping val="standard"/>
        <c:varyColors val="0"/>
        <c:ser>
          <c:idx val="0"/>
          <c:order val="0"/>
          <c:tx>
            <c:v>Beneficio (1)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cat>
            <c:numRef>
              <c:f>'Hoja 1'!$A$36:$A$42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'Hoja 1'!$F$36:$F$42</c:f>
              <c:numCache>
                <c:formatCode>0.0</c:formatCode>
                <c:ptCount val="7"/>
                <c:pt idx="0">
                  <c:v>-12.5</c:v>
                </c:pt>
                <c:pt idx="1">
                  <c:v>165</c:v>
                </c:pt>
                <c:pt idx="2">
                  <c:v>342.5</c:v>
                </c:pt>
                <c:pt idx="3">
                  <c:v>520</c:v>
                </c:pt>
                <c:pt idx="4">
                  <c:v>697.5</c:v>
                </c:pt>
                <c:pt idx="5">
                  <c:v>875</c:v>
                </c:pt>
                <c:pt idx="6">
                  <c:v>1052.5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18-4A13-A60C-6228CFF111D6}"/>
            </c:ext>
          </c:extLst>
        </c:ser>
        <c:ser>
          <c:idx val="1"/>
          <c:order val="1"/>
          <c:tx>
            <c:v>Beneficio (2)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'Hoja 1'!$A$36:$A$42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'Hoja 1'!$F$47:$F$53</c:f>
              <c:numCache>
                <c:formatCode>0</c:formatCode>
                <c:ptCount val="7"/>
                <c:pt idx="0">
                  <c:v>35</c:v>
                </c:pt>
                <c:pt idx="1">
                  <c:v>220</c:v>
                </c:pt>
                <c:pt idx="2">
                  <c:v>375</c:v>
                </c:pt>
                <c:pt idx="3">
                  <c:v>530</c:v>
                </c:pt>
                <c:pt idx="4">
                  <c:v>685</c:v>
                </c:pt>
                <c:pt idx="5">
                  <c:v>840</c:v>
                </c:pt>
                <c:pt idx="6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18-4A13-A60C-6228CFF111D6}"/>
            </c:ext>
          </c:extLst>
        </c:ser>
        <c:ser>
          <c:idx val="2"/>
          <c:order val="2"/>
          <c:tx>
            <c:v>Beneficio (3)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'Hoja 1'!$A$36:$A$42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'Hoja 1'!$F$58:$F$64</c:f>
              <c:numCache>
                <c:formatCode>0</c:formatCode>
                <c:ptCount val="7"/>
                <c:pt idx="0">
                  <c:v>-10</c:v>
                </c:pt>
                <c:pt idx="1">
                  <c:v>190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18-4A13-A60C-6228CFF1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03568"/>
        <c:axId val="1447858592"/>
      </c:lineChart>
      <c:catAx>
        <c:axId val="16533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Cafes/mes/máquina</a:t>
                </a:r>
              </a:p>
            </c:rich>
          </c:tx>
          <c:layout>
            <c:manualLayout>
              <c:xMode val="edge"/>
              <c:yMode val="edge"/>
              <c:x val="0.45568927547534321"/>
              <c:y val="0.87795167563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858592"/>
        <c:crosses val="autoZero"/>
        <c:auto val="1"/>
        <c:lblAlgn val="ctr"/>
        <c:lblOffset val="100"/>
        <c:noMultiLvlLbl val="0"/>
      </c:catAx>
      <c:valAx>
        <c:axId val="1447858592"/>
        <c:scaling>
          <c:orientation val="minMax"/>
          <c:max val="1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3035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779145</xdr:colOff>
      <xdr:row>35</xdr:row>
      <xdr:rowOff>180021</xdr:rowOff>
    </xdr:from>
    <xdr:to>
      <xdr:col>15</xdr:col>
      <xdr:colOff>0</xdr:colOff>
      <xdr:row>60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573552-8E65-FEAD-E124-CC30E6CE8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DF7DF-ACE1-42D8-95A5-E28BDBBE5607}" name="Tabla1" displayName="Tabla1" ref="A35:F42" totalsRowShown="0" headerRowDxfId="28" dataDxfId="29" headerRowBorderDxfId="31" tableBorderDxfId="32" totalsRowBorderDxfId="30">
  <autoFilter ref="A35:F42" xr:uid="{175DF7DF-ACE1-42D8-95A5-E28BDBBE5607}"/>
  <tableColumns count="6">
    <tableColumn id="1" xr3:uid="{DB8B5929-A25F-4F77-A4B0-2CC15811D06F}" name="Cafés/Mes/Máquinas" dataDxfId="27"/>
    <tableColumn id="3" xr3:uid="{76B468F9-CA47-47DF-9B5F-F9A7D000EE6C}" name="Ingresos" dataDxfId="14">
      <calculatedColumnFormula>B47</calculatedColumnFormula>
    </tableColumn>
    <tableColumn id="4" xr3:uid="{D6F0D99B-8BA3-4547-B825-F5CB1BA353F6}" name="Costes variables" dataDxfId="11">
      <calculatedColumnFormula>$H$11*Tabla1[[#This Row],[Cafés/Mes/Máquinas]]</calculatedColumnFormula>
    </tableColumn>
    <tableColumn id="5" xr3:uid="{8CA318EF-4066-4CC9-9532-AA75E6521AFF}" name="Comisiones" dataDxfId="4">
      <calculatedColumnFormula>$B$10*Tabla1[[#This Row],[Cafés/Mes/Máquinas]]</calculatedColumnFormula>
    </tableColumn>
    <tableColumn id="6" xr3:uid="{65AC3A8D-D5A1-4155-8F2A-3F2CDF662406}" name="Costes fijos" dataDxfId="3">
      <calculatedColumnFormula>$H$6+$B$8</calculatedColumnFormula>
    </tableColumn>
    <tableColumn id="7" xr3:uid="{1C665F33-BBF9-43A0-9615-6391C4D4C76E}" name="Beneficio (1)" dataDxfId="2">
      <calculatedColumnFormula>Tabla1[[#This Row],[Ingresos]]-Tabla1[[#This Row],[Costes variables]]-Tabla1[[#This Row],[Comisiones]]-Tabla1[[#This Row],[Costes fijos]]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C5F7B9-C176-4904-8E32-9564F8080FF0}" name="Tabla16" displayName="Tabla16" ref="A46:F53" totalsRowShown="0" headerRowDxfId="26" dataDxfId="25" headerRowBorderDxfId="23" tableBorderDxfId="24" totalsRowBorderDxfId="22">
  <autoFilter ref="A46:F53" xr:uid="{E8C5F7B9-C176-4904-8E32-9564F8080FF0}"/>
  <tableColumns count="6">
    <tableColumn id="1" xr3:uid="{27DA45D6-7BD5-4CA2-8584-452D257113AD}" name="Cafés/Mes/Máquinas" dataDxfId="21"/>
    <tableColumn id="3" xr3:uid="{AB6BA289-F798-461C-A580-8C16FF958B83}" name="Ingresos" dataDxfId="13">
      <calculatedColumnFormula>Tabla16[[#This Row],[Cafés/Mes/Máquinas]]*$H$10</calculatedColumnFormula>
    </tableColumn>
    <tableColumn id="4" xr3:uid="{C063DBF8-9D1F-4298-866A-798522E6BDE9}" name="Costes variables" dataDxfId="10">
      <calculatedColumnFormula>$H$11*Tabla16[[#This Row],[Cafés/Mes/Máquinas]]</calculatedColumnFormula>
    </tableColumn>
    <tableColumn id="5" xr3:uid="{13C2D625-D970-4275-9319-737C481CE9A7}" name="Comisiones" dataDxfId="6">
      <calculatedColumnFormula>IF(Tabla16[[#This Row],[Cafés/Mes/Máquinas]]&gt;$C$12, $C$12*$C$10+(Tabla16[[#This Row],[Cafés/Mes/Máquinas]]-$C$12)*$C$11, Tabla16[[#This Row],[Cafés/Mes/Máquinas]]*$C$10)</calculatedColumnFormula>
    </tableColumn>
    <tableColumn id="6" xr3:uid="{E111859C-D9FF-4B27-8D9E-A5C1EB037EB6}" name="Costes fijos" dataDxfId="5">
      <calculatedColumnFormula>$H$6+$C$8</calculatedColumnFormula>
    </tableColumn>
    <tableColumn id="7" xr3:uid="{4B3F5B93-B7C3-40F5-981A-554FD93C94A5}" name="Beneficio (2)" dataDxfId="1">
      <calculatedColumnFormula>Tabla16[[#This Row],[Ingresos]]-Tabla16[[#This Row],[Costes variables]]-Tabla16[[#This Row],[Comisiones]]-Tabla16[[#This Row],[Costes fijos]]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C61D85-93B6-47BD-AF08-2244DE42B97C}" name="Tabla167" displayName="Tabla167" ref="A57:F64" totalsRowShown="0" headerRowDxfId="20" dataDxfId="19" headerRowBorderDxfId="17" tableBorderDxfId="18" totalsRowBorderDxfId="16">
  <autoFilter ref="A57:F64" xr:uid="{80C61D85-93B6-47BD-AF08-2244DE42B97C}"/>
  <tableColumns count="6">
    <tableColumn id="1" xr3:uid="{9031FB28-623F-4EC3-B635-7688AB5CBDE8}" name="Cafés/Mes/Máquinas" dataDxfId="15"/>
    <tableColumn id="3" xr3:uid="{DCF16731-6C97-4AA4-860D-B29E0942CE98}" name="Ingresos" dataDxfId="12">
      <calculatedColumnFormula>Tabla167[[#This Row],[Cafés/Mes/Máquinas]]*$H$10</calculatedColumnFormula>
    </tableColumn>
    <tableColumn id="4" xr3:uid="{FBB073BA-39BF-43DB-8EA6-6F78C1A6EBFE}" name="Costes variables" dataDxfId="9">
      <calculatedColumnFormula>$H$11*Tabla167[[#This Row],[Cafés/Mes/Máquinas]]</calculatedColumnFormula>
    </tableColumn>
    <tableColumn id="5" xr3:uid="{7117FF3F-4009-47CE-B1E4-A31FA80365F6}" name="Comisiones" dataDxfId="8">
      <calculatedColumnFormula>IF(Tabla167[[#This Row],[Cafés/Mes/Máquinas]]&gt;$D$12, $D$12*$D$10+(Tabla167[[#This Row],[Cafés/Mes/Máquinas]]-$D$12)*$D$11, Tabla167[[#This Row],[Cafés/Mes/Máquinas]]*$D$10)</calculatedColumnFormula>
    </tableColumn>
    <tableColumn id="6" xr3:uid="{C9ECDF71-5B13-4828-9BCA-56CA150AFA32}" name="Costes fijos" dataDxfId="7">
      <calculatedColumnFormula>$H$6+$D$8</calculatedColumnFormula>
    </tableColumn>
    <tableColumn id="7" xr3:uid="{523251C6-BA6B-49B8-9A59-5024189C97DC}" name="Beneficio (3)" dataDxfId="0">
      <calculatedColumnFormula>Tabla167[[#This Row],[Ingresos]]-Tabla167[[#This Row],[Costes variables]]-Tabla167[[#This Row],[Comisiones]]-Tabla167[[#This Row],[Costes fijos]]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0F2C-EA4B-44F0-B63B-B20DD14D3014}">
  <dimension ref="A1:T64"/>
  <sheetViews>
    <sheetView tabSelected="1" workbookViewId="0">
      <selection activeCell="N20" sqref="N20"/>
    </sheetView>
  </sheetViews>
  <sheetFormatPr baseColWidth="10" defaultRowHeight="14.4" x14ac:dyDescent="0.3"/>
  <cols>
    <col min="1" max="1" width="30" customWidth="1"/>
    <col min="2" max="2" width="16" customWidth="1"/>
    <col min="3" max="3" width="20.33203125" customWidth="1"/>
    <col min="4" max="4" width="16.6640625" customWidth="1"/>
    <col min="5" max="5" width="16.88671875" customWidth="1"/>
    <col min="6" max="6" width="18.109375" customWidth="1"/>
    <col min="11" max="11" width="13" customWidth="1"/>
    <col min="12" max="12" width="21" customWidth="1"/>
    <col min="13" max="14" width="12.5546875" bestFit="1" customWidth="1"/>
  </cols>
  <sheetData>
    <row r="1" spans="1:20" ht="15" thickBot="1" x14ac:dyDescent="0.35">
      <c r="A1" s="3"/>
      <c r="B1" s="3"/>
      <c r="C1" s="3"/>
      <c r="D1" s="3"/>
      <c r="E1" s="3"/>
      <c r="F1" s="3"/>
      <c r="G1" s="3"/>
    </row>
    <row r="2" spans="1:20" ht="15" thickBot="1" x14ac:dyDescent="0.35">
      <c r="A2" s="13" t="s">
        <v>0</v>
      </c>
      <c r="B2" s="3"/>
      <c r="C2" s="3"/>
      <c r="D2" s="3"/>
      <c r="E2" s="3"/>
      <c r="F2" s="3"/>
      <c r="G2" s="3"/>
      <c r="L2" s="40" t="s">
        <v>32</v>
      </c>
      <c r="M2" s="40"/>
      <c r="N2" s="40"/>
      <c r="O2" s="40"/>
      <c r="P2" s="40"/>
      <c r="Q2" s="40"/>
      <c r="R2" s="40"/>
      <c r="S2" s="40"/>
      <c r="T2" s="40"/>
    </row>
    <row r="3" spans="1:20" x14ac:dyDescent="0.3">
      <c r="A3" s="3"/>
      <c r="B3" s="3"/>
      <c r="C3" s="3"/>
      <c r="D3" s="3"/>
      <c r="E3" s="3"/>
      <c r="F3" s="3"/>
      <c r="G3" s="3"/>
      <c r="L3" s="40" t="s">
        <v>33</v>
      </c>
      <c r="M3" s="40"/>
      <c r="N3" s="40"/>
      <c r="O3" s="40"/>
      <c r="P3" s="40"/>
      <c r="Q3" s="40"/>
      <c r="R3" s="40"/>
      <c r="S3" s="40"/>
      <c r="T3" s="40"/>
    </row>
    <row r="4" spans="1:20" ht="15" thickBot="1" x14ac:dyDescent="0.35">
      <c r="A4" s="3"/>
      <c r="B4" s="3"/>
      <c r="C4" s="3"/>
      <c r="D4" s="3"/>
      <c r="E4" s="3"/>
      <c r="F4" s="3"/>
      <c r="G4" s="3"/>
    </row>
    <row r="5" spans="1:20" ht="15.6" thickTop="1" thickBot="1" x14ac:dyDescent="0.35">
      <c r="A5" s="14"/>
      <c r="B5" s="10" t="s">
        <v>1</v>
      </c>
      <c r="C5" s="10"/>
      <c r="D5" s="11"/>
      <c r="E5" s="3"/>
      <c r="F5" s="27" t="s">
        <v>11</v>
      </c>
      <c r="G5" s="28"/>
      <c r="H5" s="15" t="s">
        <v>12</v>
      </c>
      <c r="M5" s="41" t="s">
        <v>2</v>
      </c>
      <c r="N5" s="41" t="s">
        <v>3</v>
      </c>
      <c r="O5" s="41" t="s">
        <v>4</v>
      </c>
    </row>
    <row r="6" spans="1:20" ht="15.6" thickTop="1" thickBot="1" x14ac:dyDescent="0.35">
      <c r="A6" s="16"/>
      <c r="B6" s="13" t="s">
        <v>2</v>
      </c>
      <c r="C6" s="13" t="s">
        <v>3</v>
      </c>
      <c r="D6" s="17" t="s">
        <v>4</v>
      </c>
      <c r="E6" s="18"/>
      <c r="F6" s="29" t="s">
        <v>13</v>
      </c>
      <c r="G6" s="30"/>
      <c r="H6" s="19">
        <v>110</v>
      </c>
      <c r="L6" s="20" t="s">
        <v>5</v>
      </c>
      <c r="M6" s="47">
        <v>535.21126760563379</v>
      </c>
      <c r="N6" s="47">
        <v>405.40540540540536</v>
      </c>
      <c r="O6" s="23">
        <v>525</v>
      </c>
    </row>
    <row r="7" spans="1:20" ht="15" thickBot="1" x14ac:dyDescent="0.35">
      <c r="A7" s="16" t="s">
        <v>5</v>
      </c>
      <c r="B7" s="49">
        <v>1500</v>
      </c>
      <c r="C7" s="49">
        <v>1500</v>
      </c>
      <c r="D7" s="50">
        <v>1500</v>
      </c>
      <c r="E7" s="18"/>
      <c r="F7" s="4"/>
      <c r="G7" s="4"/>
      <c r="H7" s="3"/>
      <c r="L7" s="12" t="s">
        <v>19</v>
      </c>
      <c r="M7" s="47">
        <f>M6*$H$10</f>
        <v>401.40845070422534</v>
      </c>
      <c r="N7" s="47">
        <f t="shared" ref="N7:O7" si="0">N6*$H$10</f>
        <v>304.05405405405401</v>
      </c>
      <c r="O7" s="16">
        <f t="shared" si="0"/>
        <v>393.75</v>
      </c>
    </row>
    <row r="8" spans="1:20" ht="15" thickBot="1" x14ac:dyDescent="0.35">
      <c r="A8" s="16" t="s">
        <v>6</v>
      </c>
      <c r="B8" s="42">
        <v>80</v>
      </c>
      <c r="C8" s="42">
        <v>40</v>
      </c>
      <c r="D8" s="43">
        <v>100</v>
      </c>
      <c r="E8" s="18"/>
      <c r="F8" s="4"/>
      <c r="G8" s="4"/>
      <c r="H8" s="3"/>
      <c r="L8" s="12" t="s">
        <v>20</v>
      </c>
      <c r="M8" s="47">
        <f>M6*H11</f>
        <v>187.32394366197181</v>
      </c>
      <c r="N8" s="47">
        <f>N6*H11</f>
        <v>141.89189189189187</v>
      </c>
      <c r="O8" s="16">
        <f>O6*H11</f>
        <v>183.75</v>
      </c>
    </row>
    <row r="9" spans="1:20" ht="15.6" thickTop="1" thickBot="1" x14ac:dyDescent="0.35">
      <c r="A9" s="2"/>
      <c r="B9" s="8" t="s">
        <v>7</v>
      </c>
      <c r="C9" s="8"/>
      <c r="D9" s="9"/>
      <c r="E9" s="3"/>
      <c r="F9" s="31" t="s">
        <v>14</v>
      </c>
      <c r="G9" s="32"/>
      <c r="H9" s="21"/>
      <c r="L9" s="12" t="s">
        <v>21</v>
      </c>
      <c r="M9" s="47">
        <f>B11*M6</f>
        <v>24.08450704225352</v>
      </c>
      <c r="N9" s="47">
        <f>IF(N6&gt;C12, C12*C10+(N6-C12)*C11, N6*C10)</f>
        <v>12.16216216216216</v>
      </c>
      <c r="O9" s="23">
        <f>IF(O6&gt;D12, (O6-$D$12)*$D$11, 0)</f>
        <v>0</v>
      </c>
    </row>
    <row r="10" spans="1:20" ht="15" thickBot="1" x14ac:dyDescent="0.35">
      <c r="A10" s="22" t="s">
        <v>8</v>
      </c>
      <c r="B10" s="16">
        <v>4.4999999999999998E-2</v>
      </c>
      <c r="C10" s="16">
        <v>0.03</v>
      </c>
      <c r="D10" s="23">
        <v>0</v>
      </c>
      <c r="E10" s="3"/>
      <c r="F10" s="33" t="s">
        <v>15</v>
      </c>
      <c r="G10" s="34"/>
      <c r="H10" s="44">
        <v>0.75</v>
      </c>
      <c r="L10" s="12" t="s">
        <v>22</v>
      </c>
      <c r="M10" s="46">
        <f>H6+B8</f>
        <v>190</v>
      </c>
      <c r="N10" s="46">
        <f>$H6+C8</f>
        <v>150</v>
      </c>
      <c r="O10" s="61">
        <f>H6+D8</f>
        <v>210</v>
      </c>
    </row>
    <row r="11" spans="1:20" ht="15" thickBot="1" x14ac:dyDescent="0.35">
      <c r="A11" s="22" t="s">
        <v>9</v>
      </c>
      <c r="B11" s="16">
        <v>4.4999999999999998E-2</v>
      </c>
      <c r="C11" s="16">
        <v>0.09</v>
      </c>
      <c r="D11" s="23">
        <v>0.15</v>
      </c>
      <c r="E11" s="3"/>
      <c r="F11" s="33" t="s">
        <v>16</v>
      </c>
      <c r="G11" s="34"/>
      <c r="H11" s="44">
        <v>0.35</v>
      </c>
      <c r="L11" s="37" t="s">
        <v>23</v>
      </c>
      <c r="M11" s="62">
        <f>M7-M8-M9-M10</f>
        <v>0</v>
      </c>
      <c r="N11" s="63">
        <f>N7-N8-N9-N10</f>
        <v>0</v>
      </c>
      <c r="O11" s="63">
        <f>O7-O8-O9-O10</f>
        <v>0</v>
      </c>
    </row>
    <row r="12" spans="1:20" ht="15" thickBot="1" x14ac:dyDescent="0.35">
      <c r="A12" s="22" t="s">
        <v>10</v>
      </c>
      <c r="B12" s="16">
        <v>0</v>
      </c>
      <c r="C12" s="16">
        <v>1000</v>
      </c>
      <c r="D12" s="23">
        <v>1400</v>
      </c>
      <c r="E12" s="3"/>
      <c r="F12" s="35" t="s">
        <v>17</v>
      </c>
      <c r="G12" s="36"/>
      <c r="H12" s="45">
        <f>H10-H11</f>
        <v>0.4</v>
      </c>
    </row>
    <row r="13" spans="1:20" x14ac:dyDescent="0.3">
      <c r="A13" s="3"/>
      <c r="B13" s="3"/>
      <c r="C13" s="3"/>
      <c r="D13" s="3"/>
      <c r="E13" s="3"/>
      <c r="F13" s="3"/>
      <c r="G13" s="3"/>
    </row>
    <row r="14" spans="1:20" x14ac:dyDescent="0.3">
      <c r="A14" t="s">
        <v>34</v>
      </c>
      <c r="E14" s="3"/>
      <c r="F14" s="3"/>
      <c r="G14" s="3"/>
    </row>
    <row r="20" spans="1:5" x14ac:dyDescent="0.3">
      <c r="A20" s="24" t="s">
        <v>18</v>
      </c>
      <c r="B20" s="24"/>
      <c r="C20" s="24"/>
      <c r="D20" s="24"/>
      <c r="E20" s="24"/>
    </row>
    <row r="21" spans="1:5" ht="15" thickBot="1" x14ac:dyDescent="0.35">
      <c r="E21" s="39"/>
    </row>
    <row r="22" spans="1:5" ht="15.6" thickTop="1" thickBot="1" x14ac:dyDescent="0.35">
      <c r="B22" s="41" t="s">
        <v>2</v>
      </c>
      <c r="C22" s="41" t="s">
        <v>3</v>
      </c>
      <c r="D22" s="41" t="s">
        <v>4</v>
      </c>
    </row>
    <row r="23" spans="1:5" ht="15.6" thickTop="1" thickBot="1" x14ac:dyDescent="0.35">
      <c r="A23" s="26" t="s">
        <v>19</v>
      </c>
      <c r="B23" s="49">
        <f>B7*H10</f>
        <v>1125</v>
      </c>
      <c r="C23" s="49">
        <f>C7*H10</f>
        <v>1125</v>
      </c>
      <c r="D23" s="49">
        <f>D7*H10</f>
        <v>1125</v>
      </c>
    </row>
    <row r="24" spans="1:5" ht="15" thickBot="1" x14ac:dyDescent="0.35">
      <c r="A24" s="6" t="s">
        <v>20</v>
      </c>
      <c r="B24" s="49">
        <f>B7*$H11</f>
        <v>525</v>
      </c>
      <c r="C24" s="49">
        <f t="shared" ref="C24:D24" si="1">C7*$H11</f>
        <v>525</v>
      </c>
      <c r="D24" s="49">
        <f t="shared" si="1"/>
        <v>525</v>
      </c>
    </row>
    <row r="25" spans="1:5" ht="15" thickBot="1" x14ac:dyDescent="0.35">
      <c r="A25" s="6" t="s">
        <v>21</v>
      </c>
      <c r="B25" s="48">
        <f>B7*B11</f>
        <v>67.5</v>
      </c>
      <c r="C25" s="49">
        <f>C12*C10+(C7-C12)*C11</f>
        <v>75</v>
      </c>
      <c r="D25" s="49">
        <f>D12*D10+(D7-D12)*D11</f>
        <v>15</v>
      </c>
    </row>
    <row r="26" spans="1:5" ht="15" thickBot="1" x14ac:dyDescent="0.35">
      <c r="A26" s="6" t="s">
        <v>22</v>
      </c>
      <c r="B26" s="49">
        <f>$H6+B8</f>
        <v>190</v>
      </c>
      <c r="C26" s="49">
        <f>N10</f>
        <v>150</v>
      </c>
      <c r="D26" s="49">
        <f t="shared" ref="C26:D26" si="2">$H6+D8</f>
        <v>210</v>
      </c>
    </row>
    <row r="27" spans="1:5" ht="15" thickBot="1" x14ac:dyDescent="0.35">
      <c r="A27" s="25" t="s">
        <v>23</v>
      </c>
      <c r="B27" s="52">
        <f>B23-B24-B25-B26</f>
        <v>342.5</v>
      </c>
      <c r="C27" s="51">
        <f t="shared" ref="C27:D27" si="3">C23-C24-C25-C26</f>
        <v>375</v>
      </c>
      <c r="D27" s="51">
        <f t="shared" si="3"/>
        <v>375</v>
      </c>
    </row>
    <row r="28" spans="1:5" ht="15" thickTop="1" x14ac:dyDescent="0.3"/>
    <row r="30" spans="1:5" x14ac:dyDescent="0.3">
      <c r="A30" s="1" t="s">
        <v>24</v>
      </c>
    </row>
    <row r="33" spans="1:9" x14ac:dyDescent="0.3">
      <c r="A33" s="1" t="s">
        <v>25</v>
      </c>
    </row>
    <row r="35" spans="1:9" ht="15" thickBot="1" x14ac:dyDescent="0.35">
      <c r="A35" s="53" t="s">
        <v>5</v>
      </c>
      <c r="B35" s="56" t="s">
        <v>19</v>
      </c>
      <c r="C35" s="56" t="s">
        <v>20</v>
      </c>
      <c r="D35" s="56" t="s">
        <v>21</v>
      </c>
      <c r="E35" s="56" t="s">
        <v>22</v>
      </c>
      <c r="F35" s="56" t="s">
        <v>28</v>
      </c>
      <c r="I35" s="1" t="s">
        <v>31</v>
      </c>
    </row>
    <row r="36" spans="1:9" ht="15" thickBot="1" x14ac:dyDescent="0.35">
      <c r="A36" s="5">
        <v>500</v>
      </c>
      <c r="B36" s="38">
        <f t="shared" ref="B36:B42" si="4">B47</f>
        <v>375</v>
      </c>
      <c r="C36" s="54">
        <f>$H$11*Tabla1[[#This Row],[Cafés/Mes/Máquinas]]</f>
        <v>175</v>
      </c>
      <c r="D36" s="38">
        <f>$B$10*Tabla1[[#This Row],[Cafés/Mes/Máquinas]]</f>
        <v>22.5</v>
      </c>
      <c r="E36" s="59">
        <f t="shared" ref="E36:E42" si="5">$H$6+$B$8</f>
        <v>190</v>
      </c>
      <c r="F36" s="57">
        <f>Tabla1[[#This Row],[Ingresos]]-Tabla1[[#This Row],[Costes variables]]-Tabla1[[#This Row],[Comisiones]]-Tabla1[[#This Row],[Costes fijos]]</f>
        <v>-12.5</v>
      </c>
    </row>
    <row r="37" spans="1:9" ht="15" thickBot="1" x14ac:dyDescent="0.35">
      <c r="A37" s="7">
        <v>1000</v>
      </c>
      <c r="B37" s="38">
        <f t="shared" si="4"/>
        <v>750</v>
      </c>
      <c r="C37" s="38">
        <f>$H$11*Tabla1[[#This Row],[Cafés/Mes/Máquinas]]</f>
        <v>350</v>
      </c>
      <c r="D37" s="38">
        <f>$B$10*Tabla1[[#This Row],[Cafés/Mes/Máquinas]]</f>
        <v>45</v>
      </c>
      <c r="E37" s="59">
        <f t="shared" si="5"/>
        <v>190</v>
      </c>
      <c r="F37" s="57">
        <f>Tabla1[[#This Row],[Ingresos]]-Tabla1[[#This Row],[Costes variables]]-Tabla1[[#This Row],[Comisiones]]-Tabla1[[#This Row],[Costes fijos]]</f>
        <v>165</v>
      </c>
    </row>
    <row r="38" spans="1:9" ht="15" thickBot="1" x14ac:dyDescent="0.35">
      <c r="A38" s="5">
        <v>1500</v>
      </c>
      <c r="B38" s="38">
        <f t="shared" si="4"/>
        <v>1125</v>
      </c>
      <c r="C38" s="38">
        <f>$H$11*Tabla1[[#This Row],[Cafés/Mes/Máquinas]]</f>
        <v>525</v>
      </c>
      <c r="D38" s="38">
        <f>$B$10*Tabla1[[#This Row],[Cafés/Mes/Máquinas]]</f>
        <v>67.5</v>
      </c>
      <c r="E38" s="59">
        <f t="shared" si="5"/>
        <v>190</v>
      </c>
      <c r="F38" s="57">
        <f>Tabla1[[#This Row],[Ingresos]]-Tabla1[[#This Row],[Costes variables]]-Tabla1[[#This Row],[Comisiones]]-Tabla1[[#This Row],[Costes fijos]]</f>
        <v>342.5</v>
      </c>
    </row>
    <row r="39" spans="1:9" ht="15" thickBot="1" x14ac:dyDescent="0.35">
      <c r="A39" s="7">
        <v>2000</v>
      </c>
      <c r="B39" s="38">
        <f t="shared" si="4"/>
        <v>1500</v>
      </c>
      <c r="C39" s="38">
        <f>$H$11*Tabla1[[#This Row],[Cafés/Mes/Máquinas]]</f>
        <v>700</v>
      </c>
      <c r="D39" s="38">
        <f>$B$10*Tabla1[[#This Row],[Cafés/Mes/Máquinas]]</f>
        <v>90</v>
      </c>
      <c r="E39" s="59">
        <f t="shared" si="5"/>
        <v>190</v>
      </c>
      <c r="F39" s="57">
        <f>Tabla1[[#This Row],[Ingresos]]-Tabla1[[#This Row],[Costes variables]]-Tabla1[[#This Row],[Comisiones]]-Tabla1[[#This Row],[Costes fijos]]</f>
        <v>520</v>
      </c>
    </row>
    <row r="40" spans="1:9" ht="15" thickBot="1" x14ac:dyDescent="0.35">
      <c r="A40" s="5">
        <v>2500</v>
      </c>
      <c r="B40" s="38">
        <f t="shared" si="4"/>
        <v>1875</v>
      </c>
      <c r="C40" s="38">
        <f>$H$11*Tabla1[[#This Row],[Cafés/Mes/Máquinas]]</f>
        <v>875</v>
      </c>
      <c r="D40" s="38">
        <f>$B$10*Tabla1[[#This Row],[Cafés/Mes/Máquinas]]</f>
        <v>112.5</v>
      </c>
      <c r="E40" s="59">
        <f t="shared" si="5"/>
        <v>190</v>
      </c>
      <c r="F40" s="57">
        <f>Tabla1[[#This Row],[Ingresos]]-Tabla1[[#This Row],[Costes variables]]-Tabla1[[#This Row],[Comisiones]]-Tabla1[[#This Row],[Costes fijos]]</f>
        <v>697.5</v>
      </c>
    </row>
    <row r="41" spans="1:9" ht="15" thickBot="1" x14ac:dyDescent="0.35">
      <c r="A41" s="7">
        <v>3000</v>
      </c>
      <c r="B41" s="38">
        <f t="shared" si="4"/>
        <v>2250</v>
      </c>
      <c r="C41" s="38">
        <f>$H$11*Tabla1[[#This Row],[Cafés/Mes/Máquinas]]</f>
        <v>1050</v>
      </c>
      <c r="D41" s="38">
        <f>$B$10*Tabla1[[#This Row],[Cafés/Mes/Máquinas]]</f>
        <v>135</v>
      </c>
      <c r="E41" s="59">
        <f t="shared" si="5"/>
        <v>190</v>
      </c>
      <c r="F41" s="57">
        <f>Tabla1[[#This Row],[Ingresos]]-Tabla1[[#This Row],[Costes variables]]-Tabla1[[#This Row],[Comisiones]]-Tabla1[[#This Row],[Costes fijos]]</f>
        <v>875</v>
      </c>
    </row>
    <row r="42" spans="1:9" ht="15" thickBot="1" x14ac:dyDescent="0.35">
      <c r="A42" s="5">
        <v>3500</v>
      </c>
      <c r="B42" s="55">
        <f t="shared" si="4"/>
        <v>2625</v>
      </c>
      <c r="C42" s="55">
        <f>$H$11*Tabla1[[#This Row],[Cafés/Mes/Máquinas]]</f>
        <v>1225</v>
      </c>
      <c r="D42" s="55">
        <f>$B$10*Tabla1[[#This Row],[Cafés/Mes/Máquinas]]</f>
        <v>157.5</v>
      </c>
      <c r="E42" s="60">
        <f t="shared" si="5"/>
        <v>190</v>
      </c>
      <c r="F42" s="58">
        <f>Tabla1[[#This Row],[Ingresos]]-Tabla1[[#This Row],[Costes variables]]-Tabla1[[#This Row],[Comisiones]]-Tabla1[[#This Row],[Costes fijos]]</f>
        <v>1052.5</v>
      </c>
    </row>
    <row r="44" spans="1:9" x14ac:dyDescent="0.3">
      <c r="A44" s="1" t="s">
        <v>26</v>
      </c>
    </row>
    <row r="46" spans="1:9" ht="15" thickBot="1" x14ac:dyDescent="0.35">
      <c r="A46" s="53" t="s">
        <v>5</v>
      </c>
      <c r="B46" s="56" t="s">
        <v>19</v>
      </c>
      <c r="C46" s="56" t="s">
        <v>20</v>
      </c>
      <c r="D46" s="56" t="s">
        <v>21</v>
      </c>
      <c r="E46" s="56" t="s">
        <v>22</v>
      </c>
      <c r="F46" s="56" t="s">
        <v>29</v>
      </c>
    </row>
    <row r="47" spans="1:9" ht="15" thickBot="1" x14ac:dyDescent="0.35">
      <c r="A47" s="5">
        <v>500</v>
      </c>
      <c r="B47" s="38">
        <f>Tabla16[[#This Row],[Cafés/Mes/Máquinas]]*$H$10</f>
        <v>375</v>
      </c>
      <c r="C47" s="54">
        <f>$H$11*Tabla16[[#This Row],[Cafés/Mes/Máquinas]]</f>
        <v>175</v>
      </c>
      <c r="D47" s="38">
        <f>IF(Tabla16[[#This Row],[Cafés/Mes/Máquinas]]&gt;$C$12, $C$12*$C$10+(Tabla16[[#This Row],[Cafés/Mes/Máquinas]]-$C$12)*$C$11, Tabla16[[#This Row],[Cafés/Mes/Máquinas]]*$C$10)</f>
        <v>15</v>
      </c>
      <c r="E47" s="59">
        <f t="shared" ref="E47:E53" si="6">$H$6+$C$8</f>
        <v>150</v>
      </c>
      <c r="F47" s="59">
        <f>Tabla16[[#This Row],[Ingresos]]-Tabla16[[#This Row],[Costes variables]]-Tabla16[[#This Row],[Comisiones]]-Tabla16[[#This Row],[Costes fijos]]</f>
        <v>35</v>
      </c>
    </row>
    <row r="48" spans="1:9" ht="15" thickBot="1" x14ac:dyDescent="0.35">
      <c r="A48" s="7">
        <v>1000</v>
      </c>
      <c r="B48" s="38">
        <f>Tabla16[[#This Row],[Cafés/Mes/Máquinas]]*$H$10</f>
        <v>750</v>
      </c>
      <c r="C48" s="38">
        <f>$H$11*Tabla16[[#This Row],[Cafés/Mes/Máquinas]]</f>
        <v>350</v>
      </c>
      <c r="D48" s="38">
        <f>IF(Tabla16[[#This Row],[Cafés/Mes/Máquinas]]&gt;$C$12, $C$12*$C$10+(Tabla16[[#This Row],[Cafés/Mes/Máquinas]]-$C$12)*$C$11, Tabla16[[#This Row],[Cafés/Mes/Máquinas]]*$C$10)</f>
        <v>30</v>
      </c>
      <c r="E48" s="59">
        <f t="shared" si="6"/>
        <v>150</v>
      </c>
      <c r="F48" s="59">
        <f>Tabla16[[#This Row],[Ingresos]]-Tabla16[[#This Row],[Costes variables]]-Tabla16[[#This Row],[Comisiones]]-Tabla16[[#This Row],[Costes fijos]]</f>
        <v>220</v>
      </c>
    </row>
    <row r="49" spans="1:6" ht="15" thickBot="1" x14ac:dyDescent="0.35">
      <c r="A49" s="5">
        <v>1500</v>
      </c>
      <c r="B49" s="38">
        <f>Tabla16[[#This Row],[Cafés/Mes/Máquinas]]*$H$10</f>
        <v>1125</v>
      </c>
      <c r="C49" s="38">
        <f>$H$11*Tabla16[[#This Row],[Cafés/Mes/Máquinas]]</f>
        <v>525</v>
      </c>
      <c r="D49" s="38">
        <f>IF(Tabla16[[#This Row],[Cafés/Mes/Máquinas]]&gt;$C$12, $C$12*$C$10+(Tabla16[[#This Row],[Cafés/Mes/Máquinas]]-$C$12)*$C$11, Tabla16[[#This Row],[Cafés/Mes/Máquinas]]*$C$10)</f>
        <v>75</v>
      </c>
      <c r="E49" s="59">
        <f t="shared" si="6"/>
        <v>150</v>
      </c>
      <c r="F49" s="59">
        <f>Tabla16[[#This Row],[Ingresos]]-Tabla16[[#This Row],[Costes variables]]-Tabla16[[#This Row],[Comisiones]]-Tabla16[[#This Row],[Costes fijos]]</f>
        <v>375</v>
      </c>
    </row>
    <row r="50" spans="1:6" ht="15" thickBot="1" x14ac:dyDescent="0.35">
      <c r="A50" s="7">
        <v>2000</v>
      </c>
      <c r="B50" s="38">
        <f>Tabla16[[#This Row],[Cafés/Mes/Máquinas]]*$H$10</f>
        <v>1500</v>
      </c>
      <c r="C50" s="38">
        <f>$H$11*Tabla16[[#This Row],[Cafés/Mes/Máquinas]]</f>
        <v>700</v>
      </c>
      <c r="D50" s="38">
        <f>IF(Tabla16[[#This Row],[Cafés/Mes/Máquinas]]&gt;$C$12, $C$12*$C$10+(Tabla16[[#This Row],[Cafés/Mes/Máquinas]]-$C$12)*$C$11, Tabla16[[#This Row],[Cafés/Mes/Máquinas]]*$C$10)</f>
        <v>120</v>
      </c>
      <c r="E50" s="59">
        <f t="shared" si="6"/>
        <v>150</v>
      </c>
      <c r="F50" s="59">
        <f>Tabla16[[#This Row],[Ingresos]]-Tabla16[[#This Row],[Costes variables]]-Tabla16[[#This Row],[Comisiones]]-Tabla16[[#This Row],[Costes fijos]]</f>
        <v>530</v>
      </c>
    </row>
    <row r="51" spans="1:6" ht="15" thickBot="1" x14ac:dyDescent="0.35">
      <c r="A51" s="5">
        <v>2500</v>
      </c>
      <c r="B51" s="38">
        <f>Tabla16[[#This Row],[Cafés/Mes/Máquinas]]*$H$10</f>
        <v>1875</v>
      </c>
      <c r="C51" s="38">
        <f>$H$11*Tabla16[[#This Row],[Cafés/Mes/Máquinas]]</f>
        <v>875</v>
      </c>
      <c r="D51" s="38">
        <f>IF(Tabla16[[#This Row],[Cafés/Mes/Máquinas]]&gt;$C$12, $C$12*$C$10+(Tabla16[[#This Row],[Cafés/Mes/Máquinas]]-$C$12)*$C$11, Tabla16[[#This Row],[Cafés/Mes/Máquinas]]*$C$10)</f>
        <v>165</v>
      </c>
      <c r="E51" s="59">
        <f t="shared" si="6"/>
        <v>150</v>
      </c>
      <c r="F51" s="59">
        <f>Tabla16[[#This Row],[Ingresos]]-Tabla16[[#This Row],[Costes variables]]-Tabla16[[#This Row],[Comisiones]]-Tabla16[[#This Row],[Costes fijos]]</f>
        <v>685</v>
      </c>
    </row>
    <row r="52" spans="1:6" ht="15" thickBot="1" x14ac:dyDescent="0.35">
      <c r="A52" s="7">
        <v>3000</v>
      </c>
      <c r="B52" s="38">
        <f>Tabla16[[#This Row],[Cafés/Mes/Máquinas]]*$H$10</f>
        <v>2250</v>
      </c>
      <c r="C52" s="38">
        <f>$H$11*Tabla16[[#This Row],[Cafés/Mes/Máquinas]]</f>
        <v>1050</v>
      </c>
      <c r="D52" s="38">
        <f>IF(Tabla16[[#This Row],[Cafés/Mes/Máquinas]]&gt;$C$12, $C$12*$C$10+(Tabla16[[#This Row],[Cafés/Mes/Máquinas]]-$C$12)*$C$11, Tabla16[[#This Row],[Cafés/Mes/Máquinas]]*$C$10)</f>
        <v>210</v>
      </c>
      <c r="E52" s="59">
        <f t="shared" si="6"/>
        <v>150</v>
      </c>
      <c r="F52" s="59">
        <f>Tabla16[[#This Row],[Ingresos]]-Tabla16[[#This Row],[Costes variables]]-Tabla16[[#This Row],[Comisiones]]-Tabla16[[#This Row],[Costes fijos]]</f>
        <v>840</v>
      </c>
    </row>
    <row r="53" spans="1:6" ht="15" thickBot="1" x14ac:dyDescent="0.35">
      <c r="A53" s="5">
        <v>3500</v>
      </c>
      <c r="B53" s="55">
        <f>Tabla16[[#This Row],[Cafés/Mes/Máquinas]]*$H$10</f>
        <v>2625</v>
      </c>
      <c r="C53" s="55">
        <f>$H$11*Tabla16[[#This Row],[Cafés/Mes/Máquinas]]</f>
        <v>1225</v>
      </c>
      <c r="D53" s="55">
        <f>IF(Tabla16[[#This Row],[Cafés/Mes/Máquinas]]&gt;$C$12, $C$12*$C$10+(Tabla16[[#This Row],[Cafés/Mes/Máquinas]]-$C$12)*$C$11, Tabla16[[#This Row],[Cafés/Mes/Máquinas]]*$C$10)</f>
        <v>255</v>
      </c>
      <c r="E53" s="60">
        <f t="shared" si="6"/>
        <v>150</v>
      </c>
      <c r="F53" s="60">
        <f>Tabla16[[#This Row],[Ingresos]]-Tabla16[[#This Row],[Costes variables]]-Tabla16[[#This Row],[Comisiones]]-Tabla16[[#This Row],[Costes fijos]]</f>
        <v>995</v>
      </c>
    </row>
    <row r="55" spans="1:6" x14ac:dyDescent="0.3">
      <c r="A55" s="1" t="s">
        <v>27</v>
      </c>
    </row>
    <row r="57" spans="1:6" ht="15" thickBot="1" x14ac:dyDescent="0.35">
      <c r="A57" s="53" t="s">
        <v>5</v>
      </c>
      <c r="B57" s="56" t="s">
        <v>19</v>
      </c>
      <c r="C57" s="56" t="s">
        <v>20</v>
      </c>
      <c r="D57" s="56" t="s">
        <v>21</v>
      </c>
      <c r="E57" s="56" t="s">
        <v>22</v>
      </c>
      <c r="F57" s="56" t="s">
        <v>30</v>
      </c>
    </row>
    <row r="58" spans="1:6" ht="15" thickBot="1" x14ac:dyDescent="0.35">
      <c r="A58" s="5">
        <v>500</v>
      </c>
      <c r="B58" s="38">
        <f>Tabla167[[#This Row],[Cafés/Mes/Máquinas]]*$H$10</f>
        <v>375</v>
      </c>
      <c r="C58" s="54">
        <f>$H$11*Tabla167[[#This Row],[Cafés/Mes/Máquinas]]</f>
        <v>175</v>
      </c>
      <c r="D58" s="38">
        <f>IF(Tabla167[[#This Row],[Cafés/Mes/Máquinas]]&gt;$D$12, $D$12*$D$10+(Tabla167[[#This Row],[Cafés/Mes/Máquinas]]-$D$12)*$D$11, Tabla167[[#This Row],[Cafés/Mes/Máquinas]]*$D$10)</f>
        <v>0</v>
      </c>
      <c r="E58" s="59">
        <f t="shared" ref="E58:E64" si="7">$H$6+$D$8</f>
        <v>210</v>
      </c>
      <c r="F58" s="59">
        <f>Tabla167[[#This Row],[Ingresos]]-Tabla167[[#This Row],[Costes variables]]-Tabla167[[#This Row],[Comisiones]]-Tabla167[[#This Row],[Costes fijos]]</f>
        <v>-10</v>
      </c>
    </row>
    <row r="59" spans="1:6" ht="15" thickBot="1" x14ac:dyDescent="0.35">
      <c r="A59" s="7">
        <v>1000</v>
      </c>
      <c r="B59" s="38">
        <f>Tabla167[[#This Row],[Cafés/Mes/Máquinas]]*$H$10</f>
        <v>750</v>
      </c>
      <c r="C59" s="38">
        <f>$H$11*Tabla167[[#This Row],[Cafés/Mes/Máquinas]]</f>
        <v>350</v>
      </c>
      <c r="D59" s="38">
        <f>IF(Tabla167[[#This Row],[Cafés/Mes/Máquinas]]&gt;$D$12, $D$12*$D$10+(Tabla167[[#This Row],[Cafés/Mes/Máquinas]]-$D$12)*$D$11, Tabla167[[#This Row],[Cafés/Mes/Máquinas]]*$D$10)</f>
        <v>0</v>
      </c>
      <c r="E59" s="59">
        <f t="shared" si="7"/>
        <v>210</v>
      </c>
      <c r="F59" s="59">
        <f>Tabla167[[#This Row],[Ingresos]]-Tabla167[[#This Row],[Costes variables]]-Tabla167[[#This Row],[Comisiones]]-Tabla167[[#This Row],[Costes fijos]]</f>
        <v>190</v>
      </c>
    </row>
    <row r="60" spans="1:6" ht="15" thickBot="1" x14ac:dyDescent="0.35">
      <c r="A60" s="5">
        <v>1500</v>
      </c>
      <c r="B60" s="38">
        <f>Tabla167[[#This Row],[Cafés/Mes/Máquinas]]*$H$10</f>
        <v>1125</v>
      </c>
      <c r="C60" s="38">
        <f>$H$11*Tabla167[[#This Row],[Cafés/Mes/Máquinas]]</f>
        <v>525</v>
      </c>
      <c r="D60" s="38">
        <f>IF(Tabla167[[#This Row],[Cafés/Mes/Máquinas]]&gt;$D$12, $D$12*$D$10+(Tabla167[[#This Row],[Cafés/Mes/Máquinas]]-$D$12)*$D$11, Tabla167[[#This Row],[Cafés/Mes/Máquinas]]*$D$10)</f>
        <v>15</v>
      </c>
      <c r="E60" s="59">
        <f t="shared" si="7"/>
        <v>210</v>
      </c>
      <c r="F60" s="59">
        <f>Tabla167[[#This Row],[Ingresos]]-Tabla167[[#This Row],[Costes variables]]-Tabla167[[#This Row],[Comisiones]]-Tabla167[[#This Row],[Costes fijos]]</f>
        <v>375</v>
      </c>
    </row>
    <row r="61" spans="1:6" ht="15" thickBot="1" x14ac:dyDescent="0.35">
      <c r="A61" s="7">
        <v>2000</v>
      </c>
      <c r="B61" s="38">
        <f>Tabla167[[#This Row],[Cafés/Mes/Máquinas]]*$H$10</f>
        <v>1500</v>
      </c>
      <c r="C61" s="38">
        <f>$H$11*Tabla167[[#This Row],[Cafés/Mes/Máquinas]]</f>
        <v>700</v>
      </c>
      <c r="D61" s="38">
        <f>IF(Tabla167[[#This Row],[Cafés/Mes/Máquinas]]&gt;$D$12, $D$12*$D$10+(Tabla167[[#This Row],[Cafés/Mes/Máquinas]]-$D$12)*$D$11, Tabla167[[#This Row],[Cafés/Mes/Máquinas]]*$D$10)</f>
        <v>90</v>
      </c>
      <c r="E61" s="59">
        <f t="shared" si="7"/>
        <v>210</v>
      </c>
      <c r="F61" s="59">
        <f>Tabla167[[#This Row],[Ingresos]]-Tabla167[[#This Row],[Costes variables]]-Tabla167[[#This Row],[Comisiones]]-Tabla167[[#This Row],[Costes fijos]]</f>
        <v>500</v>
      </c>
    </row>
    <row r="62" spans="1:6" ht="15" thickBot="1" x14ac:dyDescent="0.35">
      <c r="A62" s="5">
        <v>2500</v>
      </c>
      <c r="B62" s="38">
        <f>Tabla167[[#This Row],[Cafés/Mes/Máquinas]]*$H$10</f>
        <v>1875</v>
      </c>
      <c r="C62" s="38">
        <f>$H$11*Tabla167[[#This Row],[Cafés/Mes/Máquinas]]</f>
        <v>875</v>
      </c>
      <c r="D62" s="38">
        <f>IF(Tabla167[[#This Row],[Cafés/Mes/Máquinas]]&gt;$D$12, $D$12*$D$10+(Tabla167[[#This Row],[Cafés/Mes/Máquinas]]-$D$12)*$D$11, Tabla167[[#This Row],[Cafés/Mes/Máquinas]]*$D$10)</f>
        <v>165</v>
      </c>
      <c r="E62" s="59">
        <f t="shared" si="7"/>
        <v>210</v>
      </c>
      <c r="F62" s="59">
        <f>Tabla167[[#This Row],[Ingresos]]-Tabla167[[#This Row],[Costes variables]]-Tabla167[[#This Row],[Comisiones]]-Tabla167[[#This Row],[Costes fijos]]</f>
        <v>625</v>
      </c>
    </row>
    <row r="63" spans="1:6" ht="15" thickBot="1" x14ac:dyDescent="0.35">
      <c r="A63" s="7">
        <v>3000</v>
      </c>
      <c r="B63" s="38">
        <f>Tabla167[[#This Row],[Cafés/Mes/Máquinas]]*$H$10</f>
        <v>2250</v>
      </c>
      <c r="C63" s="38">
        <f>$H$11*Tabla167[[#This Row],[Cafés/Mes/Máquinas]]</f>
        <v>1050</v>
      </c>
      <c r="D63" s="38">
        <f>IF(Tabla167[[#This Row],[Cafés/Mes/Máquinas]]&gt;$D$12, $D$12*$D$10+(Tabla167[[#This Row],[Cafés/Mes/Máquinas]]-$D$12)*$D$11, Tabla167[[#This Row],[Cafés/Mes/Máquinas]]*$D$10)</f>
        <v>240</v>
      </c>
      <c r="E63" s="59">
        <f t="shared" si="7"/>
        <v>210</v>
      </c>
      <c r="F63" s="59">
        <f>Tabla167[[#This Row],[Ingresos]]-Tabla167[[#This Row],[Costes variables]]-Tabla167[[#This Row],[Comisiones]]-Tabla167[[#This Row],[Costes fijos]]</f>
        <v>750</v>
      </c>
    </row>
    <row r="64" spans="1:6" ht="15" thickBot="1" x14ac:dyDescent="0.35">
      <c r="A64" s="5">
        <v>3500</v>
      </c>
      <c r="B64" s="55">
        <f>Tabla167[[#This Row],[Cafés/Mes/Máquinas]]*$H$10</f>
        <v>2625</v>
      </c>
      <c r="C64" s="55">
        <f>$H$11*Tabla167[[#This Row],[Cafés/Mes/Máquinas]]</f>
        <v>1225</v>
      </c>
      <c r="D64" s="55">
        <f>IF(Tabla167[[#This Row],[Cafés/Mes/Máquinas]]&gt;$D$12, $D$12*$D$10+(Tabla167[[#This Row],[Cafés/Mes/Máquinas]]-$D$12)*$D$11, Tabla167[[#This Row],[Cafés/Mes/Máquinas]]*$D$10)</f>
        <v>315</v>
      </c>
      <c r="E64" s="60">
        <f t="shared" si="7"/>
        <v>210</v>
      </c>
      <c r="F64" s="60">
        <f>Tabla167[[#This Row],[Ingresos]]-Tabla167[[#This Row],[Costes variables]]-Tabla167[[#This Row],[Comisiones]]-Tabla167[[#This Row],[Costes fijos]]</f>
        <v>875</v>
      </c>
    </row>
  </sheetData>
  <mergeCells count="13">
    <mergeCell ref="F12:G12"/>
    <mergeCell ref="L2:T2"/>
    <mergeCell ref="L3:T3"/>
    <mergeCell ref="A20:E20"/>
    <mergeCell ref="B5:D5"/>
    <mergeCell ref="B9:D9"/>
    <mergeCell ref="F5:G5"/>
    <mergeCell ref="F6:G6"/>
    <mergeCell ref="F7:G7"/>
    <mergeCell ref="F8:G8"/>
    <mergeCell ref="F9:G9"/>
    <mergeCell ref="F10:G10"/>
    <mergeCell ref="F11:G11"/>
  </mergeCells>
  <phoneticPr fontId="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J R I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L i U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l E h Y K I p H u A 4 A A A A R A A A A E w A c A E Z v c m 1 1 b G F z L 1 N l Y 3 R p b 2 4 x L m 0 g o h g A K K A U A A A A A A A A A A A A A A A A A A A A A A A A A A A A K 0 5 N L s n M z 1 M I h t C G 1 g B Q S w E C L Q A U A A I A C A C 4 l E h Y T o a 9 m q U A A A D 2 A A A A E g A A A A A A A A A A A A A A A A A A A A A A Q 2 9 u Z m l n L 1 B h Y 2 t h Z 2 U u e G 1 s U E s B A i 0 A F A A C A A g A u J R I W A / K 6 a u k A A A A 6 Q A A A B M A A A A A A A A A A A A A A A A A 8 Q A A A F t D b 2 5 0 Z W 5 0 X 1 R 5 c G V z X S 5 4 b W x Q S w E C L Q A U A A I A C A C 4 l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i U 4 5 l r 3 0 k 2 m L B G 4 d w 0 9 L w A A A A A C A A A A A A A Q Z g A A A A E A A C A A A A D w b + g O t w e f i d C r Y u 3 D r J P o C y e 3 u O j 3 4 B Z D G r m N r + 6 Q t Q A A A A A O g A A A A A I A A C A A A A B M w F t j U z O b 7 w 6 q x f b N x m 8 A q M E b U V o d W U e L r 6 Q U M j 3 0 0 l A A A A B 3 l 6 J 3 M O d 8 2 W T o l E W i 0 6 q v Q b k p E h b O a o h K R k + 7 e d G g t f 4 i / y / r S 5 o i 8 7 l B R n + f 5 0 U 1 D 5 S 7 l C f X 5 G F 0 + O I + 7 o s j 8 T 5 K y d q b I N y / 2 v U V H e 2 Z Y k A A A A C F U G V w L 0 Y j y z + 7 M q P / U U x k Y F 0 C W T p J F M U x U w 2 H 3 T S t x x a 7 3 B 5 o a Q 6 Y H z S M s R Z E f g 5 X F G c a P q 3 v i b Z a 5 e c B q y y t < / D a t a M a s h u p > 
</file>

<file path=customXml/itemProps1.xml><?xml version="1.0" encoding="utf-8"?>
<ds:datastoreItem xmlns:ds="http://schemas.openxmlformats.org/officeDocument/2006/customXml" ds:itemID="{B8FF416F-4139-4E2D-9FA9-FF4A1E6B8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Llorens Angulo</dc:creator>
  <cp:lastModifiedBy>Laura Llorens Angulo</cp:lastModifiedBy>
  <dcterms:created xsi:type="dcterms:W3CDTF">2024-02-08T12:32:45Z</dcterms:created>
  <dcterms:modified xsi:type="dcterms:W3CDTF">2024-02-08T18:40:38Z</dcterms:modified>
</cp:coreProperties>
</file>