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Flume/Flume Run 3 - 05:02:19/qPCR/Raw Data/16S_Tom/"/>
    </mc:Choice>
  </mc:AlternateContent>
  <xr:revisionPtr revIDLastSave="0" documentId="13_ncr:1_{1D8A5290-38B4-7848-AEDB-2D010F58304D}" xr6:coauthVersionLast="47" xr6:coauthVersionMax="47" xr10:uidLastSave="{00000000-0000-0000-0000-000000000000}"/>
  <bookViews>
    <workbookView xWindow="31040" yWindow="480" windowWidth="28800" windowHeight="16160" activeTab="2" xr2:uid="{379CF5F6-25AA-404C-A780-F983759F4026}"/>
  </bookViews>
  <sheets>
    <sheet name="16S - plate 1" sheetId="2" r:id="rId1"/>
    <sheet name="16S - plate 2" sheetId="5" r:id="rId2"/>
    <sheet name="16S - plate 3a" sheetId="6" r:id="rId3"/>
    <sheet name="16S - plate 3b" sheetId="14" r:id="rId4"/>
    <sheet name="16S - plate 4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5" l="1"/>
  <c r="S11" i="6"/>
  <c r="S11" i="14"/>
  <c r="S12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41" i="10"/>
  <c r="S11" i="10"/>
  <c r="S10" i="10"/>
  <c r="D39" i="14"/>
  <c r="D40" i="14"/>
  <c r="D41" i="14"/>
  <c r="D42" i="14"/>
  <c r="E42" i="14" s="1"/>
  <c r="J42" i="14" s="1"/>
  <c r="K42" i="14" s="1"/>
  <c r="D43" i="14"/>
  <c r="D44" i="14"/>
  <c r="D45" i="14"/>
  <c r="D46" i="14"/>
  <c r="E46" i="14" s="1"/>
  <c r="J46" i="14" s="1"/>
  <c r="K46" i="14" s="1"/>
  <c r="D47" i="14"/>
  <c r="D48" i="14"/>
  <c r="D49" i="14"/>
  <c r="D50" i="14"/>
  <c r="E50" i="14" s="1"/>
  <c r="J50" i="14" s="1"/>
  <c r="K50" i="14" s="1"/>
  <c r="D51" i="14"/>
  <c r="D52" i="14"/>
  <c r="D53" i="14"/>
  <c r="D54" i="14"/>
  <c r="E54" i="14" s="1"/>
  <c r="J54" i="14" s="1"/>
  <c r="K54" i="14" s="1"/>
  <c r="D55" i="14"/>
  <c r="D56" i="14"/>
  <c r="D57" i="14"/>
  <c r="D58" i="14"/>
  <c r="E58" i="14" s="1"/>
  <c r="J58" i="14" s="1"/>
  <c r="K58" i="14" s="1"/>
  <c r="D59" i="14"/>
  <c r="D60" i="14"/>
  <c r="D61" i="14"/>
  <c r="D62" i="14"/>
  <c r="E62" i="14" s="1"/>
  <c r="J62" i="14" s="1"/>
  <c r="K62" i="14" s="1"/>
  <c r="D63" i="14"/>
  <c r="D64" i="14"/>
  <c r="D65" i="14"/>
  <c r="D66" i="14"/>
  <c r="E66" i="14" s="1"/>
  <c r="J66" i="14" s="1"/>
  <c r="K66" i="14" s="1"/>
  <c r="D67" i="14"/>
  <c r="D68" i="14"/>
  <c r="D69" i="14"/>
  <c r="D70" i="14"/>
  <c r="E70" i="14" s="1"/>
  <c r="J70" i="14" s="1"/>
  <c r="K70" i="14" s="1"/>
  <c r="D71" i="14"/>
  <c r="D72" i="14"/>
  <c r="D73" i="14"/>
  <c r="D74" i="14"/>
  <c r="E74" i="14" s="1"/>
  <c r="J74" i="14" s="1"/>
  <c r="K74" i="14" s="1"/>
  <c r="D75" i="14"/>
  <c r="D76" i="14"/>
  <c r="D77" i="14"/>
  <c r="D78" i="14"/>
  <c r="E78" i="14" s="1"/>
  <c r="J78" i="14" s="1"/>
  <c r="K78" i="14" s="1"/>
  <c r="D79" i="14"/>
  <c r="D80" i="14"/>
  <c r="D81" i="14"/>
  <c r="D82" i="14"/>
  <c r="E82" i="14" s="1"/>
  <c r="J82" i="14" s="1"/>
  <c r="K82" i="14" s="1"/>
  <c r="D83" i="14"/>
  <c r="D84" i="14"/>
  <c r="D85" i="14"/>
  <c r="D86" i="14"/>
  <c r="E86" i="14" s="1"/>
  <c r="J86" i="14" s="1"/>
  <c r="K86" i="14" s="1"/>
  <c r="D87" i="14"/>
  <c r="D88" i="14"/>
  <c r="D89" i="14"/>
  <c r="D90" i="14"/>
  <c r="E90" i="14" s="1"/>
  <c r="J90" i="14" s="1"/>
  <c r="K90" i="14" s="1"/>
  <c r="D91" i="14"/>
  <c r="D92" i="14"/>
  <c r="D93" i="14"/>
  <c r="D94" i="14"/>
  <c r="E94" i="14" s="1"/>
  <c r="J94" i="14" s="1"/>
  <c r="K94" i="14" s="1"/>
  <c r="D95" i="14"/>
  <c r="D96" i="14"/>
  <c r="D97" i="14"/>
  <c r="D98" i="14"/>
  <c r="E98" i="14" s="1"/>
  <c r="J98" i="14" s="1"/>
  <c r="K98" i="14" s="1"/>
  <c r="D99" i="14"/>
  <c r="D100" i="14"/>
  <c r="D101" i="14"/>
  <c r="D102" i="14"/>
  <c r="E102" i="14" s="1"/>
  <c r="J102" i="14" s="1"/>
  <c r="K102" i="14" s="1"/>
  <c r="D103" i="14"/>
  <c r="D38" i="14"/>
  <c r="S10" i="14"/>
  <c r="S9" i="14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38" i="6"/>
  <c r="S10" i="6"/>
  <c r="S9" i="6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38" i="5"/>
  <c r="S11" i="5"/>
  <c r="S10" i="5"/>
  <c r="E103" i="14"/>
  <c r="J103" i="14" s="1"/>
  <c r="K103" i="14" s="1"/>
  <c r="E101" i="14"/>
  <c r="J101" i="14" s="1"/>
  <c r="K101" i="14" s="1"/>
  <c r="E100" i="14"/>
  <c r="J100" i="14" s="1"/>
  <c r="K100" i="14" s="1"/>
  <c r="E99" i="14"/>
  <c r="J99" i="14" s="1"/>
  <c r="K99" i="14" s="1"/>
  <c r="E97" i="14"/>
  <c r="J97" i="14" s="1"/>
  <c r="K97" i="14" s="1"/>
  <c r="E96" i="14"/>
  <c r="J96" i="14" s="1"/>
  <c r="K96" i="14" s="1"/>
  <c r="E95" i="14"/>
  <c r="J95" i="14" s="1"/>
  <c r="K95" i="14" s="1"/>
  <c r="E93" i="14"/>
  <c r="J93" i="14" s="1"/>
  <c r="K93" i="14" s="1"/>
  <c r="E92" i="14"/>
  <c r="J92" i="14" s="1"/>
  <c r="K92" i="14" s="1"/>
  <c r="E91" i="14"/>
  <c r="J91" i="14" s="1"/>
  <c r="K91" i="14" s="1"/>
  <c r="E89" i="14"/>
  <c r="J89" i="14" s="1"/>
  <c r="K89" i="14" s="1"/>
  <c r="E88" i="14"/>
  <c r="J88" i="14" s="1"/>
  <c r="K88" i="14" s="1"/>
  <c r="E87" i="14"/>
  <c r="J87" i="14" s="1"/>
  <c r="K87" i="14" s="1"/>
  <c r="E85" i="14"/>
  <c r="J85" i="14" s="1"/>
  <c r="K85" i="14" s="1"/>
  <c r="E84" i="14"/>
  <c r="J84" i="14" s="1"/>
  <c r="K84" i="14" s="1"/>
  <c r="E83" i="14"/>
  <c r="J83" i="14" s="1"/>
  <c r="K83" i="14" s="1"/>
  <c r="E81" i="14"/>
  <c r="J81" i="14" s="1"/>
  <c r="K81" i="14" s="1"/>
  <c r="E80" i="14"/>
  <c r="J80" i="14" s="1"/>
  <c r="K80" i="14" s="1"/>
  <c r="E79" i="14"/>
  <c r="J79" i="14" s="1"/>
  <c r="K79" i="14" s="1"/>
  <c r="E77" i="14"/>
  <c r="J77" i="14" s="1"/>
  <c r="K77" i="14" s="1"/>
  <c r="E76" i="14"/>
  <c r="J76" i="14" s="1"/>
  <c r="K76" i="14" s="1"/>
  <c r="E75" i="14"/>
  <c r="J75" i="14" s="1"/>
  <c r="K75" i="14" s="1"/>
  <c r="E73" i="14"/>
  <c r="J73" i="14" s="1"/>
  <c r="K73" i="14" s="1"/>
  <c r="E72" i="14"/>
  <c r="J72" i="14" s="1"/>
  <c r="K72" i="14" s="1"/>
  <c r="E71" i="14"/>
  <c r="J71" i="14" s="1"/>
  <c r="K71" i="14" s="1"/>
  <c r="E69" i="14"/>
  <c r="J69" i="14" s="1"/>
  <c r="K69" i="14" s="1"/>
  <c r="E68" i="14"/>
  <c r="J68" i="14" s="1"/>
  <c r="K68" i="14" s="1"/>
  <c r="E67" i="14"/>
  <c r="J67" i="14" s="1"/>
  <c r="K67" i="14" s="1"/>
  <c r="E65" i="14"/>
  <c r="J65" i="14" s="1"/>
  <c r="K65" i="14" s="1"/>
  <c r="E64" i="14"/>
  <c r="J64" i="14" s="1"/>
  <c r="K64" i="14" s="1"/>
  <c r="E63" i="14"/>
  <c r="J63" i="14" s="1"/>
  <c r="K63" i="14" s="1"/>
  <c r="E61" i="14"/>
  <c r="J61" i="14" s="1"/>
  <c r="K61" i="14" s="1"/>
  <c r="E60" i="14"/>
  <c r="J60" i="14" s="1"/>
  <c r="K60" i="14" s="1"/>
  <c r="E59" i="14"/>
  <c r="J59" i="14" s="1"/>
  <c r="K59" i="14" s="1"/>
  <c r="E57" i="14"/>
  <c r="J57" i="14" s="1"/>
  <c r="K57" i="14" s="1"/>
  <c r="E56" i="14"/>
  <c r="J56" i="14" s="1"/>
  <c r="K56" i="14" s="1"/>
  <c r="E55" i="14"/>
  <c r="J55" i="14" s="1"/>
  <c r="K55" i="14" s="1"/>
  <c r="E53" i="14"/>
  <c r="J53" i="14" s="1"/>
  <c r="K53" i="14" s="1"/>
  <c r="E52" i="14"/>
  <c r="J52" i="14" s="1"/>
  <c r="K52" i="14" s="1"/>
  <c r="E51" i="14"/>
  <c r="J51" i="14" s="1"/>
  <c r="K51" i="14" s="1"/>
  <c r="E49" i="14"/>
  <c r="J49" i="14" s="1"/>
  <c r="K49" i="14" s="1"/>
  <c r="E48" i="14"/>
  <c r="J48" i="14" s="1"/>
  <c r="K48" i="14" s="1"/>
  <c r="E47" i="14"/>
  <c r="J47" i="14" s="1"/>
  <c r="K47" i="14" s="1"/>
  <c r="E45" i="14"/>
  <c r="J45" i="14" s="1"/>
  <c r="K45" i="14" s="1"/>
  <c r="E44" i="14"/>
  <c r="J44" i="14" s="1"/>
  <c r="K44" i="14" s="1"/>
  <c r="E43" i="14"/>
  <c r="J43" i="14" s="1"/>
  <c r="K43" i="14" s="1"/>
  <c r="E41" i="14"/>
  <c r="J41" i="14" s="1"/>
  <c r="K41" i="14" s="1"/>
  <c r="E40" i="14"/>
  <c r="J40" i="14" s="1"/>
  <c r="K40" i="14" s="1"/>
  <c r="E39" i="14"/>
  <c r="J39" i="14" s="1"/>
  <c r="K39" i="14" s="1"/>
  <c r="E38" i="14"/>
  <c r="J38" i="14" s="1"/>
  <c r="K38" i="14" s="1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L89" i="14" l="1"/>
  <c r="L101" i="14"/>
  <c r="L74" i="14"/>
  <c r="L41" i="14"/>
  <c r="L56" i="14"/>
  <c r="L68" i="14"/>
  <c r="L53" i="14"/>
  <c r="L62" i="14"/>
  <c r="L71" i="14"/>
  <c r="L38" i="14"/>
  <c r="L83" i="14"/>
  <c r="L47" i="14"/>
  <c r="L65" i="14"/>
  <c r="L80" i="14"/>
  <c r="L86" i="14"/>
  <c r="L95" i="14"/>
  <c r="L44" i="14"/>
  <c r="L50" i="14"/>
  <c r="L59" i="14"/>
  <c r="L77" i="14"/>
  <c r="L92" i="14"/>
  <c r="L98" i="14"/>
  <c r="E50" i="6" l="1"/>
  <c r="J50" i="6" s="1"/>
  <c r="K50" i="6" s="1"/>
  <c r="L50" i="6" s="1"/>
  <c r="E51" i="6"/>
  <c r="J51" i="6" s="1"/>
  <c r="K51" i="6" s="1"/>
  <c r="E52" i="6"/>
  <c r="J52" i="6" s="1"/>
  <c r="K52" i="6" s="1"/>
  <c r="E39" i="6" l="1"/>
  <c r="J39" i="6" s="1"/>
  <c r="K39" i="6" s="1"/>
  <c r="E40" i="6"/>
  <c r="J40" i="6" s="1"/>
  <c r="K40" i="6" s="1"/>
  <c r="E41" i="6"/>
  <c r="J41" i="6" s="1"/>
  <c r="K41" i="6" s="1"/>
  <c r="E42" i="6"/>
  <c r="J42" i="6" s="1"/>
  <c r="K42" i="6" s="1"/>
  <c r="E43" i="6"/>
  <c r="J43" i="6" s="1"/>
  <c r="K43" i="6" s="1"/>
  <c r="E44" i="6"/>
  <c r="J44" i="6" s="1"/>
  <c r="K44" i="6" s="1"/>
  <c r="E45" i="6"/>
  <c r="J45" i="6" s="1"/>
  <c r="K45" i="6" s="1"/>
  <c r="E46" i="6"/>
  <c r="J46" i="6" s="1"/>
  <c r="K46" i="6" s="1"/>
  <c r="E47" i="6"/>
  <c r="J47" i="6" s="1"/>
  <c r="K47" i="6" s="1"/>
  <c r="E48" i="6"/>
  <c r="J48" i="6" s="1"/>
  <c r="K48" i="6" s="1"/>
  <c r="E49" i="6"/>
  <c r="J49" i="6" s="1"/>
  <c r="K49" i="6" s="1"/>
  <c r="E53" i="6"/>
  <c r="J53" i="6" s="1"/>
  <c r="K53" i="6" s="1"/>
  <c r="E54" i="6"/>
  <c r="J54" i="6" s="1"/>
  <c r="K54" i="6" s="1"/>
  <c r="E55" i="6"/>
  <c r="J55" i="6" s="1"/>
  <c r="K55" i="6" s="1"/>
  <c r="E56" i="6"/>
  <c r="J56" i="6" s="1"/>
  <c r="K56" i="6" s="1"/>
  <c r="E57" i="6"/>
  <c r="J57" i="6" s="1"/>
  <c r="K57" i="6" s="1"/>
  <c r="E58" i="6"/>
  <c r="J58" i="6" s="1"/>
  <c r="K58" i="6" s="1"/>
  <c r="E59" i="6"/>
  <c r="J59" i="6" s="1"/>
  <c r="K59" i="6" s="1"/>
  <c r="E60" i="6"/>
  <c r="J60" i="6" s="1"/>
  <c r="K60" i="6" s="1"/>
  <c r="E61" i="6"/>
  <c r="J61" i="6" s="1"/>
  <c r="K61" i="6" s="1"/>
  <c r="E62" i="6"/>
  <c r="J62" i="6" s="1"/>
  <c r="K62" i="6" s="1"/>
  <c r="E63" i="6"/>
  <c r="J63" i="6" s="1"/>
  <c r="K63" i="6" s="1"/>
  <c r="E64" i="6"/>
  <c r="J64" i="6" s="1"/>
  <c r="K64" i="6" s="1"/>
  <c r="E65" i="6"/>
  <c r="J65" i="6" s="1"/>
  <c r="K65" i="6" s="1"/>
  <c r="E66" i="6"/>
  <c r="J66" i="6" s="1"/>
  <c r="K66" i="6" s="1"/>
  <c r="E67" i="6"/>
  <c r="J67" i="6" s="1"/>
  <c r="K67" i="6" s="1"/>
  <c r="E68" i="6"/>
  <c r="J68" i="6" s="1"/>
  <c r="K68" i="6" s="1"/>
  <c r="E69" i="6"/>
  <c r="J69" i="6" s="1"/>
  <c r="K69" i="6" s="1"/>
  <c r="E70" i="6"/>
  <c r="J70" i="6" s="1"/>
  <c r="K70" i="6" s="1"/>
  <c r="E71" i="6"/>
  <c r="J71" i="6" s="1"/>
  <c r="K71" i="6" s="1"/>
  <c r="E72" i="6"/>
  <c r="J72" i="6" s="1"/>
  <c r="K72" i="6" s="1"/>
  <c r="E73" i="6"/>
  <c r="J73" i="6" s="1"/>
  <c r="K73" i="6" s="1"/>
  <c r="E74" i="6"/>
  <c r="J74" i="6" s="1"/>
  <c r="K74" i="6" s="1"/>
  <c r="E75" i="6"/>
  <c r="J75" i="6" s="1"/>
  <c r="K75" i="6" s="1"/>
  <c r="E76" i="6"/>
  <c r="J76" i="6" s="1"/>
  <c r="K76" i="6" s="1"/>
  <c r="E77" i="6"/>
  <c r="J77" i="6" s="1"/>
  <c r="K77" i="6" s="1"/>
  <c r="E78" i="6"/>
  <c r="J78" i="6" s="1"/>
  <c r="K78" i="6" s="1"/>
  <c r="E79" i="6"/>
  <c r="J79" i="6" s="1"/>
  <c r="K79" i="6" s="1"/>
  <c r="E80" i="6"/>
  <c r="J80" i="6" s="1"/>
  <c r="K80" i="6" s="1"/>
  <c r="E81" i="6"/>
  <c r="J81" i="6" s="1"/>
  <c r="K81" i="6" s="1"/>
  <c r="E82" i="6"/>
  <c r="J82" i="6" s="1"/>
  <c r="K82" i="6" s="1"/>
  <c r="E83" i="6"/>
  <c r="J83" i="6" s="1"/>
  <c r="K83" i="6" s="1"/>
  <c r="E84" i="6"/>
  <c r="J84" i="6" s="1"/>
  <c r="K84" i="6" s="1"/>
  <c r="E85" i="6"/>
  <c r="J85" i="6" s="1"/>
  <c r="K85" i="6" s="1"/>
  <c r="E86" i="6"/>
  <c r="J86" i="6" s="1"/>
  <c r="K86" i="6" s="1"/>
  <c r="E87" i="6"/>
  <c r="J87" i="6" s="1"/>
  <c r="K87" i="6" s="1"/>
  <c r="E88" i="6"/>
  <c r="J88" i="6" s="1"/>
  <c r="K88" i="6" s="1"/>
  <c r="E89" i="6"/>
  <c r="J89" i="6" s="1"/>
  <c r="K89" i="6" s="1"/>
  <c r="E90" i="6"/>
  <c r="J90" i="6" s="1"/>
  <c r="K90" i="6" s="1"/>
  <c r="E91" i="6"/>
  <c r="J91" i="6" s="1"/>
  <c r="K91" i="6" s="1"/>
  <c r="E92" i="6"/>
  <c r="J92" i="6" s="1"/>
  <c r="K92" i="6" s="1"/>
  <c r="E93" i="6"/>
  <c r="J93" i="6" s="1"/>
  <c r="K93" i="6" s="1"/>
  <c r="E94" i="6"/>
  <c r="J94" i="6" s="1"/>
  <c r="K94" i="6" s="1"/>
  <c r="E95" i="6"/>
  <c r="J95" i="6" s="1"/>
  <c r="K95" i="6" s="1"/>
  <c r="E96" i="6"/>
  <c r="J96" i="6" s="1"/>
  <c r="K96" i="6" s="1"/>
  <c r="E97" i="6"/>
  <c r="J97" i="6" s="1"/>
  <c r="K97" i="6" s="1"/>
  <c r="E98" i="6"/>
  <c r="J98" i="6" s="1"/>
  <c r="K98" i="6" s="1"/>
  <c r="E99" i="6"/>
  <c r="J99" i="6" s="1"/>
  <c r="K99" i="6" s="1"/>
  <c r="E100" i="6"/>
  <c r="J100" i="6" s="1"/>
  <c r="K100" i="6" s="1"/>
  <c r="E101" i="6"/>
  <c r="J101" i="6" s="1"/>
  <c r="K101" i="6" s="1"/>
  <c r="E102" i="6"/>
  <c r="J102" i="6" s="1"/>
  <c r="K102" i="6" s="1"/>
  <c r="E103" i="6"/>
  <c r="J103" i="6" s="1"/>
  <c r="K103" i="6" s="1"/>
  <c r="E38" i="6"/>
  <c r="J38" i="6" s="1"/>
  <c r="K38" i="6" s="1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43" i="10"/>
  <c r="J43" i="10" s="1"/>
  <c r="K43" i="10" s="1"/>
  <c r="E47" i="10"/>
  <c r="J47" i="10" s="1"/>
  <c r="K47" i="10" s="1"/>
  <c r="E51" i="10"/>
  <c r="J51" i="10" s="1"/>
  <c r="K51" i="10" s="1"/>
  <c r="E55" i="10"/>
  <c r="J55" i="10" s="1"/>
  <c r="K55" i="10" s="1"/>
  <c r="E59" i="10"/>
  <c r="J59" i="10" s="1"/>
  <c r="K59" i="10" s="1"/>
  <c r="E63" i="10"/>
  <c r="J63" i="10" s="1"/>
  <c r="K63" i="10" s="1"/>
  <c r="E67" i="10"/>
  <c r="J67" i="10" s="1"/>
  <c r="K67" i="10" s="1"/>
  <c r="E71" i="10"/>
  <c r="J71" i="10" s="1"/>
  <c r="K71" i="10" s="1"/>
  <c r="E75" i="10"/>
  <c r="J75" i="10" s="1"/>
  <c r="K75" i="10" s="1"/>
  <c r="E79" i="10"/>
  <c r="J79" i="10" s="1"/>
  <c r="K79" i="10" s="1"/>
  <c r="E83" i="10"/>
  <c r="J83" i="10" s="1"/>
  <c r="K83" i="10" s="1"/>
  <c r="E87" i="10"/>
  <c r="J87" i="10" s="1"/>
  <c r="K87" i="10" s="1"/>
  <c r="E91" i="10"/>
  <c r="J91" i="10" s="1"/>
  <c r="K91" i="10" s="1"/>
  <c r="E95" i="10"/>
  <c r="J95" i="10" s="1"/>
  <c r="K95" i="10" s="1"/>
  <c r="E99" i="10"/>
  <c r="J99" i="10" s="1"/>
  <c r="K99" i="10" s="1"/>
  <c r="E103" i="10"/>
  <c r="J103" i="10" s="1"/>
  <c r="K103" i="10" s="1"/>
  <c r="E42" i="10"/>
  <c r="J42" i="10" s="1"/>
  <c r="K42" i="10" s="1"/>
  <c r="E44" i="10"/>
  <c r="J44" i="10" s="1"/>
  <c r="K44" i="10" s="1"/>
  <c r="E45" i="10"/>
  <c r="J45" i="10" s="1"/>
  <c r="K45" i="10" s="1"/>
  <c r="L44" i="10" s="1"/>
  <c r="E46" i="10"/>
  <c r="J46" i="10" s="1"/>
  <c r="K46" i="10" s="1"/>
  <c r="E48" i="10"/>
  <c r="J48" i="10" s="1"/>
  <c r="K48" i="10" s="1"/>
  <c r="E49" i="10"/>
  <c r="J49" i="10" s="1"/>
  <c r="K49" i="10" s="1"/>
  <c r="E50" i="10"/>
  <c r="J50" i="10" s="1"/>
  <c r="K50" i="10" s="1"/>
  <c r="E52" i="10"/>
  <c r="J52" i="10" s="1"/>
  <c r="K52" i="10" s="1"/>
  <c r="E53" i="10"/>
  <c r="J53" i="10" s="1"/>
  <c r="K53" i="10" s="1"/>
  <c r="L53" i="10" s="1"/>
  <c r="E54" i="10"/>
  <c r="J54" i="10" s="1"/>
  <c r="K54" i="10" s="1"/>
  <c r="E56" i="10"/>
  <c r="J56" i="10" s="1"/>
  <c r="K56" i="10" s="1"/>
  <c r="E57" i="10"/>
  <c r="J57" i="10" s="1"/>
  <c r="K57" i="10" s="1"/>
  <c r="E58" i="10"/>
  <c r="J58" i="10" s="1"/>
  <c r="K58" i="10" s="1"/>
  <c r="E60" i="10"/>
  <c r="J60" i="10" s="1"/>
  <c r="K60" i="10" s="1"/>
  <c r="E61" i="10"/>
  <c r="J61" i="10" s="1"/>
  <c r="K61" i="10" s="1"/>
  <c r="E62" i="10"/>
  <c r="J62" i="10" s="1"/>
  <c r="K62" i="10" s="1"/>
  <c r="E64" i="10"/>
  <c r="J64" i="10" s="1"/>
  <c r="K64" i="10" s="1"/>
  <c r="E65" i="10"/>
  <c r="J65" i="10" s="1"/>
  <c r="K65" i="10" s="1"/>
  <c r="E66" i="10"/>
  <c r="J66" i="10" s="1"/>
  <c r="K66" i="10" s="1"/>
  <c r="E68" i="10"/>
  <c r="J68" i="10" s="1"/>
  <c r="K68" i="10" s="1"/>
  <c r="E69" i="10"/>
  <c r="J69" i="10" s="1"/>
  <c r="K69" i="10" s="1"/>
  <c r="E70" i="10"/>
  <c r="J70" i="10" s="1"/>
  <c r="K70" i="10" s="1"/>
  <c r="E72" i="10"/>
  <c r="J72" i="10" s="1"/>
  <c r="K72" i="10" s="1"/>
  <c r="E73" i="10"/>
  <c r="J73" i="10" s="1"/>
  <c r="K73" i="10" s="1"/>
  <c r="E74" i="10"/>
  <c r="J74" i="10" s="1"/>
  <c r="K74" i="10" s="1"/>
  <c r="E76" i="10"/>
  <c r="J76" i="10" s="1"/>
  <c r="K76" i="10" s="1"/>
  <c r="E77" i="10"/>
  <c r="J77" i="10" s="1"/>
  <c r="K77" i="10" s="1"/>
  <c r="E78" i="10"/>
  <c r="J78" i="10" s="1"/>
  <c r="K78" i="10" s="1"/>
  <c r="E80" i="10"/>
  <c r="J80" i="10" s="1"/>
  <c r="K80" i="10" s="1"/>
  <c r="E81" i="10"/>
  <c r="J81" i="10" s="1"/>
  <c r="K81" i="10" s="1"/>
  <c r="E82" i="10"/>
  <c r="J82" i="10" s="1"/>
  <c r="K82" i="10" s="1"/>
  <c r="E84" i="10"/>
  <c r="J84" i="10" s="1"/>
  <c r="K84" i="10" s="1"/>
  <c r="E85" i="10"/>
  <c r="J85" i="10" s="1"/>
  <c r="K85" i="10" s="1"/>
  <c r="E86" i="10"/>
  <c r="J86" i="10" s="1"/>
  <c r="K86" i="10" s="1"/>
  <c r="E88" i="10"/>
  <c r="J88" i="10" s="1"/>
  <c r="K88" i="10" s="1"/>
  <c r="E89" i="10"/>
  <c r="J89" i="10" s="1"/>
  <c r="K89" i="10" s="1"/>
  <c r="E90" i="10"/>
  <c r="J90" i="10" s="1"/>
  <c r="K90" i="10" s="1"/>
  <c r="E92" i="10"/>
  <c r="J92" i="10" s="1"/>
  <c r="K92" i="10" s="1"/>
  <c r="E93" i="10"/>
  <c r="J93" i="10" s="1"/>
  <c r="K93" i="10" s="1"/>
  <c r="L92" i="10" s="1"/>
  <c r="E94" i="10"/>
  <c r="J94" i="10" s="1"/>
  <c r="K94" i="10" s="1"/>
  <c r="E96" i="10"/>
  <c r="J96" i="10" s="1"/>
  <c r="K96" i="10" s="1"/>
  <c r="E97" i="10"/>
  <c r="J97" i="10" s="1"/>
  <c r="K97" i="10" s="1"/>
  <c r="E98" i="10"/>
  <c r="J98" i="10" s="1"/>
  <c r="K98" i="10" s="1"/>
  <c r="E100" i="10"/>
  <c r="J100" i="10" s="1"/>
  <c r="K100" i="10" s="1"/>
  <c r="E101" i="10"/>
  <c r="J101" i="10" s="1"/>
  <c r="K101" i="10" s="1"/>
  <c r="L101" i="10" s="1"/>
  <c r="E102" i="10"/>
  <c r="J102" i="10" s="1"/>
  <c r="K102" i="10" s="1"/>
  <c r="E41" i="10"/>
  <c r="J41" i="10" s="1"/>
  <c r="K41" i="10" s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" i="10"/>
  <c r="J51" i="5"/>
  <c r="K51" i="5" s="1"/>
  <c r="J59" i="5"/>
  <c r="K59" i="5" s="1"/>
  <c r="E39" i="5"/>
  <c r="J39" i="5" s="1"/>
  <c r="K39" i="5" s="1"/>
  <c r="E40" i="5"/>
  <c r="J40" i="5" s="1"/>
  <c r="K40" i="5" s="1"/>
  <c r="E43" i="5"/>
  <c r="J43" i="5" s="1"/>
  <c r="K43" i="5" s="1"/>
  <c r="E44" i="5"/>
  <c r="J44" i="5" s="1"/>
  <c r="K44" i="5" s="1"/>
  <c r="E47" i="5"/>
  <c r="J47" i="5" s="1"/>
  <c r="K47" i="5" s="1"/>
  <c r="E48" i="5"/>
  <c r="J48" i="5" s="1"/>
  <c r="K48" i="5" s="1"/>
  <c r="E51" i="5"/>
  <c r="E52" i="5"/>
  <c r="J52" i="5" s="1"/>
  <c r="K52" i="5" s="1"/>
  <c r="E55" i="5"/>
  <c r="J55" i="5" s="1"/>
  <c r="K55" i="5" s="1"/>
  <c r="E56" i="5"/>
  <c r="J56" i="5" s="1"/>
  <c r="K56" i="5" s="1"/>
  <c r="E59" i="5"/>
  <c r="E60" i="5"/>
  <c r="J60" i="5" s="1"/>
  <c r="K60" i="5" s="1"/>
  <c r="E63" i="5"/>
  <c r="J63" i="5" s="1"/>
  <c r="K63" i="5" s="1"/>
  <c r="E64" i="5"/>
  <c r="J64" i="5" s="1"/>
  <c r="K64" i="5" s="1"/>
  <c r="E67" i="5"/>
  <c r="J67" i="5" s="1"/>
  <c r="K67" i="5" s="1"/>
  <c r="E68" i="5"/>
  <c r="J68" i="5" s="1"/>
  <c r="K68" i="5" s="1"/>
  <c r="E71" i="5"/>
  <c r="J71" i="5" s="1"/>
  <c r="K71" i="5" s="1"/>
  <c r="E72" i="5"/>
  <c r="J72" i="5" s="1"/>
  <c r="K72" i="5" s="1"/>
  <c r="E75" i="5"/>
  <c r="J75" i="5" s="1"/>
  <c r="K75" i="5" s="1"/>
  <c r="E76" i="5"/>
  <c r="J76" i="5" s="1"/>
  <c r="K76" i="5" s="1"/>
  <c r="E79" i="5"/>
  <c r="J79" i="5" s="1"/>
  <c r="K79" i="5" s="1"/>
  <c r="E80" i="5"/>
  <c r="J80" i="5" s="1"/>
  <c r="K80" i="5" s="1"/>
  <c r="E83" i="5"/>
  <c r="J83" i="5" s="1"/>
  <c r="K83" i="5" s="1"/>
  <c r="E84" i="5"/>
  <c r="J84" i="5" s="1"/>
  <c r="K84" i="5" s="1"/>
  <c r="E87" i="5"/>
  <c r="J87" i="5" s="1"/>
  <c r="K87" i="5" s="1"/>
  <c r="E88" i="5"/>
  <c r="J88" i="5" s="1"/>
  <c r="K88" i="5" s="1"/>
  <c r="E91" i="5"/>
  <c r="J91" i="5" s="1"/>
  <c r="K91" i="5" s="1"/>
  <c r="E38" i="5"/>
  <c r="J38" i="5" s="1"/>
  <c r="K38" i="5" s="1"/>
  <c r="E41" i="5"/>
  <c r="J41" i="5" s="1"/>
  <c r="K41" i="5" s="1"/>
  <c r="E42" i="5"/>
  <c r="J42" i="5" s="1"/>
  <c r="K42" i="5" s="1"/>
  <c r="E45" i="5"/>
  <c r="J45" i="5" s="1"/>
  <c r="K45" i="5" s="1"/>
  <c r="E46" i="5"/>
  <c r="J46" i="5" s="1"/>
  <c r="K46" i="5" s="1"/>
  <c r="E49" i="5"/>
  <c r="J49" i="5" s="1"/>
  <c r="K49" i="5" s="1"/>
  <c r="E50" i="5"/>
  <c r="J50" i="5" s="1"/>
  <c r="K50" i="5" s="1"/>
  <c r="L50" i="5" s="1"/>
  <c r="E53" i="5"/>
  <c r="J53" i="5" s="1"/>
  <c r="K53" i="5" s="1"/>
  <c r="E54" i="5"/>
  <c r="J54" i="5" s="1"/>
  <c r="K54" i="5" s="1"/>
  <c r="E57" i="5"/>
  <c r="J57" i="5" s="1"/>
  <c r="K57" i="5" s="1"/>
  <c r="E58" i="5"/>
  <c r="J58" i="5" s="1"/>
  <c r="K58" i="5" s="1"/>
  <c r="E61" i="5"/>
  <c r="J61" i="5" s="1"/>
  <c r="K61" i="5" s="1"/>
  <c r="E62" i="5"/>
  <c r="J62" i="5" s="1"/>
  <c r="K62" i="5" s="1"/>
  <c r="E65" i="5"/>
  <c r="J65" i="5" s="1"/>
  <c r="K65" i="5" s="1"/>
  <c r="E66" i="5"/>
  <c r="J66" i="5" s="1"/>
  <c r="K66" i="5" s="1"/>
  <c r="E69" i="5"/>
  <c r="J69" i="5" s="1"/>
  <c r="K69" i="5" s="1"/>
  <c r="E70" i="5"/>
  <c r="J70" i="5" s="1"/>
  <c r="K70" i="5" s="1"/>
  <c r="E73" i="5"/>
  <c r="J73" i="5" s="1"/>
  <c r="K73" i="5" s="1"/>
  <c r="E74" i="5"/>
  <c r="J74" i="5" s="1"/>
  <c r="K74" i="5" s="1"/>
  <c r="E77" i="5"/>
  <c r="J77" i="5" s="1"/>
  <c r="K77" i="5" s="1"/>
  <c r="E78" i="5"/>
  <c r="J78" i="5" s="1"/>
  <c r="K78" i="5" s="1"/>
  <c r="E81" i="5"/>
  <c r="J81" i="5" s="1"/>
  <c r="K81" i="5" s="1"/>
  <c r="E82" i="5"/>
  <c r="J82" i="5" s="1"/>
  <c r="K82" i="5" s="1"/>
  <c r="E85" i="5"/>
  <c r="J85" i="5" s="1"/>
  <c r="K85" i="5" s="1"/>
  <c r="E86" i="5"/>
  <c r="J86" i="5" s="1"/>
  <c r="K86" i="5" s="1"/>
  <c r="E89" i="5"/>
  <c r="J89" i="5" s="1"/>
  <c r="K89" i="5" s="1"/>
  <c r="E90" i="5"/>
  <c r="J90" i="5" s="1"/>
  <c r="K90" i="5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" i="5"/>
  <c r="L89" i="10" l="1"/>
  <c r="L77" i="10"/>
  <c r="L65" i="10"/>
  <c r="L89" i="5"/>
  <c r="L65" i="5"/>
  <c r="L41" i="5"/>
  <c r="L86" i="5"/>
  <c r="L62" i="5"/>
  <c r="L53" i="5"/>
  <c r="L77" i="5"/>
  <c r="L80" i="5"/>
  <c r="L56" i="5"/>
  <c r="L41" i="10"/>
  <c r="L80" i="10"/>
  <c r="L68" i="10"/>
  <c r="L56" i="10"/>
  <c r="L83" i="10"/>
  <c r="L71" i="5"/>
  <c r="L47" i="5"/>
  <c r="L59" i="5"/>
  <c r="L59" i="10"/>
  <c r="L74" i="5"/>
  <c r="L71" i="10"/>
  <c r="L38" i="5"/>
  <c r="L68" i="5"/>
  <c r="L44" i="5"/>
  <c r="L83" i="5"/>
  <c r="L47" i="10"/>
  <c r="L95" i="10"/>
  <c r="L98" i="10"/>
  <c r="L86" i="10"/>
  <c r="L74" i="10"/>
  <c r="L62" i="10"/>
  <c r="L50" i="10"/>
  <c r="L41" i="6"/>
  <c r="L98" i="6"/>
  <c r="L86" i="6"/>
  <c r="L74" i="6"/>
  <c r="L62" i="6"/>
  <c r="L47" i="6"/>
  <c r="L38" i="6"/>
  <c r="L95" i="6"/>
  <c r="L101" i="6"/>
  <c r="L77" i="6"/>
  <c r="L53" i="6"/>
  <c r="L65" i="6"/>
  <c r="L92" i="6"/>
  <c r="L80" i="6"/>
  <c r="L68" i="6"/>
  <c r="L89" i="6"/>
  <c r="L56" i="6"/>
  <c r="L83" i="6"/>
  <c r="L71" i="6"/>
  <c r="L59" i="6"/>
  <c r="L44" i="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T10" i="2" l="1"/>
  <c r="T12" i="2" s="1"/>
  <c r="T13" i="2"/>
  <c r="T11" i="2"/>
  <c r="D42" i="2" l="1"/>
  <c r="E42" i="2" s="1"/>
  <c r="J42" i="2" s="1"/>
  <c r="K42" i="2" s="1"/>
  <c r="D46" i="2"/>
  <c r="E46" i="2" s="1"/>
  <c r="J46" i="2" s="1"/>
  <c r="K46" i="2" s="1"/>
  <c r="D50" i="2"/>
  <c r="E50" i="2" s="1"/>
  <c r="J50" i="2" s="1"/>
  <c r="K50" i="2" s="1"/>
  <c r="D54" i="2"/>
  <c r="E54" i="2" s="1"/>
  <c r="J54" i="2" s="1"/>
  <c r="K54" i="2" s="1"/>
  <c r="D58" i="2"/>
  <c r="E58" i="2" s="1"/>
  <c r="J58" i="2" s="1"/>
  <c r="K58" i="2" s="1"/>
  <c r="D62" i="2"/>
  <c r="E62" i="2" s="1"/>
  <c r="J62" i="2" s="1"/>
  <c r="K62" i="2" s="1"/>
  <c r="D66" i="2"/>
  <c r="E66" i="2" s="1"/>
  <c r="J66" i="2" s="1"/>
  <c r="K66" i="2" s="1"/>
  <c r="D70" i="2"/>
  <c r="E70" i="2" s="1"/>
  <c r="J70" i="2" s="1"/>
  <c r="K70" i="2" s="1"/>
  <c r="D74" i="2"/>
  <c r="E74" i="2" s="1"/>
  <c r="J74" i="2" s="1"/>
  <c r="K74" i="2" s="1"/>
  <c r="D78" i="2"/>
  <c r="E78" i="2" s="1"/>
  <c r="J78" i="2" s="1"/>
  <c r="K78" i="2" s="1"/>
  <c r="D82" i="2"/>
  <c r="E82" i="2" s="1"/>
  <c r="J82" i="2" s="1"/>
  <c r="K82" i="2" s="1"/>
  <c r="D86" i="2"/>
  <c r="E86" i="2" s="1"/>
  <c r="J86" i="2" s="1"/>
  <c r="K86" i="2" s="1"/>
  <c r="D90" i="2"/>
  <c r="E90" i="2" s="1"/>
  <c r="J90" i="2" s="1"/>
  <c r="K90" i="2" s="1"/>
  <c r="D94" i="2"/>
  <c r="E94" i="2" s="1"/>
  <c r="J94" i="2" s="1"/>
  <c r="K94" i="2" s="1"/>
  <c r="D98" i="2"/>
  <c r="E98" i="2" s="1"/>
  <c r="J98" i="2" s="1"/>
  <c r="K98" i="2" s="1"/>
  <c r="D102" i="2"/>
  <c r="E102" i="2" s="1"/>
  <c r="J102" i="2" s="1"/>
  <c r="K102" i="2" s="1"/>
  <c r="D44" i="2"/>
  <c r="E44" i="2" s="1"/>
  <c r="J44" i="2" s="1"/>
  <c r="K44" i="2" s="1"/>
  <c r="D48" i="2"/>
  <c r="E48" i="2" s="1"/>
  <c r="J48" i="2" s="1"/>
  <c r="K48" i="2" s="1"/>
  <c r="D52" i="2"/>
  <c r="E52" i="2" s="1"/>
  <c r="J52" i="2" s="1"/>
  <c r="K52" i="2" s="1"/>
  <c r="D56" i="2"/>
  <c r="E56" i="2" s="1"/>
  <c r="J56" i="2" s="1"/>
  <c r="K56" i="2" s="1"/>
  <c r="D60" i="2"/>
  <c r="E60" i="2" s="1"/>
  <c r="J60" i="2" s="1"/>
  <c r="K60" i="2" s="1"/>
  <c r="D68" i="2"/>
  <c r="E68" i="2" s="1"/>
  <c r="J68" i="2" s="1"/>
  <c r="K68" i="2" s="1"/>
  <c r="D72" i="2"/>
  <c r="E72" i="2" s="1"/>
  <c r="J72" i="2" s="1"/>
  <c r="K72" i="2" s="1"/>
  <c r="D80" i="2"/>
  <c r="E80" i="2" s="1"/>
  <c r="J80" i="2" s="1"/>
  <c r="K80" i="2" s="1"/>
  <c r="L80" i="2" s="1"/>
  <c r="D88" i="2"/>
  <c r="E88" i="2" s="1"/>
  <c r="J88" i="2" s="1"/>
  <c r="K88" i="2" s="1"/>
  <c r="D96" i="2"/>
  <c r="E96" i="2" s="1"/>
  <c r="J96" i="2" s="1"/>
  <c r="K96" i="2" s="1"/>
  <c r="D100" i="2"/>
  <c r="E100" i="2" s="1"/>
  <c r="J100" i="2" s="1"/>
  <c r="K100" i="2" s="1"/>
  <c r="D45" i="2"/>
  <c r="E45" i="2" s="1"/>
  <c r="J45" i="2" s="1"/>
  <c r="K45" i="2" s="1"/>
  <c r="D53" i="2"/>
  <c r="E53" i="2" s="1"/>
  <c r="J53" i="2" s="1"/>
  <c r="K53" i="2" s="1"/>
  <c r="D61" i="2"/>
  <c r="E61" i="2" s="1"/>
  <c r="J61" i="2" s="1"/>
  <c r="K61" i="2" s="1"/>
  <c r="D65" i="2"/>
  <c r="E65" i="2" s="1"/>
  <c r="J65" i="2" s="1"/>
  <c r="K65" i="2" s="1"/>
  <c r="L65" i="2" s="1"/>
  <c r="D73" i="2"/>
  <c r="E73" i="2" s="1"/>
  <c r="J73" i="2" s="1"/>
  <c r="K73" i="2" s="1"/>
  <c r="D81" i="2"/>
  <c r="E81" i="2" s="1"/>
  <c r="J81" i="2" s="1"/>
  <c r="K81" i="2" s="1"/>
  <c r="D89" i="2"/>
  <c r="E89" i="2" s="1"/>
  <c r="J89" i="2" s="1"/>
  <c r="K89" i="2" s="1"/>
  <c r="D97" i="2"/>
  <c r="E97" i="2" s="1"/>
  <c r="J97" i="2" s="1"/>
  <c r="K97" i="2" s="1"/>
  <c r="D43" i="2"/>
  <c r="E43" i="2" s="1"/>
  <c r="J43" i="2" s="1"/>
  <c r="K43" i="2" s="1"/>
  <c r="D47" i="2"/>
  <c r="E47" i="2" s="1"/>
  <c r="J47" i="2" s="1"/>
  <c r="K47" i="2" s="1"/>
  <c r="D51" i="2"/>
  <c r="E51" i="2" s="1"/>
  <c r="J51" i="2" s="1"/>
  <c r="K51" i="2" s="1"/>
  <c r="D55" i="2"/>
  <c r="E55" i="2" s="1"/>
  <c r="J55" i="2" s="1"/>
  <c r="K55" i="2" s="1"/>
  <c r="D59" i="2"/>
  <c r="E59" i="2" s="1"/>
  <c r="J59" i="2" s="1"/>
  <c r="K59" i="2" s="1"/>
  <c r="L59" i="2" s="1"/>
  <c r="D63" i="2"/>
  <c r="E63" i="2" s="1"/>
  <c r="J63" i="2" s="1"/>
  <c r="K63" i="2" s="1"/>
  <c r="D67" i="2"/>
  <c r="E67" i="2" s="1"/>
  <c r="J67" i="2" s="1"/>
  <c r="K67" i="2" s="1"/>
  <c r="D71" i="2"/>
  <c r="E71" i="2" s="1"/>
  <c r="J71" i="2" s="1"/>
  <c r="K71" i="2" s="1"/>
  <c r="L71" i="2" s="1"/>
  <c r="D75" i="2"/>
  <c r="E75" i="2" s="1"/>
  <c r="J75" i="2" s="1"/>
  <c r="K75" i="2" s="1"/>
  <c r="D79" i="2"/>
  <c r="E79" i="2" s="1"/>
  <c r="J79" i="2" s="1"/>
  <c r="K79" i="2" s="1"/>
  <c r="D83" i="2"/>
  <c r="E83" i="2" s="1"/>
  <c r="J83" i="2" s="1"/>
  <c r="K83" i="2" s="1"/>
  <c r="D87" i="2"/>
  <c r="E87" i="2" s="1"/>
  <c r="J87" i="2" s="1"/>
  <c r="K87" i="2" s="1"/>
  <c r="D91" i="2"/>
  <c r="E91" i="2" s="1"/>
  <c r="J91" i="2" s="1"/>
  <c r="K91" i="2" s="1"/>
  <c r="D95" i="2"/>
  <c r="E95" i="2" s="1"/>
  <c r="J95" i="2" s="1"/>
  <c r="K95" i="2" s="1"/>
  <c r="D99" i="2"/>
  <c r="E99" i="2" s="1"/>
  <c r="J99" i="2" s="1"/>
  <c r="K99" i="2" s="1"/>
  <c r="D103" i="2"/>
  <c r="E103" i="2" s="1"/>
  <c r="J103" i="2" s="1"/>
  <c r="K103" i="2" s="1"/>
  <c r="D64" i="2"/>
  <c r="E64" i="2" s="1"/>
  <c r="J64" i="2" s="1"/>
  <c r="K64" i="2" s="1"/>
  <c r="D76" i="2"/>
  <c r="E76" i="2" s="1"/>
  <c r="J76" i="2" s="1"/>
  <c r="K76" i="2" s="1"/>
  <c r="D84" i="2"/>
  <c r="E84" i="2" s="1"/>
  <c r="J84" i="2" s="1"/>
  <c r="K84" i="2" s="1"/>
  <c r="D92" i="2"/>
  <c r="E92" i="2" s="1"/>
  <c r="J92" i="2" s="1"/>
  <c r="K92" i="2" s="1"/>
  <c r="D38" i="2"/>
  <c r="E38" i="2" s="1"/>
  <c r="J38" i="2" s="1"/>
  <c r="K38" i="2" s="1"/>
  <c r="L38" i="2" s="1"/>
  <c r="D39" i="2"/>
  <c r="E39" i="2" s="1"/>
  <c r="J39" i="2" s="1"/>
  <c r="K39" i="2" s="1"/>
  <c r="D49" i="2"/>
  <c r="E49" i="2" s="1"/>
  <c r="J49" i="2" s="1"/>
  <c r="K49" i="2" s="1"/>
  <c r="D57" i="2"/>
  <c r="E57" i="2" s="1"/>
  <c r="J57" i="2" s="1"/>
  <c r="K57" i="2" s="1"/>
  <c r="D69" i="2"/>
  <c r="E69" i="2" s="1"/>
  <c r="J69" i="2" s="1"/>
  <c r="K69" i="2" s="1"/>
  <c r="D77" i="2"/>
  <c r="E77" i="2" s="1"/>
  <c r="J77" i="2" s="1"/>
  <c r="K77" i="2" s="1"/>
  <c r="L77" i="2" s="1"/>
  <c r="D85" i="2"/>
  <c r="E85" i="2" s="1"/>
  <c r="J85" i="2" s="1"/>
  <c r="K85" i="2" s="1"/>
  <c r="D93" i="2"/>
  <c r="E93" i="2" s="1"/>
  <c r="J93" i="2" s="1"/>
  <c r="K93" i="2" s="1"/>
  <c r="D101" i="2"/>
  <c r="E101" i="2" s="1"/>
  <c r="J101" i="2" s="1"/>
  <c r="K101" i="2" s="1"/>
  <c r="L101" i="2" s="1"/>
  <c r="D41" i="2"/>
  <c r="E41" i="2" s="1"/>
  <c r="J41" i="2" s="1"/>
  <c r="K41" i="2" s="1"/>
  <c r="L41" i="2" s="1"/>
  <c r="D40" i="2"/>
  <c r="E40" i="2" s="1"/>
  <c r="J40" i="2" s="1"/>
  <c r="K40" i="2" s="1"/>
  <c r="L56" i="2" l="1"/>
  <c r="L86" i="2"/>
  <c r="L92" i="2"/>
  <c r="L98" i="2"/>
  <c r="L50" i="2"/>
  <c r="L83" i="2"/>
  <c r="L89" i="2"/>
  <c r="L68" i="2"/>
  <c r="L62" i="2"/>
  <c r="L95" i="2"/>
  <c r="L47" i="2"/>
  <c r="L53" i="2"/>
  <c r="L44" i="2"/>
  <c r="L74" i="2"/>
</calcChain>
</file>

<file path=xl/sharedStrings.xml><?xml version="1.0" encoding="utf-8"?>
<sst xmlns="http://schemas.openxmlformats.org/spreadsheetml/2006/main" count="2423" uniqueCount="254">
  <si>
    <t>Well</t>
  </si>
  <si>
    <t>A10</t>
  </si>
  <si>
    <t>A11</t>
  </si>
  <si>
    <t>A12</t>
  </si>
  <si>
    <t>B10</t>
  </si>
  <si>
    <t>B11</t>
  </si>
  <si>
    <t>B12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</si>
  <si>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</si>
  <si>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</si>
  <si>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</si>
  <si>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</si>
  <si>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</si>
  <si>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</si>
  <si>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</si>
  <si>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</si>
  <si>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</si>
  <si>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F10</t>
  </si>
  <si>
    <t>F11</t>
  </si>
  <si>
    <t>F12</t>
  </si>
  <si>
    <t>G10</t>
  </si>
  <si>
    <t>G11</t>
  </si>
  <si>
    <t>G12</t>
  </si>
  <si>
    <t>H10</t>
  </si>
  <si>
    <t>H11</t>
  </si>
  <si>
    <t>H12</t>
  </si>
  <si>
    <t>Sample</t>
  </si>
  <si>
    <t>Cq</t>
  </si>
  <si>
    <t>Std 10^8</t>
  </si>
  <si>
    <t>Std 10^7</t>
  </si>
  <si>
    <t>Std 10^6</t>
  </si>
  <si>
    <t>Std 10^5</t>
  </si>
  <si>
    <t>Std 10^4</t>
  </si>
  <si>
    <t>Std 10^3</t>
  </si>
  <si>
    <t>Std 10^2</t>
  </si>
  <si>
    <t>Std 10^1</t>
  </si>
  <si>
    <t>Std 10^0</t>
  </si>
  <si>
    <t>NTC</t>
  </si>
  <si>
    <t>NA</t>
  </si>
  <si>
    <t>Holding Tank</t>
  </si>
  <si>
    <t>Source Water</t>
  </si>
  <si>
    <t>Pre-Upstream</t>
  </si>
  <si>
    <t>Pre-Downstream</t>
  </si>
  <si>
    <t>Manure_a</t>
  </si>
  <si>
    <t>Manure_b</t>
  </si>
  <si>
    <t>Manure_c</t>
  </si>
  <si>
    <t>Manure_d</t>
  </si>
  <si>
    <t>Manure_e</t>
  </si>
  <si>
    <t>Manure_f</t>
  </si>
  <si>
    <t>Pre-Soil Sample 1_a</t>
  </si>
  <si>
    <t>Pre-Soil Sample 1_b</t>
  </si>
  <si>
    <t>Pre-Soil Sample 1_c</t>
  </si>
  <si>
    <t>Pre-Soil Sample 2_a</t>
  </si>
  <si>
    <t>Pre-Soil Sample 2_b</t>
  </si>
  <si>
    <t>Pre-Soil Sample 2_c</t>
  </si>
  <si>
    <t>Pre-Soil Sample 3_a</t>
  </si>
  <si>
    <t>Pre-Soil Sample 3_b</t>
  </si>
  <si>
    <t>Pre-Soil Sample 3_c</t>
  </si>
  <si>
    <t>Pre-Soil Sample 4_a</t>
  </si>
  <si>
    <t>Pre-Soil Sample 4_b</t>
  </si>
  <si>
    <t>Pre-Soil Sample 4_c</t>
  </si>
  <si>
    <t>log</t>
  </si>
  <si>
    <t>10^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</si>
  <si>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</si>
  <si>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</si>
  <si>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</si>
  <si>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</si>
  <si>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</si>
  <si>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</si>
  <si>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</si>
  <si>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</si>
  <si>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</si>
  <si>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</si>
  <si>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</si>
  <si>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</si>
  <si>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</si>
  <si>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</si>
  <si>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</si>
  <si>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</si>
  <si>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</si>
  <si>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</si>
  <si>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</si>
  <si>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</si>
  <si>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</si>
  <si>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</si>
  <si>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</si>
  <si>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</si>
  <si>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</si>
  <si>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</si>
  <si>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</si>
  <si>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</si>
  <si>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</si>
  <si>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</si>
  <si>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</si>
  <si>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</si>
  <si>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</si>
  <si>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</si>
  <si>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</si>
  <si>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</si>
  <si>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</si>
  <si>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</si>
  <si>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</si>
  <si>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</si>
  <si>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</si>
  <si>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</si>
  <si>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</si>
  <si>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</si>
  <si>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</si>
  <si>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</si>
  <si>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</si>
  <si>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</si>
  <si>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</si>
  <si>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</si>
  <si>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</si>
  <si>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</si>
  <si>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</si>
  <si>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</si>
  <si>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</si>
  <si>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</si>
  <si>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</si>
  <si>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</si>
  <si>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</si>
  <si>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</si>
  <si>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</si>
  <si>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</si>
  <si>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</si>
  <si>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</si>
  <si>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</si>
  <si>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</si>
  <si>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</si>
  <si>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</si>
  <si>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</si>
  <si>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</si>
  <si>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</si>
  <si>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</si>
  <si>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Upstream 1</t>
  </si>
  <si>
    <t>Upstream 2</t>
  </si>
  <si>
    <t>Upstream 3</t>
  </si>
  <si>
    <t>Upstream 4</t>
  </si>
  <si>
    <t>Upstream 5</t>
  </si>
  <si>
    <t>Upstream 6</t>
  </si>
  <si>
    <t>Upstream 7</t>
  </si>
  <si>
    <t>Upstream 8</t>
  </si>
  <si>
    <t>Upstream 9</t>
  </si>
  <si>
    <t>Downstream 1</t>
  </si>
  <si>
    <t>Downstream 2</t>
  </si>
  <si>
    <t>Downstream 3</t>
  </si>
  <si>
    <t>Downstream 4</t>
  </si>
  <si>
    <t>Downstream 5</t>
  </si>
  <si>
    <t>Downstream 6</t>
  </si>
  <si>
    <t>Downstream 7</t>
  </si>
  <si>
    <t>Downstream 8</t>
  </si>
  <si>
    <t>Downstream 9</t>
  </si>
  <si>
    <t>Pre-Infiltration</t>
  </si>
  <si>
    <t>Infiltration 1</t>
  </si>
  <si>
    <t>Infiltration 2</t>
  </si>
  <si>
    <t>Infiltration 3</t>
  </si>
  <si>
    <t>Infiltration 4</t>
  </si>
  <si>
    <t>Infiltration 5</t>
  </si>
  <si>
    <t>Infiltration 6</t>
  </si>
  <si>
    <t>Infiltration 7</t>
  </si>
  <si>
    <t>Infiltration 8</t>
  </si>
  <si>
    <t>Infiltration 9</t>
  </si>
  <si>
    <t>Infiltration 10</t>
  </si>
  <si>
    <t>Infiltration 11</t>
  </si>
  <si>
    <t>Infiltration 12</t>
  </si>
  <si>
    <t>Soil Sample 1_a</t>
  </si>
  <si>
    <t>Soil Sample 2_a</t>
  </si>
  <si>
    <t>Soil Sample 3_a</t>
  </si>
  <si>
    <t>Soil Sample 4_a</t>
  </si>
  <si>
    <t>Soil Sample 5_a</t>
  </si>
  <si>
    <t>Soil Sample 6_a</t>
  </si>
  <si>
    <t>Soil Sample 7_a</t>
  </si>
  <si>
    <t>Soil Sample 8_a</t>
  </si>
  <si>
    <t>Soil Sample 9_a</t>
  </si>
  <si>
    <t>Soil Sample 10_a</t>
  </si>
  <si>
    <t>Soil Sample 1_b</t>
  </si>
  <si>
    <t>Soil Sample 2_b</t>
  </si>
  <si>
    <t>Soil Sample 3_b</t>
  </si>
  <si>
    <t>Soil Sample 4_b</t>
  </si>
  <si>
    <t>Soil Sample 5_b</t>
  </si>
  <si>
    <t>Soil Sample 6_b</t>
  </si>
  <si>
    <t>Soil Sample 7_b</t>
  </si>
  <si>
    <t>Soil Sample 8_b</t>
  </si>
  <si>
    <t>Soil Sample 9_b</t>
  </si>
  <si>
    <t>Soil Sample 10_b</t>
  </si>
  <si>
    <t>Soil Sample 1_c</t>
  </si>
  <si>
    <t>Soil Sample 2_c</t>
  </si>
  <si>
    <t>Soil Sample 3_c</t>
  </si>
  <si>
    <t>Soil Sample 4_c</t>
  </si>
  <si>
    <t>Soil Sample 5_c</t>
  </si>
  <si>
    <t>Soil Sample 6_c</t>
  </si>
  <si>
    <t>Soil Sample 7_c</t>
  </si>
  <si>
    <t>Soil Sample 8_c</t>
  </si>
  <si>
    <t>Soil Sample 9_c</t>
  </si>
  <si>
    <t>Soil Sample 10_c</t>
  </si>
  <si>
    <t>250 uL</t>
  </si>
  <si>
    <t>75 mL</t>
  </si>
  <si>
    <t>500 mL</t>
  </si>
  <si>
    <t>200 mL</t>
  </si>
  <si>
    <t>250 mL</t>
  </si>
  <si>
    <t>234.4 mg</t>
  </si>
  <si>
    <t>250.2 mg</t>
  </si>
  <si>
    <t>251.9 mg</t>
  </si>
  <si>
    <t>256.4 mg</t>
  </si>
  <si>
    <t>250.8 mg</t>
  </si>
  <si>
    <t>246.7 mg</t>
  </si>
  <si>
    <t>236 mg</t>
  </si>
  <si>
    <t>246.8 mg</t>
  </si>
  <si>
    <t>249.9mg</t>
  </si>
  <si>
    <t>221.3 mg</t>
  </si>
  <si>
    <t>250.6 mg</t>
  </si>
  <si>
    <t>243.3 mg</t>
  </si>
  <si>
    <t>247.9 mg</t>
  </si>
  <si>
    <t>245.2 mg</t>
  </si>
  <si>
    <t>256.8 mg</t>
  </si>
  <si>
    <t>247.6 mg</t>
  </si>
  <si>
    <t>250.1 mg</t>
  </si>
  <si>
    <t>231.4 mg</t>
  </si>
  <si>
    <t>252.9 mg</t>
  </si>
  <si>
    <t>245.3 mg</t>
  </si>
  <si>
    <t>259.8 mg</t>
  </si>
  <si>
    <t>250.3 mg</t>
  </si>
  <si>
    <t>236.5 mg</t>
  </si>
  <si>
    <t>244.3 mg</t>
  </si>
  <si>
    <t>243.2 mg</t>
  </si>
  <si>
    <t>241.8 mg</t>
  </si>
  <si>
    <t>251 mg</t>
  </si>
  <si>
    <t>257.9 mg</t>
  </si>
  <si>
    <t>232.2 mg</t>
  </si>
  <si>
    <t>251.3 mg</t>
  </si>
  <si>
    <t>255.8 mg</t>
  </si>
  <si>
    <t>253.5 mg</t>
  </si>
  <si>
    <t>251.7 mg</t>
  </si>
  <si>
    <t>255.7 mg</t>
  </si>
  <si>
    <t>245.1 mg</t>
  </si>
  <si>
    <t>253.1 mg</t>
  </si>
  <si>
    <t>255.2 mg</t>
  </si>
  <si>
    <t>255.5 mg</t>
  </si>
  <si>
    <t>copies/100 mL</t>
  </si>
  <si>
    <t>copies/1 g ww</t>
  </si>
  <si>
    <t>Avg</t>
  </si>
  <si>
    <t>Copies/rxn</t>
  </si>
  <si>
    <t>x = (y - 39.425) / -3.6416</t>
  </si>
  <si>
    <t>Dil</t>
  </si>
  <si>
    <t>DNA used</t>
  </si>
  <si>
    <t>DNA extracted</t>
  </si>
  <si>
    <t>2 uL</t>
  </si>
  <si>
    <t>100 uL</t>
  </si>
  <si>
    <t>Sample Amount</t>
  </si>
  <si>
    <t>copies/1 mL</t>
  </si>
  <si>
    <t>x = (y - 39.363) / -3.5867</t>
  </si>
  <si>
    <t>x = (y - 39.42) / -3.547</t>
  </si>
  <si>
    <t>x = (y - 38.918) / -3.4998</t>
  </si>
  <si>
    <t>x = (y - 38.043) / -3.8639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</si>
</sst>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;\-###0.00"/>
    <numFmt numFmtId="165" formatCode="0.00_);\(0.00\)"/>
    <numFmt numFmtId="166" formatCode="0.0000"/>
  </numFmts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0" fillId="0" borderId="0" xfId="0" applyFill="1" applyBorder="1"/>
    <xf numFmtId="164" fontId="1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165" fontId="0" fillId="2" borderId="0" xfId="0" applyNumberFormat="1" applyFill="1" applyBorder="1" applyAlignment="1">
      <alignment horizontal="center"/>
    </xf>
    <xf numFmtId="11" fontId="0" fillId="2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6" fontId="0" fillId="0" borderId="0" xfId="0" applyNumberFormat="1" applyFill="1" applyBorder="1" applyAlignment="1">
      <alignment horizontal="center"/>
    </xf>
    <xf numFmtId="2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0" applyNumberFormat="1" applyFill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1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16S 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179352580927384"/>
                  <c:y val="-0.56091097987751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'16S - plate 1'!$C$2:$C$19</c:f>
              <c:numCache>
                <c:formatCode>0.0000</c:formatCode>
                <c:ptCount val="18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</c:numCache>
            </c:numRef>
          </c:xVal>
          <c:yVal>
            <c:numRef>
              <c:f>'16S - plate 1'!$D$2:$D$19</c:f>
              <c:numCache>
                <c:formatCode>###0.00;\-###0.00</c:formatCode>
                <c:ptCount val="18"/>
                <c:pt idx="0">
                  <c:v>9.9578401026973609</c:v>
                </c:pt>
                <c:pt idx="1">
                  <c:v>9.9377935166884797</c:v>
                </c:pt>
                <c:pt idx="2">
                  <c:v>9.8071020652400005</c:v>
                </c:pt>
                <c:pt idx="3">
                  <c:v>13.8472068933107</c:v>
                </c:pt>
                <c:pt idx="4">
                  <c:v>14.0160115502458</c:v>
                </c:pt>
                <c:pt idx="5">
                  <c:v>13.834601188647101</c:v>
                </c:pt>
                <c:pt idx="6">
                  <c:v>17.7399939251749</c:v>
                </c:pt>
                <c:pt idx="7">
                  <c:v>17.754861262086699</c:v>
                </c:pt>
                <c:pt idx="8">
                  <c:v>17.7091159708554</c:v>
                </c:pt>
                <c:pt idx="9">
                  <c:v>21.6375506477766</c:v>
                </c:pt>
                <c:pt idx="10">
                  <c:v>21.588836977378602</c:v>
                </c:pt>
                <c:pt idx="11">
                  <c:v>21.620197796749999</c:v>
                </c:pt>
                <c:pt idx="12">
                  <c:v>25.001627892478901</c:v>
                </c:pt>
                <c:pt idx="13">
                  <c:v>24.9268353840191</c:v>
                </c:pt>
                <c:pt idx="14">
                  <c:v>24.8491266157016</c:v>
                </c:pt>
                <c:pt idx="15">
                  <c:v>27.812788164857199</c:v>
                </c:pt>
                <c:pt idx="16">
                  <c:v>28.146766571564701</c:v>
                </c:pt>
                <c:pt idx="17">
                  <c:v>28.0410066513038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4-DE49-86D8-216D354E4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28511"/>
        <c:axId val="216245183"/>
      </c:scatterChart>
      <c:valAx>
        <c:axId val="21632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Dil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45183"/>
        <c:crosses val="autoZero"/>
        <c:crossBetween val="midCat"/>
      </c:valAx>
      <c:valAx>
        <c:axId val="2162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2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9302274715660546E-2"/>
                  <c:y val="-0.555135608048993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'16S - plate 4'!$Q$2:$Q$19</c:f>
              <c:numCache>
                <c:formatCode>###0.00;\-###0.00</c:formatCode>
                <c:ptCount val="18"/>
                <c:pt idx="0">
                  <c:v>10.5081767814891</c:v>
                </c:pt>
                <c:pt idx="1">
                  <c:v>10.4775217935701</c:v>
                </c:pt>
                <c:pt idx="2">
                  <c:v>10.2240814750709</c:v>
                </c:pt>
                <c:pt idx="3">
                  <c:v>14.771255123327199</c:v>
                </c:pt>
                <c:pt idx="4">
                  <c:v>14.442326749385501</c:v>
                </c:pt>
                <c:pt idx="5">
                  <c:v>14.418678690222601</c:v>
                </c:pt>
                <c:pt idx="6">
                  <c:v>18.560040409872901</c:v>
                </c:pt>
                <c:pt idx="7">
                  <c:v>18.626660150798699</c:v>
                </c:pt>
                <c:pt idx="8">
                  <c:v>18.628571851929099</c:v>
                </c:pt>
                <c:pt idx="9">
                  <c:v>22.182615034169</c:v>
                </c:pt>
                <c:pt idx="10">
                  <c:v>22.317427971227801</c:v>
                </c:pt>
                <c:pt idx="11">
                  <c:v>22.188039107307301</c:v>
                </c:pt>
                <c:pt idx="12">
                  <c:v>25.517297442304201</c:v>
                </c:pt>
                <c:pt idx="13">
                  <c:v>25.381209536605301</c:v>
                </c:pt>
                <c:pt idx="14">
                  <c:v>25.34158632279</c:v>
                </c:pt>
                <c:pt idx="15">
                  <c:v>28.331730621049399</c:v>
                </c:pt>
                <c:pt idx="16">
                  <c:v>28.047396200010301</c:v>
                </c:pt>
                <c:pt idx="17">
                  <c:v>27.577794463740101</c:v>
                </c:pt>
              </c:numCache>
            </c:numRef>
          </c:xVal>
          <c:yVal>
            <c:numRef>
              <c:f>'16S - plate 4'!$P$2:$P$19</c:f>
              <c:numCache>
                <c:formatCode>0.00E+00</c:formatCode>
                <c:ptCount val="18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B-CC44-9626-7095A3E1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46576"/>
        <c:axId val="1054025536"/>
      </c:scatterChart>
      <c:valAx>
        <c:axId val="10148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25536"/>
        <c:crosses val="autoZero"/>
        <c:crossBetween val="midCat"/>
      </c:valAx>
      <c:valAx>
        <c:axId val="105402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16S</a:t>
            </a:r>
            <a:r>
              <a:rPr lang="en-US" baseline="0"/>
              <a:t> </a:t>
            </a:r>
            <a:r>
              <a:rPr lang="en-US"/>
              <a:t>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5373696734047429E-2"/>
                  <c:y val="-0.50450194778284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'16S - plate 1'!$R$2:$R$19</c:f>
              <c:numCache>
                <c:formatCode>###0.00;\-###0.00</c:formatCode>
                <c:ptCount val="18"/>
                <c:pt idx="0">
                  <c:v>9.9578401026973609</c:v>
                </c:pt>
                <c:pt idx="1">
                  <c:v>9.9377935166884797</c:v>
                </c:pt>
                <c:pt idx="2">
                  <c:v>9.8071020652400005</c:v>
                </c:pt>
                <c:pt idx="3">
                  <c:v>13.8472068933107</c:v>
                </c:pt>
                <c:pt idx="4">
                  <c:v>14.0160115502458</c:v>
                </c:pt>
                <c:pt idx="5">
                  <c:v>13.834601188647101</c:v>
                </c:pt>
                <c:pt idx="6">
                  <c:v>17.7399939251749</c:v>
                </c:pt>
                <c:pt idx="7">
                  <c:v>17.754861262086699</c:v>
                </c:pt>
                <c:pt idx="8">
                  <c:v>17.7091159708554</c:v>
                </c:pt>
                <c:pt idx="9">
                  <c:v>21.6375506477766</c:v>
                </c:pt>
                <c:pt idx="10">
                  <c:v>21.588836977378602</c:v>
                </c:pt>
                <c:pt idx="11">
                  <c:v>21.620197796749999</c:v>
                </c:pt>
                <c:pt idx="12">
                  <c:v>25.001627892478901</c:v>
                </c:pt>
                <c:pt idx="13">
                  <c:v>24.9268353840191</c:v>
                </c:pt>
                <c:pt idx="14">
                  <c:v>24.8491266157016</c:v>
                </c:pt>
                <c:pt idx="15">
                  <c:v>27.812788164857199</c:v>
                </c:pt>
                <c:pt idx="16">
                  <c:v>28.146766571564701</c:v>
                </c:pt>
                <c:pt idx="17">
                  <c:v>28.0410066513038</c:v>
                </c:pt>
              </c:numCache>
            </c:numRef>
          </c:xVal>
          <c:yVal>
            <c:numRef>
              <c:f>'16S - plate 1'!$Q$2:$Q$19</c:f>
              <c:numCache>
                <c:formatCode>0.00E+00</c:formatCode>
                <c:ptCount val="18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7-F848-B594-A644EDA1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031808"/>
        <c:axId val="1038033440"/>
      </c:scatterChart>
      <c:valAx>
        <c:axId val="103803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33440"/>
        <c:crosses val="autoZero"/>
        <c:crossBetween val="midCat"/>
      </c:valAx>
      <c:valAx>
        <c:axId val="1038033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3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99661258321639"/>
                  <c:y val="-0.5050873864647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'16S - plate 2'!$C$2:$C$19</c:f>
              <c:numCache>
                <c:formatCode>0.0000</c:formatCode>
                <c:ptCount val="18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</c:numCache>
            </c:numRef>
          </c:xVal>
          <c:yVal>
            <c:numRef>
              <c:f>'16S - plate 2'!$D$2:$D$19</c:f>
              <c:numCache>
                <c:formatCode>###0.00;\-###0.00</c:formatCode>
                <c:ptCount val="18"/>
                <c:pt idx="0">
                  <c:v>10.268831949087</c:v>
                </c:pt>
                <c:pt idx="1">
                  <c:v>10.147035153102999</c:v>
                </c:pt>
                <c:pt idx="2">
                  <c:v>10.190354641749799</c:v>
                </c:pt>
                <c:pt idx="3">
                  <c:v>14.2629407523678</c:v>
                </c:pt>
                <c:pt idx="4">
                  <c:v>14.0861699715583</c:v>
                </c:pt>
                <c:pt idx="5">
                  <c:v>14.244724726393001</c:v>
                </c:pt>
                <c:pt idx="6">
                  <c:v>18.028376747830698</c:v>
                </c:pt>
                <c:pt idx="7">
                  <c:v>18.132579697697899</c:v>
                </c:pt>
                <c:pt idx="8">
                  <c:v>18.133255592661499</c:v>
                </c:pt>
                <c:pt idx="9">
                  <c:v>21.764884844321699</c:v>
                </c:pt>
                <c:pt idx="10">
                  <c:v>22.004969098020698</c:v>
                </c:pt>
                <c:pt idx="11">
                  <c:v>21.700887503854599</c:v>
                </c:pt>
                <c:pt idx="12">
                  <c:v>25.3985190030232</c:v>
                </c:pt>
                <c:pt idx="13">
                  <c:v>25.300233062535799</c:v>
                </c:pt>
                <c:pt idx="14">
                  <c:v>25.2089113353546</c:v>
                </c:pt>
                <c:pt idx="15">
                  <c:v>27.919337435713501</c:v>
                </c:pt>
                <c:pt idx="16">
                  <c:v>28.007227414443602</c:v>
                </c:pt>
                <c:pt idx="17">
                  <c:v>27.775973879461599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5-4849-A1EC-EACC8EF1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923583"/>
        <c:axId val="241287743"/>
      </c:scatterChart>
      <c:valAx>
        <c:axId val="24092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87743"/>
        <c:crosses val="autoZero"/>
        <c:crossBetween val="midCat"/>
      </c:valAx>
      <c:valAx>
        <c:axId val="2412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2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9075922596289636E-2"/>
                  <c:y val="-0.509412255239989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'16S - plate 2'!$Q$2:$Q$19</c:f>
              <c:numCache>
                <c:formatCode>###0.00;\-###0.00</c:formatCode>
                <c:ptCount val="18"/>
                <c:pt idx="0">
                  <c:v>10.268831949087</c:v>
                </c:pt>
                <c:pt idx="1">
                  <c:v>10.147035153102999</c:v>
                </c:pt>
                <c:pt idx="2">
                  <c:v>10.190354641749799</c:v>
                </c:pt>
                <c:pt idx="3">
                  <c:v>14.2629407523678</c:v>
                </c:pt>
                <c:pt idx="4">
                  <c:v>14.0861699715583</c:v>
                </c:pt>
                <c:pt idx="5">
                  <c:v>14.244724726393001</c:v>
                </c:pt>
                <c:pt idx="6">
                  <c:v>18.028376747830698</c:v>
                </c:pt>
                <c:pt idx="7">
                  <c:v>18.132579697697899</c:v>
                </c:pt>
                <c:pt idx="8">
                  <c:v>18.133255592661499</c:v>
                </c:pt>
                <c:pt idx="9">
                  <c:v>21.764884844321699</c:v>
                </c:pt>
                <c:pt idx="10">
                  <c:v>22.004969098020698</c:v>
                </c:pt>
                <c:pt idx="11">
                  <c:v>21.700887503854599</c:v>
                </c:pt>
                <c:pt idx="12">
                  <c:v>25.3985190030232</c:v>
                </c:pt>
                <c:pt idx="13">
                  <c:v>25.300233062535799</c:v>
                </c:pt>
                <c:pt idx="14">
                  <c:v>25.2089113353546</c:v>
                </c:pt>
                <c:pt idx="15">
                  <c:v>27.919337435713501</c:v>
                </c:pt>
                <c:pt idx="16">
                  <c:v>28.007227414443602</c:v>
                </c:pt>
                <c:pt idx="17">
                  <c:v>27.775973879461599</c:v>
                </c:pt>
              </c:numCache>
            </c:numRef>
          </c:xVal>
          <c:yVal>
            <c:numRef>
              <c:f>'16S - plate 2'!$P$2:$P$19</c:f>
              <c:numCache>
                <c:formatCode>0.00E+00</c:formatCode>
                <c:ptCount val="18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2-6B4D-89EE-54080370B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977040"/>
        <c:axId val="1011368112"/>
      </c:scatterChart>
      <c:valAx>
        <c:axId val="101097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68112"/>
        <c:crosses val="autoZero"/>
        <c:crossBetween val="midCat"/>
      </c:valAx>
      <c:valAx>
        <c:axId val="1011368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7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3 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37919994043298"/>
                  <c:y val="-0.554441308044041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'16S - plate 3a'!$C$2:$C$19</c:f>
              <c:numCache>
                <c:formatCode>0.0000</c:formatCode>
                <c:ptCount val="18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</c:numCache>
            </c:numRef>
          </c:xVal>
          <c:yVal>
            <c:numRef>
              <c:f>'16S - plate 3a'!$D$2:$D$19</c:f>
              <c:numCache>
                <c:formatCode>###0.00;\-###0.00</c:formatCode>
                <c:ptCount val="18"/>
                <c:pt idx="0">
                  <c:v>10.639456781915801</c:v>
                </c:pt>
                <c:pt idx="1">
                  <c:v>10.456494237785799</c:v>
                </c:pt>
                <c:pt idx="2">
                  <c:v>10.2218371227912</c:v>
                </c:pt>
                <c:pt idx="3">
                  <c:v>14.3872701715853</c:v>
                </c:pt>
                <c:pt idx="4">
                  <c:v>14.2063267595846</c:v>
                </c:pt>
                <c:pt idx="5">
                  <c:v>14.3140437995092</c:v>
                </c:pt>
                <c:pt idx="6">
                  <c:v>18.112850563134899</c:v>
                </c:pt>
                <c:pt idx="7">
                  <c:v>18.065906717320001</c:v>
                </c:pt>
                <c:pt idx="8">
                  <c:v>18.141268129379799</c:v>
                </c:pt>
                <c:pt idx="9">
                  <c:v>21.941863759158501</c:v>
                </c:pt>
                <c:pt idx="10">
                  <c:v>22.039254238535399</c:v>
                </c:pt>
                <c:pt idx="11">
                  <c:v>21.996107538667399</c:v>
                </c:pt>
                <c:pt idx="12">
                  <c:v>25.363009691808699</c:v>
                </c:pt>
                <c:pt idx="13">
                  <c:v>25.352351177859202</c:v>
                </c:pt>
                <c:pt idx="14">
                  <c:v>25.3663735372517</c:v>
                </c:pt>
                <c:pt idx="15">
                  <c:v>27.430042675020101</c:v>
                </c:pt>
                <c:pt idx="16">
                  <c:v>27.396596541428799</c:v>
                </c:pt>
                <c:pt idx="17">
                  <c:v>27.750568240661899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3-724A-A177-C871C11A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59856"/>
        <c:axId val="1013004016"/>
      </c:scatterChart>
      <c:valAx>
        <c:axId val="103565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04016"/>
        <c:crosses val="autoZero"/>
        <c:crossBetween val="midCat"/>
      </c:valAx>
      <c:valAx>
        <c:axId val="10130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5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3 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4851409702819403E-2"/>
                  <c:y val="-0.55718267395801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'16S - plate 3a'!$Q$2:$Q$19</c:f>
              <c:numCache>
                <c:formatCode>###0.00;\-###0.00</c:formatCode>
                <c:ptCount val="18"/>
                <c:pt idx="0">
                  <c:v>10.639456781915801</c:v>
                </c:pt>
                <c:pt idx="1">
                  <c:v>10.456494237785799</c:v>
                </c:pt>
                <c:pt idx="2">
                  <c:v>10.2218371227912</c:v>
                </c:pt>
                <c:pt idx="3">
                  <c:v>14.3872701715853</c:v>
                </c:pt>
                <c:pt idx="4">
                  <c:v>14.2063267595846</c:v>
                </c:pt>
                <c:pt idx="5">
                  <c:v>14.3140437995092</c:v>
                </c:pt>
                <c:pt idx="6">
                  <c:v>18.112850563134899</c:v>
                </c:pt>
                <c:pt idx="7">
                  <c:v>18.065906717320001</c:v>
                </c:pt>
                <c:pt idx="8">
                  <c:v>18.141268129379799</c:v>
                </c:pt>
                <c:pt idx="9">
                  <c:v>21.941863759158501</c:v>
                </c:pt>
                <c:pt idx="10">
                  <c:v>22.039254238535399</c:v>
                </c:pt>
                <c:pt idx="11">
                  <c:v>21.996107538667399</c:v>
                </c:pt>
                <c:pt idx="12">
                  <c:v>25.363009691808699</c:v>
                </c:pt>
                <c:pt idx="13">
                  <c:v>25.352351177859202</c:v>
                </c:pt>
                <c:pt idx="14">
                  <c:v>25.3663735372517</c:v>
                </c:pt>
                <c:pt idx="15">
                  <c:v>27.430042675020101</c:v>
                </c:pt>
                <c:pt idx="16">
                  <c:v>27.396596541428799</c:v>
                </c:pt>
                <c:pt idx="17">
                  <c:v>27.750568240661899</c:v>
                </c:pt>
              </c:numCache>
            </c:numRef>
          </c:xVal>
          <c:yVal>
            <c:numRef>
              <c:f>'16S - plate 3a'!$P$2:$P$19</c:f>
              <c:numCache>
                <c:formatCode>0.00E+00</c:formatCode>
                <c:ptCount val="18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4-4542-9652-912AB2F72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53120"/>
        <c:axId val="1065787648"/>
      </c:scatterChart>
      <c:valAx>
        <c:axId val="10540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87648"/>
        <c:crosses val="autoZero"/>
        <c:crossBetween val="midCat"/>
      </c:valAx>
      <c:valAx>
        <c:axId val="1065787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5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3 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37919994043298"/>
                  <c:y val="-0.554441308044041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'16S - plate 3b'!$C$2:$C$19</c:f>
              <c:numCache>
                <c:formatCode>0.0000</c:formatCode>
                <c:ptCount val="18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</c:numCache>
            </c:numRef>
          </c:xVal>
          <c:yVal>
            <c:numRef>
              <c:f>'16S - plate 3b'!$D$2:$D$19</c:f>
              <c:numCache>
                <c:formatCode>###0.00;\-###0.00</c:formatCode>
                <c:ptCount val="18"/>
                <c:pt idx="0">
                  <c:v>6.85026438264667</c:v>
                </c:pt>
                <c:pt idx="1">
                  <c:v>6.6728766318081796</c:v>
                </c:pt>
                <c:pt idx="2">
                  <c:v>6.5706037075829302</c:v>
                </c:pt>
                <c:pt idx="3">
                  <c:v>10.999394202817699</c:v>
                </c:pt>
                <c:pt idx="4">
                  <c:v>10.870365897368499</c:v>
                </c:pt>
                <c:pt idx="5">
                  <c:v>10.9151699791143</c:v>
                </c:pt>
                <c:pt idx="6">
                  <c:v>15.256564994123201</c:v>
                </c:pt>
                <c:pt idx="7">
                  <c:v>15.231099301301899</c:v>
                </c:pt>
                <c:pt idx="8">
                  <c:v>15.1490112216598</c:v>
                </c:pt>
                <c:pt idx="9">
                  <c:v>19.0394279884521</c:v>
                </c:pt>
                <c:pt idx="10">
                  <c:v>19.054683462624901</c:v>
                </c:pt>
                <c:pt idx="11">
                  <c:v>18.977933830550899</c:v>
                </c:pt>
                <c:pt idx="12">
                  <c:v>22.656036418494299</c:v>
                </c:pt>
                <c:pt idx="13">
                  <c:v>22.530710908194902</c:v>
                </c:pt>
                <c:pt idx="14">
                  <c:v>22.560181594161399</c:v>
                </c:pt>
                <c:pt idx="15">
                  <c:v>26.121148724128901</c:v>
                </c:pt>
                <c:pt idx="16">
                  <c:v>25.844794337508802</c:v>
                </c:pt>
                <c:pt idx="17">
                  <c:v>26.005731482532301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3-0941-BD16-4FCE22C61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59856"/>
        <c:axId val="1013004016"/>
      </c:scatterChart>
      <c:valAx>
        <c:axId val="103565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04016"/>
        <c:crosses val="autoZero"/>
        <c:crossBetween val="midCat"/>
      </c:valAx>
      <c:valAx>
        <c:axId val="10130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5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3 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4851409702819403E-2"/>
                  <c:y val="-0.55718267395801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'16S - plate 3b'!$Q$2:$Q$19</c:f>
              <c:numCache>
                <c:formatCode>###0.00;\-###0.00</c:formatCode>
                <c:ptCount val="18"/>
                <c:pt idx="0">
                  <c:v>6.85026438264667</c:v>
                </c:pt>
                <c:pt idx="1">
                  <c:v>6.6728766318081796</c:v>
                </c:pt>
                <c:pt idx="2">
                  <c:v>6.5706037075829302</c:v>
                </c:pt>
                <c:pt idx="3">
                  <c:v>10.999394202817699</c:v>
                </c:pt>
                <c:pt idx="4">
                  <c:v>10.870365897368499</c:v>
                </c:pt>
                <c:pt idx="5">
                  <c:v>10.9151699791143</c:v>
                </c:pt>
                <c:pt idx="6">
                  <c:v>15.256564994123201</c:v>
                </c:pt>
                <c:pt idx="7">
                  <c:v>15.231099301301899</c:v>
                </c:pt>
                <c:pt idx="8">
                  <c:v>15.1490112216598</c:v>
                </c:pt>
                <c:pt idx="9">
                  <c:v>19.0394279884521</c:v>
                </c:pt>
                <c:pt idx="10">
                  <c:v>19.054683462624901</c:v>
                </c:pt>
                <c:pt idx="11">
                  <c:v>18.977933830550899</c:v>
                </c:pt>
                <c:pt idx="12">
                  <c:v>22.656036418494299</c:v>
                </c:pt>
                <c:pt idx="13">
                  <c:v>22.530710908194902</c:v>
                </c:pt>
                <c:pt idx="14">
                  <c:v>22.560181594161399</c:v>
                </c:pt>
                <c:pt idx="15">
                  <c:v>26.121148724128901</c:v>
                </c:pt>
                <c:pt idx="16">
                  <c:v>25.844794337508802</c:v>
                </c:pt>
                <c:pt idx="17">
                  <c:v>26.005731482532301</c:v>
                </c:pt>
              </c:numCache>
            </c:numRef>
          </c:xVal>
          <c:yVal>
            <c:numRef>
              <c:f>'16S - plate 3b'!$P$2:$P$19</c:f>
              <c:numCache>
                <c:formatCode>0.00E+00</c:formatCode>
                <c:ptCount val="18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C-E546-AE9F-3693E9C99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53120"/>
        <c:axId val="1065787648"/>
      </c:scatterChart>
      <c:valAx>
        <c:axId val="10540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87648"/>
        <c:crosses val="autoZero"/>
        <c:crossBetween val="midCat"/>
      </c:valAx>
      <c:valAx>
        <c:axId val="1065787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5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</a:t>
            </a:r>
            <a:r>
              <a:rPr lang="en-US" baseline="0"/>
              <a:t> Plate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3575686216793"/>
                  <c:y val="-0.60297749666537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'16S - plate 4'!$C$2:$C$19</c:f>
              <c:numCache>
                <c:formatCode>0.0000</c:formatCode>
                <c:ptCount val="18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</c:numCache>
            </c:numRef>
          </c:xVal>
          <c:yVal>
            <c:numRef>
              <c:f>'16S - plate 4'!$D$2:$D$19</c:f>
              <c:numCache>
                <c:formatCode>###0.00;\-###0.00</c:formatCode>
                <c:ptCount val="18"/>
                <c:pt idx="0">
                  <c:v>10.5081767814891</c:v>
                </c:pt>
                <c:pt idx="1">
                  <c:v>10.4775217935701</c:v>
                </c:pt>
                <c:pt idx="2">
                  <c:v>10.2240814750709</c:v>
                </c:pt>
                <c:pt idx="3">
                  <c:v>14.771255123327199</c:v>
                </c:pt>
                <c:pt idx="4">
                  <c:v>14.442326749385501</c:v>
                </c:pt>
                <c:pt idx="5">
                  <c:v>14.418678690222601</c:v>
                </c:pt>
                <c:pt idx="6">
                  <c:v>18.560040409872901</c:v>
                </c:pt>
                <c:pt idx="7">
                  <c:v>18.626660150798699</c:v>
                </c:pt>
                <c:pt idx="8">
                  <c:v>18.628571851929099</c:v>
                </c:pt>
                <c:pt idx="9">
                  <c:v>22.182615034169</c:v>
                </c:pt>
                <c:pt idx="10">
                  <c:v>22.317427971227801</c:v>
                </c:pt>
                <c:pt idx="11">
                  <c:v>22.188039107307301</c:v>
                </c:pt>
                <c:pt idx="12">
                  <c:v>25.517297442304201</c:v>
                </c:pt>
                <c:pt idx="13">
                  <c:v>25.381209536605301</c:v>
                </c:pt>
                <c:pt idx="14">
                  <c:v>25.34158632279</c:v>
                </c:pt>
                <c:pt idx="15">
                  <c:v>28.331730621049399</c:v>
                </c:pt>
                <c:pt idx="16">
                  <c:v>28.047396200010301</c:v>
                </c:pt>
                <c:pt idx="17">
                  <c:v>27.577794463740101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4-5F46-956F-A7C4ED7B6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37071"/>
        <c:axId val="243007679"/>
      </c:scatterChart>
      <c:valAx>
        <c:axId val="24313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07679"/>
        <c:crosses val="autoZero"/>
        <c:crossBetween val="midCat"/>
      </c:valAx>
      <c:valAx>
        <c:axId val="2430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3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0</xdr:row>
      <xdr:rowOff>120650</xdr:rowOff>
    </xdr:from>
    <xdr:to>
      <xdr:col>12</xdr:col>
      <xdr:colOff>711200</xdr:colOff>
      <xdr:row>15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0983FC-4C29-7A4E-BD62-9CCA804E8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260350</xdr:colOff>
      <xdr:row>15</xdr:row>
      <xdr:rowOff>165100</xdr:rowOff>
    </xdr:from>
    <xdr:to>
      <xdr:col>12</xdr:col>
      <xdr:colOff>711200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67F56-0C1D-4241-91F6-2F88A9E3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0</xdr:row>
      <xdr:rowOff>82550</xdr:rowOff>
    </xdr:from>
    <xdr:to>
      <xdr:col>12</xdr:col>
      <xdr:colOff>749300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2C02B-CE2F-D744-B4CB-68BC2D4E4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120650</xdr:colOff>
      <xdr:row>15</xdr:row>
      <xdr:rowOff>69850</xdr:rowOff>
    </xdr:from>
    <xdr:to>
      <xdr:col>12</xdr:col>
      <xdr:colOff>774700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8D3D7-BD30-114F-A4FE-FCAF80DA9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0</xdr:row>
      <xdr:rowOff>69850</xdr:rowOff>
    </xdr:from>
    <xdr:to>
      <xdr:col>12</xdr:col>
      <xdr:colOff>622300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E4CF2-BF23-E341-8894-D98E23174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222250</xdr:colOff>
      <xdr:row>15</xdr:row>
      <xdr:rowOff>171450</xdr:rowOff>
    </xdr:from>
    <xdr:to>
      <xdr:col>12</xdr:col>
      <xdr:colOff>635000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ACC5F1-E2AD-B84E-BA93-4969FD1FE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0</xdr:row>
      <xdr:rowOff>69850</xdr:rowOff>
    </xdr:from>
    <xdr:to>
      <xdr:col>12</xdr:col>
      <xdr:colOff>622300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F2CBE-E67F-CF46-B545-0467E1345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222250</xdr:colOff>
      <xdr:row>15</xdr:row>
      <xdr:rowOff>171450</xdr:rowOff>
    </xdr:from>
    <xdr:to>
      <xdr:col>12</xdr:col>
      <xdr:colOff>635000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791F6-7163-5346-9DB8-4372BF71E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0</xdr:row>
      <xdr:rowOff>57150</xdr:rowOff>
    </xdr:from>
    <xdr:to>
      <xdr:col>12</xdr:col>
      <xdr:colOff>571500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A6E0C-1643-7845-B173-7ABBA2637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146050</xdr:colOff>
      <xdr:row>17</xdr:row>
      <xdr:rowOff>107950</xdr:rowOff>
    </xdr:from>
    <xdr:to>
      <xdr:col>12</xdr:col>
      <xdr:colOff>596900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069EB-CAF7-2C41-8091-28CBF0D91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05D4-962C-1C4B-8244-4339260224D1}">
  <dimension ref="A1:V103"/>
  <sheetViews>
    <sheetView workbookViewId="0">
      <selection activeCell="D29" sqref="D29:D31"/>
    </sheetView>
  </sheetViews>
  <sheetFormatPr baseColWidth="10" defaultRowHeight="16" x14ac:dyDescent="0.2"/>
  <cols>
    <col min="1" max="1" width="5" style="4" bestFit="1" customWidth="1"/>
    <col min="2" max="2" width="17.83203125" style="4" bestFit="1" customWidth="1"/>
    <col min="3" max="3" width="6.6640625" style="4" bestFit="1" customWidth="1"/>
    <col min="4" max="4" width="21.6640625" style="4" bestFit="1" customWidth="1"/>
    <col min="5" max="5" width="10.83203125" style="4"/>
    <col min="6" max="6" width="4.6640625" style="4" bestFit="1" customWidth="1"/>
    <col min="7" max="7" width="9.1640625" style="4" bestFit="1" customWidth="1"/>
    <col min="8" max="8" width="13" style="4" bestFit="1" customWidth="1"/>
    <col min="9" max="9" width="14.33203125" style="11" bestFit="1" customWidth="1"/>
    <col min="10" max="10" width="12.1640625" style="4" bestFit="1" customWidth="1"/>
    <col min="11" max="12" width="8.6640625" style="4" bestFit="1" customWidth="1"/>
    <col min="13" max="13" width="13.1640625" style="4" bestFit="1" customWidth="1"/>
    <col min="14" max="14" width="5" style="4" bestFit="1" customWidth="1"/>
    <col min="15" max="15" width="8.33203125" style="4" bestFit="1" customWidth="1"/>
    <col min="16" max="16" width="8.33203125" style="37" customWidth="1"/>
    <col min="17" max="17" width="9.83203125" style="4" bestFit="1" customWidth="1"/>
    <col min="18" max="18" width="5.6640625" style="4" bestFit="1" customWidth="1"/>
    <col min="19" max="21" width="10.83203125" style="4"/>
    <col min="22" max="22" width="13.1640625" style="4" bestFit="1" customWidth="1"/>
    <col min="23" max="16384" width="10.83203125" style="4"/>
  </cols>
  <sheetData>
    <row r="1" spans="1:22" x14ac:dyDescent="0.2">
      <c r="A1" s="11" t="s">
        <v>0</v>
      </c>
      <c r="B1" s="11" t="s">
        <v>25</v>
      </c>
      <c r="C1" s="11" t="s">
        <v>60</v>
      </c>
      <c r="D1" s="11" t="s">
        <v>26</v>
      </c>
      <c r="E1" s="11"/>
      <c r="N1" s="1" t="s">
        <v>0</v>
      </c>
      <c r="O1" s="11" t="s">
        <v>25</v>
      </c>
      <c r="P1" s="38"/>
      <c r="Q1" s="1" t="s">
        <v>241</v>
      </c>
      <c r="R1" s="11" t="s">
        <v>26</v>
      </c>
    </row>
    <row r="2" spans="1:22" x14ac:dyDescent="0.2">
      <c r="A2" s="12" t="s">
        <v>62</v>
      </c>
      <c r="B2" s="11" t="s">
        <v>27</v>
      </c>
      <c r="C2" s="22">
        <f>LOG(Q2)</f>
        <v>8.0136044023579664</v>
      </c>
      <c r="D2" s="8">
        <v>9.9578401026973609</v>
      </c>
      <c r="E2" s="11"/>
      <c r="N2" s="1" t="s">
        <v>62</v>
      </c>
      <c r="O2" s="11" t="s">
        <v>27</v>
      </c>
      <c r="P2" s="38"/>
      <c r="Q2" s="20">
        <v>103182109.45826009</v>
      </c>
      <c r="R2" s="8">
        <v>9.9578401026973609</v>
      </c>
    </row>
    <row r="3" spans="1:22" x14ac:dyDescent="0.2">
      <c r="A3" s="12" t="s">
        <v>63</v>
      </c>
      <c r="B3" s="11" t="s">
        <v>27</v>
      </c>
      <c r="C3" s="22">
        <f t="shared" ref="C3:C28" si="0">LOG(Q3)</f>
        <v>8.0136044023579664</v>
      </c>
      <c r="D3" s="8">
        <v>9.9377935166884797</v>
      </c>
      <c r="E3" s="11"/>
      <c r="N3" s="1" t="s">
        <v>63</v>
      </c>
      <c r="O3" s="11" t="s">
        <v>27</v>
      </c>
      <c r="P3" s="38"/>
      <c r="Q3" s="20">
        <v>103182109.45826009</v>
      </c>
      <c r="R3" s="8">
        <v>9.9377935166884797</v>
      </c>
    </row>
    <row r="4" spans="1:22" x14ac:dyDescent="0.2">
      <c r="A4" s="12" t="s">
        <v>64</v>
      </c>
      <c r="B4" s="11" t="s">
        <v>27</v>
      </c>
      <c r="C4" s="22">
        <f t="shared" si="0"/>
        <v>8.0136044023579664</v>
      </c>
      <c r="D4" s="8">
        <v>9.8071020652400005</v>
      </c>
      <c r="E4" s="11"/>
      <c r="N4" s="1" t="s">
        <v>64</v>
      </c>
      <c r="O4" s="11" t="s">
        <v>27</v>
      </c>
      <c r="P4" s="38"/>
      <c r="Q4" s="20">
        <v>103182109.45826009</v>
      </c>
      <c r="R4" s="8">
        <v>9.8071020652400005</v>
      </c>
    </row>
    <row r="5" spans="1:22" x14ac:dyDescent="0.2">
      <c r="A5" s="12" t="s">
        <v>65</v>
      </c>
      <c r="B5" s="11" t="s">
        <v>28</v>
      </c>
      <c r="C5" s="22">
        <f t="shared" si="0"/>
        <v>7.0136044023579664</v>
      </c>
      <c r="D5" s="8">
        <v>13.8472068933107</v>
      </c>
      <c r="E5" s="11"/>
      <c r="N5" s="1" t="s">
        <v>65</v>
      </c>
      <c r="O5" s="11" t="s">
        <v>28</v>
      </c>
      <c r="P5" s="38"/>
      <c r="Q5" s="20">
        <v>10318210.945826009</v>
      </c>
      <c r="R5" s="8">
        <v>13.8472068933107</v>
      </c>
    </row>
    <row r="6" spans="1:22" ht="17" thickBot="1" x14ac:dyDescent="0.25">
      <c r="A6" s="12" t="s">
        <v>66</v>
      </c>
      <c r="B6" s="11" t="s">
        <v>28</v>
      </c>
      <c r="C6" s="22">
        <f t="shared" si="0"/>
        <v>7.0136044023579664</v>
      </c>
      <c r="D6" s="8">
        <v>14.0160115502458</v>
      </c>
      <c r="E6" s="11"/>
      <c r="N6" s="1" t="s">
        <v>66</v>
      </c>
      <c r="O6" s="11" t="s">
        <v>28</v>
      </c>
      <c r="P6" s="38"/>
      <c r="Q6" s="20">
        <v>10318210.945826009</v>
      </c>
      <c r="R6" s="8">
        <v>14.0160115502458</v>
      </c>
    </row>
    <row r="7" spans="1:22" x14ac:dyDescent="0.2">
      <c r="A7" s="12" t="s">
        <v>67</v>
      </c>
      <c r="B7" s="11" t="s">
        <v>28</v>
      </c>
      <c r="C7" s="22">
        <f t="shared" si="0"/>
        <v>7.0136044023579664</v>
      </c>
      <c r="D7" s="8">
        <v>13.834601188647101</v>
      </c>
      <c r="E7" s="11"/>
      <c r="N7" s="1" t="s">
        <v>67</v>
      </c>
      <c r="O7" s="11" t="s">
        <v>28</v>
      </c>
      <c r="P7" s="38"/>
      <c r="Q7" s="20">
        <v>10318210.945826009</v>
      </c>
      <c r="R7" s="8">
        <v>13.834601188647101</v>
      </c>
      <c r="T7" s="41" t="s">
        <v>242</v>
      </c>
      <c r="U7" s="42"/>
      <c r="V7" s="43"/>
    </row>
    <row r="8" spans="1:22" ht="17" thickBot="1" x14ac:dyDescent="0.25">
      <c r="A8" s="12" t="s">
        <v>68</v>
      </c>
      <c r="B8" s="11" t="s">
        <v>29</v>
      </c>
      <c r="C8" s="22">
        <f t="shared" si="0"/>
        <v>6.0136044023579664</v>
      </c>
      <c r="D8" s="8">
        <v>17.7399939251749</v>
      </c>
      <c r="E8" s="11"/>
      <c r="N8" s="1" t="s">
        <v>68</v>
      </c>
      <c r="O8" s="11" t="s">
        <v>29</v>
      </c>
      <c r="P8" s="38"/>
      <c r="Q8" s="20">
        <v>1031821.0945826009</v>
      </c>
      <c r="R8" s="8">
        <v>17.7399939251749</v>
      </c>
      <c r="T8" s="44"/>
      <c r="U8" s="45"/>
      <c r="V8" s="46"/>
    </row>
    <row r="9" spans="1:22" x14ac:dyDescent="0.2">
      <c r="A9" s="12" t="s">
        <v>69</v>
      </c>
      <c r="B9" s="11" t="s">
        <v>29</v>
      </c>
      <c r="C9" s="22">
        <f t="shared" si="0"/>
        <v>6.0136044023579664</v>
      </c>
      <c r="D9" s="8">
        <v>17.754861262086699</v>
      </c>
      <c r="E9" s="11"/>
      <c r="N9" s="1" t="s">
        <v>69</v>
      </c>
      <c r="O9" s="11" t="s">
        <v>29</v>
      </c>
      <c r="P9" s="38"/>
      <c r="Q9" s="20">
        <v>1031821.0945826009</v>
      </c>
      <c r="R9" s="8">
        <v>17.754861262086699</v>
      </c>
    </row>
    <row r="10" spans="1:22" x14ac:dyDescent="0.2">
      <c r="A10" s="12" t="s">
        <v>70</v>
      </c>
      <c r="B10" s="11" t="s">
        <v>29</v>
      </c>
      <c r="C10" s="22">
        <f t="shared" si="0"/>
        <v>6.0136044023579664</v>
      </c>
      <c r="D10" s="8">
        <v>17.7091159708554</v>
      </c>
      <c r="E10" s="11"/>
      <c r="N10" s="1" t="s">
        <v>70</v>
      </c>
      <c r="O10" s="11" t="s">
        <v>29</v>
      </c>
      <c r="P10" s="38"/>
      <c r="Q10" s="20">
        <v>1031821.0945826009</v>
      </c>
      <c r="R10" s="8">
        <v>17.7091159708554</v>
      </c>
      <c r="T10" s="4">
        <f>SLOPE(D2:D19,C2:C19)</f>
        <v>-3.6416290815169083</v>
      </c>
    </row>
    <row r="11" spans="1:22" x14ac:dyDescent="0.2">
      <c r="A11" s="12" t="s">
        <v>1</v>
      </c>
      <c r="B11" s="11" t="s">
        <v>30</v>
      </c>
      <c r="C11" s="22">
        <f t="shared" si="0"/>
        <v>5.0136044023579664</v>
      </c>
      <c r="D11" s="8">
        <v>21.6375506477766</v>
      </c>
      <c r="E11" s="11"/>
      <c r="N11" s="1" t="s">
        <v>1</v>
      </c>
      <c r="O11" s="11" t="s">
        <v>30</v>
      </c>
      <c r="P11" s="38"/>
      <c r="Q11" s="20">
        <v>103182.10945826009</v>
      </c>
      <c r="R11" s="8">
        <v>21.6375506477766</v>
      </c>
      <c r="T11" s="4">
        <f>INTERCEPT(D2:D19,C2:C19)</f>
        <v>39.424572312094043</v>
      </c>
    </row>
    <row r="12" spans="1:22" x14ac:dyDescent="0.2">
      <c r="A12" s="12" t="s">
        <v>2</v>
      </c>
      <c r="B12" s="11" t="s">
        <v>30</v>
      </c>
      <c r="C12" s="22">
        <f t="shared" si="0"/>
        <v>5.0136044023579664</v>
      </c>
      <c r="D12" s="8">
        <v>21.588836977378602</v>
      </c>
      <c r="E12" s="11"/>
      <c r="N12" s="1" t="s">
        <v>2</v>
      </c>
      <c r="O12" s="11" t="s">
        <v>30</v>
      </c>
      <c r="P12" s="38"/>
      <c r="Q12" s="20">
        <v>103182.10945826009</v>
      </c>
      <c r="R12" s="8">
        <v>21.588836977378602</v>
      </c>
      <c r="T12" s="1">
        <f>-1+10^(-1/T10)</f>
        <v>0.88192528117703239</v>
      </c>
    </row>
    <row r="13" spans="1:22" x14ac:dyDescent="0.2">
      <c r="A13" s="12" t="s">
        <v>3</v>
      </c>
      <c r="B13" s="11" t="s">
        <v>30</v>
      </c>
      <c r="C13" s="22">
        <f t="shared" si="0"/>
        <v>5.0136044023579664</v>
      </c>
      <c r="D13" s="8">
        <v>21.620197796749999</v>
      </c>
      <c r="E13" s="11"/>
      <c r="N13" s="1" t="s">
        <v>3</v>
      </c>
      <c r="O13" s="11" t="s">
        <v>30</v>
      </c>
      <c r="P13" s="38"/>
      <c r="Q13" s="20">
        <v>103182.10945826009</v>
      </c>
      <c r="R13" s="8">
        <v>21.620197796749999</v>
      </c>
      <c r="T13" s="4">
        <f>RSQ(D2:D19,C2:C19)</f>
        <v>0.99736419610252225</v>
      </c>
    </row>
    <row r="14" spans="1:22" x14ac:dyDescent="0.2">
      <c r="A14" s="12" t="s">
        <v>71</v>
      </c>
      <c r="B14" s="11" t="s">
        <v>31</v>
      </c>
      <c r="C14" s="22">
        <f t="shared" si="0"/>
        <v>4.0136044023579664</v>
      </c>
      <c r="D14" s="8">
        <v>25.001627892478901</v>
      </c>
      <c r="E14" s="11"/>
      <c r="N14" s="1" t="s">
        <v>71</v>
      </c>
      <c r="O14" s="11" t="s">
        <v>31</v>
      </c>
      <c r="P14" s="38"/>
      <c r="Q14" s="20">
        <v>10318.210945826009</v>
      </c>
      <c r="R14" s="8">
        <v>25.001627892478901</v>
      </c>
    </row>
    <row r="15" spans="1:22" x14ac:dyDescent="0.2">
      <c r="A15" s="12" t="s">
        <v>72</v>
      </c>
      <c r="B15" s="11" t="s">
        <v>31</v>
      </c>
      <c r="C15" s="22">
        <f t="shared" si="0"/>
        <v>4.0136044023579664</v>
      </c>
      <c r="D15" s="8">
        <v>24.9268353840191</v>
      </c>
      <c r="E15" s="11"/>
      <c r="N15" s="1" t="s">
        <v>72</v>
      </c>
      <c r="O15" s="11" t="s">
        <v>31</v>
      </c>
      <c r="P15" s="38"/>
      <c r="Q15" s="20">
        <v>10318.210945826009</v>
      </c>
      <c r="R15" s="8">
        <v>24.9268353840191</v>
      </c>
    </row>
    <row r="16" spans="1:22" x14ac:dyDescent="0.2">
      <c r="A16" s="12" t="s">
        <v>73</v>
      </c>
      <c r="B16" s="11" t="s">
        <v>31</v>
      </c>
      <c r="C16" s="22">
        <f t="shared" si="0"/>
        <v>4.0136044023579664</v>
      </c>
      <c r="D16" s="8">
        <v>24.8491266157016</v>
      </c>
      <c r="E16" s="11"/>
      <c r="N16" s="1" t="s">
        <v>73</v>
      </c>
      <c r="O16" s="11" t="s">
        <v>31</v>
      </c>
      <c r="P16" s="38"/>
      <c r="Q16" s="20">
        <v>10318.210945826009</v>
      </c>
      <c r="R16" s="8">
        <v>24.8491266157016</v>
      </c>
    </row>
    <row r="17" spans="1:21" x14ac:dyDescent="0.2">
      <c r="A17" s="12" t="s">
        <v>74</v>
      </c>
      <c r="B17" s="11" t="s">
        <v>32</v>
      </c>
      <c r="C17" s="22">
        <f t="shared" si="0"/>
        <v>3.0136044023579664</v>
      </c>
      <c r="D17" s="8">
        <v>27.812788164857199</v>
      </c>
      <c r="E17" s="11"/>
      <c r="N17" s="1" t="s">
        <v>74</v>
      </c>
      <c r="O17" s="11" t="s">
        <v>32</v>
      </c>
      <c r="P17" s="38"/>
      <c r="Q17" s="20">
        <v>1031.8210945826008</v>
      </c>
      <c r="R17" s="8">
        <v>27.812788164857199</v>
      </c>
    </row>
    <row r="18" spans="1:21" x14ac:dyDescent="0.2">
      <c r="A18" s="12" t="s">
        <v>75</v>
      </c>
      <c r="B18" s="11" t="s">
        <v>32</v>
      </c>
      <c r="C18" s="22">
        <f t="shared" si="0"/>
        <v>3.0136044023579664</v>
      </c>
      <c r="D18" s="8">
        <v>28.146766571564701</v>
      </c>
      <c r="E18" s="11"/>
      <c r="N18" s="1" t="s">
        <v>75</v>
      </c>
      <c r="O18" s="11" t="s">
        <v>32</v>
      </c>
      <c r="P18" s="38"/>
      <c r="Q18" s="20">
        <v>1031.8210945826008</v>
      </c>
      <c r="R18" s="8">
        <v>28.146766571564701</v>
      </c>
    </row>
    <row r="19" spans="1:21" x14ac:dyDescent="0.2">
      <c r="A19" s="12" t="s">
        <v>76</v>
      </c>
      <c r="B19" s="11" t="s">
        <v>32</v>
      </c>
      <c r="C19" s="22">
        <f t="shared" si="0"/>
        <v>3.0136044023579664</v>
      </c>
      <c r="D19" s="8">
        <v>28.0410066513038</v>
      </c>
      <c r="E19" s="11"/>
      <c r="N19" s="1" t="s">
        <v>76</v>
      </c>
      <c r="O19" s="11" t="s">
        <v>32</v>
      </c>
      <c r="P19" s="38"/>
      <c r="Q19" s="20">
        <v>1031.8210945826008</v>
      </c>
      <c r="R19" s="8">
        <v>28.0410066513038</v>
      </c>
    </row>
    <row r="20" spans="1:21" x14ac:dyDescent="0.2">
      <c r="A20" s="12" t="s">
        <v>77</v>
      </c>
      <c r="B20" s="11" t="s">
        <v>33</v>
      </c>
      <c r="C20" s="22">
        <f t="shared" si="0"/>
        <v>2.0136044023579664</v>
      </c>
      <c r="D20" s="8">
        <v>29.3531898649323</v>
      </c>
      <c r="E20" s="11"/>
      <c r="N20" s="1" t="s">
        <v>77</v>
      </c>
      <c r="O20" s="11" t="s">
        <v>33</v>
      </c>
      <c r="P20" s="38"/>
      <c r="Q20" s="20">
        <v>103.18210945826009</v>
      </c>
      <c r="R20" s="8">
        <v>29.3531898649323</v>
      </c>
    </row>
    <row r="21" spans="1:21" x14ac:dyDescent="0.2">
      <c r="A21" s="12" t="s">
        <v>78</v>
      </c>
      <c r="B21" s="11" t="s">
        <v>33</v>
      </c>
      <c r="C21" s="22">
        <f t="shared" si="0"/>
        <v>2.0136044023579664</v>
      </c>
      <c r="D21" s="8">
        <v>28.830962646957001</v>
      </c>
      <c r="E21" s="11"/>
      <c r="N21" s="1" t="s">
        <v>78</v>
      </c>
      <c r="O21" s="11" t="s">
        <v>33</v>
      </c>
      <c r="P21" s="38"/>
      <c r="Q21" s="20">
        <v>103.18210945826009</v>
      </c>
      <c r="R21" s="8">
        <v>28.830962646957001</v>
      </c>
    </row>
    <row r="22" spans="1:21" x14ac:dyDescent="0.2">
      <c r="A22" s="12" t="s">
        <v>79</v>
      </c>
      <c r="B22" s="11" t="s">
        <v>33</v>
      </c>
      <c r="C22" s="22">
        <f t="shared" si="0"/>
        <v>2.0136044023579664</v>
      </c>
      <c r="D22" s="8">
        <v>28.5036155121409</v>
      </c>
      <c r="E22" s="11"/>
      <c r="N22" s="1" t="s">
        <v>79</v>
      </c>
      <c r="O22" s="11" t="s">
        <v>33</v>
      </c>
      <c r="P22" s="38"/>
      <c r="Q22" s="20">
        <v>103.18210945826009</v>
      </c>
      <c r="R22" s="8">
        <v>28.5036155121409</v>
      </c>
    </row>
    <row r="23" spans="1:21" x14ac:dyDescent="0.2">
      <c r="A23" s="12" t="s">
        <v>4</v>
      </c>
      <c r="B23" s="11" t="s">
        <v>34</v>
      </c>
      <c r="C23" s="22">
        <f t="shared" si="0"/>
        <v>1.0136044023579664</v>
      </c>
      <c r="D23" s="8">
        <v>28.505730157400802</v>
      </c>
      <c r="E23" s="11"/>
      <c r="N23" s="1" t="s">
        <v>4</v>
      </c>
      <c r="O23" s="11" t="s">
        <v>34</v>
      </c>
      <c r="P23" s="38"/>
      <c r="Q23" s="20">
        <v>10.318210945826008</v>
      </c>
      <c r="R23" s="8">
        <v>28.505730157400802</v>
      </c>
    </row>
    <row r="24" spans="1:21" x14ac:dyDescent="0.2">
      <c r="A24" s="12" t="s">
        <v>5</v>
      </c>
      <c r="B24" s="11" t="s">
        <v>34</v>
      </c>
      <c r="C24" s="22">
        <f t="shared" si="0"/>
        <v>1.0136044023579664</v>
      </c>
      <c r="D24" s="8">
        <v>29.437598971886199</v>
      </c>
      <c r="E24" s="11"/>
      <c r="N24" s="1" t="s">
        <v>5</v>
      </c>
      <c r="O24" s="11" t="s">
        <v>34</v>
      </c>
      <c r="P24" s="38"/>
      <c r="Q24" s="20">
        <v>10.318210945826008</v>
      </c>
      <c r="R24" s="8">
        <v>29.437598971886199</v>
      </c>
    </row>
    <row r="25" spans="1:21" x14ac:dyDescent="0.2">
      <c r="A25" s="12" t="s">
        <v>6</v>
      </c>
      <c r="B25" s="11" t="s">
        <v>34</v>
      </c>
      <c r="C25" s="22">
        <f t="shared" si="0"/>
        <v>1.0136044023579664</v>
      </c>
      <c r="D25" s="8">
        <v>29.181228266219801</v>
      </c>
      <c r="E25" s="11"/>
      <c r="N25" s="1" t="s">
        <v>6</v>
      </c>
      <c r="O25" s="11" t="s">
        <v>34</v>
      </c>
      <c r="P25" s="38"/>
      <c r="Q25" s="20">
        <v>10.318210945826008</v>
      </c>
      <c r="R25" s="8">
        <v>29.181228266219801</v>
      </c>
    </row>
    <row r="26" spans="1:21" x14ac:dyDescent="0.2">
      <c r="A26" s="12" t="s">
        <v>80</v>
      </c>
      <c r="B26" s="11" t="s">
        <v>35</v>
      </c>
      <c r="C26" s="22">
        <f t="shared" si="0"/>
        <v>1.3604402357966342E-2</v>
      </c>
      <c r="D26" s="8">
        <v>28.910850840501102</v>
      </c>
      <c r="E26" s="11"/>
      <c r="N26" s="1" t="s">
        <v>80</v>
      </c>
      <c r="O26" s="11" t="s">
        <v>35</v>
      </c>
      <c r="P26" s="38"/>
      <c r="Q26" s="20">
        <v>1.0318210945826007</v>
      </c>
      <c r="R26" s="8">
        <v>28.910850840501102</v>
      </c>
      <c r="U26" s="30"/>
    </row>
    <row r="27" spans="1:21" x14ac:dyDescent="0.2">
      <c r="A27" s="12" t="s">
        <v>81</v>
      </c>
      <c r="B27" s="11" t="s">
        <v>35</v>
      </c>
      <c r="C27" s="22">
        <f t="shared" si="0"/>
        <v>1.3604402357966342E-2</v>
      </c>
      <c r="D27" s="8">
        <v>28.972966695948099</v>
      </c>
      <c r="E27" s="11"/>
      <c r="N27" s="1" t="s">
        <v>81</v>
      </c>
      <c r="O27" s="11" t="s">
        <v>35</v>
      </c>
      <c r="P27" s="38"/>
      <c r="Q27" s="20">
        <v>1.0318210945826007</v>
      </c>
      <c r="R27" s="8">
        <v>28.972966695948099</v>
      </c>
    </row>
    <row r="28" spans="1:21" x14ac:dyDescent="0.2">
      <c r="A28" s="12" t="s">
        <v>82</v>
      </c>
      <c r="B28" s="11" t="s">
        <v>35</v>
      </c>
      <c r="C28" s="22">
        <f t="shared" si="0"/>
        <v>1.3604402357966342E-2</v>
      </c>
      <c r="D28" s="8">
        <v>28.923546000021599</v>
      </c>
      <c r="E28" s="11"/>
      <c r="N28" s="1" t="s">
        <v>82</v>
      </c>
      <c r="O28" s="11" t="s">
        <v>35</v>
      </c>
      <c r="P28" s="38"/>
      <c r="Q28" s="20">
        <v>1.0318210945826007</v>
      </c>
      <c r="R28" s="8">
        <v>28.923546000021599</v>
      </c>
    </row>
    <row r="29" spans="1:21" x14ac:dyDescent="0.2">
      <c r="A29" s="12" t="s">
        <v>83</v>
      </c>
      <c r="B29" s="11" t="s">
        <v>36</v>
      </c>
      <c r="C29" s="11" t="s">
        <v>37</v>
      </c>
      <c r="D29" s="8">
        <v>28.980143091420999</v>
      </c>
      <c r="E29" s="11"/>
      <c r="N29" s="1" t="s">
        <v>83</v>
      </c>
      <c r="O29" s="11" t="s">
        <v>36</v>
      </c>
      <c r="P29" s="38"/>
      <c r="Q29" s="1" t="s">
        <v>37</v>
      </c>
      <c r="R29" s="8">
        <v>28.980143091420999</v>
      </c>
    </row>
    <row r="30" spans="1:21" x14ac:dyDescent="0.2">
      <c r="A30" s="12" t="s">
        <v>84</v>
      </c>
      <c r="B30" s="11" t="s">
        <v>36</v>
      </c>
      <c r="C30" s="11" t="s">
        <v>37</v>
      </c>
      <c r="D30" s="8">
        <v>28.921256781617998</v>
      </c>
      <c r="E30" s="11"/>
      <c r="N30" s="1" t="s">
        <v>84</v>
      </c>
      <c r="O30" s="11" t="s">
        <v>36</v>
      </c>
      <c r="P30" s="38"/>
      <c r="Q30" s="1" t="s">
        <v>37</v>
      </c>
      <c r="R30" s="8">
        <v>28.921256781617998</v>
      </c>
    </row>
    <row r="31" spans="1:21" x14ac:dyDescent="0.2">
      <c r="A31" s="12" t="s">
        <v>85</v>
      </c>
      <c r="B31" s="11" t="s">
        <v>36</v>
      </c>
      <c r="C31" s="11" t="s">
        <v>37</v>
      </c>
      <c r="D31" s="8">
        <v>29.0158931310913</v>
      </c>
      <c r="E31" s="11"/>
      <c r="N31" s="1" t="s">
        <v>85</v>
      </c>
      <c r="O31" s="11" t="s">
        <v>36</v>
      </c>
      <c r="P31" s="38"/>
      <c r="Q31" s="1" t="s">
        <v>37</v>
      </c>
      <c r="R31" s="8">
        <v>29.0158931310913</v>
      </c>
    </row>
    <row r="32" spans="1:21" x14ac:dyDescent="0.2">
      <c r="N32" s="21"/>
      <c r="O32" s="1"/>
      <c r="P32" s="1"/>
      <c r="Q32" s="1"/>
    </row>
    <row r="33" spans="1:22" x14ac:dyDescent="0.2">
      <c r="N33" s="21"/>
      <c r="O33" s="1"/>
      <c r="P33" s="1"/>
      <c r="Q33" s="1"/>
    </row>
    <row r="34" spans="1:22" x14ac:dyDescent="0.2">
      <c r="N34" s="21"/>
      <c r="O34" s="1"/>
      <c r="P34" s="1"/>
      <c r="Q34" s="1"/>
    </row>
    <row r="37" spans="1:22" x14ac:dyDescent="0.2">
      <c r="A37" s="3" t="s">
        <v>0</v>
      </c>
      <c r="B37" s="3" t="s">
        <v>25</v>
      </c>
      <c r="C37" s="3" t="s">
        <v>26</v>
      </c>
      <c r="D37" s="4" t="s">
        <v>242</v>
      </c>
      <c r="E37" s="4" t="s">
        <v>61</v>
      </c>
      <c r="F37" s="4" t="s">
        <v>243</v>
      </c>
      <c r="G37" s="4" t="s">
        <v>244</v>
      </c>
      <c r="H37" s="4" t="s">
        <v>245</v>
      </c>
      <c r="I37" s="11" t="s">
        <v>248</v>
      </c>
      <c r="L37" s="4" t="s">
        <v>240</v>
      </c>
      <c r="T37" s="1"/>
      <c r="U37" s="20"/>
      <c r="V37" s="1"/>
    </row>
    <row r="38" spans="1:22" x14ac:dyDescent="0.2">
      <c r="A38" s="12" t="s">
        <v>86</v>
      </c>
      <c r="B38" s="3" t="s">
        <v>38</v>
      </c>
      <c r="C38" s="8">
        <v>14.8632485583513</v>
      </c>
      <c r="D38" s="4">
        <f>(C38-$T$11)/$T$10</f>
        <v>6.7445978719809112</v>
      </c>
      <c r="E38" s="4">
        <f>10^D38</f>
        <v>5553897.6485749474</v>
      </c>
      <c r="F38" s="23">
        <v>7.6388888888888895E-2</v>
      </c>
      <c r="G38" s="4" t="s">
        <v>246</v>
      </c>
      <c r="H38" s="4" t="s">
        <v>247</v>
      </c>
      <c r="I38" s="11" t="s">
        <v>196</v>
      </c>
      <c r="J38" s="4">
        <f>((E38*50*50)/75)*100</f>
        <v>18512992161.916492</v>
      </c>
      <c r="K38" s="5">
        <f>J38</f>
        <v>18512992161.916492</v>
      </c>
      <c r="L38" s="39">
        <f>AVERAGE(K38:K40)</f>
        <v>18444806797.884205</v>
      </c>
      <c r="M38" s="40" t="s">
        <v>238</v>
      </c>
      <c r="T38" s="1"/>
      <c r="U38" s="20"/>
      <c r="V38" s="1"/>
    </row>
    <row r="39" spans="1:22" x14ac:dyDescent="0.2">
      <c r="A39" s="12" t="s">
        <v>87</v>
      </c>
      <c r="B39" s="3" t="s">
        <v>38</v>
      </c>
      <c r="C39" s="8">
        <v>14.682992143237801</v>
      </c>
      <c r="D39" s="34">
        <f t="shared" ref="D39:D102" si="1">(C39-$T$11)/$T$10</f>
        <v>6.7940967119447047</v>
      </c>
      <c r="E39" s="4">
        <f t="shared" ref="E39:E102" si="2">10^D39</f>
        <v>6224388.7908382397</v>
      </c>
      <c r="F39" s="23">
        <v>7.6388888888888895E-2</v>
      </c>
      <c r="G39" s="4" t="s">
        <v>246</v>
      </c>
      <c r="H39" s="4" t="s">
        <v>247</v>
      </c>
      <c r="I39" s="11" t="s">
        <v>196</v>
      </c>
      <c r="J39" s="4">
        <f t="shared" ref="J39:J40" si="3">((E39*50*50)/75)*100</f>
        <v>20747962636.127464</v>
      </c>
      <c r="K39" s="5">
        <f t="shared" ref="K39:K40" si="4">J39</f>
        <v>20747962636.127464</v>
      </c>
      <c r="L39" s="40"/>
      <c r="M39" s="40"/>
      <c r="T39" s="1"/>
      <c r="U39" s="20"/>
      <c r="V39" s="1"/>
    </row>
    <row r="40" spans="1:22" x14ac:dyDescent="0.2">
      <c r="A40" s="12" t="s">
        <v>88</v>
      </c>
      <c r="B40" s="3" t="s">
        <v>38</v>
      </c>
      <c r="C40" s="8">
        <v>15.0867247462644</v>
      </c>
      <c r="D40" s="34">
        <f t="shared" si="1"/>
        <v>6.6832307796959354</v>
      </c>
      <c r="E40" s="4">
        <f t="shared" si="2"/>
        <v>4822039.6786825983</v>
      </c>
      <c r="F40" s="23">
        <v>7.6388888888888895E-2</v>
      </c>
      <c r="G40" s="4" t="s">
        <v>246</v>
      </c>
      <c r="H40" s="4" t="s">
        <v>247</v>
      </c>
      <c r="I40" s="11" t="s">
        <v>196</v>
      </c>
      <c r="J40" s="4">
        <f t="shared" si="3"/>
        <v>16073465595.60866</v>
      </c>
      <c r="K40" s="5">
        <f t="shared" si="4"/>
        <v>16073465595.60866</v>
      </c>
      <c r="L40" s="40"/>
      <c r="M40" s="40"/>
    </row>
    <row r="41" spans="1:22" x14ac:dyDescent="0.2">
      <c r="A41" s="12" t="s">
        <v>7</v>
      </c>
      <c r="B41" s="3" t="s">
        <v>39</v>
      </c>
      <c r="C41" s="8">
        <v>18.1282375724894</v>
      </c>
      <c r="D41" s="34">
        <f t="shared" si="1"/>
        <v>5.8480241295562498</v>
      </c>
      <c r="E41" s="4">
        <f t="shared" si="2"/>
        <v>704732.22305299551</v>
      </c>
      <c r="F41" s="23">
        <v>7.6388888888888895E-2</v>
      </c>
      <c r="G41" s="4" t="s">
        <v>246</v>
      </c>
      <c r="H41" s="4" t="s">
        <v>247</v>
      </c>
      <c r="I41" s="11" t="s">
        <v>197</v>
      </c>
      <c r="J41" s="4">
        <f>(E41*50*50)/5</f>
        <v>352366111.52649772</v>
      </c>
      <c r="K41" s="5">
        <f>J41</f>
        <v>352366111.52649772</v>
      </c>
      <c r="L41" s="39">
        <f>AVERAGE(K41:K43)</f>
        <v>343044519.59406924</v>
      </c>
      <c r="M41" s="40" t="s">
        <v>238</v>
      </c>
    </row>
    <row r="42" spans="1:22" x14ac:dyDescent="0.2">
      <c r="A42" s="12" t="s">
        <v>8</v>
      </c>
      <c r="B42" s="3" t="s">
        <v>39</v>
      </c>
      <c r="C42" s="8">
        <v>18.116777036638101</v>
      </c>
      <c r="D42" s="34">
        <f t="shared" si="1"/>
        <v>5.8511712199366146</v>
      </c>
      <c r="E42" s="4">
        <f t="shared" si="2"/>
        <v>709857.57306810457</v>
      </c>
      <c r="F42" s="23">
        <v>7.6388888888888895E-2</v>
      </c>
      <c r="G42" s="4" t="s">
        <v>246</v>
      </c>
      <c r="H42" s="4" t="s">
        <v>247</v>
      </c>
      <c r="I42" s="11" t="s">
        <v>197</v>
      </c>
      <c r="J42" s="4">
        <f t="shared" ref="J42:J49" si="5">(E42*50*50)/5</f>
        <v>354928786.53405225</v>
      </c>
      <c r="K42" s="5">
        <f t="shared" ref="K42:K103" si="6">J42</f>
        <v>354928786.53405225</v>
      </c>
      <c r="L42" s="40"/>
      <c r="M42" s="40"/>
    </row>
    <row r="43" spans="1:22" x14ac:dyDescent="0.2">
      <c r="A43" s="12" t="s">
        <v>9</v>
      </c>
      <c r="B43" s="3" t="s">
        <v>39</v>
      </c>
      <c r="C43" s="8">
        <v>18.271557241008399</v>
      </c>
      <c r="D43" s="34">
        <f t="shared" si="1"/>
        <v>5.8086682079863081</v>
      </c>
      <c r="E43" s="4">
        <f t="shared" si="2"/>
        <v>643677.32144331548</v>
      </c>
      <c r="F43" s="23">
        <v>7.6388888888888895E-2</v>
      </c>
      <c r="G43" s="4" t="s">
        <v>246</v>
      </c>
      <c r="H43" s="4" t="s">
        <v>247</v>
      </c>
      <c r="I43" s="11" t="s">
        <v>197</v>
      </c>
      <c r="J43" s="4">
        <f t="shared" si="5"/>
        <v>321838660.72165769</v>
      </c>
      <c r="K43" s="5">
        <f t="shared" si="6"/>
        <v>321838660.72165769</v>
      </c>
      <c r="L43" s="40"/>
      <c r="M43" s="40"/>
    </row>
    <row r="44" spans="1:22" x14ac:dyDescent="0.2">
      <c r="A44" s="12" t="s">
        <v>89</v>
      </c>
      <c r="B44" s="3" t="s">
        <v>40</v>
      </c>
      <c r="C44" s="8">
        <v>18.416621384157398</v>
      </c>
      <c r="D44" s="34">
        <f t="shared" si="1"/>
        <v>5.7688332495372796</v>
      </c>
      <c r="E44" s="4">
        <f t="shared" si="2"/>
        <v>587263.82510344707</v>
      </c>
      <c r="F44" s="23">
        <v>7.6388888888888895E-2</v>
      </c>
      <c r="G44" s="4" t="s">
        <v>246</v>
      </c>
      <c r="H44" s="4" t="s">
        <v>247</v>
      </c>
      <c r="I44" s="11" t="s">
        <v>197</v>
      </c>
      <c r="J44" s="4">
        <f t="shared" si="5"/>
        <v>293631912.55172354</v>
      </c>
      <c r="K44" s="5">
        <f t="shared" si="6"/>
        <v>293631912.55172354</v>
      </c>
      <c r="L44" s="39">
        <f>AVERAGE(K44:K46)</f>
        <v>300979294.07085061</v>
      </c>
      <c r="M44" s="40" t="s">
        <v>238</v>
      </c>
    </row>
    <row r="45" spans="1:22" x14ac:dyDescent="0.2">
      <c r="A45" s="12" t="s">
        <v>90</v>
      </c>
      <c r="B45" s="3" t="s">
        <v>40</v>
      </c>
      <c r="C45" s="8">
        <v>18.393411265972301</v>
      </c>
      <c r="D45" s="34">
        <f t="shared" si="1"/>
        <v>5.7752068031490129</v>
      </c>
      <c r="E45" s="4">
        <f t="shared" si="2"/>
        <v>595945.85457302409</v>
      </c>
      <c r="F45" s="23">
        <v>7.6388888888888895E-2</v>
      </c>
      <c r="G45" s="4" t="s">
        <v>246</v>
      </c>
      <c r="H45" s="4" t="s">
        <v>247</v>
      </c>
      <c r="I45" s="11" t="s">
        <v>197</v>
      </c>
      <c r="J45" s="4">
        <f t="shared" si="5"/>
        <v>297972927.28651202</v>
      </c>
      <c r="K45" s="5">
        <f t="shared" si="6"/>
        <v>297972927.28651202</v>
      </c>
      <c r="L45" s="40"/>
      <c r="M45" s="40"/>
    </row>
    <row r="46" spans="1:22" x14ac:dyDescent="0.2">
      <c r="A46" s="12" t="s">
        <v>91</v>
      </c>
      <c r="B46" s="3" t="s">
        <v>40</v>
      </c>
      <c r="C46" s="8">
        <v>18.324044028889801</v>
      </c>
      <c r="D46" s="34">
        <f t="shared" si="1"/>
        <v>5.7942552113008956</v>
      </c>
      <c r="E46" s="4">
        <f t="shared" si="2"/>
        <v>622666.08474863251</v>
      </c>
      <c r="F46" s="23">
        <v>7.6388888888888895E-2</v>
      </c>
      <c r="G46" s="4" t="s">
        <v>246</v>
      </c>
      <c r="H46" s="4" t="s">
        <v>247</v>
      </c>
      <c r="I46" s="11" t="s">
        <v>197</v>
      </c>
      <c r="J46" s="4">
        <f t="shared" si="5"/>
        <v>311333042.37431628</v>
      </c>
      <c r="K46" s="5">
        <f t="shared" si="6"/>
        <v>311333042.37431628</v>
      </c>
      <c r="L46" s="40"/>
      <c r="M46" s="40"/>
    </row>
    <row r="47" spans="1:22" x14ac:dyDescent="0.2">
      <c r="A47" s="12" t="s">
        <v>92</v>
      </c>
      <c r="B47" s="3" t="s">
        <v>41</v>
      </c>
      <c r="C47" s="8">
        <v>18.576325486073198</v>
      </c>
      <c r="D47" s="34">
        <f t="shared" si="1"/>
        <v>5.7249781236194917</v>
      </c>
      <c r="E47" s="4">
        <f t="shared" si="2"/>
        <v>530857.7030724216</v>
      </c>
      <c r="F47" s="23">
        <v>7.6388888888888895E-2</v>
      </c>
      <c r="G47" s="4" t="s">
        <v>246</v>
      </c>
      <c r="H47" s="4" t="s">
        <v>247</v>
      </c>
      <c r="I47" s="11" t="s">
        <v>197</v>
      </c>
      <c r="J47" s="4">
        <f t="shared" si="5"/>
        <v>265428851.53621083</v>
      </c>
      <c r="K47" s="5">
        <f t="shared" si="6"/>
        <v>265428851.53621083</v>
      </c>
      <c r="L47" s="39">
        <f>AVERAGE(K47:K49)</f>
        <v>306727715.24415767</v>
      </c>
      <c r="M47" s="40" t="s">
        <v>238</v>
      </c>
    </row>
    <row r="48" spans="1:22" x14ac:dyDescent="0.2">
      <c r="A48" s="12" t="s">
        <v>93</v>
      </c>
      <c r="B48" s="3" t="s">
        <v>41</v>
      </c>
      <c r="C48" s="8">
        <v>18.298850064224901</v>
      </c>
      <c r="D48" s="34">
        <f t="shared" si="1"/>
        <v>5.8011735338705321</v>
      </c>
      <c r="E48" s="4">
        <f t="shared" si="2"/>
        <v>632664.59878511238</v>
      </c>
      <c r="F48" s="23">
        <v>7.6388888888888895E-2</v>
      </c>
      <c r="G48" s="4" t="s">
        <v>246</v>
      </c>
      <c r="H48" s="4" t="s">
        <v>247</v>
      </c>
      <c r="I48" s="11" t="s">
        <v>197</v>
      </c>
      <c r="J48" s="4">
        <f t="shared" si="5"/>
        <v>316332299.39255619</v>
      </c>
      <c r="K48" s="5">
        <f t="shared" si="6"/>
        <v>316332299.39255619</v>
      </c>
      <c r="L48" s="40"/>
      <c r="M48" s="40"/>
    </row>
    <row r="49" spans="1:13" x14ac:dyDescent="0.2">
      <c r="A49" s="12" t="s">
        <v>94</v>
      </c>
      <c r="B49" s="3" t="s">
        <v>41</v>
      </c>
      <c r="C49" s="8">
        <v>18.192095551659499</v>
      </c>
      <c r="D49" s="34">
        <f t="shared" si="1"/>
        <v>5.8304885767196879</v>
      </c>
      <c r="E49" s="4">
        <f t="shared" si="2"/>
        <v>676843.98960741202</v>
      </c>
      <c r="F49" s="23">
        <v>7.6388888888888895E-2</v>
      </c>
      <c r="G49" s="4" t="s">
        <v>246</v>
      </c>
      <c r="H49" s="4" t="s">
        <v>247</v>
      </c>
      <c r="I49" s="11" t="s">
        <v>197</v>
      </c>
      <c r="J49" s="4">
        <f t="shared" si="5"/>
        <v>338421994.80370605</v>
      </c>
      <c r="K49" s="5">
        <f t="shared" si="6"/>
        <v>338421994.80370605</v>
      </c>
      <c r="L49" s="40"/>
      <c r="M49" s="40"/>
    </row>
    <row r="50" spans="1:13" x14ac:dyDescent="0.2">
      <c r="A50" s="12" t="s">
        <v>95</v>
      </c>
      <c r="B50" s="3" t="s">
        <v>42</v>
      </c>
      <c r="C50" s="8">
        <v>15.046811658731301</v>
      </c>
      <c r="D50" s="34">
        <f t="shared" si="1"/>
        <v>6.6941910083847054</v>
      </c>
      <c r="E50" s="4">
        <f t="shared" si="2"/>
        <v>4945281.3909793794</v>
      </c>
      <c r="F50" s="23">
        <v>7.6388888888888895E-2</v>
      </c>
      <c r="G50" s="4" t="s">
        <v>246</v>
      </c>
      <c r="H50" s="4" t="s">
        <v>247</v>
      </c>
      <c r="I50" s="11" t="s">
        <v>195</v>
      </c>
      <c r="J50" s="4">
        <f>(E50*50*50)*4</f>
        <v>49452813909.793793</v>
      </c>
      <c r="K50" s="5">
        <f t="shared" si="6"/>
        <v>49452813909.793793</v>
      </c>
      <c r="L50" s="39">
        <f t="shared" ref="L50" si="7">AVERAGE(K50:K52)</f>
        <v>45389847770.994972</v>
      </c>
      <c r="M50" s="40" t="s">
        <v>249</v>
      </c>
    </row>
    <row r="51" spans="1:13" x14ac:dyDescent="0.2">
      <c r="A51" s="12" t="s">
        <v>96</v>
      </c>
      <c r="B51" s="3" t="s">
        <v>42</v>
      </c>
      <c r="C51" s="8">
        <v>15.2420964367995</v>
      </c>
      <c r="D51" s="34">
        <f t="shared" si="1"/>
        <v>6.6405653442391266</v>
      </c>
      <c r="E51" s="4">
        <f t="shared" si="2"/>
        <v>4370844.3814122723</v>
      </c>
      <c r="F51" s="23">
        <v>7.6388888888888895E-2</v>
      </c>
      <c r="G51" s="4" t="s">
        <v>246</v>
      </c>
      <c r="H51" s="4" t="s">
        <v>247</v>
      </c>
      <c r="I51" s="11" t="s">
        <v>195</v>
      </c>
      <c r="J51" s="4">
        <f t="shared" ref="J51:J67" si="8">(E51*50*50)*4</f>
        <v>43708443814.122726</v>
      </c>
      <c r="K51" s="5">
        <f t="shared" si="6"/>
        <v>43708443814.122726</v>
      </c>
      <c r="L51" s="40"/>
      <c r="M51" s="40"/>
    </row>
    <row r="52" spans="1:13" x14ac:dyDescent="0.2">
      <c r="A52" s="12" t="s">
        <v>97</v>
      </c>
      <c r="B52" s="3" t="s">
        <v>42</v>
      </c>
      <c r="C52" s="8">
        <v>15.267635958433599</v>
      </c>
      <c r="D52" s="34">
        <f t="shared" si="1"/>
        <v>6.6335521309045431</v>
      </c>
      <c r="E52" s="4">
        <f t="shared" si="2"/>
        <v>4300828.5589068392</v>
      </c>
      <c r="F52" s="23">
        <v>7.6388888888888895E-2</v>
      </c>
      <c r="G52" s="4" t="s">
        <v>246</v>
      </c>
      <c r="H52" s="4" t="s">
        <v>247</v>
      </c>
      <c r="I52" s="11" t="s">
        <v>195</v>
      </c>
      <c r="J52" s="4">
        <f t="shared" si="8"/>
        <v>43008285589.068398</v>
      </c>
      <c r="K52" s="5">
        <f t="shared" si="6"/>
        <v>43008285589.068398</v>
      </c>
      <c r="L52" s="40"/>
      <c r="M52" s="40"/>
    </row>
    <row r="53" spans="1:13" x14ac:dyDescent="0.2">
      <c r="A53" s="12" t="s">
        <v>10</v>
      </c>
      <c r="B53" s="3" t="s">
        <v>43</v>
      </c>
      <c r="C53" s="8">
        <v>14.622283225157201</v>
      </c>
      <c r="D53" s="34">
        <f t="shared" si="1"/>
        <v>6.8107675251224462</v>
      </c>
      <c r="E53" s="4">
        <f t="shared" si="2"/>
        <v>6467962.9741419144</v>
      </c>
      <c r="F53" s="23">
        <v>7.6388888888888895E-2</v>
      </c>
      <c r="G53" s="4" t="s">
        <v>246</v>
      </c>
      <c r="H53" s="4" t="s">
        <v>247</v>
      </c>
      <c r="I53" s="11" t="s">
        <v>195</v>
      </c>
      <c r="J53" s="4">
        <f t="shared" si="8"/>
        <v>64679629741.419151</v>
      </c>
      <c r="K53" s="5">
        <f t="shared" si="6"/>
        <v>64679629741.419151</v>
      </c>
      <c r="L53" s="39">
        <f t="shared" ref="L53" si="9">AVERAGE(K53:K55)</f>
        <v>62618475321.849678</v>
      </c>
      <c r="M53" s="40" t="s">
        <v>249</v>
      </c>
    </row>
    <row r="54" spans="1:13" x14ac:dyDescent="0.2">
      <c r="A54" s="12" t="s">
        <v>11</v>
      </c>
      <c r="B54" s="3" t="s">
        <v>43</v>
      </c>
      <c r="C54" s="8">
        <v>14.694700657653099</v>
      </c>
      <c r="D54" s="34">
        <f t="shared" si="1"/>
        <v>6.7908815260613515</v>
      </c>
      <c r="E54" s="4">
        <f t="shared" si="2"/>
        <v>6178478.305292747</v>
      </c>
      <c r="F54" s="23">
        <v>7.6388888888888895E-2</v>
      </c>
      <c r="G54" s="4" t="s">
        <v>246</v>
      </c>
      <c r="H54" s="4" t="s">
        <v>247</v>
      </c>
      <c r="I54" s="11" t="s">
        <v>195</v>
      </c>
      <c r="J54" s="4">
        <f t="shared" si="8"/>
        <v>61784783052.927467</v>
      </c>
      <c r="K54" s="5">
        <f t="shared" si="6"/>
        <v>61784783052.927467</v>
      </c>
      <c r="L54" s="40"/>
      <c r="M54" s="40"/>
    </row>
    <row r="55" spans="1:13" x14ac:dyDescent="0.2">
      <c r="A55" s="12" t="s">
        <v>12</v>
      </c>
      <c r="B55" s="3" t="s">
        <v>43</v>
      </c>
      <c r="C55" s="8">
        <v>14.704812460930199</v>
      </c>
      <c r="D55" s="34">
        <f t="shared" si="1"/>
        <v>6.788104800851082</v>
      </c>
      <c r="E55" s="4">
        <f t="shared" si="2"/>
        <v>6139101.3171202438</v>
      </c>
      <c r="F55" s="23">
        <v>7.6388888888888895E-2</v>
      </c>
      <c r="G55" s="4" t="s">
        <v>246</v>
      </c>
      <c r="H55" s="4" t="s">
        <v>247</v>
      </c>
      <c r="I55" s="11" t="s">
        <v>195</v>
      </c>
      <c r="J55" s="4">
        <f t="shared" si="8"/>
        <v>61391013171.202431</v>
      </c>
      <c r="K55" s="5">
        <f t="shared" si="6"/>
        <v>61391013171.202431</v>
      </c>
      <c r="L55" s="40"/>
      <c r="M55" s="40"/>
    </row>
    <row r="56" spans="1:13" x14ac:dyDescent="0.2">
      <c r="A56" s="12" t="s">
        <v>98</v>
      </c>
      <c r="B56" s="3" t="s">
        <v>44</v>
      </c>
      <c r="C56" s="8">
        <v>14.377779572591701</v>
      </c>
      <c r="D56" s="34">
        <f t="shared" si="1"/>
        <v>6.8779088091720713</v>
      </c>
      <c r="E56" s="4">
        <f t="shared" si="2"/>
        <v>7549336.9409060143</v>
      </c>
      <c r="F56" s="23">
        <v>7.6388888888888895E-2</v>
      </c>
      <c r="G56" s="4" t="s">
        <v>246</v>
      </c>
      <c r="H56" s="4" t="s">
        <v>247</v>
      </c>
      <c r="I56" s="11" t="s">
        <v>195</v>
      </c>
      <c r="J56" s="4">
        <f t="shared" si="8"/>
        <v>75493369409.06015</v>
      </c>
      <c r="K56" s="5">
        <f t="shared" si="6"/>
        <v>75493369409.06015</v>
      </c>
      <c r="L56" s="39">
        <f t="shared" ref="L56" si="10">AVERAGE(K56:K58)</f>
        <v>76866006965.834244</v>
      </c>
      <c r="M56" s="40" t="s">
        <v>249</v>
      </c>
    </row>
    <row r="57" spans="1:13" x14ac:dyDescent="0.2">
      <c r="A57" s="12" t="s">
        <v>99</v>
      </c>
      <c r="B57" s="3" t="s">
        <v>44</v>
      </c>
      <c r="C57" s="8">
        <v>14.317479000112501</v>
      </c>
      <c r="D57" s="34">
        <f t="shared" si="1"/>
        <v>6.8944674896772487</v>
      </c>
      <c r="E57" s="4">
        <f t="shared" si="2"/>
        <v>7842734.0771472547</v>
      </c>
      <c r="F57" s="23">
        <v>7.6388888888888895E-2</v>
      </c>
      <c r="G57" s="4" t="s">
        <v>246</v>
      </c>
      <c r="H57" s="4" t="s">
        <v>247</v>
      </c>
      <c r="I57" s="11" t="s">
        <v>195</v>
      </c>
      <c r="J57" s="4">
        <f t="shared" si="8"/>
        <v>78427340771.472549</v>
      </c>
      <c r="K57" s="5">
        <f t="shared" si="6"/>
        <v>78427340771.472549</v>
      </c>
      <c r="L57" s="40"/>
      <c r="M57" s="40"/>
    </row>
    <row r="58" spans="1:13" x14ac:dyDescent="0.2">
      <c r="A58" s="12" t="s">
        <v>100</v>
      </c>
      <c r="B58" s="3" t="s">
        <v>44</v>
      </c>
      <c r="C58" s="8">
        <v>14.3531692123591</v>
      </c>
      <c r="D58" s="34">
        <f t="shared" si="1"/>
        <v>6.8846668725776805</v>
      </c>
      <c r="E58" s="4">
        <f t="shared" si="2"/>
        <v>7667731.0716970032</v>
      </c>
      <c r="F58" s="23">
        <v>7.6388888888888895E-2</v>
      </c>
      <c r="G58" s="4" t="s">
        <v>246</v>
      </c>
      <c r="H58" s="4" t="s">
        <v>247</v>
      </c>
      <c r="I58" s="11" t="s">
        <v>195</v>
      </c>
      <c r="J58" s="4">
        <f t="shared" si="8"/>
        <v>76677310716.970032</v>
      </c>
      <c r="K58" s="5">
        <f t="shared" si="6"/>
        <v>76677310716.970032</v>
      </c>
      <c r="L58" s="40"/>
      <c r="M58" s="40"/>
    </row>
    <row r="59" spans="1:13" x14ac:dyDescent="0.2">
      <c r="A59" s="12" t="s">
        <v>101</v>
      </c>
      <c r="B59" s="3" t="s">
        <v>45</v>
      </c>
      <c r="C59" s="8">
        <v>14.5221007902054</v>
      </c>
      <c r="D59" s="34">
        <f t="shared" si="1"/>
        <v>6.8382778598405753</v>
      </c>
      <c r="E59" s="4">
        <f t="shared" si="2"/>
        <v>6890930.3425462004</v>
      </c>
      <c r="F59" s="23">
        <v>7.6388888888888895E-2</v>
      </c>
      <c r="G59" s="4" t="s">
        <v>246</v>
      </c>
      <c r="H59" s="4" t="s">
        <v>247</v>
      </c>
      <c r="I59" s="11" t="s">
        <v>195</v>
      </c>
      <c r="J59" s="4">
        <f t="shared" si="8"/>
        <v>68909303425.462006</v>
      </c>
      <c r="K59" s="5">
        <f t="shared" si="6"/>
        <v>68909303425.462006</v>
      </c>
      <c r="L59" s="39">
        <f t="shared" ref="L59" si="11">AVERAGE(K59:K61)</f>
        <v>66952832649.523674</v>
      </c>
      <c r="M59" s="40" t="s">
        <v>249</v>
      </c>
    </row>
    <row r="60" spans="1:13" x14ac:dyDescent="0.2">
      <c r="A60" s="12" t="s">
        <v>102</v>
      </c>
      <c r="B60" s="3" t="s">
        <v>45</v>
      </c>
      <c r="C60" s="8">
        <v>14.536751859129</v>
      </c>
      <c r="D60" s="34">
        <f t="shared" si="1"/>
        <v>6.834254641496357</v>
      </c>
      <c r="E60" s="4">
        <f t="shared" si="2"/>
        <v>6827388.8963470813</v>
      </c>
      <c r="F60" s="23">
        <v>7.6388888888888895E-2</v>
      </c>
      <c r="G60" s="4" t="s">
        <v>246</v>
      </c>
      <c r="H60" s="4" t="s">
        <v>247</v>
      </c>
      <c r="I60" s="11" t="s">
        <v>195</v>
      </c>
      <c r="J60" s="4">
        <f t="shared" si="8"/>
        <v>68273888963.470818</v>
      </c>
      <c r="K60" s="5">
        <f t="shared" si="6"/>
        <v>68273888963.470818</v>
      </c>
      <c r="L60" s="40"/>
      <c r="M60" s="40"/>
    </row>
    <row r="61" spans="1:13" x14ac:dyDescent="0.2">
      <c r="A61" s="12" t="s">
        <v>103</v>
      </c>
      <c r="B61" s="3" t="s">
        <v>45</v>
      </c>
      <c r="C61" s="8">
        <v>14.6470335114213</v>
      </c>
      <c r="D61" s="34">
        <f t="shared" si="1"/>
        <v>6.8039710376960585</v>
      </c>
      <c r="E61" s="4">
        <f t="shared" si="2"/>
        <v>6367530.5559638189</v>
      </c>
      <c r="F61" s="23">
        <v>7.6388888888888895E-2</v>
      </c>
      <c r="G61" s="4" t="s">
        <v>246</v>
      </c>
      <c r="H61" s="4" t="s">
        <v>247</v>
      </c>
      <c r="I61" s="11" t="s">
        <v>195</v>
      </c>
      <c r="J61" s="4">
        <f t="shared" si="8"/>
        <v>63675305559.638191</v>
      </c>
      <c r="K61" s="5">
        <f t="shared" si="6"/>
        <v>63675305559.638191</v>
      </c>
      <c r="L61" s="40"/>
      <c r="M61" s="40"/>
    </row>
    <row r="62" spans="1:13" x14ac:dyDescent="0.2">
      <c r="A62" s="12" t="s">
        <v>104</v>
      </c>
      <c r="B62" s="3" t="s">
        <v>46</v>
      </c>
      <c r="C62" s="8">
        <v>14.377345871903501</v>
      </c>
      <c r="D62" s="34">
        <f t="shared" si="1"/>
        <v>6.8780279044117263</v>
      </c>
      <c r="E62" s="4">
        <f t="shared" si="2"/>
        <v>7551407.4562321557</v>
      </c>
      <c r="F62" s="23">
        <v>7.6388888888888895E-2</v>
      </c>
      <c r="G62" s="4" t="s">
        <v>246</v>
      </c>
      <c r="H62" s="4" t="s">
        <v>247</v>
      </c>
      <c r="I62" s="11" t="s">
        <v>195</v>
      </c>
      <c r="J62" s="4">
        <f t="shared" si="8"/>
        <v>75514074562.321548</v>
      </c>
      <c r="K62" s="5">
        <f t="shared" si="6"/>
        <v>75514074562.321548</v>
      </c>
      <c r="L62" s="39">
        <f t="shared" ref="L62" si="12">AVERAGE(K62:K64)</f>
        <v>76917591302.36113</v>
      </c>
      <c r="M62" s="40" t="s">
        <v>249</v>
      </c>
    </row>
    <row r="63" spans="1:13" x14ac:dyDescent="0.2">
      <c r="A63" s="12" t="s">
        <v>105</v>
      </c>
      <c r="B63" s="3" t="s">
        <v>46</v>
      </c>
      <c r="C63" s="8">
        <v>14.358558278488101</v>
      </c>
      <c r="D63" s="34">
        <f t="shared" si="1"/>
        <v>6.8831870222117129</v>
      </c>
      <c r="E63" s="4">
        <f t="shared" si="2"/>
        <v>7641647.884971411</v>
      </c>
      <c r="F63" s="23">
        <v>7.6388888888888895E-2</v>
      </c>
      <c r="G63" s="4" t="s">
        <v>246</v>
      </c>
      <c r="H63" s="4" t="s">
        <v>247</v>
      </c>
      <c r="I63" s="11" t="s">
        <v>195</v>
      </c>
      <c r="J63" s="4">
        <f t="shared" si="8"/>
        <v>76416478849.714111</v>
      </c>
      <c r="K63" s="5">
        <f t="shared" si="6"/>
        <v>76416478849.714111</v>
      </c>
      <c r="L63" s="40"/>
      <c r="M63" s="40"/>
    </row>
    <row r="64" spans="1:13" x14ac:dyDescent="0.2">
      <c r="A64" s="12" t="s">
        <v>106</v>
      </c>
      <c r="B64" s="3" t="s">
        <v>46</v>
      </c>
      <c r="C64" s="8">
        <v>14.309535967969</v>
      </c>
      <c r="D64" s="34">
        <f t="shared" si="1"/>
        <v>6.8966486651802166</v>
      </c>
      <c r="E64" s="4">
        <f t="shared" si="2"/>
        <v>7882222.0495047765</v>
      </c>
      <c r="F64" s="23">
        <v>7.6388888888888895E-2</v>
      </c>
      <c r="G64" s="4" t="s">
        <v>246</v>
      </c>
      <c r="H64" s="4" t="s">
        <v>247</v>
      </c>
      <c r="I64" s="11" t="s">
        <v>195</v>
      </c>
      <c r="J64" s="4">
        <f t="shared" si="8"/>
        <v>78822220495.04776</v>
      </c>
      <c r="K64" s="5">
        <f t="shared" si="6"/>
        <v>78822220495.04776</v>
      </c>
      <c r="L64" s="40"/>
      <c r="M64" s="40"/>
    </row>
    <row r="65" spans="1:13" x14ac:dyDescent="0.2">
      <c r="A65" s="12" t="s">
        <v>13</v>
      </c>
      <c r="B65" s="3" t="s">
        <v>47</v>
      </c>
      <c r="C65" s="8">
        <v>14.4060598073557</v>
      </c>
      <c r="D65" s="34">
        <f t="shared" si="1"/>
        <v>6.8701429894988006</v>
      </c>
      <c r="E65" s="4">
        <f t="shared" si="2"/>
        <v>7415543.5453775246</v>
      </c>
      <c r="F65" s="23">
        <v>7.6388888888888895E-2</v>
      </c>
      <c r="G65" s="4" t="s">
        <v>246</v>
      </c>
      <c r="H65" s="4" t="s">
        <v>247</v>
      </c>
      <c r="I65" s="11" t="s">
        <v>195</v>
      </c>
      <c r="J65" s="4">
        <f t="shared" si="8"/>
        <v>74155435453.775253</v>
      </c>
      <c r="K65" s="5">
        <f t="shared" si="6"/>
        <v>74155435453.775253</v>
      </c>
      <c r="L65" s="39">
        <f t="shared" ref="L65" si="13">AVERAGE(K65:K67)</f>
        <v>72286114136.355423</v>
      </c>
      <c r="M65" s="40" t="s">
        <v>249</v>
      </c>
    </row>
    <row r="66" spans="1:13" x14ac:dyDescent="0.2">
      <c r="A66" s="12" t="s">
        <v>14</v>
      </c>
      <c r="B66" s="3" t="s">
        <v>47</v>
      </c>
      <c r="C66" s="8">
        <v>14.445267646984799</v>
      </c>
      <c r="D66" s="34">
        <f t="shared" si="1"/>
        <v>6.8593764235604677</v>
      </c>
      <c r="E66" s="4">
        <f t="shared" si="2"/>
        <v>7233965.3393194433</v>
      </c>
      <c r="F66" s="23">
        <v>7.6388888888888895E-2</v>
      </c>
      <c r="G66" s="4" t="s">
        <v>246</v>
      </c>
      <c r="H66" s="4" t="s">
        <v>247</v>
      </c>
      <c r="I66" s="11" t="s">
        <v>195</v>
      </c>
      <c r="J66" s="4">
        <f t="shared" si="8"/>
        <v>72339653393.194443</v>
      </c>
      <c r="K66" s="5">
        <f t="shared" si="6"/>
        <v>72339653393.194443</v>
      </c>
      <c r="L66" s="40"/>
      <c r="M66" s="40"/>
    </row>
    <row r="67" spans="1:13" x14ac:dyDescent="0.2">
      <c r="A67" s="12" t="s">
        <v>15</v>
      </c>
      <c r="B67" s="3" t="s">
        <v>47</v>
      </c>
      <c r="C67" s="8">
        <v>14.489078304791599</v>
      </c>
      <c r="D67" s="34">
        <f t="shared" si="1"/>
        <v>6.8473459128120897</v>
      </c>
      <c r="E67" s="4">
        <f t="shared" si="2"/>
        <v>7036325.3562096581</v>
      </c>
      <c r="F67" s="23">
        <v>7.6388888888888895E-2</v>
      </c>
      <c r="G67" s="4" t="s">
        <v>246</v>
      </c>
      <c r="H67" s="4" t="s">
        <v>247</v>
      </c>
      <c r="I67" s="11" t="s">
        <v>195</v>
      </c>
      <c r="J67" s="4">
        <f t="shared" si="8"/>
        <v>70363253562.096588</v>
      </c>
      <c r="K67" s="5">
        <f t="shared" si="6"/>
        <v>70363253562.096588</v>
      </c>
      <c r="L67" s="40"/>
      <c r="M67" s="40"/>
    </row>
    <row r="68" spans="1:13" x14ac:dyDescent="0.2">
      <c r="A68" s="12" t="s">
        <v>107</v>
      </c>
      <c r="B68" s="3" t="s">
        <v>48</v>
      </c>
      <c r="C68" s="8">
        <v>18.042128860158101</v>
      </c>
      <c r="D68" s="34">
        <f t="shared" si="1"/>
        <v>5.8716697865970353</v>
      </c>
      <c r="E68" s="4">
        <f t="shared" si="2"/>
        <v>744165.93629511225</v>
      </c>
      <c r="F68" s="23">
        <v>7.6388888888888895E-2</v>
      </c>
      <c r="G68" s="4" t="s">
        <v>246</v>
      </c>
      <c r="H68" s="4" t="s">
        <v>247</v>
      </c>
      <c r="I68" s="3" t="s">
        <v>200</v>
      </c>
      <c r="J68" s="4">
        <f>(E68*50*50)/234.4*1000</f>
        <v>7936923381.9871178</v>
      </c>
      <c r="K68" s="10">
        <f t="shared" si="6"/>
        <v>7936923381.9871178</v>
      </c>
      <c r="L68" s="39">
        <f t="shared" ref="L68:L101" si="14">AVERAGE(K68:K70)</f>
        <v>8115325962.6425524</v>
      </c>
      <c r="M68" s="40" t="s">
        <v>239</v>
      </c>
    </row>
    <row r="69" spans="1:13" x14ac:dyDescent="0.2">
      <c r="A69" s="12" t="s">
        <v>108</v>
      </c>
      <c r="B69" s="3" t="s">
        <v>48</v>
      </c>
      <c r="C69" s="8">
        <v>18.0234782716817</v>
      </c>
      <c r="D69" s="34">
        <f t="shared" si="1"/>
        <v>5.8767912825151836</v>
      </c>
      <c r="E69" s="4">
        <f t="shared" si="2"/>
        <v>752993.59574325255</v>
      </c>
      <c r="F69" s="23">
        <v>7.6388888888888895E-2</v>
      </c>
      <c r="G69" s="4" t="s">
        <v>246</v>
      </c>
      <c r="H69" s="4" t="s">
        <v>247</v>
      </c>
      <c r="I69" s="3" t="s">
        <v>200</v>
      </c>
      <c r="J69" s="4">
        <f t="shared" ref="J69:J70" si="15">(E69*50*50)/234.4*1000</f>
        <v>8031075039.9237671</v>
      </c>
      <c r="K69" s="10">
        <f t="shared" si="6"/>
        <v>8031075039.9237671</v>
      </c>
      <c r="L69" s="40"/>
      <c r="M69" s="40"/>
    </row>
    <row r="70" spans="1:13" x14ac:dyDescent="0.2">
      <c r="A70" s="12" t="s">
        <v>109</v>
      </c>
      <c r="B70" s="3" t="s">
        <v>48</v>
      </c>
      <c r="C70" s="8">
        <v>17.956597540390099</v>
      </c>
      <c r="D70" s="34">
        <f t="shared" si="1"/>
        <v>5.895156890267784</v>
      </c>
      <c r="E70" s="4">
        <f t="shared" si="2"/>
        <v>785519.35473373253</v>
      </c>
      <c r="F70" s="23">
        <v>7.6388888888888895E-2</v>
      </c>
      <c r="G70" s="4" t="s">
        <v>246</v>
      </c>
      <c r="H70" s="4" t="s">
        <v>247</v>
      </c>
      <c r="I70" s="3" t="s">
        <v>200</v>
      </c>
      <c r="J70" s="4">
        <f t="shared" si="15"/>
        <v>8377979466.0167713</v>
      </c>
      <c r="K70" s="10">
        <f t="shared" si="6"/>
        <v>8377979466.0167713</v>
      </c>
      <c r="L70" s="40"/>
      <c r="M70" s="40"/>
    </row>
    <row r="71" spans="1:13" x14ac:dyDescent="0.2">
      <c r="A71" s="12" t="s">
        <v>110</v>
      </c>
      <c r="B71" s="3" t="s">
        <v>49</v>
      </c>
      <c r="C71" s="8">
        <v>18.2457220138729</v>
      </c>
      <c r="D71" s="34">
        <f t="shared" si="1"/>
        <v>5.8157626227543098</v>
      </c>
      <c r="E71" s="4">
        <f t="shared" si="2"/>
        <v>654278.45994025341</v>
      </c>
      <c r="F71" s="23">
        <v>7.6388888888888895E-2</v>
      </c>
      <c r="G71" s="4" t="s">
        <v>246</v>
      </c>
      <c r="H71" s="4" t="s">
        <v>247</v>
      </c>
      <c r="I71" s="3" t="s">
        <v>201</v>
      </c>
      <c r="J71" s="4">
        <f>(E71*50*50)/250.2*1000</f>
        <v>6537554555.7579288</v>
      </c>
      <c r="K71" s="10">
        <f t="shared" si="6"/>
        <v>6537554555.7579288</v>
      </c>
      <c r="L71" s="39">
        <f t="shared" si="14"/>
        <v>6034575324.2429838</v>
      </c>
      <c r="M71" s="40" t="s">
        <v>239</v>
      </c>
    </row>
    <row r="72" spans="1:13" x14ac:dyDescent="0.2">
      <c r="A72" s="12" t="s">
        <v>111</v>
      </c>
      <c r="B72" s="3" t="s">
        <v>49</v>
      </c>
      <c r="C72" s="8">
        <v>18.376988503781</v>
      </c>
      <c r="D72" s="34">
        <f t="shared" si="1"/>
        <v>5.7797165326749154</v>
      </c>
      <c r="E72" s="4">
        <f t="shared" si="2"/>
        <v>602166.4191562091</v>
      </c>
      <c r="F72" s="23">
        <v>7.6388888888888895E-2</v>
      </c>
      <c r="G72" s="4" t="s">
        <v>246</v>
      </c>
      <c r="H72" s="4" t="s">
        <v>247</v>
      </c>
      <c r="I72" s="3" t="s">
        <v>201</v>
      </c>
      <c r="J72" s="4">
        <f t="shared" ref="J72:J73" si="16">(E72*50*50)/250.2*1000</f>
        <v>6016850710.9932966</v>
      </c>
      <c r="K72" s="10">
        <f t="shared" si="6"/>
        <v>6016850710.9932966</v>
      </c>
      <c r="L72" s="40"/>
      <c r="M72" s="40"/>
    </row>
    <row r="73" spans="1:13" x14ac:dyDescent="0.2">
      <c r="A73" s="12" t="s">
        <v>112</v>
      </c>
      <c r="B73" s="3" t="s">
        <v>49</v>
      </c>
      <c r="C73" s="8">
        <v>18.5049167911606</v>
      </c>
      <c r="D73" s="34">
        <f t="shared" si="1"/>
        <v>5.7445871209429793</v>
      </c>
      <c r="E73" s="4">
        <f t="shared" si="2"/>
        <v>555376.01625425066</v>
      </c>
      <c r="F73" s="23">
        <v>7.6388888888888895E-2</v>
      </c>
      <c r="G73" s="4" t="s">
        <v>246</v>
      </c>
      <c r="H73" s="4" t="s">
        <v>247</v>
      </c>
      <c r="I73" s="3" t="s">
        <v>201</v>
      </c>
      <c r="J73" s="4">
        <f t="shared" si="16"/>
        <v>5549320705.9777241</v>
      </c>
      <c r="K73" s="10">
        <f t="shared" si="6"/>
        <v>5549320705.9777241</v>
      </c>
      <c r="L73" s="40"/>
      <c r="M73" s="40"/>
    </row>
    <row r="74" spans="1:13" x14ac:dyDescent="0.2">
      <c r="A74" s="12" t="s">
        <v>113</v>
      </c>
      <c r="B74" s="3" t="s">
        <v>50</v>
      </c>
      <c r="C74" s="8">
        <v>18.119654320048099</v>
      </c>
      <c r="D74" s="34">
        <f t="shared" si="1"/>
        <v>5.8503811110744568</v>
      </c>
      <c r="E74" s="4">
        <f t="shared" si="2"/>
        <v>708567.30827469809</v>
      </c>
      <c r="F74" s="23">
        <v>7.6388888888888895E-2</v>
      </c>
      <c r="G74" s="4" t="s">
        <v>246</v>
      </c>
      <c r="H74" s="4" t="s">
        <v>247</v>
      </c>
      <c r="I74" s="3" t="s">
        <v>202</v>
      </c>
      <c r="J74" s="4">
        <f>(E74*50*50)/251.9*1000</f>
        <v>7032228148.815979</v>
      </c>
      <c r="K74" s="10">
        <f t="shared" si="6"/>
        <v>7032228148.815979</v>
      </c>
      <c r="L74" s="39">
        <f t="shared" si="14"/>
        <v>7408935011.5982637</v>
      </c>
      <c r="M74" s="40" t="s">
        <v>239</v>
      </c>
    </row>
    <row r="75" spans="1:13" x14ac:dyDescent="0.2">
      <c r="A75" s="12" t="s">
        <v>114</v>
      </c>
      <c r="B75" s="3" t="s">
        <v>50</v>
      </c>
      <c r="C75" s="8">
        <v>18.022830167013101</v>
      </c>
      <c r="D75" s="34">
        <f t="shared" si="1"/>
        <v>5.8769692535973812</v>
      </c>
      <c r="E75" s="4">
        <f t="shared" si="2"/>
        <v>753302.23090418265</v>
      </c>
      <c r="F75" s="23">
        <v>7.6388888888888895E-2</v>
      </c>
      <c r="G75" s="4" t="s">
        <v>246</v>
      </c>
      <c r="H75" s="4" t="s">
        <v>247</v>
      </c>
      <c r="I75" s="3" t="s">
        <v>202</v>
      </c>
      <c r="J75" s="4">
        <f t="shared" ref="J75:J76" si="17">(E75*50*50)/251.9*1000</f>
        <v>7476203164.9879179</v>
      </c>
      <c r="K75" s="10">
        <f t="shared" si="6"/>
        <v>7476203164.9879179</v>
      </c>
      <c r="L75" s="40"/>
      <c r="M75" s="40"/>
    </row>
    <row r="76" spans="1:13" x14ac:dyDescent="0.2">
      <c r="A76" s="12" t="s">
        <v>115</v>
      </c>
      <c r="B76" s="3" t="s">
        <v>50</v>
      </c>
      <c r="C76" s="8">
        <v>17.972412874416701</v>
      </c>
      <c r="D76" s="34">
        <f t="shared" si="1"/>
        <v>5.8908139619594415</v>
      </c>
      <c r="E76" s="4">
        <f t="shared" si="2"/>
        <v>777703.33612704242</v>
      </c>
      <c r="F76" s="23">
        <v>7.6388888888888895E-2</v>
      </c>
      <c r="G76" s="4" t="s">
        <v>246</v>
      </c>
      <c r="H76" s="4" t="s">
        <v>247</v>
      </c>
      <c r="I76" s="3" t="s">
        <v>202</v>
      </c>
      <c r="J76" s="4">
        <f t="shared" si="17"/>
        <v>7718373720.9908934</v>
      </c>
      <c r="K76" s="10">
        <f t="shared" si="6"/>
        <v>7718373720.9908934</v>
      </c>
      <c r="L76" s="40"/>
      <c r="M76" s="40"/>
    </row>
    <row r="77" spans="1:13" x14ac:dyDescent="0.2">
      <c r="A77" s="12" t="s">
        <v>16</v>
      </c>
      <c r="B77" s="3" t="s">
        <v>51</v>
      </c>
      <c r="C77" s="8">
        <v>17.438439220148599</v>
      </c>
      <c r="D77" s="34">
        <f t="shared" si="1"/>
        <v>6.0374443963928348</v>
      </c>
      <c r="E77" s="4">
        <f t="shared" si="2"/>
        <v>1090044.9227787722</v>
      </c>
      <c r="F77" s="23">
        <v>7.6388888888888895E-2</v>
      </c>
      <c r="G77" s="4" t="s">
        <v>246</v>
      </c>
      <c r="H77" s="4" t="s">
        <v>247</v>
      </c>
      <c r="I77" s="3" t="s">
        <v>203</v>
      </c>
      <c r="J77" s="4">
        <f>(E77*50*50)/256.4*1000</f>
        <v>10628363131.618296</v>
      </c>
      <c r="K77" s="10">
        <f t="shared" si="6"/>
        <v>10628363131.618296</v>
      </c>
      <c r="L77" s="39">
        <f t="shared" si="14"/>
        <v>10225946657.002596</v>
      </c>
      <c r="M77" s="40" t="s">
        <v>239</v>
      </c>
    </row>
    <row r="78" spans="1:13" x14ac:dyDescent="0.2">
      <c r="A78" s="12" t="s">
        <v>17</v>
      </c>
      <c r="B78" s="3" t="s">
        <v>51</v>
      </c>
      <c r="C78" s="8">
        <v>17.4865604681187</v>
      </c>
      <c r="D78" s="34">
        <f t="shared" si="1"/>
        <v>6.0242301873416331</v>
      </c>
      <c r="E78" s="4">
        <f t="shared" si="2"/>
        <v>1057377.7983796902</v>
      </c>
      <c r="F78" s="23">
        <v>7.6388888888888895E-2</v>
      </c>
      <c r="G78" s="4" t="s">
        <v>246</v>
      </c>
      <c r="H78" s="4" t="s">
        <v>247</v>
      </c>
      <c r="I78" s="3" t="s">
        <v>203</v>
      </c>
      <c r="J78" s="4">
        <f t="shared" ref="J78:J79" si="18">(E78*50*50)/256.4*1000</f>
        <v>10309845928.039103</v>
      </c>
      <c r="K78" s="10">
        <f t="shared" si="6"/>
        <v>10309845928.039103</v>
      </c>
      <c r="L78" s="40"/>
      <c r="M78" s="40"/>
    </row>
    <row r="79" spans="1:13" x14ac:dyDescent="0.2">
      <c r="A79" s="12" t="s">
        <v>18</v>
      </c>
      <c r="B79" s="3" t="s">
        <v>51</v>
      </c>
      <c r="C79" s="8">
        <v>17.576543942120601</v>
      </c>
      <c r="D79" s="34">
        <f t="shared" si="1"/>
        <v>5.9995205115378525</v>
      </c>
      <c r="E79" s="4">
        <f t="shared" si="2"/>
        <v>998896.54626809596</v>
      </c>
      <c r="F79" s="23">
        <v>7.6388888888888895E-2</v>
      </c>
      <c r="G79" s="4" t="s">
        <v>246</v>
      </c>
      <c r="H79" s="4" t="s">
        <v>247</v>
      </c>
      <c r="I79" s="3" t="s">
        <v>203</v>
      </c>
      <c r="J79" s="4">
        <f t="shared" si="18"/>
        <v>9739630911.3503895</v>
      </c>
      <c r="K79" s="10">
        <f t="shared" si="6"/>
        <v>9739630911.3503895</v>
      </c>
      <c r="L79" s="40"/>
      <c r="M79" s="40"/>
    </row>
    <row r="80" spans="1:13" x14ac:dyDescent="0.2">
      <c r="A80" s="12" t="s">
        <v>116</v>
      </c>
      <c r="B80" s="3" t="s">
        <v>52</v>
      </c>
      <c r="C80" s="8">
        <v>17.1364741106627</v>
      </c>
      <c r="D80" s="34">
        <f t="shared" si="1"/>
        <v>6.1203647330681221</v>
      </c>
      <c r="E80" s="4">
        <f t="shared" si="2"/>
        <v>1319364.3137185201</v>
      </c>
      <c r="F80" s="23">
        <v>7.6388888888888895E-2</v>
      </c>
      <c r="G80" s="4" t="s">
        <v>246</v>
      </c>
      <c r="H80" s="4" t="s">
        <v>247</v>
      </c>
      <c r="I80" s="3" t="s">
        <v>204</v>
      </c>
      <c r="J80" s="4">
        <f>(E80*50*50)/250.8*1000</f>
        <v>13151558151.101675</v>
      </c>
      <c r="K80" s="10">
        <f t="shared" si="6"/>
        <v>13151558151.101675</v>
      </c>
      <c r="L80" s="39">
        <f t="shared" si="14"/>
        <v>13376150468.719114</v>
      </c>
      <c r="M80" s="40" t="s">
        <v>239</v>
      </c>
    </row>
    <row r="81" spans="1:13" x14ac:dyDescent="0.2">
      <c r="A81" s="12" t="s">
        <v>117</v>
      </c>
      <c r="B81" s="3" t="s">
        <v>52</v>
      </c>
      <c r="C81" s="8">
        <v>17.111431401982902</v>
      </c>
      <c r="D81" s="34">
        <f t="shared" si="1"/>
        <v>6.1272415203847936</v>
      </c>
      <c r="E81" s="4">
        <f t="shared" si="2"/>
        <v>1340421.9172833068</v>
      </c>
      <c r="F81" s="23">
        <v>7.6388888888888895E-2</v>
      </c>
      <c r="G81" s="4" t="s">
        <v>246</v>
      </c>
      <c r="H81" s="4" t="s">
        <v>247</v>
      </c>
      <c r="I81" s="3" t="s">
        <v>204</v>
      </c>
      <c r="J81" s="4">
        <f t="shared" ref="J81:J82" si="19">(E81*50*50)/250.8*1000</f>
        <v>13361462492.855928</v>
      </c>
      <c r="K81" s="10">
        <f t="shared" si="6"/>
        <v>13361462492.855928</v>
      </c>
      <c r="L81" s="40"/>
      <c r="M81" s="40"/>
    </row>
    <row r="82" spans="1:13" x14ac:dyDescent="0.2">
      <c r="A82" s="12" t="s">
        <v>118</v>
      </c>
      <c r="B82" s="3" t="s">
        <v>52</v>
      </c>
      <c r="C82" s="8">
        <v>17.0816523839718</v>
      </c>
      <c r="D82" s="34">
        <f t="shared" si="1"/>
        <v>6.1354189094995295</v>
      </c>
      <c r="E82" s="4">
        <f t="shared" si="2"/>
        <v>1365900.0140638775</v>
      </c>
      <c r="F82" s="23">
        <v>7.6388888888888895E-2</v>
      </c>
      <c r="G82" s="4" t="s">
        <v>246</v>
      </c>
      <c r="H82" s="4" t="s">
        <v>247</v>
      </c>
      <c r="I82" s="3" t="s">
        <v>204</v>
      </c>
      <c r="J82" s="4">
        <f t="shared" si="19"/>
        <v>13615430762.199736</v>
      </c>
      <c r="K82" s="10">
        <f t="shared" si="6"/>
        <v>13615430762.199736</v>
      </c>
      <c r="L82" s="40"/>
      <c r="M82" s="40"/>
    </row>
    <row r="83" spans="1:13" x14ac:dyDescent="0.2">
      <c r="A83" s="12" t="s">
        <v>119</v>
      </c>
      <c r="B83" s="3" t="s">
        <v>53</v>
      </c>
      <c r="C83" s="8">
        <v>17.610868660854599</v>
      </c>
      <c r="D83" s="34">
        <f t="shared" si="1"/>
        <v>5.9900948622018966</v>
      </c>
      <c r="E83" s="4">
        <f t="shared" si="2"/>
        <v>977450.7005269815</v>
      </c>
      <c r="F83" s="23">
        <v>7.6388888888888895E-2</v>
      </c>
      <c r="G83" s="4" t="s">
        <v>246</v>
      </c>
      <c r="H83" s="4" t="s">
        <v>247</v>
      </c>
      <c r="I83" s="3" t="s">
        <v>205</v>
      </c>
      <c r="J83" s="4">
        <f>(E83*50*50)/246.7*1000</f>
        <v>9905256389.6127033</v>
      </c>
      <c r="K83" s="10">
        <f t="shared" si="6"/>
        <v>9905256389.6127033</v>
      </c>
      <c r="L83" s="39">
        <f t="shared" si="14"/>
        <v>8246927637.9479342</v>
      </c>
      <c r="M83" s="40" t="s">
        <v>239</v>
      </c>
    </row>
    <row r="84" spans="1:13" x14ac:dyDescent="0.2">
      <c r="A84" s="12" t="s">
        <v>120</v>
      </c>
      <c r="B84" s="3" t="s">
        <v>53</v>
      </c>
      <c r="C84" s="8">
        <v>17.950420919288199</v>
      </c>
      <c r="D84" s="34">
        <f t="shared" si="1"/>
        <v>5.8968530051009092</v>
      </c>
      <c r="E84" s="4">
        <f t="shared" si="2"/>
        <v>788593.15868559689</v>
      </c>
      <c r="F84" s="23">
        <v>7.6388888888888895E-2</v>
      </c>
      <c r="G84" s="4" t="s">
        <v>246</v>
      </c>
      <c r="H84" s="4" t="s">
        <v>247</v>
      </c>
      <c r="I84" s="3" t="s">
        <v>205</v>
      </c>
      <c r="J84" s="4">
        <f t="shared" ref="J84:J85" si="20">(E84*50*50)/246.7*1000</f>
        <v>7991418308.5285454</v>
      </c>
      <c r="K84" s="10">
        <f t="shared" si="6"/>
        <v>7991418308.5285454</v>
      </c>
      <c r="L84" s="40"/>
      <c r="M84" s="40"/>
    </row>
    <row r="85" spans="1:13" x14ac:dyDescent="0.2">
      <c r="A85" s="12" t="s">
        <v>121</v>
      </c>
      <c r="B85" s="3" t="s">
        <v>53</v>
      </c>
      <c r="C85" s="8">
        <v>18.1955280351585</v>
      </c>
      <c r="D85" s="34">
        <f t="shared" si="1"/>
        <v>5.8295460085936748</v>
      </c>
      <c r="E85" s="4">
        <f t="shared" si="2"/>
        <v>675376.59872552811</v>
      </c>
      <c r="F85" s="23">
        <v>7.6388888888888895E-2</v>
      </c>
      <c r="G85" s="4" t="s">
        <v>246</v>
      </c>
      <c r="H85" s="4" t="s">
        <v>247</v>
      </c>
      <c r="I85" s="3" t="s">
        <v>205</v>
      </c>
      <c r="J85" s="4">
        <f t="shared" si="20"/>
        <v>6844108215.7025547</v>
      </c>
      <c r="K85" s="10">
        <f t="shared" si="6"/>
        <v>6844108215.7025547</v>
      </c>
      <c r="L85" s="40"/>
      <c r="M85" s="40"/>
    </row>
    <row r="86" spans="1:13" x14ac:dyDescent="0.2">
      <c r="A86" s="12" t="s">
        <v>122</v>
      </c>
      <c r="B86" s="3" t="s">
        <v>54</v>
      </c>
      <c r="C86" s="8">
        <v>17.661585847765501</v>
      </c>
      <c r="D86" s="34">
        <f t="shared" si="1"/>
        <v>5.9761678021483844</v>
      </c>
      <c r="E86" s="4">
        <f t="shared" si="2"/>
        <v>946602.83791443869</v>
      </c>
      <c r="F86" s="23">
        <v>7.6388888888888895E-2</v>
      </c>
      <c r="G86" s="4" t="s">
        <v>246</v>
      </c>
      <c r="H86" s="4" t="s">
        <v>247</v>
      </c>
      <c r="I86" s="3" t="s">
        <v>206</v>
      </c>
      <c r="J86" s="4">
        <f>(E86*50*50)/236*1000</f>
        <v>10027572435.534307</v>
      </c>
      <c r="K86" s="10">
        <f t="shared" si="6"/>
        <v>10027572435.534307</v>
      </c>
      <c r="L86" s="39">
        <f t="shared" si="14"/>
        <v>11402881415.973476</v>
      </c>
      <c r="M86" s="40" t="s">
        <v>239</v>
      </c>
    </row>
    <row r="87" spans="1:13" x14ac:dyDescent="0.2">
      <c r="A87" s="12" t="s">
        <v>123</v>
      </c>
      <c r="B87" s="3" t="s">
        <v>54</v>
      </c>
      <c r="C87" s="8">
        <v>17.325839763807402</v>
      </c>
      <c r="D87" s="34">
        <f t="shared" si="1"/>
        <v>6.0683644746931469</v>
      </c>
      <c r="E87" s="4">
        <f t="shared" si="2"/>
        <v>1170481.2866286547</v>
      </c>
      <c r="F87" s="23">
        <v>7.6388888888888895E-2</v>
      </c>
      <c r="G87" s="4" t="s">
        <v>246</v>
      </c>
      <c r="H87" s="4" t="s">
        <v>247</v>
      </c>
      <c r="I87" s="3" t="s">
        <v>206</v>
      </c>
      <c r="J87" s="4">
        <f t="shared" ref="J87:J88" si="21">(E87*50*50)/236*1000</f>
        <v>12399166171.913715</v>
      </c>
      <c r="K87" s="10">
        <f t="shared" si="6"/>
        <v>12399166171.913715</v>
      </c>
      <c r="L87" s="40"/>
      <c r="M87" s="40"/>
    </row>
    <row r="88" spans="1:13" x14ac:dyDescent="0.2">
      <c r="A88" s="12" t="s">
        <v>124</v>
      </c>
      <c r="B88" s="3" t="s">
        <v>54</v>
      </c>
      <c r="C88" s="8">
        <v>17.406599954109598</v>
      </c>
      <c r="D88" s="34">
        <f t="shared" si="1"/>
        <v>6.0461875345121454</v>
      </c>
      <c r="E88" s="4">
        <f t="shared" si="2"/>
        <v>1112211.8924605954</v>
      </c>
      <c r="F88" s="23">
        <v>7.6388888888888895E-2</v>
      </c>
      <c r="G88" s="4" t="s">
        <v>246</v>
      </c>
      <c r="H88" s="4" t="s">
        <v>247</v>
      </c>
      <c r="I88" s="3" t="s">
        <v>206</v>
      </c>
      <c r="J88" s="4">
        <f t="shared" si="21"/>
        <v>11781905640.472408</v>
      </c>
      <c r="K88" s="10">
        <f t="shared" si="6"/>
        <v>11781905640.472408</v>
      </c>
      <c r="L88" s="40"/>
      <c r="M88" s="40"/>
    </row>
    <row r="89" spans="1:13" x14ac:dyDescent="0.2">
      <c r="A89" s="12" t="s">
        <v>19</v>
      </c>
      <c r="B89" s="3" t="s">
        <v>55</v>
      </c>
      <c r="C89" s="8">
        <v>17.469059615365801</v>
      </c>
      <c r="D89" s="34">
        <f t="shared" si="1"/>
        <v>6.0290359630977974</v>
      </c>
      <c r="E89" s="4">
        <f t="shared" si="2"/>
        <v>1069143.409283851</v>
      </c>
      <c r="F89" s="23">
        <v>7.6388888888888895E-2</v>
      </c>
      <c r="G89" s="4" t="s">
        <v>246</v>
      </c>
      <c r="H89" s="4" t="s">
        <v>247</v>
      </c>
      <c r="I89" s="3" t="s">
        <v>207</v>
      </c>
      <c r="J89" s="4">
        <f>(E89*50*50)/246.8*1000</f>
        <v>10830058846.068184</v>
      </c>
      <c r="K89" s="10">
        <f t="shared" si="6"/>
        <v>10830058846.068184</v>
      </c>
      <c r="L89" s="39">
        <f t="shared" si="14"/>
        <v>10305787642.523058</v>
      </c>
      <c r="M89" s="40" t="s">
        <v>239</v>
      </c>
    </row>
    <row r="90" spans="1:13" x14ac:dyDescent="0.2">
      <c r="A90" s="12" t="s">
        <v>20</v>
      </c>
      <c r="B90" s="3" t="s">
        <v>55</v>
      </c>
      <c r="C90" s="8">
        <v>17.526488718307601</v>
      </c>
      <c r="D90" s="34">
        <f t="shared" si="1"/>
        <v>6.0132657949515469</v>
      </c>
      <c r="E90" s="4">
        <f t="shared" si="2"/>
        <v>1031016.9257229447</v>
      </c>
      <c r="F90" s="23">
        <v>7.6388888888888895E-2</v>
      </c>
      <c r="G90" s="4" t="s">
        <v>246</v>
      </c>
      <c r="H90" s="4" t="s">
        <v>247</v>
      </c>
      <c r="I90" s="3" t="s">
        <v>207</v>
      </c>
      <c r="J90" s="4">
        <f t="shared" ref="J90:J91" si="22">(E90*50*50)/246.8*1000</f>
        <v>10443850544.195143</v>
      </c>
      <c r="K90" s="10">
        <f t="shared" si="6"/>
        <v>10443850544.195143</v>
      </c>
      <c r="L90" s="40"/>
      <c r="M90" s="40"/>
    </row>
    <row r="91" spans="1:13" x14ac:dyDescent="0.2">
      <c r="A91" s="12" t="s">
        <v>21</v>
      </c>
      <c r="B91" s="3" t="s">
        <v>55</v>
      </c>
      <c r="C91" s="8">
        <v>17.652591253691501</v>
      </c>
      <c r="D91" s="34">
        <f t="shared" si="1"/>
        <v>5.9786377390564711</v>
      </c>
      <c r="E91" s="4">
        <f t="shared" si="2"/>
        <v>952001.73320283322</v>
      </c>
      <c r="F91" s="23">
        <v>7.6388888888888895E-2</v>
      </c>
      <c r="G91" s="4" t="s">
        <v>246</v>
      </c>
      <c r="H91" s="4" t="s">
        <v>247</v>
      </c>
      <c r="I91" s="3" t="s">
        <v>207</v>
      </c>
      <c r="J91" s="4">
        <f t="shared" si="22"/>
        <v>9643453537.3058472</v>
      </c>
      <c r="K91" s="10">
        <f t="shared" si="6"/>
        <v>9643453537.3058472</v>
      </c>
      <c r="L91" s="40"/>
      <c r="M91" s="40"/>
    </row>
    <row r="92" spans="1:13" x14ac:dyDescent="0.2">
      <c r="A92" s="12" t="s">
        <v>125</v>
      </c>
      <c r="B92" s="3" t="s">
        <v>56</v>
      </c>
      <c r="C92" s="8">
        <v>18.0474395515769</v>
      </c>
      <c r="D92" s="34">
        <f t="shared" si="1"/>
        <v>5.8702114581127436</v>
      </c>
      <c r="E92" s="4">
        <f t="shared" si="2"/>
        <v>741671.27336464147</v>
      </c>
      <c r="F92" s="23">
        <v>7.6388888888888895E-2</v>
      </c>
      <c r="G92" s="4" t="s">
        <v>246</v>
      </c>
      <c r="H92" s="4" t="s">
        <v>247</v>
      </c>
      <c r="I92" s="3" t="s">
        <v>208</v>
      </c>
      <c r="J92" s="4">
        <f>(E92*50*50)/249.9*1000</f>
        <v>7419680605.8887701</v>
      </c>
      <c r="K92" s="10">
        <f t="shared" si="6"/>
        <v>7419680605.8887701</v>
      </c>
      <c r="L92" s="39">
        <f t="shared" si="14"/>
        <v>8136405021.4317579</v>
      </c>
      <c r="M92" s="40" t="s">
        <v>239</v>
      </c>
    </row>
    <row r="93" spans="1:13" x14ac:dyDescent="0.2">
      <c r="A93" s="12" t="s">
        <v>126</v>
      </c>
      <c r="B93" s="3" t="s">
        <v>56</v>
      </c>
      <c r="C93" s="8">
        <v>17.9141906951766</v>
      </c>
      <c r="D93" s="34">
        <f t="shared" si="1"/>
        <v>5.906801910741927</v>
      </c>
      <c r="E93" s="4">
        <f t="shared" si="2"/>
        <v>806866.92028473085</v>
      </c>
      <c r="F93" s="23">
        <v>7.6388888888888895E-2</v>
      </c>
      <c r="G93" s="4" t="s">
        <v>246</v>
      </c>
      <c r="H93" s="4" t="s">
        <v>247</v>
      </c>
      <c r="I93" s="3" t="s">
        <v>208</v>
      </c>
      <c r="J93" s="4">
        <f t="shared" ref="J93:J94" si="23">(E93*50*50)/249.9*1000</f>
        <v>8071897962.0321207</v>
      </c>
      <c r="K93" s="10">
        <f t="shared" si="6"/>
        <v>8071897962.0321207</v>
      </c>
      <c r="L93" s="40"/>
      <c r="M93" s="40"/>
    </row>
    <row r="94" spans="1:13" x14ac:dyDescent="0.2">
      <c r="A94" s="12" t="s">
        <v>127</v>
      </c>
      <c r="B94" s="3" t="s">
        <v>56</v>
      </c>
      <c r="C94" s="8">
        <v>17.7566024660096</v>
      </c>
      <c r="D94" s="34">
        <f t="shared" si="1"/>
        <v>5.9500760129745895</v>
      </c>
      <c r="E94" s="4">
        <f t="shared" si="2"/>
        <v>891406.94417758309</v>
      </c>
      <c r="F94" s="23">
        <v>7.6388888888888895E-2</v>
      </c>
      <c r="G94" s="4" t="s">
        <v>246</v>
      </c>
      <c r="H94" s="4" t="s">
        <v>247</v>
      </c>
      <c r="I94" s="3" t="s">
        <v>208</v>
      </c>
      <c r="J94" s="4">
        <f t="shared" si="23"/>
        <v>8917636496.3743801</v>
      </c>
      <c r="K94" s="10">
        <f t="shared" si="6"/>
        <v>8917636496.3743801</v>
      </c>
      <c r="L94" s="40"/>
      <c r="M94" s="40"/>
    </row>
    <row r="95" spans="1:13" x14ac:dyDescent="0.2">
      <c r="A95" s="12" t="s">
        <v>128</v>
      </c>
      <c r="B95" s="3" t="s">
        <v>57</v>
      </c>
      <c r="C95" s="8">
        <v>17.740908137555301</v>
      </c>
      <c r="D95" s="34">
        <f t="shared" si="1"/>
        <v>5.9543857128652116</v>
      </c>
      <c r="E95" s="4">
        <f t="shared" si="2"/>
        <v>900296.81319895945</v>
      </c>
      <c r="F95" s="23">
        <v>7.6388888888888895E-2</v>
      </c>
      <c r="G95" s="4" t="s">
        <v>246</v>
      </c>
      <c r="H95" s="4" t="s">
        <v>247</v>
      </c>
      <c r="I95" s="3" t="s">
        <v>209</v>
      </c>
      <c r="J95" s="4">
        <f>(E95*50*50)/221.3*1000</f>
        <v>10170546918.19882</v>
      </c>
      <c r="K95" s="10">
        <f t="shared" si="6"/>
        <v>10170546918.19882</v>
      </c>
      <c r="L95" s="39">
        <f t="shared" si="14"/>
        <v>10361355690.514847</v>
      </c>
      <c r="M95" s="40" t="s">
        <v>239</v>
      </c>
    </row>
    <row r="96" spans="1:13" x14ac:dyDescent="0.2">
      <c r="A96" s="12" t="s">
        <v>129</v>
      </c>
      <c r="B96" s="3" t="s">
        <v>57</v>
      </c>
      <c r="C96" s="8">
        <v>17.718524653342701</v>
      </c>
      <c r="D96" s="34">
        <f t="shared" si="1"/>
        <v>5.9605322708236281</v>
      </c>
      <c r="E96" s="4">
        <f t="shared" si="2"/>
        <v>913129.2840467809</v>
      </c>
      <c r="F96" s="23">
        <v>7.6388888888888895E-2</v>
      </c>
      <c r="G96" s="4" t="s">
        <v>246</v>
      </c>
      <c r="H96" s="4" t="s">
        <v>247</v>
      </c>
      <c r="I96" s="3" t="s">
        <v>209</v>
      </c>
      <c r="J96" s="4">
        <f t="shared" ref="J96:J97" si="24">(E96*50*50)/221.3*1000</f>
        <v>10315513827.912121</v>
      </c>
      <c r="K96" s="10">
        <f t="shared" si="6"/>
        <v>10315513827.912121</v>
      </c>
      <c r="L96" s="40"/>
      <c r="M96" s="40"/>
    </row>
    <row r="97" spans="1:13" x14ac:dyDescent="0.2">
      <c r="A97" s="12" t="s">
        <v>130</v>
      </c>
      <c r="B97" s="3" t="s">
        <v>57</v>
      </c>
      <c r="C97" s="8">
        <v>17.6757962947243</v>
      </c>
      <c r="D97" s="34">
        <f t="shared" si="1"/>
        <v>5.9722655796428237</v>
      </c>
      <c r="E97" s="4">
        <f t="shared" si="2"/>
        <v>938135.51992738235</v>
      </c>
      <c r="F97" s="23">
        <v>7.6388888888888895E-2</v>
      </c>
      <c r="G97" s="4" t="s">
        <v>246</v>
      </c>
      <c r="H97" s="4" t="s">
        <v>247</v>
      </c>
      <c r="I97" s="3" t="s">
        <v>209</v>
      </c>
      <c r="J97" s="4">
        <f t="shared" si="24"/>
        <v>10598006325.433599</v>
      </c>
      <c r="K97" s="10">
        <f t="shared" si="6"/>
        <v>10598006325.433599</v>
      </c>
      <c r="L97" s="40"/>
      <c r="M97" s="40"/>
    </row>
    <row r="98" spans="1:13" x14ac:dyDescent="0.2">
      <c r="A98" s="12" t="s">
        <v>131</v>
      </c>
      <c r="B98" s="3" t="s">
        <v>58</v>
      </c>
      <c r="C98" s="8">
        <v>17.936558176290699</v>
      </c>
      <c r="D98" s="34">
        <f t="shared" si="1"/>
        <v>5.900659747272389</v>
      </c>
      <c r="E98" s="4">
        <f t="shared" si="2"/>
        <v>795535.83501103101</v>
      </c>
      <c r="F98" s="23">
        <v>7.6388888888888895E-2</v>
      </c>
      <c r="G98" s="4" t="s">
        <v>246</v>
      </c>
      <c r="H98" s="4" t="s">
        <v>247</v>
      </c>
      <c r="I98" s="3" t="s">
        <v>210</v>
      </c>
      <c r="J98" s="4">
        <f>(E98*50*50)/250.6*1000</f>
        <v>7936311203.2225761</v>
      </c>
      <c r="K98" s="10">
        <f t="shared" si="6"/>
        <v>7936311203.2225761</v>
      </c>
      <c r="L98" s="39">
        <f t="shared" si="14"/>
        <v>7703262888.8574867</v>
      </c>
      <c r="M98" s="40" t="s">
        <v>239</v>
      </c>
    </row>
    <row r="99" spans="1:13" x14ac:dyDescent="0.2">
      <c r="A99" s="12" t="s">
        <v>132</v>
      </c>
      <c r="B99" s="3" t="s">
        <v>58</v>
      </c>
      <c r="C99" s="8">
        <v>18.045959348033499</v>
      </c>
      <c r="D99" s="34">
        <f t="shared" si="1"/>
        <v>5.8706179255234181</v>
      </c>
      <c r="E99" s="4">
        <f t="shared" si="2"/>
        <v>742365.74758242676</v>
      </c>
      <c r="F99" s="23">
        <v>7.6388888888888895E-2</v>
      </c>
      <c r="G99" s="4" t="s">
        <v>246</v>
      </c>
      <c r="H99" s="4" t="s">
        <v>247</v>
      </c>
      <c r="I99" s="3" t="s">
        <v>210</v>
      </c>
      <c r="J99" s="4">
        <f t="shared" ref="J99:J100" si="25">(E99*50*50)/250.6*1000</f>
        <v>7405883355.7704191</v>
      </c>
      <c r="K99" s="10">
        <f t="shared" si="6"/>
        <v>7405883355.7704191</v>
      </c>
      <c r="L99" s="40"/>
      <c r="M99" s="40"/>
    </row>
    <row r="100" spans="1:13" x14ac:dyDescent="0.2">
      <c r="A100" s="12" t="s">
        <v>133</v>
      </c>
      <c r="B100" s="3" t="s">
        <v>58</v>
      </c>
      <c r="C100" s="8">
        <v>17.970542462195901</v>
      </c>
      <c r="D100" s="34">
        <f t="shared" si="1"/>
        <v>5.8913275816002484</v>
      </c>
      <c r="E100" s="4">
        <f t="shared" si="2"/>
        <v>778623.6333437654</v>
      </c>
      <c r="F100" s="23">
        <v>7.6388888888888895E-2</v>
      </c>
      <c r="G100" s="4" t="s">
        <v>246</v>
      </c>
      <c r="H100" s="4" t="s">
        <v>247</v>
      </c>
      <c r="I100" s="3" t="s">
        <v>210</v>
      </c>
      <c r="J100" s="4">
        <f t="shared" si="25"/>
        <v>7767594107.579464</v>
      </c>
      <c r="K100" s="10">
        <f t="shared" si="6"/>
        <v>7767594107.579464</v>
      </c>
      <c r="L100" s="40"/>
      <c r="M100" s="40"/>
    </row>
    <row r="101" spans="1:13" x14ac:dyDescent="0.2">
      <c r="A101" s="12" t="s">
        <v>22</v>
      </c>
      <c r="B101" s="3" t="s">
        <v>59</v>
      </c>
      <c r="C101" s="8">
        <v>18.182647292975801</v>
      </c>
      <c r="D101" s="34">
        <f t="shared" si="1"/>
        <v>5.8330830910077172</v>
      </c>
      <c r="E101" s="4">
        <f t="shared" si="2"/>
        <v>680899.61874985881</v>
      </c>
      <c r="F101" s="23">
        <v>7.6388888888888895E-2</v>
      </c>
      <c r="G101" s="4" t="s">
        <v>246</v>
      </c>
      <c r="H101" s="4" t="s">
        <v>247</v>
      </c>
      <c r="I101" s="3" t="s">
        <v>211</v>
      </c>
      <c r="J101" s="4">
        <f>(E101*50*50)/243.3*1000</f>
        <v>6996502453.2455683</v>
      </c>
      <c r="K101" s="10">
        <f t="shared" si="6"/>
        <v>6996502453.2455683</v>
      </c>
      <c r="L101" s="39">
        <f t="shared" si="14"/>
        <v>6791837163.0615931</v>
      </c>
      <c r="M101" s="40" t="s">
        <v>239</v>
      </c>
    </row>
    <row r="102" spans="1:13" x14ac:dyDescent="0.2">
      <c r="A102" s="12" t="s">
        <v>23</v>
      </c>
      <c r="B102" s="3" t="s">
        <v>59</v>
      </c>
      <c r="C102" s="8">
        <v>18.210735150117099</v>
      </c>
      <c r="D102" s="34">
        <f t="shared" si="1"/>
        <v>5.8253700986868191</v>
      </c>
      <c r="E102" s="4">
        <f t="shared" si="2"/>
        <v>668913.71212433744</v>
      </c>
      <c r="F102" s="23">
        <v>7.6388888888888895E-2</v>
      </c>
      <c r="G102" s="4" t="s">
        <v>246</v>
      </c>
      <c r="H102" s="4" t="s">
        <v>247</v>
      </c>
      <c r="I102" s="3" t="s">
        <v>211</v>
      </c>
      <c r="J102" s="4">
        <f t="shared" ref="J102:J103" si="26">(E102*50*50)/243.3*1000</f>
        <v>6873342705.757679</v>
      </c>
      <c r="K102" s="10">
        <f t="shared" si="6"/>
        <v>6873342705.757679</v>
      </c>
      <c r="L102" s="40"/>
      <c r="M102" s="40"/>
    </row>
    <row r="103" spans="1:13" x14ac:dyDescent="0.2">
      <c r="A103" s="12" t="s">
        <v>24</v>
      </c>
      <c r="B103" s="3" t="s">
        <v>59</v>
      </c>
      <c r="C103" s="8">
        <v>18.2976834635089</v>
      </c>
      <c r="D103" s="34">
        <f t="shared" ref="D103" si="27">(C103-$T$11)/$T$10</f>
        <v>5.8014938851995348</v>
      </c>
      <c r="E103" s="4">
        <f t="shared" ref="E103" si="28">10^D103</f>
        <v>633131.44725326705</v>
      </c>
      <c r="F103" s="23">
        <v>7.6388888888888895E-2</v>
      </c>
      <c r="G103" s="4" t="s">
        <v>246</v>
      </c>
      <c r="H103" s="4" t="s">
        <v>247</v>
      </c>
      <c r="I103" s="3" t="s">
        <v>211</v>
      </c>
      <c r="J103" s="4">
        <f t="shared" si="26"/>
        <v>6505666330.1815348</v>
      </c>
      <c r="K103" s="10">
        <f t="shared" si="6"/>
        <v>6505666330.1815348</v>
      </c>
      <c r="L103" s="40"/>
      <c r="M103" s="40"/>
    </row>
  </sheetData>
  <mergeCells count="45">
    <mergeCell ref="M101:M103"/>
    <mergeCell ref="M68:M70"/>
    <mergeCell ref="M71:M73"/>
    <mergeCell ref="M74:M76"/>
    <mergeCell ref="M77:M79"/>
    <mergeCell ref="M80:M82"/>
    <mergeCell ref="M83:M85"/>
    <mergeCell ref="M86:M88"/>
    <mergeCell ref="M89:M91"/>
    <mergeCell ref="M92:M94"/>
    <mergeCell ref="M95:M97"/>
    <mergeCell ref="M98:M100"/>
    <mergeCell ref="L101:L103"/>
    <mergeCell ref="L68:L70"/>
    <mergeCell ref="L71:L73"/>
    <mergeCell ref="L74:L76"/>
    <mergeCell ref="L77:L79"/>
    <mergeCell ref="L80:L82"/>
    <mergeCell ref="L83:L85"/>
    <mergeCell ref="L86:L88"/>
    <mergeCell ref="L89:L91"/>
    <mergeCell ref="L92:L94"/>
    <mergeCell ref="L95:L97"/>
    <mergeCell ref="L98:L100"/>
    <mergeCell ref="M65:M67"/>
    <mergeCell ref="L50:L52"/>
    <mergeCell ref="L53:L55"/>
    <mergeCell ref="L56:L58"/>
    <mergeCell ref="L59:L61"/>
    <mergeCell ref="L62:L64"/>
    <mergeCell ref="L65:L67"/>
    <mergeCell ref="M50:M52"/>
    <mergeCell ref="M53:M55"/>
    <mergeCell ref="M56:M58"/>
    <mergeCell ref="M59:M61"/>
    <mergeCell ref="M62:M64"/>
    <mergeCell ref="L47:L49"/>
    <mergeCell ref="M41:M43"/>
    <mergeCell ref="M44:M46"/>
    <mergeCell ref="M47:M49"/>
    <mergeCell ref="T7:V8"/>
    <mergeCell ref="L38:L40"/>
    <mergeCell ref="M38:M40"/>
    <mergeCell ref="L41:L43"/>
    <mergeCell ref="L44:L4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F712-A833-A14D-895B-71AAC4FD31B9}">
  <dimension ref="A1:U103"/>
  <sheetViews>
    <sheetView workbookViewId="0">
      <selection activeCell="D29" sqref="D29:D31"/>
    </sheetView>
  </sheetViews>
  <sheetFormatPr baseColWidth="10" defaultRowHeight="16" x14ac:dyDescent="0.2"/>
  <cols>
    <col min="1" max="1" width="5" bestFit="1" customWidth="1"/>
    <col min="2" max="2" width="13.1640625" bestFit="1" customWidth="1"/>
    <col min="3" max="3" width="6.6640625" bestFit="1" customWidth="1"/>
    <col min="4" max="4" width="21.6640625" bestFit="1" customWidth="1"/>
    <col min="5" max="5" width="12.1640625" bestFit="1" customWidth="1"/>
    <col min="6" max="6" width="4.6640625" bestFit="1" customWidth="1"/>
    <col min="7" max="7" width="9.1640625" bestFit="1" customWidth="1"/>
    <col min="8" max="8" width="13" bestFit="1" customWidth="1"/>
    <col min="9" max="9" width="14.33203125" bestFit="1" customWidth="1"/>
    <col min="10" max="10" width="12.1640625" bestFit="1" customWidth="1"/>
    <col min="11" max="12" width="8.6640625" bestFit="1" customWidth="1"/>
    <col min="13" max="13" width="13.1640625" bestFit="1" customWidth="1"/>
    <col min="14" max="14" width="5" bestFit="1" customWidth="1"/>
    <col min="15" max="15" width="8.33203125" bestFit="1" customWidth="1"/>
    <col min="16" max="16" width="9.83203125" bestFit="1" customWidth="1"/>
    <col min="17" max="17" width="5.6640625" bestFit="1" customWidth="1"/>
    <col min="21" max="21" width="13.1640625" bestFit="1" customWidth="1"/>
  </cols>
  <sheetData>
    <row r="1" spans="1:21" x14ac:dyDescent="0.2">
      <c r="A1" s="3" t="s">
        <v>0</v>
      </c>
      <c r="B1" s="3" t="s">
        <v>25</v>
      </c>
      <c r="C1" s="3" t="s">
        <v>60</v>
      </c>
      <c r="D1" s="3" t="s">
        <v>26</v>
      </c>
      <c r="N1" s="1" t="s">
        <v>0</v>
      </c>
      <c r="O1" s="11" t="s">
        <v>25</v>
      </c>
      <c r="P1" s="1" t="s">
        <v>241</v>
      </c>
      <c r="Q1" s="11" t="s">
        <v>26</v>
      </c>
    </row>
    <row r="2" spans="1:21" x14ac:dyDescent="0.2">
      <c r="A2" s="12" t="s">
        <v>62</v>
      </c>
      <c r="B2" s="3" t="s">
        <v>27</v>
      </c>
      <c r="C2" s="24">
        <f>LOG(P2)</f>
        <v>8.0136044023579664</v>
      </c>
      <c r="D2" s="8">
        <v>10.268831949087</v>
      </c>
      <c r="N2" s="1" t="s">
        <v>62</v>
      </c>
      <c r="O2" s="11" t="s">
        <v>27</v>
      </c>
      <c r="P2" s="20">
        <v>103182109.45826009</v>
      </c>
      <c r="Q2" s="8">
        <v>10.268831949087</v>
      </c>
    </row>
    <row r="3" spans="1:21" x14ac:dyDescent="0.2">
      <c r="A3" s="12" t="s">
        <v>63</v>
      </c>
      <c r="B3" s="3" t="s">
        <v>27</v>
      </c>
      <c r="C3" s="24">
        <f t="shared" ref="C3:C28" si="0">LOG(P3)</f>
        <v>8.0136044023579664</v>
      </c>
      <c r="D3" s="8">
        <v>10.147035153102999</v>
      </c>
      <c r="N3" s="1" t="s">
        <v>63</v>
      </c>
      <c r="O3" s="11" t="s">
        <v>27</v>
      </c>
      <c r="P3" s="20">
        <v>103182109.45826009</v>
      </c>
      <c r="Q3" s="8">
        <v>10.147035153102999</v>
      </c>
    </row>
    <row r="4" spans="1:21" x14ac:dyDescent="0.2">
      <c r="A4" s="12" t="s">
        <v>64</v>
      </c>
      <c r="B4" s="3" t="s">
        <v>27</v>
      </c>
      <c r="C4" s="24">
        <f t="shared" si="0"/>
        <v>8.0136044023579664</v>
      </c>
      <c r="D4" s="8">
        <v>10.190354641749799</v>
      </c>
      <c r="N4" s="1" t="s">
        <v>64</v>
      </c>
      <c r="O4" s="11" t="s">
        <v>27</v>
      </c>
      <c r="P4" s="20">
        <v>103182109.45826009</v>
      </c>
      <c r="Q4" s="8">
        <v>10.190354641749799</v>
      </c>
    </row>
    <row r="5" spans="1:21" x14ac:dyDescent="0.2">
      <c r="A5" s="12" t="s">
        <v>65</v>
      </c>
      <c r="B5" s="3" t="s">
        <v>28</v>
      </c>
      <c r="C5" s="24">
        <f t="shared" si="0"/>
        <v>7.0136044023579664</v>
      </c>
      <c r="D5" s="8">
        <v>14.2629407523678</v>
      </c>
      <c r="N5" s="1" t="s">
        <v>65</v>
      </c>
      <c r="O5" s="11" t="s">
        <v>28</v>
      </c>
      <c r="P5" s="20">
        <v>10318210.945826009</v>
      </c>
      <c r="Q5" s="8">
        <v>14.2629407523678</v>
      </c>
    </row>
    <row r="6" spans="1:21" ht="17" thickBot="1" x14ac:dyDescent="0.25">
      <c r="A6" s="12" t="s">
        <v>66</v>
      </c>
      <c r="B6" s="3" t="s">
        <v>28</v>
      </c>
      <c r="C6" s="24">
        <f t="shared" si="0"/>
        <v>7.0136044023579664</v>
      </c>
      <c r="D6" s="8">
        <v>14.0861699715583</v>
      </c>
      <c r="N6" s="1" t="s">
        <v>66</v>
      </c>
      <c r="O6" s="11" t="s">
        <v>28</v>
      </c>
      <c r="P6" s="20">
        <v>10318210.945826009</v>
      </c>
      <c r="Q6" s="8">
        <v>14.0861699715583</v>
      </c>
    </row>
    <row r="7" spans="1:21" x14ac:dyDescent="0.2">
      <c r="A7" s="12" t="s">
        <v>67</v>
      </c>
      <c r="B7" s="3" t="s">
        <v>28</v>
      </c>
      <c r="C7" s="24">
        <f t="shared" si="0"/>
        <v>7.0136044023579664</v>
      </c>
      <c r="D7" s="8">
        <v>14.244724726393001</v>
      </c>
      <c r="N7" s="1" t="s">
        <v>67</v>
      </c>
      <c r="O7" s="11" t="s">
        <v>28</v>
      </c>
      <c r="P7" s="20">
        <v>10318210.945826009</v>
      </c>
      <c r="Q7" s="8">
        <v>14.244724726393001</v>
      </c>
      <c r="S7" s="41" t="s">
        <v>250</v>
      </c>
      <c r="T7" s="42"/>
      <c r="U7" s="43"/>
    </row>
    <row r="8" spans="1:21" ht="17" thickBot="1" x14ac:dyDescent="0.25">
      <c r="A8" s="12" t="s">
        <v>68</v>
      </c>
      <c r="B8" s="3" t="s">
        <v>29</v>
      </c>
      <c r="C8" s="24">
        <f t="shared" si="0"/>
        <v>6.0136044023579664</v>
      </c>
      <c r="D8" s="8">
        <v>18.028376747830698</v>
      </c>
      <c r="N8" s="1" t="s">
        <v>68</v>
      </c>
      <c r="O8" s="11" t="s">
        <v>29</v>
      </c>
      <c r="P8" s="20">
        <v>1031821.0945826009</v>
      </c>
      <c r="Q8" s="8">
        <v>18.028376747830698</v>
      </c>
      <c r="S8" s="44"/>
      <c r="T8" s="45"/>
      <c r="U8" s="46"/>
    </row>
    <row r="9" spans="1:21" x14ac:dyDescent="0.2">
      <c r="A9" s="12" t="s">
        <v>69</v>
      </c>
      <c r="B9" s="3" t="s">
        <v>29</v>
      </c>
      <c r="C9" s="24">
        <f t="shared" si="0"/>
        <v>6.0136044023579664</v>
      </c>
      <c r="D9" s="8">
        <v>18.132579697697899</v>
      </c>
      <c r="N9" s="1" t="s">
        <v>69</v>
      </c>
      <c r="O9" s="11" t="s">
        <v>29</v>
      </c>
      <c r="P9" s="20">
        <v>1031821.0945826009</v>
      </c>
      <c r="Q9" s="8">
        <v>18.132579697697899</v>
      </c>
    </row>
    <row r="10" spans="1:21" x14ac:dyDescent="0.2">
      <c r="A10" s="12" t="s">
        <v>70</v>
      </c>
      <c r="B10" s="3" t="s">
        <v>29</v>
      </c>
      <c r="C10" s="24">
        <f t="shared" si="0"/>
        <v>6.0136044023579664</v>
      </c>
      <c r="D10" s="8">
        <v>18.133255592661499</v>
      </c>
      <c r="N10" s="1" t="s">
        <v>70</v>
      </c>
      <c r="O10" s="11" t="s">
        <v>29</v>
      </c>
      <c r="P10" s="20">
        <v>1031821.0945826009</v>
      </c>
      <c r="Q10" s="8">
        <v>18.133255592661499</v>
      </c>
      <c r="S10">
        <f>SLOPE(D2:D19,C2:C19)</f>
        <v>-3.5866628398874743</v>
      </c>
    </row>
    <row r="11" spans="1:21" x14ac:dyDescent="0.2">
      <c r="A11" s="12" t="s">
        <v>1</v>
      </c>
      <c r="B11" s="3" t="s">
        <v>30</v>
      </c>
      <c r="C11" s="24">
        <f t="shared" si="0"/>
        <v>5.0136044023579664</v>
      </c>
      <c r="D11" s="8">
        <v>21.764884844321699</v>
      </c>
      <c r="N11" s="1" t="s">
        <v>1</v>
      </c>
      <c r="O11" s="11" t="s">
        <v>30</v>
      </c>
      <c r="P11" s="20">
        <v>103182.10945826009</v>
      </c>
      <c r="Q11" s="8">
        <v>21.764884844321699</v>
      </c>
      <c r="S11">
        <f>INTERCEPT(D2:D19,C2:C19)</f>
        <v>39.362951846509446</v>
      </c>
    </row>
    <row r="12" spans="1:21" x14ac:dyDescent="0.2">
      <c r="A12" s="12" t="s">
        <v>2</v>
      </c>
      <c r="B12" s="3" t="s">
        <v>30</v>
      </c>
      <c r="C12" s="24">
        <f t="shared" si="0"/>
        <v>5.0136044023579664</v>
      </c>
      <c r="D12" s="8">
        <v>22.004969098020698</v>
      </c>
      <c r="N12" s="1" t="s">
        <v>2</v>
      </c>
      <c r="O12" s="11" t="s">
        <v>30</v>
      </c>
      <c r="P12" s="20">
        <v>103182.10945826009</v>
      </c>
      <c r="Q12" s="8">
        <v>22.004969098020698</v>
      </c>
      <c r="S12" s="1">
        <f>-1+10^(-1/S10)</f>
        <v>0.90024984770418737</v>
      </c>
    </row>
    <row r="13" spans="1:21" x14ac:dyDescent="0.2">
      <c r="A13" s="12" t="s">
        <v>3</v>
      </c>
      <c r="B13" s="3" t="s">
        <v>30</v>
      </c>
      <c r="C13" s="24">
        <f t="shared" si="0"/>
        <v>5.0136044023579664</v>
      </c>
      <c r="D13" s="8">
        <v>21.700887503854599</v>
      </c>
      <c r="N13" s="1" t="s">
        <v>3</v>
      </c>
      <c r="O13" s="11" t="s">
        <v>30</v>
      </c>
      <c r="P13" s="20">
        <v>103182.10945826009</v>
      </c>
      <c r="Q13" s="8">
        <v>21.700887503854599</v>
      </c>
    </row>
    <row r="14" spans="1:21" x14ac:dyDescent="0.2">
      <c r="A14" s="12" t="s">
        <v>71</v>
      </c>
      <c r="B14" s="3" t="s">
        <v>31</v>
      </c>
      <c r="C14" s="24">
        <f t="shared" si="0"/>
        <v>4.0136044023579664</v>
      </c>
      <c r="D14" s="8">
        <v>25.3985190030232</v>
      </c>
      <c r="N14" s="1" t="s">
        <v>71</v>
      </c>
      <c r="O14" s="11" t="s">
        <v>31</v>
      </c>
      <c r="P14" s="20">
        <v>10318.210945826009</v>
      </c>
      <c r="Q14" s="8">
        <v>25.3985190030232</v>
      </c>
    </row>
    <row r="15" spans="1:21" x14ac:dyDescent="0.2">
      <c r="A15" s="12" t="s">
        <v>72</v>
      </c>
      <c r="B15" s="3" t="s">
        <v>31</v>
      </c>
      <c r="C15" s="24">
        <f t="shared" si="0"/>
        <v>4.0136044023579664</v>
      </c>
      <c r="D15" s="8">
        <v>25.300233062535799</v>
      </c>
      <c r="N15" s="1" t="s">
        <v>72</v>
      </c>
      <c r="O15" s="11" t="s">
        <v>31</v>
      </c>
      <c r="P15" s="20">
        <v>10318.210945826009</v>
      </c>
      <c r="Q15" s="8">
        <v>25.300233062535799</v>
      </c>
    </row>
    <row r="16" spans="1:21" x14ac:dyDescent="0.2">
      <c r="A16" s="12" t="s">
        <v>73</v>
      </c>
      <c r="B16" s="3" t="s">
        <v>31</v>
      </c>
      <c r="C16" s="24">
        <f t="shared" si="0"/>
        <v>4.0136044023579664</v>
      </c>
      <c r="D16" s="8">
        <v>25.2089113353546</v>
      </c>
      <c r="N16" s="1" t="s">
        <v>73</v>
      </c>
      <c r="O16" s="11" t="s">
        <v>31</v>
      </c>
      <c r="P16" s="20">
        <v>10318.210945826009</v>
      </c>
      <c r="Q16" s="8">
        <v>25.2089113353546</v>
      </c>
    </row>
    <row r="17" spans="1:20" x14ac:dyDescent="0.2">
      <c r="A17" s="12" t="s">
        <v>74</v>
      </c>
      <c r="B17" s="3" t="s">
        <v>32</v>
      </c>
      <c r="C17" s="24">
        <f t="shared" si="0"/>
        <v>3.0136044023579664</v>
      </c>
      <c r="D17" s="8">
        <v>27.919337435713501</v>
      </c>
      <c r="N17" s="1" t="s">
        <v>74</v>
      </c>
      <c r="O17" s="11" t="s">
        <v>32</v>
      </c>
      <c r="P17" s="20">
        <v>1031.8210945826008</v>
      </c>
      <c r="Q17" s="8">
        <v>27.919337435713501</v>
      </c>
    </row>
    <row r="18" spans="1:20" x14ac:dyDescent="0.2">
      <c r="A18" s="12" t="s">
        <v>75</v>
      </c>
      <c r="B18" s="3" t="s">
        <v>32</v>
      </c>
      <c r="C18" s="24">
        <f t="shared" si="0"/>
        <v>3.0136044023579664</v>
      </c>
      <c r="D18" s="8">
        <v>28.007227414443602</v>
      </c>
      <c r="N18" s="1" t="s">
        <v>75</v>
      </c>
      <c r="O18" s="11" t="s">
        <v>32</v>
      </c>
      <c r="P18" s="20">
        <v>1031.8210945826008</v>
      </c>
      <c r="Q18" s="8">
        <v>28.007227414443602</v>
      </c>
    </row>
    <row r="19" spans="1:20" x14ac:dyDescent="0.2">
      <c r="A19" s="12" t="s">
        <v>76</v>
      </c>
      <c r="B19" s="3" t="s">
        <v>32</v>
      </c>
      <c r="C19" s="24">
        <f t="shared" si="0"/>
        <v>3.0136044023579664</v>
      </c>
      <c r="D19" s="8">
        <v>27.775973879461599</v>
      </c>
      <c r="N19" s="1" t="s">
        <v>76</v>
      </c>
      <c r="O19" s="11" t="s">
        <v>32</v>
      </c>
      <c r="P19" s="20">
        <v>1031.8210945826008</v>
      </c>
      <c r="Q19" s="8">
        <v>27.775973879461599</v>
      </c>
    </row>
    <row r="20" spans="1:20" x14ac:dyDescent="0.2">
      <c r="A20" s="12" t="s">
        <v>77</v>
      </c>
      <c r="B20" s="3" t="s">
        <v>33</v>
      </c>
      <c r="C20" s="24">
        <f t="shared" si="0"/>
        <v>2.0136044023579664</v>
      </c>
      <c r="D20" s="8">
        <v>28.610432090876799</v>
      </c>
      <c r="N20" s="1" t="s">
        <v>77</v>
      </c>
      <c r="O20" s="11" t="s">
        <v>33</v>
      </c>
      <c r="P20" s="20">
        <v>103.18210945826009</v>
      </c>
      <c r="Q20" s="8">
        <v>28.610432090876799</v>
      </c>
    </row>
    <row r="21" spans="1:20" x14ac:dyDescent="0.2">
      <c r="A21" s="12" t="s">
        <v>78</v>
      </c>
      <c r="B21" s="3" t="s">
        <v>33</v>
      </c>
      <c r="C21" s="24">
        <f t="shared" si="0"/>
        <v>2.0136044023579664</v>
      </c>
      <c r="D21" s="8">
        <v>29.0705704646928</v>
      </c>
      <c r="N21" s="1" t="s">
        <v>78</v>
      </c>
      <c r="O21" s="11" t="s">
        <v>33</v>
      </c>
      <c r="P21" s="20">
        <v>103.18210945826009</v>
      </c>
      <c r="Q21" s="8">
        <v>29.0705704646928</v>
      </c>
    </row>
    <row r="22" spans="1:20" x14ac:dyDescent="0.2">
      <c r="A22" s="12" t="s">
        <v>79</v>
      </c>
      <c r="B22" s="3" t="s">
        <v>33</v>
      </c>
      <c r="C22" s="24">
        <f t="shared" si="0"/>
        <v>2.0136044023579664</v>
      </c>
      <c r="D22" s="8">
        <v>28.616571472961201</v>
      </c>
      <c r="N22" s="1" t="s">
        <v>79</v>
      </c>
      <c r="O22" s="11" t="s">
        <v>33</v>
      </c>
      <c r="P22" s="20">
        <v>103.18210945826009</v>
      </c>
      <c r="Q22" s="8">
        <v>28.616571472961201</v>
      </c>
    </row>
    <row r="23" spans="1:20" x14ac:dyDescent="0.2">
      <c r="A23" s="12" t="s">
        <v>4</v>
      </c>
      <c r="B23" s="3" t="s">
        <v>34</v>
      </c>
      <c r="C23" s="24">
        <f t="shared" si="0"/>
        <v>1.0136044023579664</v>
      </c>
      <c r="D23" s="8">
        <v>28.732408055404701</v>
      </c>
      <c r="N23" s="1" t="s">
        <v>4</v>
      </c>
      <c r="O23" s="11" t="s">
        <v>34</v>
      </c>
      <c r="P23" s="20">
        <v>10.318210945826008</v>
      </c>
      <c r="Q23" s="8">
        <v>28.732408055404701</v>
      </c>
    </row>
    <row r="24" spans="1:20" x14ac:dyDescent="0.2">
      <c r="A24" s="12" t="s">
        <v>5</v>
      </c>
      <c r="B24" s="3" t="s">
        <v>34</v>
      </c>
      <c r="C24" s="24">
        <f t="shared" si="0"/>
        <v>1.0136044023579664</v>
      </c>
      <c r="D24" s="8">
        <v>28.936923161316699</v>
      </c>
      <c r="N24" s="1" t="s">
        <v>5</v>
      </c>
      <c r="O24" s="11" t="s">
        <v>34</v>
      </c>
      <c r="P24" s="20">
        <v>10.318210945826008</v>
      </c>
      <c r="Q24" s="8">
        <v>28.936923161316699</v>
      </c>
      <c r="T24" s="31"/>
    </row>
    <row r="25" spans="1:20" x14ac:dyDescent="0.2">
      <c r="A25" s="12" t="s">
        <v>6</v>
      </c>
      <c r="B25" s="3" t="s">
        <v>34</v>
      </c>
      <c r="C25" s="24">
        <f t="shared" si="0"/>
        <v>1.0136044023579664</v>
      </c>
      <c r="D25" s="8">
        <v>28.947636787228099</v>
      </c>
      <c r="N25" s="1" t="s">
        <v>6</v>
      </c>
      <c r="O25" s="11" t="s">
        <v>34</v>
      </c>
      <c r="P25" s="20">
        <v>10.318210945826008</v>
      </c>
      <c r="Q25" s="8">
        <v>28.947636787228099</v>
      </c>
    </row>
    <row r="26" spans="1:20" x14ac:dyDescent="0.2">
      <c r="A26" s="12" t="s">
        <v>80</v>
      </c>
      <c r="B26" s="3" t="s">
        <v>35</v>
      </c>
      <c r="C26" s="24">
        <f t="shared" si="0"/>
        <v>1.3604402357966342E-2</v>
      </c>
      <c r="D26" s="8">
        <v>28.503067430591901</v>
      </c>
      <c r="N26" s="1" t="s">
        <v>80</v>
      </c>
      <c r="O26" s="11" t="s">
        <v>35</v>
      </c>
      <c r="P26" s="20">
        <v>1.0318210945826007</v>
      </c>
      <c r="Q26" s="8">
        <v>28.503067430591901</v>
      </c>
    </row>
    <row r="27" spans="1:20" x14ac:dyDescent="0.2">
      <c r="A27" s="12" t="s">
        <v>81</v>
      </c>
      <c r="B27" s="3" t="s">
        <v>35</v>
      </c>
      <c r="C27" s="24">
        <f t="shared" si="0"/>
        <v>1.3604402357966342E-2</v>
      </c>
      <c r="D27" s="8">
        <v>29.002164252989399</v>
      </c>
      <c r="N27" s="1" t="s">
        <v>81</v>
      </c>
      <c r="O27" s="11" t="s">
        <v>35</v>
      </c>
      <c r="P27" s="20">
        <v>1.0318210945826007</v>
      </c>
      <c r="Q27" s="8">
        <v>29.002164252989399</v>
      </c>
    </row>
    <row r="28" spans="1:20" x14ac:dyDescent="0.2">
      <c r="A28" s="12" t="s">
        <v>82</v>
      </c>
      <c r="B28" s="3" t="s">
        <v>35</v>
      </c>
      <c r="C28" s="24">
        <f t="shared" si="0"/>
        <v>1.3604402357966342E-2</v>
      </c>
      <c r="D28" s="8">
        <v>28.643587097585801</v>
      </c>
      <c r="N28" s="1" t="s">
        <v>82</v>
      </c>
      <c r="O28" s="11" t="s">
        <v>35</v>
      </c>
      <c r="P28" s="20">
        <v>1.0318210945826007</v>
      </c>
      <c r="Q28" s="8">
        <v>28.643587097585801</v>
      </c>
    </row>
    <row r="29" spans="1:20" x14ac:dyDescent="0.2">
      <c r="A29" s="12" t="s">
        <v>83</v>
      </c>
      <c r="B29" s="3" t="s">
        <v>36</v>
      </c>
      <c r="C29" s="3" t="s">
        <v>37</v>
      </c>
      <c r="D29" s="8">
        <v>28.641354266637599</v>
      </c>
      <c r="N29" s="1" t="s">
        <v>83</v>
      </c>
      <c r="O29" s="11" t="s">
        <v>36</v>
      </c>
      <c r="P29" s="1" t="s">
        <v>37</v>
      </c>
      <c r="Q29" s="8">
        <v>28.641354266637599</v>
      </c>
    </row>
    <row r="30" spans="1:20" x14ac:dyDescent="0.2">
      <c r="A30" s="12" t="s">
        <v>84</v>
      </c>
      <c r="B30" s="3" t="s">
        <v>36</v>
      </c>
      <c r="C30" s="3" t="s">
        <v>37</v>
      </c>
      <c r="D30" s="8">
        <v>28.644938018536301</v>
      </c>
      <c r="N30" s="1" t="s">
        <v>84</v>
      </c>
      <c r="O30" s="11" t="s">
        <v>36</v>
      </c>
      <c r="P30" s="1" t="s">
        <v>37</v>
      </c>
      <c r="Q30" s="8">
        <v>28.644938018536301</v>
      </c>
    </row>
    <row r="31" spans="1:20" x14ac:dyDescent="0.2">
      <c r="A31" s="12" t="s">
        <v>85</v>
      </c>
      <c r="B31" s="3" t="s">
        <v>36</v>
      </c>
      <c r="C31" s="3" t="s">
        <v>37</v>
      </c>
      <c r="D31" s="8">
        <v>28.772785469384701</v>
      </c>
      <c r="N31" s="1" t="s">
        <v>85</v>
      </c>
      <c r="O31" s="11" t="s">
        <v>36</v>
      </c>
      <c r="P31" s="1" t="s">
        <v>37</v>
      </c>
      <c r="Q31" s="8">
        <v>28.772785469384701</v>
      </c>
    </row>
    <row r="37" spans="1:21" x14ac:dyDescent="0.2">
      <c r="A37" s="3" t="s">
        <v>0</v>
      </c>
      <c r="B37" s="3" t="s">
        <v>25</v>
      </c>
      <c r="C37" s="3" t="s">
        <v>26</v>
      </c>
      <c r="D37" s="4" t="s">
        <v>250</v>
      </c>
      <c r="E37" s="4" t="s">
        <v>61</v>
      </c>
      <c r="F37" s="4" t="s">
        <v>243</v>
      </c>
      <c r="G37" s="4" t="s">
        <v>244</v>
      </c>
      <c r="H37" s="4" t="s">
        <v>245</v>
      </c>
      <c r="I37" s="11" t="s">
        <v>248</v>
      </c>
      <c r="J37" s="4"/>
      <c r="K37" s="4"/>
      <c r="L37" s="4" t="s">
        <v>240</v>
      </c>
      <c r="M37" s="4"/>
      <c r="S37" s="1"/>
      <c r="T37" s="20"/>
      <c r="U37" s="1"/>
    </row>
    <row r="38" spans="1:21" x14ac:dyDescent="0.2">
      <c r="A38" s="12" t="s">
        <v>86</v>
      </c>
      <c r="B38" s="3" t="s">
        <v>134</v>
      </c>
      <c r="C38" s="8">
        <v>14.8842819510967</v>
      </c>
      <c r="D38" s="1">
        <f>(C38-$S$11)/$S$10</f>
        <v>6.8249152452201853</v>
      </c>
      <c r="E38" s="1">
        <f>10^D38</f>
        <v>6682134.995758011</v>
      </c>
      <c r="F38" s="25">
        <v>7.6388888888888895E-2</v>
      </c>
      <c r="G38" s="4" t="s">
        <v>246</v>
      </c>
      <c r="H38" s="4" t="s">
        <v>247</v>
      </c>
      <c r="I38" s="3" t="s">
        <v>198</v>
      </c>
      <c r="J38" s="3">
        <f>(E38*50*50)/2</f>
        <v>8352668744.6975145</v>
      </c>
      <c r="K38" s="10">
        <f>J38</f>
        <v>8352668744.6975145</v>
      </c>
      <c r="L38" s="47">
        <f>AVERAGE(K38:K40)</f>
        <v>7651284320.1604605</v>
      </c>
      <c r="M38" s="40" t="s">
        <v>238</v>
      </c>
      <c r="N38" s="7"/>
      <c r="S38" s="1"/>
      <c r="T38" s="20"/>
      <c r="U38" s="1"/>
    </row>
    <row r="39" spans="1:21" x14ac:dyDescent="0.2">
      <c r="A39" s="12" t="s">
        <v>87</v>
      </c>
      <c r="B39" s="3" t="s">
        <v>134</v>
      </c>
      <c r="C39" s="8">
        <v>15.137990372762101</v>
      </c>
      <c r="D39" s="1">
        <f t="shared" ref="D39:D91" si="1">(C39-$S$11)/$S$10</f>
        <v>6.7541786209565675</v>
      </c>
      <c r="E39" s="1">
        <f t="shared" ref="E39:E91" si="2">10^D39</f>
        <v>5677780.7881134227</v>
      </c>
      <c r="F39" s="25">
        <v>7.6388888888888895E-2</v>
      </c>
      <c r="G39" s="4" t="s">
        <v>246</v>
      </c>
      <c r="H39" s="4" t="s">
        <v>247</v>
      </c>
      <c r="I39" s="3" t="s">
        <v>198</v>
      </c>
      <c r="J39" s="3">
        <f t="shared" ref="J39:J91" si="3">(E39*50*50)/2</f>
        <v>7097225985.141778</v>
      </c>
      <c r="K39" s="10">
        <f t="shared" ref="K39:K91" si="4">J39</f>
        <v>7097225985.141778</v>
      </c>
      <c r="L39" s="48"/>
      <c r="M39" s="40"/>
      <c r="N39" s="7"/>
      <c r="S39" s="1"/>
      <c r="T39" s="20"/>
      <c r="U39" s="1"/>
    </row>
    <row r="40" spans="1:21" x14ac:dyDescent="0.2">
      <c r="A40" s="12" t="s">
        <v>88</v>
      </c>
      <c r="B40" s="3" t="s">
        <v>134</v>
      </c>
      <c r="C40" s="8">
        <v>15.0511867693135</v>
      </c>
      <c r="D40" s="1">
        <f t="shared" si="1"/>
        <v>6.7783803949519514</v>
      </c>
      <c r="E40" s="1">
        <f t="shared" si="2"/>
        <v>6003166.5845136708</v>
      </c>
      <c r="F40" s="25">
        <v>7.6388888888888895E-2</v>
      </c>
      <c r="G40" s="4" t="s">
        <v>246</v>
      </c>
      <c r="H40" s="4" t="s">
        <v>247</v>
      </c>
      <c r="I40" s="3" t="s">
        <v>198</v>
      </c>
      <c r="J40" s="3">
        <f t="shared" si="3"/>
        <v>7503958230.6420879</v>
      </c>
      <c r="K40" s="10">
        <f t="shared" si="4"/>
        <v>7503958230.6420879</v>
      </c>
      <c r="L40" s="48"/>
      <c r="M40" s="40"/>
      <c r="N40" s="7"/>
    </row>
    <row r="41" spans="1:21" x14ac:dyDescent="0.2">
      <c r="A41" s="12" t="s">
        <v>7</v>
      </c>
      <c r="B41" s="3" t="s">
        <v>135</v>
      </c>
      <c r="C41" s="8">
        <v>14.960823960223999</v>
      </c>
      <c r="D41" s="1">
        <f t="shared" si="1"/>
        <v>6.8035745135862911</v>
      </c>
      <c r="E41" s="1">
        <f t="shared" si="2"/>
        <v>6361719.459587859</v>
      </c>
      <c r="F41" s="25">
        <v>7.6388888888888895E-2</v>
      </c>
      <c r="G41" s="4" t="s">
        <v>246</v>
      </c>
      <c r="H41" s="4" t="s">
        <v>247</v>
      </c>
      <c r="I41" s="3" t="s">
        <v>198</v>
      </c>
      <c r="J41" s="3">
        <f t="shared" si="3"/>
        <v>7952149324.4848232</v>
      </c>
      <c r="K41" s="10">
        <f t="shared" si="4"/>
        <v>7952149324.4848232</v>
      </c>
      <c r="L41" s="47">
        <f t="shared" ref="L41" si="5">AVERAGE(K41:K43)</f>
        <v>6691573450.8507204</v>
      </c>
      <c r="M41" s="40" t="s">
        <v>238</v>
      </c>
      <c r="N41" s="7"/>
    </row>
    <row r="42" spans="1:21" x14ac:dyDescent="0.2">
      <c r="A42" s="12" t="s">
        <v>8</v>
      </c>
      <c r="B42" s="3" t="s">
        <v>135</v>
      </c>
      <c r="C42" s="8">
        <v>15.3647891631599</v>
      </c>
      <c r="D42" s="1">
        <f t="shared" si="1"/>
        <v>6.6909446899955762</v>
      </c>
      <c r="E42" s="1">
        <f t="shared" si="2"/>
        <v>4908453.6007419573</v>
      </c>
      <c r="F42" s="25">
        <v>7.6388888888888895E-2</v>
      </c>
      <c r="G42" s="4" t="s">
        <v>246</v>
      </c>
      <c r="H42" s="4" t="s">
        <v>247</v>
      </c>
      <c r="I42" s="3" t="s">
        <v>198</v>
      </c>
      <c r="J42" s="3">
        <f t="shared" si="3"/>
        <v>6135567000.9274464</v>
      </c>
      <c r="K42" s="10">
        <f t="shared" si="4"/>
        <v>6135567000.9274464</v>
      </c>
      <c r="L42" s="48"/>
      <c r="M42" s="40"/>
      <c r="N42" s="7"/>
    </row>
    <row r="43" spans="1:21" x14ac:dyDescent="0.2">
      <c r="A43" s="12" t="s">
        <v>9</v>
      </c>
      <c r="B43" s="3" t="s">
        <v>135</v>
      </c>
      <c r="C43" s="8">
        <v>15.402969736885099</v>
      </c>
      <c r="D43" s="1">
        <f t="shared" si="1"/>
        <v>6.6802995372645775</v>
      </c>
      <c r="E43" s="1">
        <f t="shared" si="2"/>
        <v>4789603.221711915</v>
      </c>
      <c r="F43" s="25">
        <v>7.6388888888888895E-2</v>
      </c>
      <c r="G43" s="4" t="s">
        <v>246</v>
      </c>
      <c r="H43" s="4" t="s">
        <v>247</v>
      </c>
      <c r="I43" s="3" t="s">
        <v>198</v>
      </c>
      <c r="J43" s="3">
        <f t="shared" si="3"/>
        <v>5987004027.1398935</v>
      </c>
      <c r="K43" s="10">
        <f t="shared" si="4"/>
        <v>5987004027.1398935</v>
      </c>
      <c r="L43" s="48"/>
      <c r="M43" s="40"/>
      <c r="N43" s="7"/>
    </row>
    <row r="44" spans="1:21" x14ac:dyDescent="0.2">
      <c r="A44" s="12" t="s">
        <v>89</v>
      </c>
      <c r="B44" s="3" t="s">
        <v>136</v>
      </c>
      <c r="C44" s="8">
        <v>16.5891922534068</v>
      </c>
      <c r="D44" s="1">
        <f t="shared" si="1"/>
        <v>6.3495679994881078</v>
      </c>
      <c r="E44" s="1">
        <f t="shared" si="2"/>
        <v>2236495.3496913202</v>
      </c>
      <c r="F44" s="25">
        <v>7.6388888888888895E-2</v>
      </c>
      <c r="G44" s="4" t="s">
        <v>246</v>
      </c>
      <c r="H44" s="4" t="s">
        <v>247</v>
      </c>
      <c r="I44" s="3" t="s">
        <v>198</v>
      </c>
      <c r="J44" s="3">
        <f t="shared" si="3"/>
        <v>2795619187.11415</v>
      </c>
      <c r="K44" s="10">
        <f t="shared" si="4"/>
        <v>2795619187.11415</v>
      </c>
      <c r="L44" s="47">
        <f t="shared" ref="L44" si="6">AVERAGE(K44:K46)</f>
        <v>2808653562.2461691</v>
      </c>
      <c r="M44" s="40" t="s">
        <v>238</v>
      </c>
      <c r="N44" s="7"/>
    </row>
    <row r="45" spans="1:21" x14ac:dyDescent="0.2">
      <c r="A45" s="12" t="s">
        <v>90</v>
      </c>
      <c r="B45" s="3" t="s">
        <v>136</v>
      </c>
      <c r="C45" s="8">
        <v>16.6273473241529</v>
      </c>
      <c r="D45" s="1">
        <f t="shared" si="1"/>
        <v>6.3389299572607269</v>
      </c>
      <c r="E45" s="1">
        <f t="shared" si="2"/>
        <v>2182377.9109297907</v>
      </c>
      <c r="F45" s="25">
        <v>7.6388888888888895E-2</v>
      </c>
      <c r="G45" s="4" t="s">
        <v>246</v>
      </c>
      <c r="H45" s="4" t="s">
        <v>247</v>
      </c>
      <c r="I45" s="3" t="s">
        <v>198</v>
      </c>
      <c r="J45" s="3">
        <f t="shared" si="3"/>
        <v>2727972388.6622386</v>
      </c>
      <c r="K45" s="10">
        <f t="shared" si="4"/>
        <v>2727972388.6622386</v>
      </c>
      <c r="L45" s="48"/>
      <c r="M45" s="40"/>
      <c r="N45" s="7"/>
    </row>
    <row r="46" spans="1:21" x14ac:dyDescent="0.2">
      <c r="A46" s="12" t="s">
        <v>91</v>
      </c>
      <c r="B46" s="3" t="s">
        <v>136</v>
      </c>
      <c r="C46" s="8">
        <v>16.5308206397278</v>
      </c>
      <c r="D46" s="1">
        <f t="shared" si="1"/>
        <v>6.3658426303315334</v>
      </c>
      <c r="E46" s="1">
        <f t="shared" si="2"/>
        <v>2321895.2887696954</v>
      </c>
      <c r="F46" s="25">
        <v>7.6388888888888895E-2</v>
      </c>
      <c r="G46" s="4" t="s">
        <v>246</v>
      </c>
      <c r="H46" s="4" t="s">
        <v>247</v>
      </c>
      <c r="I46" s="3" t="s">
        <v>198</v>
      </c>
      <c r="J46" s="3">
        <f t="shared" si="3"/>
        <v>2902369110.9621191</v>
      </c>
      <c r="K46" s="10">
        <f t="shared" si="4"/>
        <v>2902369110.9621191</v>
      </c>
      <c r="L46" s="48"/>
      <c r="M46" s="40"/>
      <c r="N46" s="7"/>
    </row>
    <row r="47" spans="1:21" x14ac:dyDescent="0.2">
      <c r="A47" s="12" t="s">
        <v>92</v>
      </c>
      <c r="B47" s="3" t="s">
        <v>137</v>
      </c>
      <c r="C47" s="8">
        <v>15.386985072215101</v>
      </c>
      <c r="D47" s="1">
        <f t="shared" si="1"/>
        <v>6.6847562329127523</v>
      </c>
      <c r="E47" s="1">
        <f t="shared" si="2"/>
        <v>4839006.8057122082</v>
      </c>
      <c r="F47" s="25">
        <v>7.6388888888888895E-2</v>
      </c>
      <c r="G47" s="4" t="s">
        <v>246</v>
      </c>
      <c r="H47" s="4" t="s">
        <v>247</v>
      </c>
      <c r="I47" s="3" t="s">
        <v>198</v>
      </c>
      <c r="J47" s="3">
        <f t="shared" si="3"/>
        <v>6048758507.1402597</v>
      </c>
      <c r="K47" s="10">
        <f t="shared" si="4"/>
        <v>6048758507.1402597</v>
      </c>
      <c r="L47" s="47">
        <f t="shared" ref="L47" si="7">AVERAGE(K47:K49)</f>
        <v>5749678109.8494797</v>
      </c>
      <c r="M47" s="40" t="s">
        <v>238</v>
      </c>
      <c r="N47" s="7"/>
    </row>
    <row r="48" spans="1:21" x14ac:dyDescent="0.2">
      <c r="A48" s="12" t="s">
        <v>93</v>
      </c>
      <c r="B48" s="3" t="s">
        <v>137</v>
      </c>
      <c r="C48" s="8">
        <v>15.4888479079265</v>
      </c>
      <c r="D48" s="1">
        <f t="shared" si="1"/>
        <v>6.6563557837323675</v>
      </c>
      <c r="E48" s="1">
        <f t="shared" si="2"/>
        <v>4532687.55726064</v>
      </c>
      <c r="F48" s="25">
        <v>7.6388888888888895E-2</v>
      </c>
      <c r="G48" s="4" t="s">
        <v>246</v>
      </c>
      <c r="H48" s="4" t="s">
        <v>247</v>
      </c>
      <c r="I48" s="3" t="s">
        <v>198</v>
      </c>
      <c r="J48" s="3">
        <f t="shared" si="3"/>
        <v>5665859446.5757999</v>
      </c>
      <c r="K48" s="10">
        <f t="shared" si="4"/>
        <v>5665859446.5757999</v>
      </c>
      <c r="L48" s="48"/>
      <c r="M48" s="40"/>
      <c r="N48" s="7"/>
    </row>
    <row r="49" spans="1:14" x14ac:dyDescent="0.2">
      <c r="A49" s="12" t="s">
        <v>94</v>
      </c>
      <c r="B49" s="3" t="s">
        <v>137</v>
      </c>
      <c r="C49" s="8">
        <v>15.525410230665999</v>
      </c>
      <c r="D49" s="1">
        <f t="shared" si="1"/>
        <v>6.646161816701821</v>
      </c>
      <c r="E49" s="1">
        <f t="shared" si="2"/>
        <v>4427533.1006659037</v>
      </c>
      <c r="F49" s="25">
        <v>7.6388888888888895E-2</v>
      </c>
      <c r="G49" s="4" t="s">
        <v>246</v>
      </c>
      <c r="H49" s="4" t="s">
        <v>247</v>
      </c>
      <c r="I49" s="3" t="s">
        <v>198</v>
      </c>
      <c r="J49" s="3">
        <f t="shared" si="3"/>
        <v>5534416375.8323793</v>
      </c>
      <c r="K49" s="10">
        <f t="shared" si="4"/>
        <v>5534416375.8323793</v>
      </c>
      <c r="L49" s="48"/>
      <c r="M49" s="40"/>
      <c r="N49" s="7"/>
    </row>
    <row r="50" spans="1:14" x14ac:dyDescent="0.2">
      <c r="A50" s="12" t="s">
        <v>95</v>
      </c>
      <c r="B50" s="3" t="s">
        <v>138</v>
      </c>
      <c r="C50" s="8">
        <v>14.791872097878301</v>
      </c>
      <c r="D50" s="1">
        <f t="shared" si="1"/>
        <v>6.8506801016741301</v>
      </c>
      <c r="E50" s="1">
        <f t="shared" si="2"/>
        <v>7090552.9031428508</v>
      </c>
      <c r="F50" s="25">
        <v>7.6388888888888895E-2</v>
      </c>
      <c r="G50" s="4" t="s">
        <v>246</v>
      </c>
      <c r="H50" s="4" t="s">
        <v>247</v>
      </c>
      <c r="I50" s="3" t="s">
        <v>198</v>
      </c>
      <c r="J50" s="3">
        <f t="shared" si="3"/>
        <v>8863191128.9285622</v>
      </c>
      <c r="K50" s="10">
        <f t="shared" si="4"/>
        <v>8863191128.9285622</v>
      </c>
      <c r="L50" s="47">
        <f t="shared" ref="L50" si="8">AVERAGE(K50:K52)</f>
        <v>8264638866.1948614</v>
      </c>
      <c r="M50" s="40" t="s">
        <v>238</v>
      </c>
      <c r="N50" s="7"/>
    </row>
    <row r="51" spans="1:14" x14ac:dyDescent="0.2">
      <c r="A51" s="12" t="s">
        <v>96</v>
      </c>
      <c r="B51" s="3" t="s">
        <v>138</v>
      </c>
      <c r="C51" s="8">
        <v>14.940910706388699</v>
      </c>
      <c r="D51" s="1">
        <f t="shared" si="1"/>
        <v>6.8091265419547904</v>
      </c>
      <c r="E51" s="1">
        <f t="shared" si="2"/>
        <v>6443569.8679233743</v>
      </c>
      <c r="F51" s="25">
        <v>7.6388888888888895E-2</v>
      </c>
      <c r="G51" s="4" t="s">
        <v>246</v>
      </c>
      <c r="H51" s="4" t="s">
        <v>247</v>
      </c>
      <c r="I51" s="3" t="s">
        <v>198</v>
      </c>
      <c r="J51" s="3">
        <f t="shared" si="3"/>
        <v>8054462334.9042177</v>
      </c>
      <c r="K51" s="10">
        <f t="shared" si="4"/>
        <v>8054462334.9042177</v>
      </c>
      <c r="L51" s="48"/>
      <c r="M51" s="40"/>
      <c r="N51" s="7"/>
    </row>
    <row r="52" spans="1:14" x14ac:dyDescent="0.2">
      <c r="A52" s="12" t="s">
        <v>97</v>
      </c>
      <c r="B52" s="3" t="s">
        <v>138</v>
      </c>
      <c r="C52" s="8">
        <v>14.9757599351677</v>
      </c>
      <c r="D52" s="1">
        <f t="shared" si="1"/>
        <v>6.7994102038614965</v>
      </c>
      <c r="E52" s="1">
        <f t="shared" si="2"/>
        <v>6301010.5078014433</v>
      </c>
      <c r="F52" s="25">
        <v>7.6388888888888895E-2</v>
      </c>
      <c r="G52" s="4" t="s">
        <v>246</v>
      </c>
      <c r="H52" s="4" t="s">
        <v>247</v>
      </c>
      <c r="I52" s="3" t="s">
        <v>198</v>
      </c>
      <c r="J52" s="3">
        <f t="shared" si="3"/>
        <v>7876263134.7518044</v>
      </c>
      <c r="K52" s="10">
        <f t="shared" si="4"/>
        <v>7876263134.7518044</v>
      </c>
      <c r="L52" s="48"/>
      <c r="M52" s="40"/>
      <c r="N52" s="7"/>
    </row>
    <row r="53" spans="1:14" x14ac:dyDescent="0.2">
      <c r="A53" s="12" t="s">
        <v>10</v>
      </c>
      <c r="B53" s="3" t="s">
        <v>139</v>
      </c>
      <c r="C53" s="8">
        <v>15.6124524576847</v>
      </c>
      <c r="D53" s="1">
        <f t="shared" si="1"/>
        <v>6.6218935119002929</v>
      </c>
      <c r="E53" s="1">
        <f t="shared" si="2"/>
        <v>4186908.9039895353</v>
      </c>
      <c r="F53" s="25">
        <v>7.6388888888888895E-2</v>
      </c>
      <c r="G53" s="4" t="s">
        <v>246</v>
      </c>
      <c r="H53" s="4" t="s">
        <v>247</v>
      </c>
      <c r="I53" s="3" t="s">
        <v>198</v>
      </c>
      <c r="J53" s="3">
        <f t="shared" si="3"/>
        <v>5233636129.9869194</v>
      </c>
      <c r="K53" s="10">
        <f t="shared" si="4"/>
        <v>5233636129.9869194</v>
      </c>
      <c r="L53" s="47">
        <f t="shared" ref="L53" si="9">AVERAGE(K53:K55)</f>
        <v>5143802011.3076134</v>
      </c>
      <c r="M53" s="40" t="s">
        <v>238</v>
      </c>
      <c r="N53" s="7"/>
    </row>
    <row r="54" spans="1:14" x14ac:dyDescent="0.2">
      <c r="A54" s="12" t="s">
        <v>11</v>
      </c>
      <c r="B54" s="3" t="s">
        <v>139</v>
      </c>
      <c r="C54" s="8">
        <v>15.6316652884089</v>
      </c>
      <c r="D54" s="1">
        <f t="shared" si="1"/>
        <v>6.6165367689941768</v>
      </c>
      <c r="E54" s="1">
        <f t="shared" si="2"/>
        <v>4135583.2625919622</v>
      </c>
      <c r="F54" s="25">
        <v>7.6388888888888895E-2</v>
      </c>
      <c r="G54" s="4" t="s">
        <v>246</v>
      </c>
      <c r="H54" s="4" t="s">
        <v>247</v>
      </c>
      <c r="I54" s="3" t="s">
        <v>198</v>
      </c>
      <c r="J54" s="3">
        <f t="shared" si="3"/>
        <v>5169479078.239953</v>
      </c>
      <c r="K54" s="10">
        <f t="shared" si="4"/>
        <v>5169479078.239953</v>
      </c>
      <c r="L54" s="48"/>
      <c r="M54" s="40"/>
      <c r="N54" s="7"/>
    </row>
    <row r="55" spans="1:14" x14ac:dyDescent="0.2">
      <c r="A55" s="12" t="s">
        <v>12</v>
      </c>
      <c r="B55" s="3" t="s">
        <v>139</v>
      </c>
      <c r="C55" s="8">
        <v>15.6747999073906</v>
      </c>
      <c r="D55" s="1">
        <f t="shared" si="1"/>
        <v>6.6045103754056855</v>
      </c>
      <c r="E55" s="1">
        <f t="shared" si="2"/>
        <v>4022632.660556776</v>
      </c>
      <c r="F55" s="25">
        <v>7.6388888888888895E-2</v>
      </c>
      <c r="G55" s="4" t="s">
        <v>246</v>
      </c>
      <c r="H55" s="4" t="s">
        <v>247</v>
      </c>
      <c r="I55" s="3" t="s">
        <v>198</v>
      </c>
      <c r="J55" s="3">
        <f t="shared" si="3"/>
        <v>5028290825.6959696</v>
      </c>
      <c r="K55" s="10">
        <f t="shared" si="4"/>
        <v>5028290825.6959696</v>
      </c>
      <c r="L55" s="48"/>
      <c r="M55" s="40"/>
      <c r="N55" s="7"/>
    </row>
    <row r="56" spans="1:14" x14ac:dyDescent="0.2">
      <c r="A56" s="12" t="s">
        <v>98</v>
      </c>
      <c r="B56" s="3" t="s">
        <v>140</v>
      </c>
      <c r="C56" s="8">
        <v>15.562716958369499</v>
      </c>
      <c r="D56" s="1">
        <f t="shared" si="1"/>
        <v>6.6357603015974149</v>
      </c>
      <c r="E56" s="1">
        <f t="shared" si="2"/>
        <v>4322751.8128443509</v>
      </c>
      <c r="F56" s="25">
        <v>7.6388888888888895E-2</v>
      </c>
      <c r="G56" s="4" t="s">
        <v>246</v>
      </c>
      <c r="H56" s="4" t="s">
        <v>247</v>
      </c>
      <c r="I56" s="3" t="s">
        <v>198</v>
      </c>
      <c r="J56" s="3">
        <f t="shared" si="3"/>
        <v>5403439766.055439</v>
      </c>
      <c r="K56" s="10">
        <f t="shared" si="4"/>
        <v>5403439766.055439</v>
      </c>
      <c r="L56" s="47">
        <f t="shared" ref="L56" si="10">AVERAGE(K56:K58)</f>
        <v>5617699502.0758562</v>
      </c>
      <c r="M56" s="40" t="s">
        <v>238</v>
      </c>
      <c r="N56" s="7"/>
    </row>
    <row r="57" spans="1:14" x14ac:dyDescent="0.2">
      <c r="A57" s="12" t="s">
        <v>99</v>
      </c>
      <c r="B57" s="3" t="s">
        <v>140</v>
      </c>
      <c r="C57" s="8">
        <v>15.494568469066699</v>
      </c>
      <c r="D57" s="1">
        <f t="shared" si="1"/>
        <v>6.6547608300398764</v>
      </c>
      <c r="E57" s="1">
        <f t="shared" si="2"/>
        <v>4516071.7166311257</v>
      </c>
      <c r="F57" s="25">
        <v>7.6388888888888895E-2</v>
      </c>
      <c r="G57" s="4" t="s">
        <v>246</v>
      </c>
      <c r="H57" s="4" t="s">
        <v>247</v>
      </c>
      <c r="I57" s="3" t="s">
        <v>198</v>
      </c>
      <c r="J57" s="3">
        <f t="shared" si="3"/>
        <v>5645089645.7889071</v>
      </c>
      <c r="K57" s="10">
        <f t="shared" si="4"/>
        <v>5645089645.7889071</v>
      </c>
      <c r="L57" s="48"/>
      <c r="M57" s="40"/>
      <c r="N57" s="7"/>
    </row>
    <row r="58" spans="1:14" x14ac:dyDescent="0.2">
      <c r="A58" s="12" t="s">
        <v>100</v>
      </c>
      <c r="B58" s="3" t="s">
        <v>140</v>
      </c>
      <c r="C58" s="8">
        <v>15.451172925645499</v>
      </c>
      <c r="D58" s="1">
        <f t="shared" si="1"/>
        <v>6.6668599721556596</v>
      </c>
      <c r="E58" s="1">
        <f t="shared" si="2"/>
        <v>4643655.2755065793</v>
      </c>
      <c r="F58" s="25">
        <v>7.6388888888888895E-2</v>
      </c>
      <c r="G58" s="4" t="s">
        <v>246</v>
      </c>
      <c r="H58" s="4" t="s">
        <v>247</v>
      </c>
      <c r="I58" s="3" t="s">
        <v>198</v>
      </c>
      <c r="J58" s="3">
        <f t="shared" si="3"/>
        <v>5804569094.3832245</v>
      </c>
      <c r="K58" s="10">
        <f t="shared" si="4"/>
        <v>5804569094.3832245</v>
      </c>
      <c r="L58" s="48"/>
      <c r="M58" s="40"/>
      <c r="N58" s="7"/>
    </row>
    <row r="59" spans="1:14" x14ac:dyDescent="0.2">
      <c r="A59" s="12" t="s">
        <v>101</v>
      </c>
      <c r="B59" s="3" t="s">
        <v>141</v>
      </c>
      <c r="C59" s="8">
        <v>15.716902428549901</v>
      </c>
      <c r="D59" s="1">
        <f t="shared" si="1"/>
        <v>6.5927717417401306</v>
      </c>
      <c r="E59" s="1">
        <f t="shared" si="2"/>
        <v>3915360.3791662189</v>
      </c>
      <c r="F59" s="25">
        <v>7.6388888888888895E-2</v>
      </c>
      <c r="G59" s="4" t="s">
        <v>246</v>
      </c>
      <c r="H59" s="4" t="s">
        <v>247</v>
      </c>
      <c r="I59" s="3" t="s">
        <v>198</v>
      </c>
      <c r="J59" s="3">
        <f t="shared" si="3"/>
        <v>4894200473.9577732</v>
      </c>
      <c r="K59" s="10">
        <f t="shared" si="4"/>
        <v>4894200473.9577732</v>
      </c>
      <c r="L59" s="47">
        <f t="shared" ref="L59" si="11">AVERAGE(K59:K61)</f>
        <v>4473703788.3658571</v>
      </c>
      <c r="M59" s="40" t="s">
        <v>238</v>
      </c>
      <c r="N59" s="7"/>
    </row>
    <row r="60" spans="1:14" x14ac:dyDescent="0.2">
      <c r="A60" s="12" t="s">
        <v>102</v>
      </c>
      <c r="B60" s="3" t="s">
        <v>141</v>
      </c>
      <c r="C60" s="8">
        <v>15.8398996810245</v>
      </c>
      <c r="D60" s="1">
        <f t="shared" si="1"/>
        <v>6.5584787908926909</v>
      </c>
      <c r="E60" s="1">
        <f t="shared" si="2"/>
        <v>3618085.2110169334</v>
      </c>
      <c r="F60" s="25">
        <v>7.6388888888888895E-2</v>
      </c>
      <c r="G60" s="4" t="s">
        <v>246</v>
      </c>
      <c r="H60" s="4" t="s">
        <v>247</v>
      </c>
      <c r="I60" s="3" t="s">
        <v>198</v>
      </c>
      <c r="J60" s="3">
        <f t="shared" si="3"/>
        <v>4522606513.7711668</v>
      </c>
      <c r="K60" s="10">
        <f t="shared" si="4"/>
        <v>4522606513.7711668</v>
      </c>
      <c r="L60" s="48"/>
      <c r="M60" s="40"/>
      <c r="N60" s="7"/>
    </row>
    <row r="61" spans="1:14" x14ac:dyDescent="0.2">
      <c r="A61" s="12" t="s">
        <v>103</v>
      </c>
      <c r="B61" s="3" t="s">
        <v>141</v>
      </c>
      <c r="C61" s="8">
        <v>16.0294968550091</v>
      </c>
      <c r="D61" s="1">
        <f t="shared" si="1"/>
        <v>6.5056170688830051</v>
      </c>
      <c r="E61" s="1">
        <f t="shared" si="2"/>
        <v>3203443.5018949048</v>
      </c>
      <c r="F61" s="25">
        <v>7.6388888888888895E-2</v>
      </c>
      <c r="G61" s="4" t="s">
        <v>246</v>
      </c>
      <c r="H61" s="4" t="s">
        <v>247</v>
      </c>
      <c r="I61" s="3" t="s">
        <v>198</v>
      </c>
      <c r="J61" s="3">
        <f t="shared" si="3"/>
        <v>4004304377.3686314</v>
      </c>
      <c r="K61" s="10">
        <f t="shared" si="4"/>
        <v>4004304377.3686314</v>
      </c>
      <c r="L61" s="48"/>
      <c r="M61" s="40"/>
      <c r="N61" s="7"/>
    </row>
    <row r="62" spans="1:14" x14ac:dyDescent="0.2">
      <c r="A62" s="12" t="s">
        <v>104</v>
      </c>
      <c r="B62" s="3" t="s">
        <v>142</v>
      </c>
      <c r="C62" s="8">
        <v>15.3147652979944</v>
      </c>
      <c r="D62" s="1">
        <f t="shared" si="1"/>
        <v>6.7048918791791206</v>
      </c>
      <c r="E62" s="1">
        <f t="shared" si="2"/>
        <v>5068645.0490129972</v>
      </c>
      <c r="F62" s="25">
        <v>7.6388888888888895E-2</v>
      </c>
      <c r="G62" s="4" t="s">
        <v>246</v>
      </c>
      <c r="H62" s="4" t="s">
        <v>247</v>
      </c>
      <c r="I62" s="3" t="s">
        <v>198</v>
      </c>
      <c r="J62" s="3">
        <f t="shared" si="3"/>
        <v>6335806311.2662468</v>
      </c>
      <c r="K62" s="10">
        <f t="shared" si="4"/>
        <v>6335806311.2662468</v>
      </c>
      <c r="L62" s="47">
        <f t="shared" ref="L62" si="12">AVERAGE(K62:K64)</f>
        <v>6260887183.3542585</v>
      </c>
      <c r="M62" s="40" t="s">
        <v>238</v>
      </c>
      <c r="N62" s="7"/>
    </row>
    <row r="63" spans="1:14" x14ac:dyDescent="0.2">
      <c r="A63" s="12" t="s">
        <v>105</v>
      </c>
      <c r="B63" s="3" t="s">
        <v>142</v>
      </c>
      <c r="C63" s="8">
        <v>15.3628698772207</v>
      </c>
      <c r="D63" s="1">
        <f t="shared" si="1"/>
        <v>6.6914798074640629</v>
      </c>
      <c r="E63" s="1">
        <f t="shared" si="2"/>
        <v>4914505.2965983395</v>
      </c>
      <c r="F63" s="25">
        <v>7.6388888888888895E-2</v>
      </c>
      <c r="G63" s="4" t="s">
        <v>246</v>
      </c>
      <c r="H63" s="4" t="s">
        <v>247</v>
      </c>
      <c r="I63" s="3" t="s">
        <v>198</v>
      </c>
      <c r="J63" s="3">
        <f t="shared" si="3"/>
        <v>6143131620.7479248</v>
      </c>
      <c r="K63" s="10">
        <f t="shared" si="4"/>
        <v>6143131620.7479248</v>
      </c>
      <c r="L63" s="48"/>
      <c r="M63" s="40"/>
      <c r="N63" s="7"/>
    </row>
    <row r="64" spans="1:14" x14ac:dyDescent="0.2">
      <c r="A64" s="12" t="s">
        <v>106</v>
      </c>
      <c r="B64" s="3" t="s">
        <v>142</v>
      </c>
      <c r="C64" s="8">
        <v>15.322672916130299</v>
      </c>
      <c r="D64" s="1">
        <f t="shared" si="1"/>
        <v>6.7026871505807248</v>
      </c>
      <c r="E64" s="1">
        <f t="shared" si="2"/>
        <v>5042978.8944388805</v>
      </c>
      <c r="F64" s="25">
        <v>7.6388888888888895E-2</v>
      </c>
      <c r="G64" s="4" t="s">
        <v>246</v>
      </c>
      <c r="H64" s="4" t="s">
        <v>247</v>
      </c>
      <c r="I64" s="3" t="s">
        <v>198</v>
      </c>
      <c r="J64" s="3">
        <f t="shared" si="3"/>
        <v>6303723618.0486012</v>
      </c>
      <c r="K64" s="10">
        <f t="shared" si="4"/>
        <v>6303723618.0486012</v>
      </c>
      <c r="L64" s="48"/>
      <c r="M64" s="40"/>
      <c r="N64" s="7"/>
    </row>
    <row r="65" spans="1:14" x14ac:dyDescent="0.2">
      <c r="A65" s="12" t="s">
        <v>13</v>
      </c>
      <c r="B65" s="3" t="s">
        <v>143</v>
      </c>
      <c r="C65" s="8">
        <v>15.7132310957199</v>
      </c>
      <c r="D65" s="1">
        <f t="shared" si="1"/>
        <v>6.593795348639885</v>
      </c>
      <c r="E65" s="1">
        <f t="shared" si="2"/>
        <v>3924599.5402500853</v>
      </c>
      <c r="F65" s="25">
        <v>7.6388888888888895E-2</v>
      </c>
      <c r="G65" s="4" t="s">
        <v>246</v>
      </c>
      <c r="H65" s="4" t="s">
        <v>247</v>
      </c>
      <c r="I65" s="3" t="s">
        <v>198</v>
      </c>
      <c r="J65" s="3">
        <f t="shared" si="3"/>
        <v>4905749425.3126068</v>
      </c>
      <c r="K65" s="10">
        <f t="shared" si="4"/>
        <v>4905749425.3126068</v>
      </c>
      <c r="L65" s="47">
        <f t="shared" ref="L65" si="13">AVERAGE(K65:K67)</f>
        <v>4619109113.0358686</v>
      </c>
      <c r="M65" s="40" t="s">
        <v>238</v>
      </c>
      <c r="N65" s="7"/>
    </row>
    <row r="66" spans="1:14" x14ac:dyDescent="0.2">
      <c r="A66" s="12" t="s">
        <v>14</v>
      </c>
      <c r="B66" s="3" t="s">
        <v>143</v>
      </c>
      <c r="C66" s="8">
        <v>15.927359906904201</v>
      </c>
      <c r="D66" s="1">
        <f t="shared" si="1"/>
        <v>6.5340939435334544</v>
      </c>
      <c r="E66" s="1">
        <f t="shared" si="2"/>
        <v>3420534.2510732971</v>
      </c>
      <c r="F66" s="25">
        <v>7.6388888888888895E-2</v>
      </c>
      <c r="G66" s="4" t="s">
        <v>246</v>
      </c>
      <c r="H66" s="4" t="s">
        <v>247</v>
      </c>
      <c r="I66" s="3" t="s">
        <v>198</v>
      </c>
      <c r="J66" s="3">
        <f t="shared" si="3"/>
        <v>4275667813.8416214</v>
      </c>
      <c r="K66" s="10">
        <f t="shared" si="4"/>
        <v>4275667813.8416214</v>
      </c>
      <c r="L66" s="48"/>
      <c r="M66" s="40"/>
      <c r="N66" s="7"/>
    </row>
    <row r="67" spans="1:14" x14ac:dyDescent="0.2">
      <c r="A67" s="12" t="s">
        <v>15</v>
      </c>
      <c r="B67" s="3" t="s">
        <v>143</v>
      </c>
      <c r="C67" s="8">
        <v>15.787974311952899</v>
      </c>
      <c r="D67" s="1">
        <f t="shared" si="1"/>
        <v>6.5729561397235132</v>
      </c>
      <c r="E67" s="1">
        <f t="shared" si="2"/>
        <v>3740728.0799627006</v>
      </c>
      <c r="F67" s="25">
        <v>7.6388888888888895E-2</v>
      </c>
      <c r="G67" s="4" t="s">
        <v>246</v>
      </c>
      <c r="H67" s="4" t="s">
        <v>247</v>
      </c>
      <c r="I67" s="3" t="s">
        <v>198</v>
      </c>
      <c r="J67" s="3">
        <f t="shared" si="3"/>
        <v>4675910099.9533758</v>
      </c>
      <c r="K67" s="10">
        <f t="shared" si="4"/>
        <v>4675910099.9533758</v>
      </c>
      <c r="L67" s="48"/>
      <c r="M67" s="40"/>
      <c r="N67" s="7"/>
    </row>
    <row r="68" spans="1:14" x14ac:dyDescent="0.2">
      <c r="A68" s="12" t="s">
        <v>107</v>
      </c>
      <c r="B68" s="3" t="s">
        <v>144</v>
      </c>
      <c r="C68" s="8">
        <v>15.329034584374</v>
      </c>
      <c r="D68" s="1">
        <f t="shared" si="1"/>
        <v>6.7009134493638305</v>
      </c>
      <c r="E68" s="1">
        <f t="shared" si="2"/>
        <v>5022424.8753992962</v>
      </c>
      <c r="F68" s="25">
        <v>7.6388888888888895E-2</v>
      </c>
      <c r="G68" s="4" t="s">
        <v>246</v>
      </c>
      <c r="H68" s="4" t="s">
        <v>247</v>
      </c>
      <c r="I68" s="3" t="s">
        <v>198</v>
      </c>
      <c r="J68" s="3">
        <f t="shared" si="3"/>
        <v>6278031094.2491207</v>
      </c>
      <c r="K68" s="10">
        <f t="shared" si="4"/>
        <v>6278031094.2491207</v>
      </c>
      <c r="L68" s="47">
        <f t="shared" ref="L68" si="14">AVERAGE(K68:K70)</f>
        <v>6380618803.915019</v>
      </c>
      <c r="M68" s="40" t="s">
        <v>238</v>
      </c>
      <c r="N68" s="7"/>
    </row>
    <row r="69" spans="1:14" x14ac:dyDescent="0.2">
      <c r="A69" s="12" t="s">
        <v>108</v>
      </c>
      <c r="B69" s="3" t="s">
        <v>144</v>
      </c>
      <c r="C69" s="8">
        <v>15.2946882501281</v>
      </c>
      <c r="D69" s="1">
        <f t="shared" si="1"/>
        <v>6.7104895750771067</v>
      </c>
      <c r="E69" s="1">
        <f t="shared" si="2"/>
        <v>5134398.5260513946</v>
      </c>
      <c r="F69" s="25">
        <v>7.6388888888888895E-2</v>
      </c>
      <c r="G69" s="4" t="s">
        <v>246</v>
      </c>
      <c r="H69" s="4" t="s">
        <v>247</v>
      </c>
      <c r="I69" s="3" t="s">
        <v>198</v>
      </c>
      <c r="J69" s="3">
        <f t="shared" si="3"/>
        <v>6417998157.5642433</v>
      </c>
      <c r="K69" s="10">
        <f t="shared" si="4"/>
        <v>6417998157.5642433</v>
      </c>
      <c r="L69" s="48"/>
      <c r="M69" s="40"/>
      <c r="N69" s="7"/>
    </row>
    <row r="70" spans="1:14" x14ac:dyDescent="0.2">
      <c r="A70" s="12" t="s">
        <v>109</v>
      </c>
      <c r="B70" s="3" t="s">
        <v>144</v>
      </c>
      <c r="C70" s="8">
        <v>15.2879486668906</v>
      </c>
      <c r="D70" s="1">
        <f t="shared" si="1"/>
        <v>6.7123686430403815</v>
      </c>
      <c r="E70" s="1">
        <f t="shared" si="2"/>
        <v>5156661.7279453538</v>
      </c>
      <c r="F70" s="25">
        <v>7.6388888888888895E-2</v>
      </c>
      <c r="G70" s="4" t="s">
        <v>246</v>
      </c>
      <c r="H70" s="4" t="s">
        <v>247</v>
      </c>
      <c r="I70" s="3" t="s">
        <v>198</v>
      </c>
      <c r="J70" s="3">
        <f t="shared" si="3"/>
        <v>6445827159.9316921</v>
      </c>
      <c r="K70" s="10">
        <f t="shared" si="4"/>
        <v>6445827159.9316921</v>
      </c>
      <c r="L70" s="48"/>
      <c r="M70" s="40"/>
      <c r="N70" s="7"/>
    </row>
    <row r="71" spans="1:14" x14ac:dyDescent="0.2">
      <c r="A71" s="12" t="s">
        <v>110</v>
      </c>
      <c r="B71" s="3" t="s">
        <v>145</v>
      </c>
      <c r="C71" s="8">
        <v>15.8120720566922</v>
      </c>
      <c r="D71" s="1">
        <f t="shared" si="1"/>
        <v>6.566237430490153</v>
      </c>
      <c r="E71" s="1">
        <f t="shared" si="2"/>
        <v>3683302.8621496423</v>
      </c>
      <c r="F71" s="25">
        <v>7.6388888888888895E-2</v>
      </c>
      <c r="G71" s="4" t="s">
        <v>246</v>
      </c>
      <c r="H71" s="4" t="s">
        <v>247</v>
      </c>
      <c r="I71" s="3" t="s">
        <v>198</v>
      </c>
      <c r="J71" s="3">
        <f t="shared" si="3"/>
        <v>4604128577.6870527</v>
      </c>
      <c r="K71" s="10">
        <f t="shared" si="4"/>
        <v>4604128577.6870527</v>
      </c>
      <c r="L71" s="47">
        <f t="shared" ref="L71" si="15">AVERAGE(K71:K73)</f>
        <v>4583661843.452877</v>
      </c>
      <c r="M71" s="40" t="s">
        <v>238</v>
      </c>
      <c r="N71" s="7"/>
    </row>
    <row r="72" spans="1:14" x14ac:dyDescent="0.2">
      <c r="A72" s="12" t="s">
        <v>111</v>
      </c>
      <c r="B72" s="3" t="s">
        <v>145</v>
      </c>
      <c r="C72" s="8">
        <v>15.819143983405301</v>
      </c>
      <c r="D72" s="1">
        <f t="shared" si="1"/>
        <v>6.5642657016076802</v>
      </c>
      <c r="E72" s="1">
        <f t="shared" si="2"/>
        <v>3666618.2995435176</v>
      </c>
      <c r="F72" s="25">
        <v>7.6388888888888895E-2</v>
      </c>
      <c r="G72" s="4" t="s">
        <v>246</v>
      </c>
      <c r="H72" s="4" t="s">
        <v>247</v>
      </c>
      <c r="I72" s="3" t="s">
        <v>198</v>
      </c>
      <c r="J72" s="3">
        <f t="shared" si="3"/>
        <v>4583272874.4293976</v>
      </c>
      <c r="K72" s="10">
        <f t="shared" si="4"/>
        <v>4583272874.4293976</v>
      </c>
      <c r="L72" s="48"/>
      <c r="M72" s="40"/>
      <c r="N72" s="7"/>
    </row>
    <row r="73" spans="1:14" x14ac:dyDescent="0.2">
      <c r="A73" s="12" t="s">
        <v>112</v>
      </c>
      <c r="B73" s="3" t="s">
        <v>145</v>
      </c>
      <c r="C73" s="8">
        <v>15.825849817537801</v>
      </c>
      <c r="D73" s="1">
        <f t="shared" si="1"/>
        <v>6.5623960432562107</v>
      </c>
      <c r="E73" s="1">
        <f t="shared" si="2"/>
        <v>3650867.2625937453</v>
      </c>
      <c r="F73" s="25">
        <v>7.6388888888888895E-2</v>
      </c>
      <c r="G73" s="4" t="s">
        <v>246</v>
      </c>
      <c r="H73" s="4" t="s">
        <v>247</v>
      </c>
      <c r="I73" s="3" t="s">
        <v>198</v>
      </c>
      <c r="J73" s="3">
        <f t="shared" si="3"/>
        <v>4563584078.2421808</v>
      </c>
      <c r="K73" s="10">
        <f t="shared" si="4"/>
        <v>4563584078.2421808</v>
      </c>
      <c r="L73" s="48"/>
      <c r="M73" s="40"/>
      <c r="N73" s="7"/>
    </row>
    <row r="74" spans="1:14" x14ac:dyDescent="0.2">
      <c r="A74" s="12" t="s">
        <v>113</v>
      </c>
      <c r="B74" s="3" t="s">
        <v>146</v>
      </c>
      <c r="C74" s="8">
        <v>15.267187399963801</v>
      </c>
      <c r="D74" s="1">
        <f t="shared" si="1"/>
        <v>6.7181571065379568</v>
      </c>
      <c r="E74" s="1">
        <f t="shared" si="2"/>
        <v>5225852.0061842864</v>
      </c>
      <c r="F74" s="25">
        <v>7.6388888888888895E-2</v>
      </c>
      <c r="G74" s="4" t="s">
        <v>246</v>
      </c>
      <c r="H74" s="4" t="s">
        <v>247</v>
      </c>
      <c r="I74" s="3" t="s">
        <v>198</v>
      </c>
      <c r="J74" s="3">
        <f t="shared" si="3"/>
        <v>6532315007.7303581</v>
      </c>
      <c r="K74" s="10">
        <f t="shared" si="4"/>
        <v>6532315007.7303581</v>
      </c>
      <c r="L74" s="47">
        <f t="shared" ref="L74" si="16">AVERAGE(K74:K76)</f>
        <v>5534184602.0194435</v>
      </c>
      <c r="M74" s="40" t="s">
        <v>238</v>
      </c>
      <c r="N74" s="7"/>
    </row>
    <row r="75" spans="1:14" x14ac:dyDescent="0.2">
      <c r="A75" s="12" t="s">
        <v>114</v>
      </c>
      <c r="B75" s="3" t="s">
        <v>146</v>
      </c>
      <c r="C75" s="8">
        <v>15.738520381372</v>
      </c>
      <c r="D75" s="1">
        <f t="shared" si="1"/>
        <v>6.5867444250429257</v>
      </c>
      <c r="E75" s="1">
        <f t="shared" si="2"/>
        <v>3861396.7351167304</v>
      </c>
      <c r="F75" s="25">
        <v>7.6388888888888895E-2</v>
      </c>
      <c r="G75" s="4" t="s">
        <v>246</v>
      </c>
      <c r="H75" s="4" t="s">
        <v>247</v>
      </c>
      <c r="I75" s="3" t="s">
        <v>198</v>
      </c>
      <c r="J75" s="3">
        <f t="shared" si="3"/>
        <v>4826745918.8959131</v>
      </c>
      <c r="K75" s="10">
        <f t="shared" si="4"/>
        <v>4826745918.8959131</v>
      </c>
      <c r="L75" s="48"/>
      <c r="M75" s="40"/>
      <c r="N75" s="7"/>
    </row>
    <row r="76" spans="1:14" x14ac:dyDescent="0.2">
      <c r="A76" s="12" t="s">
        <v>115</v>
      </c>
      <c r="B76" s="3" t="s">
        <v>146</v>
      </c>
      <c r="C76" s="8">
        <v>15.609521588641099</v>
      </c>
      <c r="D76" s="1">
        <f t="shared" si="1"/>
        <v>6.6227106695686988</v>
      </c>
      <c r="E76" s="1">
        <f t="shared" si="2"/>
        <v>4194794.3035456492</v>
      </c>
      <c r="F76" s="25">
        <v>7.6388888888888895E-2</v>
      </c>
      <c r="G76" s="4" t="s">
        <v>246</v>
      </c>
      <c r="H76" s="4" t="s">
        <v>247</v>
      </c>
      <c r="I76" s="3" t="s">
        <v>198</v>
      </c>
      <c r="J76" s="3">
        <f t="shared" si="3"/>
        <v>5243492879.4320612</v>
      </c>
      <c r="K76" s="10">
        <f t="shared" si="4"/>
        <v>5243492879.4320612</v>
      </c>
      <c r="L76" s="48"/>
      <c r="M76" s="40"/>
      <c r="N76" s="7"/>
    </row>
    <row r="77" spans="1:14" x14ac:dyDescent="0.2">
      <c r="A77" s="12" t="s">
        <v>16</v>
      </c>
      <c r="B77" s="3" t="s">
        <v>147</v>
      </c>
      <c r="C77" s="8">
        <v>15.3621999623875</v>
      </c>
      <c r="D77" s="1">
        <f t="shared" si="1"/>
        <v>6.6916665868919338</v>
      </c>
      <c r="E77" s="1">
        <f t="shared" si="2"/>
        <v>4916619.359621048</v>
      </c>
      <c r="F77" s="25">
        <v>7.6388888888888895E-2</v>
      </c>
      <c r="G77" s="4" t="s">
        <v>246</v>
      </c>
      <c r="H77" s="4" t="s">
        <v>247</v>
      </c>
      <c r="I77" s="3" t="s">
        <v>198</v>
      </c>
      <c r="J77" s="3">
        <f t="shared" si="3"/>
        <v>6145774199.52631</v>
      </c>
      <c r="K77" s="10">
        <f t="shared" si="4"/>
        <v>6145774199.52631</v>
      </c>
      <c r="L77" s="47">
        <f t="shared" ref="L77" si="17">AVERAGE(K77:K79)</f>
        <v>5973036107.5739241</v>
      </c>
      <c r="M77" s="40" t="s">
        <v>238</v>
      </c>
      <c r="N77" s="7"/>
    </row>
    <row r="78" spans="1:14" x14ac:dyDescent="0.2">
      <c r="A78" s="12" t="s">
        <v>17</v>
      </c>
      <c r="B78" s="3" t="s">
        <v>147</v>
      </c>
      <c r="C78" s="8">
        <v>15.4281422557856</v>
      </c>
      <c r="D78" s="1">
        <f t="shared" si="1"/>
        <v>6.6732811694881145</v>
      </c>
      <c r="E78" s="1">
        <f t="shared" si="2"/>
        <v>4712823.4369615596</v>
      </c>
      <c r="F78" s="25">
        <v>7.6388888888888895E-2</v>
      </c>
      <c r="G78" s="4" t="s">
        <v>246</v>
      </c>
      <c r="H78" s="4" t="s">
        <v>247</v>
      </c>
      <c r="I78" s="3" t="s">
        <v>198</v>
      </c>
      <c r="J78" s="3">
        <f t="shared" si="3"/>
        <v>5891029296.2019491</v>
      </c>
      <c r="K78" s="10">
        <f t="shared" si="4"/>
        <v>5891029296.2019491</v>
      </c>
      <c r="L78" s="48"/>
      <c r="M78" s="40"/>
      <c r="N78" s="7"/>
    </row>
    <row r="79" spans="1:14" x14ac:dyDescent="0.2">
      <c r="A79" s="12" t="s">
        <v>18</v>
      </c>
      <c r="B79" s="3" t="s">
        <v>147</v>
      </c>
      <c r="C79" s="8">
        <v>15.4304508334238</v>
      </c>
      <c r="D79" s="1">
        <f t="shared" si="1"/>
        <v>6.6726375133260341</v>
      </c>
      <c r="E79" s="1">
        <f t="shared" si="2"/>
        <v>4705843.8615948092</v>
      </c>
      <c r="F79" s="25">
        <v>7.6388888888888895E-2</v>
      </c>
      <c r="G79" s="4" t="s">
        <v>246</v>
      </c>
      <c r="H79" s="4" t="s">
        <v>247</v>
      </c>
      <c r="I79" s="3" t="s">
        <v>198</v>
      </c>
      <c r="J79" s="3">
        <f t="shared" si="3"/>
        <v>5882304826.9935112</v>
      </c>
      <c r="K79" s="10">
        <f t="shared" si="4"/>
        <v>5882304826.9935112</v>
      </c>
      <c r="L79" s="48"/>
      <c r="M79" s="40"/>
      <c r="N79" s="7"/>
    </row>
    <row r="80" spans="1:14" x14ac:dyDescent="0.2">
      <c r="A80" s="12" t="s">
        <v>116</v>
      </c>
      <c r="B80" s="3" t="s">
        <v>148</v>
      </c>
      <c r="C80" s="8">
        <v>15.149311477255999</v>
      </c>
      <c r="D80" s="1">
        <f t="shared" si="1"/>
        <v>6.751022175815419</v>
      </c>
      <c r="E80" s="1">
        <f t="shared" si="2"/>
        <v>5636664.3685877584</v>
      </c>
      <c r="F80" s="25">
        <v>7.6388888888888895E-2</v>
      </c>
      <c r="G80" s="4" t="s">
        <v>246</v>
      </c>
      <c r="H80" s="4" t="s">
        <v>247</v>
      </c>
      <c r="I80" s="3" t="s">
        <v>199</v>
      </c>
      <c r="J80" s="3">
        <f>(E80*50*50)/2.5</f>
        <v>5636664368.587759</v>
      </c>
      <c r="K80" s="10">
        <f t="shared" si="4"/>
        <v>5636664368.587759</v>
      </c>
      <c r="L80" s="47">
        <f t="shared" ref="L80" si="18">AVERAGE(K80:K82)</f>
        <v>5797357156.2598467</v>
      </c>
      <c r="M80" s="40" t="s">
        <v>238</v>
      </c>
      <c r="N80" s="7"/>
    </row>
    <row r="81" spans="1:14" x14ac:dyDescent="0.2">
      <c r="A81" s="12" t="s">
        <v>117</v>
      </c>
      <c r="B81" s="3" t="s">
        <v>148</v>
      </c>
      <c r="C81" s="8">
        <v>15.046900847263201</v>
      </c>
      <c r="D81" s="1">
        <f t="shared" si="1"/>
        <v>6.7795753559063616</v>
      </c>
      <c r="E81" s="1">
        <f t="shared" si="2"/>
        <v>6019707.0381385107</v>
      </c>
      <c r="F81" s="25">
        <v>7.6388888888888895E-2</v>
      </c>
      <c r="G81" s="4" t="s">
        <v>246</v>
      </c>
      <c r="H81" s="4" t="s">
        <v>247</v>
      </c>
      <c r="I81" s="3" t="s">
        <v>199</v>
      </c>
      <c r="J81" s="3">
        <f t="shared" ref="J81:J82" si="19">(E81*50*50)/2.5</f>
        <v>6019707038.1385107</v>
      </c>
      <c r="K81" s="10">
        <f t="shared" si="4"/>
        <v>6019707038.1385107</v>
      </c>
      <c r="L81" s="48"/>
      <c r="M81" s="40"/>
      <c r="N81" s="7"/>
    </row>
    <row r="82" spans="1:14" x14ac:dyDescent="0.2">
      <c r="A82" s="12" t="s">
        <v>118</v>
      </c>
      <c r="B82" s="3" t="s">
        <v>148</v>
      </c>
      <c r="C82" s="8">
        <v>15.122181038471799</v>
      </c>
      <c r="D82" s="1">
        <f t="shared" si="1"/>
        <v>6.7585864326177258</v>
      </c>
      <c r="E82" s="1">
        <f t="shared" si="2"/>
        <v>5735700.0620532706</v>
      </c>
      <c r="F82" s="25">
        <v>7.6388888888888895E-2</v>
      </c>
      <c r="G82" s="4" t="s">
        <v>246</v>
      </c>
      <c r="H82" s="4" t="s">
        <v>247</v>
      </c>
      <c r="I82" s="3" t="s">
        <v>199</v>
      </c>
      <c r="J82" s="3">
        <f t="shared" si="19"/>
        <v>5735700062.0532703</v>
      </c>
      <c r="K82" s="10">
        <f t="shared" si="4"/>
        <v>5735700062.0532703</v>
      </c>
      <c r="L82" s="48"/>
      <c r="M82" s="40"/>
      <c r="N82" s="7"/>
    </row>
    <row r="83" spans="1:14" x14ac:dyDescent="0.2">
      <c r="A83" s="12" t="s">
        <v>119</v>
      </c>
      <c r="B83" s="3" t="s">
        <v>149</v>
      </c>
      <c r="C83" s="8">
        <v>14.6101251548205</v>
      </c>
      <c r="D83" s="1">
        <f t="shared" si="1"/>
        <v>6.9013530952537279</v>
      </c>
      <c r="E83" s="1">
        <f t="shared" si="2"/>
        <v>7968069.165512098</v>
      </c>
      <c r="F83" s="25">
        <v>7.6388888888888895E-2</v>
      </c>
      <c r="G83" s="4" t="s">
        <v>246</v>
      </c>
      <c r="H83" s="4" t="s">
        <v>247</v>
      </c>
      <c r="I83" s="3" t="s">
        <v>198</v>
      </c>
      <c r="J83" s="3">
        <f t="shared" si="3"/>
        <v>9960086456.8901234</v>
      </c>
      <c r="K83" s="10">
        <f t="shared" si="4"/>
        <v>9960086456.8901234</v>
      </c>
      <c r="L83" s="47">
        <f t="shared" ref="L83" si="20">AVERAGE(K83:K85)</f>
        <v>10236544087.274315</v>
      </c>
      <c r="M83" s="40" t="s">
        <v>238</v>
      </c>
      <c r="N83" s="7"/>
    </row>
    <row r="84" spans="1:14" x14ac:dyDescent="0.2">
      <c r="A84" s="12" t="s">
        <v>120</v>
      </c>
      <c r="B84" s="3" t="s">
        <v>149</v>
      </c>
      <c r="C84" s="8">
        <v>14.5524910054929</v>
      </c>
      <c r="D84" s="1">
        <f t="shared" si="1"/>
        <v>6.9174221131403959</v>
      </c>
      <c r="E84" s="1">
        <f t="shared" si="2"/>
        <v>8268412.0864023166</v>
      </c>
      <c r="F84" s="25">
        <v>7.6388888888888895E-2</v>
      </c>
      <c r="G84" s="4" t="s">
        <v>246</v>
      </c>
      <c r="H84" s="4" t="s">
        <v>247</v>
      </c>
      <c r="I84" s="3" t="s">
        <v>198</v>
      </c>
      <c r="J84" s="3">
        <f t="shared" si="3"/>
        <v>10335515108.002895</v>
      </c>
      <c r="K84" s="10">
        <f t="shared" si="4"/>
        <v>10335515108.002895</v>
      </c>
      <c r="L84" s="48"/>
      <c r="M84" s="40"/>
      <c r="N84" s="7"/>
    </row>
    <row r="85" spans="1:14" x14ac:dyDescent="0.2">
      <c r="A85" s="12" t="s">
        <v>121</v>
      </c>
      <c r="B85" s="3" t="s">
        <v>149</v>
      </c>
      <c r="C85" s="8">
        <v>14.5407026226714</v>
      </c>
      <c r="D85" s="1">
        <f t="shared" si="1"/>
        <v>6.9207088404821473</v>
      </c>
      <c r="E85" s="1">
        <f t="shared" si="2"/>
        <v>8331224.5575439399</v>
      </c>
      <c r="F85" s="25">
        <v>7.6388888888888895E-2</v>
      </c>
      <c r="G85" s="4" t="s">
        <v>246</v>
      </c>
      <c r="H85" s="4" t="s">
        <v>247</v>
      </c>
      <c r="I85" s="3" t="s">
        <v>198</v>
      </c>
      <c r="J85" s="3">
        <f t="shared" si="3"/>
        <v>10414030696.929924</v>
      </c>
      <c r="K85" s="10">
        <f t="shared" si="4"/>
        <v>10414030696.929924</v>
      </c>
      <c r="L85" s="48"/>
      <c r="M85" s="40"/>
      <c r="N85" s="7"/>
    </row>
    <row r="86" spans="1:14" x14ac:dyDescent="0.2">
      <c r="A86" s="12" t="s">
        <v>122</v>
      </c>
      <c r="B86" s="3" t="s">
        <v>150</v>
      </c>
      <c r="C86" s="8">
        <v>16.097123658599301</v>
      </c>
      <c r="D86" s="1">
        <f t="shared" si="1"/>
        <v>6.4867619920025916</v>
      </c>
      <c r="E86" s="1">
        <f t="shared" si="2"/>
        <v>3067340.5218094676</v>
      </c>
      <c r="F86" s="25">
        <v>7.6388888888888895E-2</v>
      </c>
      <c r="G86" s="4" t="s">
        <v>246</v>
      </c>
      <c r="H86" s="4" t="s">
        <v>247</v>
      </c>
      <c r="I86" s="3" t="s">
        <v>198</v>
      </c>
      <c r="J86" s="3">
        <f t="shared" si="3"/>
        <v>3834175652.2618346</v>
      </c>
      <c r="K86" s="10">
        <f t="shared" si="4"/>
        <v>3834175652.2618346</v>
      </c>
      <c r="L86" s="47">
        <f t="shared" ref="L86" si="21">AVERAGE(K86:K88)</f>
        <v>3801820540.6765475</v>
      </c>
      <c r="M86" s="40" t="s">
        <v>238</v>
      </c>
      <c r="N86" s="7"/>
    </row>
    <row r="87" spans="1:14" x14ac:dyDescent="0.2">
      <c r="A87" s="12" t="s">
        <v>123</v>
      </c>
      <c r="B87" s="3" t="s">
        <v>150</v>
      </c>
      <c r="C87" s="8">
        <v>16.139913713399</v>
      </c>
      <c r="D87" s="1">
        <f t="shared" si="1"/>
        <v>6.4748316665970842</v>
      </c>
      <c r="E87" s="1">
        <f t="shared" si="2"/>
        <v>2984225.7029172056</v>
      </c>
      <c r="F87" s="25">
        <v>7.6388888888888895E-2</v>
      </c>
      <c r="G87" s="4" t="s">
        <v>246</v>
      </c>
      <c r="H87" s="4" t="s">
        <v>247</v>
      </c>
      <c r="I87" s="3" t="s">
        <v>198</v>
      </c>
      <c r="J87" s="3">
        <f t="shared" si="3"/>
        <v>3730282128.6465073</v>
      </c>
      <c r="K87" s="10">
        <f t="shared" si="4"/>
        <v>3730282128.6465073</v>
      </c>
      <c r="L87" s="48"/>
      <c r="M87" s="40"/>
      <c r="N87" s="7"/>
    </row>
    <row r="88" spans="1:14" x14ac:dyDescent="0.2">
      <c r="A88" s="12" t="s">
        <v>124</v>
      </c>
      <c r="B88" s="3" t="s">
        <v>150</v>
      </c>
      <c r="C88" s="8">
        <v>16.094352113444199</v>
      </c>
      <c r="D88" s="1">
        <f t="shared" si="1"/>
        <v>6.487534728465099</v>
      </c>
      <c r="E88" s="1">
        <f t="shared" si="2"/>
        <v>3072803.0728970398</v>
      </c>
      <c r="F88" s="25">
        <v>7.6388888888888895E-2</v>
      </c>
      <c r="G88" s="4" t="s">
        <v>246</v>
      </c>
      <c r="H88" s="4" t="s">
        <v>247</v>
      </c>
      <c r="I88" s="3" t="s">
        <v>198</v>
      </c>
      <c r="J88" s="3">
        <f t="shared" si="3"/>
        <v>3841003841.1212997</v>
      </c>
      <c r="K88" s="10">
        <f t="shared" si="4"/>
        <v>3841003841.1212997</v>
      </c>
      <c r="L88" s="48"/>
      <c r="M88" s="40"/>
      <c r="N88" s="7"/>
    </row>
    <row r="89" spans="1:14" x14ac:dyDescent="0.2">
      <c r="A89" s="12" t="s">
        <v>19</v>
      </c>
      <c r="B89" s="3" t="s">
        <v>151</v>
      </c>
      <c r="C89" s="8">
        <v>15.6971423617995</v>
      </c>
      <c r="D89" s="1">
        <f t="shared" si="1"/>
        <v>6.5982810599092785</v>
      </c>
      <c r="E89" s="1">
        <f t="shared" si="2"/>
        <v>3965345.7427763348</v>
      </c>
      <c r="F89" s="25">
        <v>7.6388888888888895E-2</v>
      </c>
      <c r="G89" s="4" t="s">
        <v>246</v>
      </c>
      <c r="H89" s="4" t="s">
        <v>247</v>
      </c>
      <c r="I89" s="3" t="s">
        <v>198</v>
      </c>
      <c r="J89" s="3">
        <f t="shared" si="3"/>
        <v>4956682178.4704189</v>
      </c>
      <c r="K89" s="10">
        <f t="shared" si="4"/>
        <v>4956682178.4704189</v>
      </c>
      <c r="L89" s="47">
        <f t="shared" ref="L89" si="22">AVERAGE(K89:K91)</f>
        <v>5108516823.5712271</v>
      </c>
      <c r="M89" s="40" t="s">
        <v>238</v>
      </c>
      <c r="N89" s="7"/>
    </row>
    <row r="90" spans="1:14" x14ac:dyDescent="0.2">
      <c r="A90" s="12" t="s">
        <v>20</v>
      </c>
      <c r="B90" s="3" t="s">
        <v>151</v>
      </c>
      <c r="C90" s="8">
        <v>15.7424425992356</v>
      </c>
      <c r="D90" s="1">
        <f t="shared" si="1"/>
        <v>6.5856508687097275</v>
      </c>
      <c r="E90" s="1">
        <f t="shared" si="2"/>
        <v>3851685.944043885</v>
      </c>
      <c r="F90" s="25">
        <v>7.6388888888888895E-2</v>
      </c>
      <c r="G90" s="4" t="s">
        <v>246</v>
      </c>
      <c r="H90" s="4" t="s">
        <v>247</v>
      </c>
      <c r="I90" s="3" t="s">
        <v>198</v>
      </c>
      <c r="J90" s="3">
        <f t="shared" si="3"/>
        <v>4814607430.0548563</v>
      </c>
      <c r="K90" s="10">
        <f t="shared" si="4"/>
        <v>4814607430.0548563</v>
      </c>
      <c r="L90" s="48"/>
      <c r="M90" s="40"/>
      <c r="N90" s="7"/>
    </row>
    <row r="91" spans="1:14" x14ac:dyDescent="0.2">
      <c r="A91" s="12" t="s">
        <v>21</v>
      </c>
      <c r="B91" s="3" t="s">
        <v>151</v>
      </c>
      <c r="C91" s="8">
        <v>15.519834966579101</v>
      </c>
      <c r="D91" s="1">
        <f t="shared" si="1"/>
        <v>6.6477162600202435</v>
      </c>
      <c r="E91" s="1">
        <f t="shared" si="2"/>
        <v>4443408.6897507245</v>
      </c>
      <c r="F91" s="25">
        <v>7.6388888888888895E-2</v>
      </c>
      <c r="G91" s="4" t="s">
        <v>246</v>
      </c>
      <c r="H91" s="4" t="s">
        <v>247</v>
      </c>
      <c r="I91" s="3" t="s">
        <v>198</v>
      </c>
      <c r="J91" s="3">
        <f t="shared" si="3"/>
        <v>5554260862.188406</v>
      </c>
      <c r="K91" s="10">
        <f t="shared" si="4"/>
        <v>5554260862.188406</v>
      </c>
      <c r="L91" s="48"/>
      <c r="M91" s="40"/>
      <c r="N91" s="7"/>
    </row>
    <row r="92" spans="1:14" x14ac:dyDescent="0.2">
      <c r="G92" s="4"/>
      <c r="H92" s="4"/>
    </row>
    <row r="93" spans="1:14" x14ac:dyDescent="0.2">
      <c r="G93" s="4"/>
      <c r="H93" s="4"/>
    </row>
    <row r="94" spans="1:14" x14ac:dyDescent="0.2">
      <c r="G94" s="4"/>
      <c r="H94" s="4"/>
    </row>
    <row r="95" spans="1:14" x14ac:dyDescent="0.2">
      <c r="G95" s="4"/>
      <c r="H95" s="4"/>
    </row>
    <row r="96" spans="1:14" x14ac:dyDescent="0.2">
      <c r="G96" s="4"/>
      <c r="H96" s="4"/>
    </row>
    <row r="97" spans="7:8" x14ac:dyDescent="0.2">
      <c r="G97" s="4"/>
      <c r="H97" s="4"/>
    </row>
    <row r="98" spans="7:8" x14ac:dyDescent="0.2">
      <c r="G98" s="4"/>
      <c r="H98" s="4"/>
    </row>
    <row r="99" spans="7:8" x14ac:dyDescent="0.2">
      <c r="G99" s="4"/>
      <c r="H99" s="4"/>
    </row>
    <row r="100" spans="7:8" x14ac:dyDescent="0.2">
      <c r="G100" s="4"/>
      <c r="H100" s="4"/>
    </row>
    <row r="101" spans="7:8" x14ac:dyDescent="0.2">
      <c r="G101" s="4"/>
      <c r="H101" s="4"/>
    </row>
    <row r="102" spans="7:8" x14ac:dyDescent="0.2">
      <c r="G102" s="4"/>
      <c r="H102" s="4"/>
    </row>
    <row r="103" spans="7:8" x14ac:dyDescent="0.2">
      <c r="G103" s="4"/>
      <c r="H103" s="4"/>
    </row>
  </sheetData>
  <mergeCells count="37">
    <mergeCell ref="M83:M85"/>
    <mergeCell ref="M86:M88"/>
    <mergeCell ref="M89:M91"/>
    <mergeCell ref="M65:M67"/>
    <mergeCell ref="M68:M70"/>
    <mergeCell ref="M71:M73"/>
    <mergeCell ref="M74:M76"/>
    <mergeCell ref="M77:M79"/>
    <mergeCell ref="M80:M82"/>
    <mergeCell ref="L89:L91"/>
    <mergeCell ref="M38:M40"/>
    <mergeCell ref="M41:M43"/>
    <mergeCell ref="M44:M46"/>
    <mergeCell ref="M47:M49"/>
    <mergeCell ref="M50:M52"/>
    <mergeCell ref="M53:M55"/>
    <mergeCell ref="M56:M58"/>
    <mergeCell ref="M59:M61"/>
    <mergeCell ref="M62:M64"/>
    <mergeCell ref="L71:L73"/>
    <mergeCell ref="L74:L76"/>
    <mergeCell ref="L77:L79"/>
    <mergeCell ref="L80:L82"/>
    <mergeCell ref="L83:L85"/>
    <mergeCell ref="L86:L88"/>
    <mergeCell ref="L68:L70"/>
    <mergeCell ref="S7:U8"/>
    <mergeCell ref="L38:L40"/>
    <mergeCell ref="L41:L43"/>
    <mergeCell ref="L44:L46"/>
    <mergeCell ref="L47:L49"/>
    <mergeCell ref="L50:L52"/>
    <mergeCell ref="L53:L55"/>
    <mergeCell ref="L56:L58"/>
    <mergeCell ref="L59:L61"/>
    <mergeCell ref="L62:L64"/>
    <mergeCell ref="L65:L6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A7F4-A899-CB4F-83F3-9FF499745200}">
  <dimension ref="A1:U106"/>
  <sheetViews>
    <sheetView tabSelected="1" workbookViewId="0">
      <selection activeCell="D29" sqref="D29:D31"/>
    </sheetView>
  </sheetViews>
  <sheetFormatPr baseColWidth="10" defaultRowHeight="16" x14ac:dyDescent="0.2"/>
  <cols>
    <col min="1" max="1" width="5" style="7" bestFit="1" customWidth="1"/>
    <col min="2" max="2" width="14.33203125" style="7" bestFit="1" customWidth="1"/>
    <col min="3" max="3" width="6.33203125" style="19" bestFit="1" customWidth="1"/>
    <col min="4" max="4" width="21.6640625" style="7" bestFit="1" customWidth="1"/>
    <col min="5" max="5" width="12.33203125" style="7" bestFit="1" customWidth="1"/>
    <col min="6" max="6" width="10.83203125" style="7"/>
    <col min="7" max="7" width="11.1640625" style="7" bestFit="1" customWidth="1"/>
    <col min="8" max="8" width="18.1640625" style="3" bestFit="1" customWidth="1"/>
    <col min="9" max="9" width="14.33203125" style="7" bestFit="1" customWidth="1"/>
    <col min="10" max="10" width="13.1640625" style="7" bestFit="1" customWidth="1"/>
    <col min="11" max="12" width="10.83203125" style="7"/>
    <col min="13" max="13" width="13.1640625" style="7" bestFit="1" customWidth="1"/>
    <col min="14" max="14" width="5" style="7" bestFit="1" customWidth="1"/>
    <col min="15" max="15" width="8.33203125" style="7" bestFit="1" customWidth="1"/>
    <col min="16" max="16" width="9.83203125" style="7" bestFit="1" customWidth="1"/>
    <col min="17" max="17" width="5.6640625" style="7" bestFit="1" customWidth="1"/>
    <col min="18" max="20" width="10.83203125" style="7"/>
    <col min="21" max="21" width="13.1640625" style="7" bestFit="1" customWidth="1"/>
    <col min="22" max="16384" width="10.83203125" style="7"/>
  </cols>
  <sheetData>
    <row r="1" spans="1:21" x14ac:dyDescent="0.2">
      <c r="A1" s="3" t="s">
        <v>0</v>
      </c>
      <c r="B1" s="3" t="s">
        <v>25</v>
      </c>
      <c r="C1" s="3" t="s">
        <v>60</v>
      </c>
      <c r="D1" s="26" t="s">
        <v>26</v>
      </c>
      <c r="E1" s="3"/>
      <c r="F1" s="3"/>
      <c r="G1" s="3"/>
      <c r="I1" s="3"/>
      <c r="J1" s="3"/>
      <c r="N1" s="1" t="s">
        <v>0</v>
      </c>
      <c r="O1" s="11" t="s">
        <v>25</v>
      </c>
      <c r="P1" s="1" t="s">
        <v>241</v>
      </c>
      <c r="Q1" s="26" t="s">
        <v>26</v>
      </c>
    </row>
    <row r="2" spans="1:21" x14ac:dyDescent="0.2">
      <c r="A2" s="12" t="s">
        <v>62</v>
      </c>
      <c r="B2" s="3" t="s">
        <v>27</v>
      </c>
      <c r="C2" s="24">
        <f>LOG(P2)</f>
        <v>8.0136044023579664</v>
      </c>
      <c r="D2" s="2">
        <v>10.639456781915801</v>
      </c>
      <c r="E2" s="9"/>
      <c r="F2" s="3"/>
      <c r="G2" s="10"/>
      <c r="I2" s="10"/>
      <c r="L2" s="3"/>
      <c r="M2" s="3"/>
      <c r="N2" s="1" t="s">
        <v>62</v>
      </c>
      <c r="O2" s="11" t="s">
        <v>27</v>
      </c>
      <c r="P2" s="20">
        <v>103182109.45826009</v>
      </c>
      <c r="Q2" s="2">
        <v>10.639456781915801</v>
      </c>
    </row>
    <row r="3" spans="1:21" x14ac:dyDescent="0.2">
      <c r="A3" s="12" t="s">
        <v>63</v>
      </c>
      <c r="B3" s="3" t="s">
        <v>27</v>
      </c>
      <c r="C3" s="24">
        <f t="shared" ref="C3:C28" si="0">LOG(P3)</f>
        <v>8.0136044023579664</v>
      </c>
      <c r="D3" s="2">
        <v>10.456494237785799</v>
      </c>
      <c r="E3" s="9"/>
      <c r="F3" s="3"/>
      <c r="G3" s="10"/>
      <c r="I3" s="10"/>
      <c r="L3" s="3"/>
      <c r="M3" s="3"/>
      <c r="N3" s="1" t="s">
        <v>63</v>
      </c>
      <c r="O3" s="11" t="s">
        <v>27</v>
      </c>
      <c r="P3" s="20">
        <v>103182109.45826009</v>
      </c>
      <c r="Q3" s="2">
        <v>10.456494237785799</v>
      </c>
    </row>
    <row r="4" spans="1:21" x14ac:dyDescent="0.2">
      <c r="A4" s="12" t="s">
        <v>64</v>
      </c>
      <c r="B4" s="3" t="s">
        <v>27</v>
      </c>
      <c r="C4" s="24">
        <f t="shared" si="0"/>
        <v>8.0136044023579664</v>
      </c>
      <c r="D4" s="2">
        <v>10.2218371227912</v>
      </c>
      <c r="E4" s="9"/>
      <c r="F4" s="3"/>
      <c r="G4" s="10"/>
      <c r="I4" s="10"/>
      <c r="L4" s="3"/>
      <c r="M4" s="3"/>
      <c r="N4" s="1" t="s">
        <v>64</v>
      </c>
      <c r="O4" s="11" t="s">
        <v>27</v>
      </c>
      <c r="P4" s="20">
        <v>103182109.45826009</v>
      </c>
      <c r="Q4" s="2">
        <v>10.2218371227912</v>
      </c>
    </row>
    <row r="5" spans="1:21" ht="17" thickBot="1" x14ac:dyDescent="0.25">
      <c r="A5" s="12" t="s">
        <v>65</v>
      </c>
      <c r="B5" s="3" t="s">
        <v>28</v>
      </c>
      <c r="C5" s="24">
        <f t="shared" si="0"/>
        <v>7.0136044023579664</v>
      </c>
      <c r="D5" s="2">
        <v>14.3872701715853</v>
      </c>
      <c r="E5" s="9"/>
      <c r="F5" s="3"/>
      <c r="G5" s="10"/>
      <c r="I5" s="10"/>
      <c r="L5" s="3"/>
      <c r="M5" s="3"/>
      <c r="N5" s="1" t="s">
        <v>65</v>
      </c>
      <c r="O5" s="11" t="s">
        <v>28</v>
      </c>
      <c r="P5" s="20">
        <v>10318210.945826009</v>
      </c>
      <c r="Q5" s="2">
        <v>14.3872701715853</v>
      </c>
    </row>
    <row r="6" spans="1:21" x14ac:dyDescent="0.2">
      <c r="A6" s="12" t="s">
        <v>66</v>
      </c>
      <c r="B6" s="3" t="s">
        <v>28</v>
      </c>
      <c r="C6" s="24">
        <f t="shared" si="0"/>
        <v>7.0136044023579664</v>
      </c>
      <c r="D6" s="2">
        <v>14.2063267595846</v>
      </c>
      <c r="E6" s="9"/>
      <c r="F6" s="3"/>
      <c r="G6" s="10"/>
      <c r="I6" s="10"/>
      <c r="L6" s="3"/>
      <c r="M6" s="3"/>
      <c r="N6" s="1" t="s">
        <v>66</v>
      </c>
      <c r="O6" s="11" t="s">
        <v>28</v>
      </c>
      <c r="P6" s="20">
        <v>10318210.945826009</v>
      </c>
      <c r="Q6" s="2">
        <v>14.2063267595846</v>
      </c>
      <c r="S6" s="49" t="s">
        <v>252</v>
      </c>
      <c r="T6" s="50"/>
      <c r="U6" s="51"/>
    </row>
    <row r="7" spans="1:21" ht="17" thickBot="1" x14ac:dyDescent="0.25">
      <c r="A7" s="12" t="s">
        <v>67</v>
      </c>
      <c r="B7" s="3" t="s">
        <v>28</v>
      </c>
      <c r="C7" s="24">
        <f t="shared" si="0"/>
        <v>7.0136044023579664</v>
      </c>
      <c r="D7" s="2">
        <v>14.3140437995092</v>
      </c>
      <c r="E7" s="9"/>
      <c r="F7" s="3"/>
      <c r="G7" s="10"/>
      <c r="I7" s="10"/>
      <c r="L7" s="3"/>
      <c r="M7" s="3"/>
      <c r="N7" s="1" t="s">
        <v>67</v>
      </c>
      <c r="O7" s="11" t="s">
        <v>28</v>
      </c>
      <c r="P7" s="20">
        <v>10318210.945826009</v>
      </c>
      <c r="Q7" s="2">
        <v>14.3140437995092</v>
      </c>
      <c r="S7" s="52"/>
      <c r="T7" s="53"/>
      <c r="U7" s="54"/>
    </row>
    <row r="8" spans="1:21" x14ac:dyDescent="0.2">
      <c r="A8" s="12" t="s">
        <v>68</v>
      </c>
      <c r="B8" s="3" t="s">
        <v>29</v>
      </c>
      <c r="C8" s="24">
        <f t="shared" si="0"/>
        <v>6.0136044023579664</v>
      </c>
      <c r="D8" s="2">
        <v>18.112850563134899</v>
      </c>
      <c r="E8" s="9"/>
      <c r="F8" s="3"/>
      <c r="G8" s="10"/>
      <c r="I8" s="10"/>
      <c r="L8" s="3"/>
      <c r="M8" s="3"/>
      <c r="N8" s="1" t="s">
        <v>68</v>
      </c>
      <c r="O8" s="11" t="s">
        <v>29</v>
      </c>
      <c r="P8" s="20">
        <v>1031821.0945826009</v>
      </c>
      <c r="Q8" s="2">
        <v>18.112850563134899</v>
      </c>
    </row>
    <row r="9" spans="1:21" x14ac:dyDescent="0.2">
      <c r="A9" s="12" t="s">
        <v>69</v>
      </c>
      <c r="B9" s="3" t="s">
        <v>29</v>
      </c>
      <c r="C9" s="24">
        <f t="shared" si="0"/>
        <v>6.0136044023579664</v>
      </c>
      <c r="D9" s="2">
        <v>18.065906717320001</v>
      </c>
      <c r="E9" s="9"/>
      <c r="F9" s="3"/>
      <c r="G9" s="10"/>
      <c r="I9" s="10"/>
      <c r="L9" s="3"/>
      <c r="M9" s="3"/>
      <c r="N9" s="1" t="s">
        <v>69</v>
      </c>
      <c r="O9" s="11" t="s">
        <v>29</v>
      </c>
      <c r="P9" s="20">
        <v>1031821.0945826009</v>
      </c>
      <c r="Q9" s="2">
        <v>18.065906717320001</v>
      </c>
      <c r="S9" s="7">
        <f>SLOPE(D2:D19,C2:C19)</f>
        <v>-3.4997769307460769</v>
      </c>
    </row>
    <row r="10" spans="1:21" x14ac:dyDescent="0.2">
      <c r="A10" s="12" t="s">
        <v>70</v>
      </c>
      <c r="B10" s="3" t="s">
        <v>29</v>
      </c>
      <c r="C10" s="24">
        <f t="shared" si="0"/>
        <v>6.0136044023579664</v>
      </c>
      <c r="D10" s="2">
        <v>18.141268129379799</v>
      </c>
      <c r="E10" s="9"/>
      <c r="F10" s="3"/>
      <c r="G10" s="10"/>
      <c r="I10" s="10"/>
      <c r="N10" s="1" t="s">
        <v>70</v>
      </c>
      <c r="O10" s="11" t="s">
        <v>29</v>
      </c>
      <c r="P10" s="20">
        <v>1031821.0945826009</v>
      </c>
      <c r="Q10" s="2">
        <v>18.141268129379799</v>
      </c>
      <c r="S10" s="7">
        <f>INTERCEPT(D2:D19,C2:C19)</f>
        <v>38.917586697265669</v>
      </c>
    </row>
    <row r="11" spans="1:21" x14ac:dyDescent="0.2">
      <c r="A11" s="12" t="s">
        <v>1</v>
      </c>
      <c r="B11" s="3" t="s">
        <v>30</v>
      </c>
      <c r="C11" s="24">
        <f t="shared" si="0"/>
        <v>5.0136044023579664</v>
      </c>
      <c r="D11" s="2">
        <v>21.941863759158501</v>
      </c>
      <c r="E11" s="9"/>
      <c r="F11" s="3"/>
      <c r="G11" s="10"/>
      <c r="I11" s="10"/>
      <c r="N11" s="1" t="s">
        <v>1</v>
      </c>
      <c r="O11" s="11" t="s">
        <v>30</v>
      </c>
      <c r="P11" s="20">
        <v>103182.10945826009</v>
      </c>
      <c r="Q11" s="2">
        <v>21.941863759158501</v>
      </c>
      <c r="S11" s="1">
        <f>-1+10^(-1/S9)</f>
        <v>0.93077868886212456</v>
      </c>
    </row>
    <row r="12" spans="1:21" x14ac:dyDescent="0.2">
      <c r="A12" s="12" t="s">
        <v>2</v>
      </c>
      <c r="B12" s="3" t="s">
        <v>30</v>
      </c>
      <c r="C12" s="24">
        <f t="shared" si="0"/>
        <v>5.0136044023579664</v>
      </c>
      <c r="D12" s="2">
        <v>22.039254238535399</v>
      </c>
      <c r="E12" s="9"/>
      <c r="F12" s="3"/>
      <c r="G12" s="10"/>
      <c r="I12" s="10"/>
      <c r="N12" s="1" t="s">
        <v>2</v>
      </c>
      <c r="O12" s="11" t="s">
        <v>30</v>
      </c>
      <c r="P12" s="20">
        <v>103182.10945826009</v>
      </c>
      <c r="Q12" s="2">
        <v>22.039254238535399</v>
      </c>
    </row>
    <row r="13" spans="1:21" x14ac:dyDescent="0.2">
      <c r="A13" s="12" t="s">
        <v>3</v>
      </c>
      <c r="B13" s="3" t="s">
        <v>30</v>
      </c>
      <c r="C13" s="24">
        <f t="shared" si="0"/>
        <v>5.0136044023579664</v>
      </c>
      <c r="D13" s="2">
        <v>21.996107538667399</v>
      </c>
      <c r="E13" s="9"/>
      <c r="F13" s="3"/>
      <c r="G13" s="10"/>
      <c r="I13" s="10"/>
      <c r="K13" s="18"/>
      <c r="N13" s="1" t="s">
        <v>3</v>
      </c>
      <c r="O13" s="11" t="s">
        <v>30</v>
      </c>
      <c r="P13" s="20">
        <v>103182.10945826009</v>
      </c>
      <c r="Q13" s="2">
        <v>21.996107538667399</v>
      </c>
    </row>
    <row r="14" spans="1:21" x14ac:dyDescent="0.2">
      <c r="A14" s="12" t="s">
        <v>71</v>
      </c>
      <c r="B14" s="3" t="s">
        <v>31</v>
      </c>
      <c r="C14" s="24">
        <f t="shared" si="0"/>
        <v>4.0136044023579664</v>
      </c>
      <c r="D14" s="2">
        <v>25.363009691808699</v>
      </c>
      <c r="E14" s="9"/>
      <c r="F14" s="3"/>
      <c r="G14" s="10"/>
      <c r="I14" s="10"/>
      <c r="N14" s="1" t="s">
        <v>71</v>
      </c>
      <c r="O14" s="11" t="s">
        <v>31</v>
      </c>
      <c r="P14" s="20">
        <v>10318.210945826009</v>
      </c>
      <c r="Q14" s="2">
        <v>25.363009691808699</v>
      </c>
    </row>
    <row r="15" spans="1:21" x14ac:dyDescent="0.2">
      <c r="A15" s="12" t="s">
        <v>72</v>
      </c>
      <c r="B15" s="3" t="s">
        <v>31</v>
      </c>
      <c r="C15" s="24">
        <f t="shared" si="0"/>
        <v>4.0136044023579664</v>
      </c>
      <c r="D15" s="2">
        <v>25.352351177859202</v>
      </c>
      <c r="E15" s="9"/>
      <c r="F15" s="3"/>
      <c r="G15" s="10"/>
      <c r="I15" s="10"/>
      <c r="N15" s="1" t="s">
        <v>72</v>
      </c>
      <c r="O15" s="11" t="s">
        <v>31</v>
      </c>
      <c r="P15" s="20">
        <v>10318.210945826009</v>
      </c>
      <c r="Q15" s="2">
        <v>25.352351177859202</v>
      </c>
    </row>
    <row r="16" spans="1:21" x14ac:dyDescent="0.2">
      <c r="A16" s="12" t="s">
        <v>73</v>
      </c>
      <c r="B16" s="3" t="s">
        <v>31</v>
      </c>
      <c r="C16" s="24">
        <f t="shared" si="0"/>
        <v>4.0136044023579664</v>
      </c>
      <c r="D16" s="2">
        <v>25.3663735372517</v>
      </c>
      <c r="E16" s="9"/>
      <c r="F16" s="3"/>
      <c r="G16" s="10"/>
      <c r="I16" s="10"/>
      <c r="N16" s="1" t="s">
        <v>73</v>
      </c>
      <c r="O16" s="11" t="s">
        <v>31</v>
      </c>
      <c r="P16" s="20">
        <v>10318.210945826009</v>
      </c>
      <c r="Q16" s="2">
        <v>25.3663735372517</v>
      </c>
    </row>
    <row r="17" spans="1:19" x14ac:dyDescent="0.2">
      <c r="A17" s="12" t="s">
        <v>74</v>
      </c>
      <c r="B17" s="3" t="s">
        <v>32</v>
      </c>
      <c r="C17" s="24">
        <f t="shared" si="0"/>
        <v>3.0136044023579664</v>
      </c>
      <c r="D17" s="2">
        <v>27.430042675020101</v>
      </c>
      <c r="E17" s="9"/>
      <c r="F17" s="3"/>
      <c r="G17" s="10"/>
      <c r="I17" s="10"/>
      <c r="N17" s="1" t="s">
        <v>74</v>
      </c>
      <c r="O17" s="11" t="s">
        <v>32</v>
      </c>
      <c r="P17" s="20">
        <v>1031.8210945826008</v>
      </c>
      <c r="Q17" s="2">
        <v>27.430042675020101</v>
      </c>
    </row>
    <row r="18" spans="1:19" x14ac:dyDescent="0.2">
      <c r="A18" s="12" t="s">
        <v>75</v>
      </c>
      <c r="B18" s="3" t="s">
        <v>32</v>
      </c>
      <c r="C18" s="24">
        <f t="shared" si="0"/>
        <v>3.0136044023579664</v>
      </c>
      <c r="D18" s="2">
        <v>27.396596541428799</v>
      </c>
      <c r="E18" s="9"/>
      <c r="F18" s="3"/>
      <c r="G18" s="10"/>
      <c r="I18" s="10"/>
      <c r="N18" s="1" t="s">
        <v>75</v>
      </c>
      <c r="O18" s="11" t="s">
        <v>32</v>
      </c>
      <c r="P18" s="20">
        <v>1031.8210945826008</v>
      </c>
      <c r="Q18" s="2">
        <v>27.396596541428799</v>
      </c>
    </row>
    <row r="19" spans="1:19" x14ac:dyDescent="0.2">
      <c r="A19" s="12" t="s">
        <v>76</v>
      </c>
      <c r="B19" s="3" t="s">
        <v>32</v>
      </c>
      <c r="C19" s="24">
        <f t="shared" si="0"/>
        <v>3.0136044023579664</v>
      </c>
      <c r="D19" s="2">
        <v>27.750568240661899</v>
      </c>
      <c r="E19" s="9"/>
      <c r="F19" s="3"/>
      <c r="G19" s="10"/>
      <c r="I19" s="10"/>
      <c r="N19" s="1" t="s">
        <v>76</v>
      </c>
      <c r="O19" s="11" t="s">
        <v>32</v>
      </c>
      <c r="P19" s="20">
        <v>1031.8210945826008</v>
      </c>
      <c r="Q19" s="2">
        <v>27.750568240661899</v>
      </c>
    </row>
    <row r="20" spans="1:19" x14ac:dyDescent="0.2">
      <c r="A20" s="12" t="s">
        <v>77</v>
      </c>
      <c r="B20" s="3" t="s">
        <v>33</v>
      </c>
      <c r="C20" s="24">
        <f t="shared" si="0"/>
        <v>2.0136044023579664</v>
      </c>
      <c r="D20" s="2">
        <v>28.709425298940999</v>
      </c>
      <c r="E20" s="9"/>
      <c r="F20" s="3"/>
      <c r="G20" s="10"/>
      <c r="I20" s="10"/>
      <c r="N20" s="1" t="s">
        <v>77</v>
      </c>
      <c r="O20" s="11" t="s">
        <v>33</v>
      </c>
      <c r="P20" s="20">
        <v>103.18210945826009</v>
      </c>
      <c r="Q20" s="2">
        <v>28.709425298940999</v>
      </c>
    </row>
    <row r="21" spans="1:19" x14ac:dyDescent="0.2">
      <c r="A21" s="12" t="s">
        <v>78</v>
      </c>
      <c r="B21" s="3" t="s">
        <v>33</v>
      </c>
      <c r="C21" s="24">
        <f t="shared" si="0"/>
        <v>2.0136044023579664</v>
      </c>
      <c r="D21" s="2">
        <v>28.120107139212099</v>
      </c>
      <c r="E21" s="9"/>
      <c r="F21" s="3"/>
      <c r="G21" s="10"/>
      <c r="I21" s="10"/>
      <c r="N21" s="1" t="s">
        <v>78</v>
      </c>
      <c r="O21" s="11" t="s">
        <v>33</v>
      </c>
      <c r="P21" s="20">
        <v>103.18210945826009</v>
      </c>
      <c r="Q21" s="2">
        <v>28.120107139212099</v>
      </c>
    </row>
    <row r="22" spans="1:19" x14ac:dyDescent="0.2">
      <c r="A22" s="12" t="s">
        <v>79</v>
      </c>
      <c r="B22" s="3" t="s">
        <v>33</v>
      </c>
      <c r="C22" s="24">
        <f t="shared" si="0"/>
        <v>2.0136044023579664</v>
      </c>
      <c r="D22" s="2">
        <v>28.067209502561902</v>
      </c>
      <c r="E22" s="9"/>
      <c r="F22" s="3"/>
      <c r="G22" s="10"/>
      <c r="I22" s="10"/>
      <c r="N22" s="1" t="s">
        <v>79</v>
      </c>
      <c r="O22" s="11" t="s">
        <v>33</v>
      </c>
      <c r="P22" s="20">
        <v>103.18210945826009</v>
      </c>
      <c r="Q22" s="2">
        <v>28.067209502561902</v>
      </c>
    </row>
    <row r="23" spans="1:19" x14ac:dyDescent="0.2">
      <c r="A23" s="12" t="s">
        <v>4</v>
      </c>
      <c r="B23" s="3" t="s">
        <v>34</v>
      </c>
      <c r="C23" s="24">
        <f t="shared" si="0"/>
        <v>1.0136044023579664</v>
      </c>
      <c r="D23" s="2">
        <v>28.5454097549108</v>
      </c>
      <c r="E23" s="9"/>
      <c r="F23" s="3"/>
      <c r="G23" s="10"/>
      <c r="I23" s="10"/>
      <c r="N23" s="1" t="s">
        <v>4</v>
      </c>
      <c r="O23" s="11" t="s">
        <v>34</v>
      </c>
      <c r="P23" s="20">
        <v>10.318210945826008</v>
      </c>
      <c r="Q23" s="2">
        <v>28.5454097549108</v>
      </c>
    </row>
    <row r="24" spans="1:19" x14ac:dyDescent="0.2">
      <c r="A24" s="12" t="s">
        <v>5</v>
      </c>
      <c r="B24" s="3" t="s">
        <v>34</v>
      </c>
      <c r="C24" s="24">
        <f t="shared" si="0"/>
        <v>1.0136044023579664</v>
      </c>
      <c r="D24" s="2">
        <v>28.321663543449699</v>
      </c>
      <c r="E24" s="9"/>
      <c r="F24" s="3"/>
      <c r="G24" s="10"/>
      <c r="I24" s="10"/>
      <c r="N24" s="1" t="s">
        <v>5</v>
      </c>
      <c r="O24" s="11" t="s">
        <v>34</v>
      </c>
      <c r="P24" s="20">
        <v>10.318210945826008</v>
      </c>
      <c r="Q24" s="2">
        <v>28.321663543449699</v>
      </c>
    </row>
    <row r="25" spans="1:19" x14ac:dyDescent="0.2">
      <c r="A25" s="12" t="s">
        <v>6</v>
      </c>
      <c r="B25" s="3" t="s">
        <v>34</v>
      </c>
      <c r="C25" s="24">
        <f t="shared" si="0"/>
        <v>1.0136044023579664</v>
      </c>
      <c r="D25" s="2">
        <v>28.350190917262601</v>
      </c>
      <c r="E25" s="9"/>
      <c r="F25" s="3"/>
      <c r="G25" s="10"/>
      <c r="I25" s="10"/>
      <c r="N25" s="1" t="s">
        <v>6</v>
      </c>
      <c r="O25" s="11" t="s">
        <v>34</v>
      </c>
      <c r="P25" s="20">
        <v>10.318210945826008</v>
      </c>
      <c r="Q25" s="2">
        <v>28.350190917262601</v>
      </c>
    </row>
    <row r="26" spans="1:19" x14ac:dyDescent="0.2">
      <c r="A26" s="12" t="s">
        <v>80</v>
      </c>
      <c r="B26" s="3" t="s">
        <v>35</v>
      </c>
      <c r="C26" s="24">
        <f t="shared" si="0"/>
        <v>1.3604402357966342E-2</v>
      </c>
      <c r="D26" s="2">
        <v>28.5119809187571</v>
      </c>
      <c r="E26" s="9"/>
      <c r="F26" s="3"/>
      <c r="G26" s="10"/>
      <c r="I26" s="10"/>
      <c r="N26" s="1" t="s">
        <v>80</v>
      </c>
      <c r="O26" s="11" t="s">
        <v>35</v>
      </c>
      <c r="P26" s="20">
        <v>1.0318210945826007</v>
      </c>
      <c r="Q26" s="2">
        <v>28.5119809187571</v>
      </c>
    </row>
    <row r="27" spans="1:19" x14ac:dyDescent="0.2">
      <c r="A27" s="12" t="s">
        <v>81</v>
      </c>
      <c r="B27" s="3" t="s">
        <v>35</v>
      </c>
      <c r="C27" s="24">
        <f t="shared" si="0"/>
        <v>1.3604402357966342E-2</v>
      </c>
      <c r="D27" s="2">
        <v>27.078599983783501</v>
      </c>
      <c r="E27" s="9"/>
      <c r="F27" s="3"/>
      <c r="G27" s="10"/>
      <c r="I27" s="10"/>
      <c r="N27" s="1" t="s">
        <v>81</v>
      </c>
      <c r="O27" s="11" t="s">
        <v>35</v>
      </c>
      <c r="P27" s="20">
        <v>1.0318210945826007</v>
      </c>
      <c r="Q27" s="2">
        <v>27.078599983783501</v>
      </c>
    </row>
    <row r="28" spans="1:19" x14ac:dyDescent="0.2">
      <c r="A28" s="12" t="s">
        <v>82</v>
      </c>
      <c r="B28" s="3" t="s">
        <v>35</v>
      </c>
      <c r="C28" s="24">
        <f t="shared" si="0"/>
        <v>1.3604402357966342E-2</v>
      </c>
      <c r="D28" s="2">
        <v>28.341740994278599</v>
      </c>
      <c r="E28" s="9"/>
      <c r="F28" s="3"/>
      <c r="G28" s="10"/>
      <c r="I28" s="10"/>
      <c r="N28" s="1" t="s">
        <v>82</v>
      </c>
      <c r="O28" s="11" t="s">
        <v>35</v>
      </c>
      <c r="P28" s="20">
        <v>1.0318210945826007</v>
      </c>
      <c r="Q28" s="2">
        <v>28.341740994278599</v>
      </c>
    </row>
    <row r="29" spans="1:19" x14ac:dyDescent="0.2">
      <c r="A29" s="12" t="s">
        <v>83</v>
      </c>
      <c r="B29" s="3" t="s">
        <v>36</v>
      </c>
      <c r="C29" s="3" t="s">
        <v>37</v>
      </c>
      <c r="D29" s="2">
        <v>28.081484717252</v>
      </c>
      <c r="E29" s="9"/>
      <c r="F29" s="3"/>
      <c r="G29" s="10"/>
      <c r="I29" s="10"/>
      <c r="N29" s="1" t="s">
        <v>83</v>
      </c>
      <c r="O29" s="11" t="s">
        <v>36</v>
      </c>
      <c r="P29" s="1" t="s">
        <v>37</v>
      </c>
      <c r="Q29" s="2">
        <v>28.081484717252</v>
      </c>
      <c r="S29" s="32"/>
    </row>
    <row r="30" spans="1:19" x14ac:dyDescent="0.2">
      <c r="A30" s="12" t="s">
        <v>84</v>
      </c>
      <c r="B30" s="3" t="s">
        <v>36</v>
      </c>
      <c r="C30" s="3" t="s">
        <v>37</v>
      </c>
      <c r="D30" s="2">
        <v>27.9208555841386</v>
      </c>
      <c r="E30" s="9"/>
      <c r="F30" s="3"/>
      <c r="G30" s="10"/>
      <c r="I30" s="10"/>
      <c r="N30" s="1" t="s">
        <v>84</v>
      </c>
      <c r="O30" s="11" t="s">
        <v>36</v>
      </c>
      <c r="P30" s="1" t="s">
        <v>37</v>
      </c>
      <c r="Q30" s="2">
        <v>27.9208555841386</v>
      </c>
    </row>
    <row r="31" spans="1:19" x14ac:dyDescent="0.2">
      <c r="A31" s="12" t="s">
        <v>85</v>
      </c>
      <c r="B31" s="3" t="s">
        <v>36</v>
      </c>
      <c r="C31" s="3" t="s">
        <v>37</v>
      </c>
      <c r="D31" s="2">
        <v>28.302938123261001</v>
      </c>
      <c r="E31" s="9"/>
      <c r="F31" s="3"/>
      <c r="G31" s="10"/>
      <c r="I31" s="10"/>
      <c r="N31" s="1" t="s">
        <v>85</v>
      </c>
      <c r="O31" s="11" t="s">
        <v>36</v>
      </c>
      <c r="P31" s="1" t="s">
        <v>37</v>
      </c>
      <c r="Q31" s="2">
        <v>28.302938123261001</v>
      </c>
    </row>
    <row r="32" spans="1:19" x14ac:dyDescent="0.2">
      <c r="A32" s="12"/>
      <c r="B32" s="3"/>
      <c r="C32" s="6"/>
      <c r="E32" s="9"/>
      <c r="F32" s="3"/>
      <c r="G32" s="10"/>
      <c r="I32" s="10"/>
    </row>
    <row r="33" spans="1:21" x14ac:dyDescent="0.2">
      <c r="A33" s="12"/>
      <c r="B33" s="3"/>
      <c r="C33" s="6"/>
      <c r="E33" s="9"/>
      <c r="F33" s="3"/>
      <c r="G33" s="10"/>
      <c r="I33" s="10"/>
    </row>
    <row r="34" spans="1:21" x14ac:dyDescent="0.2">
      <c r="A34" s="12"/>
      <c r="B34" s="3"/>
      <c r="C34" s="6"/>
      <c r="E34" s="9"/>
      <c r="F34" s="3"/>
      <c r="G34" s="10"/>
      <c r="I34" s="10"/>
    </row>
    <row r="35" spans="1:21" x14ac:dyDescent="0.2">
      <c r="A35" s="12"/>
      <c r="B35" s="3"/>
      <c r="C35" s="6"/>
      <c r="E35" s="9"/>
      <c r="F35" s="3"/>
      <c r="G35" s="10"/>
      <c r="I35" s="10"/>
    </row>
    <row r="36" spans="1:21" x14ac:dyDescent="0.2">
      <c r="E36" s="9"/>
      <c r="F36" s="3"/>
      <c r="G36" s="10"/>
      <c r="I36" s="10"/>
    </row>
    <row r="37" spans="1:21" x14ac:dyDescent="0.2">
      <c r="A37" s="3" t="s">
        <v>0</v>
      </c>
      <c r="B37" s="3" t="s">
        <v>25</v>
      </c>
      <c r="C37" s="3" t="s">
        <v>26</v>
      </c>
      <c r="D37" s="4" t="s">
        <v>252</v>
      </c>
      <c r="E37" s="4" t="s">
        <v>61</v>
      </c>
      <c r="F37" s="4" t="s">
        <v>243</v>
      </c>
      <c r="G37" s="4" t="s">
        <v>244</v>
      </c>
      <c r="H37" s="4" t="s">
        <v>245</v>
      </c>
      <c r="I37" s="11" t="s">
        <v>248</v>
      </c>
      <c r="J37" s="4"/>
      <c r="K37" s="4"/>
      <c r="L37" s="4" t="s">
        <v>240</v>
      </c>
      <c r="S37" s="1"/>
      <c r="T37" s="20"/>
      <c r="U37" s="1"/>
    </row>
    <row r="38" spans="1:21" x14ac:dyDescent="0.2">
      <c r="A38" s="12" t="s">
        <v>86</v>
      </c>
      <c r="B38" s="3" t="s">
        <v>152</v>
      </c>
      <c r="C38" s="2">
        <v>17.539647035761799</v>
      </c>
      <c r="D38" s="3">
        <f>(C38-$S$10)/$S$9</f>
        <v>6.1083720718584642</v>
      </c>
      <c r="E38" s="9">
        <f>10^D38</f>
        <v>1283429.6607741369</v>
      </c>
      <c r="F38" s="25">
        <v>7.6388888888888895E-2</v>
      </c>
      <c r="G38" s="4" t="s">
        <v>246</v>
      </c>
      <c r="H38" s="4" t="s">
        <v>247</v>
      </c>
      <c r="I38" s="10" t="s">
        <v>197</v>
      </c>
      <c r="J38" s="3">
        <f>(E38*50*50)/5</f>
        <v>641714830.38706851</v>
      </c>
      <c r="K38" s="10">
        <f>J38</f>
        <v>641714830.38706851</v>
      </c>
      <c r="L38" s="47">
        <f>AVERAGE(K38:K40)</f>
        <v>586876066.13763607</v>
      </c>
      <c r="M38" s="40" t="s">
        <v>238</v>
      </c>
      <c r="S38" s="1"/>
      <c r="T38" s="20"/>
      <c r="U38" s="1"/>
    </row>
    <row r="39" spans="1:21" x14ac:dyDescent="0.2">
      <c r="A39" s="12" t="s">
        <v>87</v>
      </c>
      <c r="B39" s="3" t="s">
        <v>152</v>
      </c>
      <c r="C39" s="2">
        <v>17.701831883935299</v>
      </c>
      <c r="D39" s="3">
        <f t="shared" ref="D39:D102" si="1">(C39-$S$10)/$S$9</f>
        <v>6.0620305902775433</v>
      </c>
      <c r="E39" s="9">
        <f t="shared" ref="E39:E103" si="2">10^D39</f>
        <v>1153534.5061432587</v>
      </c>
      <c r="F39" s="25">
        <v>7.6388888888888895E-2</v>
      </c>
      <c r="G39" s="4" t="s">
        <v>246</v>
      </c>
      <c r="H39" s="4" t="s">
        <v>247</v>
      </c>
      <c r="I39" s="10" t="s">
        <v>197</v>
      </c>
      <c r="J39" s="3">
        <f t="shared" ref="J39:J40" si="3">(E39*50*50)/5</f>
        <v>576767253.07162929</v>
      </c>
      <c r="K39" s="10">
        <f t="shared" ref="K39:K103" si="4">J39</f>
        <v>576767253.07162929</v>
      </c>
      <c r="L39" s="48"/>
      <c r="M39" s="40"/>
      <c r="S39" s="1"/>
      <c r="T39" s="20"/>
      <c r="U39" s="1"/>
    </row>
    <row r="40" spans="1:21" x14ac:dyDescent="0.2">
      <c r="A40" s="12" t="s">
        <v>88</v>
      </c>
      <c r="B40" s="3" t="s">
        <v>152</v>
      </c>
      <c r="C40" s="2">
        <v>17.795920743227001</v>
      </c>
      <c r="D40" s="3">
        <f t="shared" si="1"/>
        <v>6.0351463456089434</v>
      </c>
      <c r="E40" s="9">
        <f t="shared" si="2"/>
        <v>1084292.2299084202</v>
      </c>
      <c r="F40" s="25">
        <v>7.6388888888888895E-2</v>
      </c>
      <c r="G40" s="4" t="s">
        <v>246</v>
      </c>
      <c r="H40" s="4" t="s">
        <v>247</v>
      </c>
      <c r="I40" s="10" t="s">
        <v>197</v>
      </c>
      <c r="J40" s="3">
        <f t="shared" si="3"/>
        <v>542146114.95421016</v>
      </c>
      <c r="K40" s="10">
        <f t="shared" si="4"/>
        <v>542146114.95421016</v>
      </c>
      <c r="L40" s="48"/>
      <c r="M40" s="40"/>
    </row>
    <row r="41" spans="1:21" x14ac:dyDescent="0.2">
      <c r="A41" s="12" t="s">
        <v>7</v>
      </c>
      <c r="B41" s="3" t="s">
        <v>153</v>
      </c>
      <c r="C41" s="2">
        <v>15.490435709963201</v>
      </c>
      <c r="D41" s="3">
        <f t="shared" si="1"/>
        <v>6.6938983400602918</v>
      </c>
      <c r="E41" s="9">
        <f t="shared" si="2"/>
        <v>4941949.9195564035</v>
      </c>
      <c r="F41" s="25">
        <v>7.6388888888888895E-2</v>
      </c>
      <c r="G41" s="4" t="s">
        <v>246</v>
      </c>
      <c r="H41" s="4" t="s">
        <v>247</v>
      </c>
      <c r="I41" s="3" t="s">
        <v>198</v>
      </c>
      <c r="J41" s="3">
        <f>(E41*50*50)/2</f>
        <v>6177437399.4455051</v>
      </c>
      <c r="K41" s="10">
        <f t="shared" si="4"/>
        <v>6177437399.4455051</v>
      </c>
      <c r="L41" s="47">
        <f t="shared" ref="L41" si="5">AVERAGE(K41:K43)</f>
        <v>5558960349.2025614</v>
      </c>
      <c r="M41" s="40" t="s">
        <v>238</v>
      </c>
    </row>
    <row r="42" spans="1:21" x14ac:dyDescent="0.2">
      <c r="A42" s="12" t="s">
        <v>8</v>
      </c>
      <c r="B42" s="3" t="s">
        <v>153</v>
      </c>
      <c r="C42" s="2">
        <v>15.725732861163801</v>
      </c>
      <c r="D42" s="3">
        <f t="shared" si="1"/>
        <v>6.6266662976025357</v>
      </c>
      <c r="E42" s="9">
        <f t="shared" si="2"/>
        <v>4233175.7307273224</v>
      </c>
      <c r="F42" s="25">
        <v>7.6388888888888895E-2</v>
      </c>
      <c r="G42" s="4" t="s">
        <v>246</v>
      </c>
      <c r="H42" s="4" t="s">
        <v>247</v>
      </c>
      <c r="I42" s="3" t="s">
        <v>198</v>
      </c>
      <c r="J42" s="3">
        <f t="shared" ref="J42:J64" si="6">(E42*50*50)/2</f>
        <v>5291469663.409153</v>
      </c>
      <c r="K42" s="10">
        <f t="shared" si="4"/>
        <v>5291469663.409153</v>
      </c>
      <c r="L42" s="48"/>
      <c r="M42" s="40"/>
    </row>
    <row r="43" spans="1:21" x14ac:dyDescent="0.2">
      <c r="A43" s="12" t="s">
        <v>9</v>
      </c>
      <c r="B43" s="3" t="s">
        <v>153</v>
      </c>
      <c r="C43" s="2">
        <v>15.7499075859364</v>
      </c>
      <c r="D43" s="3">
        <f t="shared" si="1"/>
        <v>6.6197587931384021</v>
      </c>
      <c r="E43" s="9">
        <f t="shared" si="2"/>
        <v>4166379.1878024205</v>
      </c>
      <c r="F43" s="25">
        <v>7.6388888888888895E-2</v>
      </c>
      <c r="G43" s="4" t="s">
        <v>246</v>
      </c>
      <c r="H43" s="4" t="s">
        <v>247</v>
      </c>
      <c r="I43" s="3" t="s">
        <v>198</v>
      </c>
      <c r="J43" s="3">
        <f t="shared" si="6"/>
        <v>5207973984.7530251</v>
      </c>
      <c r="K43" s="10">
        <f t="shared" si="4"/>
        <v>5207973984.7530251</v>
      </c>
      <c r="L43" s="48"/>
      <c r="M43" s="40"/>
    </row>
    <row r="44" spans="1:21" x14ac:dyDescent="0.2">
      <c r="A44" s="13" t="s">
        <v>89</v>
      </c>
      <c r="B44" s="14" t="s">
        <v>154</v>
      </c>
      <c r="C44" s="15">
        <v>25.573997212249601</v>
      </c>
      <c r="D44" s="14">
        <f t="shared" si="1"/>
        <v>3.8126971372919769</v>
      </c>
      <c r="E44" s="16">
        <f t="shared" si="2"/>
        <v>6496.7646929854209</v>
      </c>
      <c r="F44" s="27">
        <v>7.6388888888888895E-2</v>
      </c>
      <c r="G44" s="28" t="s">
        <v>246</v>
      </c>
      <c r="H44" s="28" t="s">
        <v>247</v>
      </c>
      <c r="I44" s="14" t="s">
        <v>198</v>
      </c>
      <c r="J44" s="14">
        <f t="shared" si="6"/>
        <v>8120955.8662317768</v>
      </c>
      <c r="K44" s="17">
        <f t="shared" si="4"/>
        <v>8120955.8662317768</v>
      </c>
      <c r="L44" s="55">
        <f t="shared" ref="L44" si="7">AVERAGE(K44:K46)</f>
        <v>8157134.1526318491</v>
      </c>
      <c r="M44" s="57" t="s">
        <v>238</v>
      </c>
    </row>
    <row r="45" spans="1:21" x14ac:dyDescent="0.2">
      <c r="A45" s="13" t="s">
        <v>90</v>
      </c>
      <c r="B45" s="14" t="s">
        <v>154</v>
      </c>
      <c r="C45" s="15">
        <v>25.611501342015298</v>
      </c>
      <c r="D45" s="14">
        <f t="shared" si="1"/>
        <v>3.8019809886608402</v>
      </c>
      <c r="E45" s="16">
        <f t="shared" si="2"/>
        <v>6338.419640742939</v>
      </c>
      <c r="F45" s="27">
        <v>7.6388888888888895E-2</v>
      </c>
      <c r="G45" s="28" t="s">
        <v>246</v>
      </c>
      <c r="H45" s="28" t="s">
        <v>247</v>
      </c>
      <c r="I45" s="14" t="s">
        <v>198</v>
      </c>
      <c r="J45" s="14">
        <f t="shared" si="6"/>
        <v>7923024.5509286728</v>
      </c>
      <c r="K45" s="17">
        <f t="shared" si="4"/>
        <v>7923024.5509286728</v>
      </c>
      <c r="L45" s="56"/>
      <c r="M45" s="57"/>
    </row>
    <row r="46" spans="1:21" x14ac:dyDescent="0.2">
      <c r="A46" s="13" t="s">
        <v>91</v>
      </c>
      <c r="B46" s="14" t="s">
        <v>154</v>
      </c>
      <c r="C46" s="15">
        <v>25.517694224002501</v>
      </c>
      <c r="D46" s="14">
        <f t="shared" si="1"/>
        <v>3.8287847306904217</v>
      </c>
      <c r="E46" s="16">
        <f t="shared" si="2"/>
        <v>6741.9376325880794</v>
      </c>
      <c r="F46" s="27">
        <v>7.6388888888888895E-2</v>
      </c>
      <c r="G46" s="28" t="s">
        <v>246</v>
      </c>
      <c r="H46" s="28" t="s">
        <v>247</v>
      </c>
      <c r="I46" s="14" t="s">
        <v>198</v>
      </c>
      <c r="J46" s="14">
        <f t="shared" si="6"/>
        <v>8427422.0407350995</v>
      </c>
      <c r="K46" s="17">
        <f t="shared" si="4"/>
        <v>8427422.0407350995</v>
      </c>
      <c r="L46" s="56"/>
      <c r="M46" s="57"/>
    </row>
    <row r="47" spans="1:21" x14ac:dyDescent="0.2">
      <c r="A47" s="12" t="s">
        <v>92</v>
      </c>
      <c r="B47" s="3" t="s">
        <v>155</v>
      </c>
      <c r="C47" s="2">
        <v>15.522577580404199</v>
      </c>
      <c r="D47" s="3">
        <f t="shared" si="1"/>
        <v>6.6847143631734722</v>
      </c>
      <c r="E47" s="9">
        <f t="shared" si="2"/>
        <v>4838540.3061468033</v>
      </c>
      <c r="F47" s="25">
        <v>7.6388888888888895E-2</v>
      </c>
      <c r="G47" s="4" t="s">
        <v>246</v>
      </c>
      <c r="H47" s="4" t="s">
        <v>247</v>
      </c>
      <c r="I47" s="3" t="s">
        <v>198</v>
      </c>
      <c r="J47" s="3">
        <f t="shared" si="6"/>
        <v>6048175382.6835041</v>
      </c>
      <c r="K47" s="10">
        <f t="shared" si="4"/>
        <v>6048175382.6835041</v>
      </c>
      <c r="L47" s="47">
        <f t="shared" ref="L47" si="8">AVERAGE(K47:K49)</f>
        <v>6192532931.6031237</v>
      </c>
      <c r="M47" s="40" t="s">
        <v>238</v>
      </c>
    </row>
    <row r="48" spans="1:21" x14ac:dyDescent="0.2">
      <c r="A48" s="12" t="s">
        <v>93</v>
      </c>
      <c r="B48" s="3" t="s">
        <v>155</v>
      </c>
      <c r="C48" s="2">
        <v>15.4701311431294</v>
      </c>
      <c r="D48" s="3">
        <f t="shared" si="1"/>
        <v>6.6997000146342982</v>
      </c>
      <c r="E48" s="9">
        <f t="shared" si="2"/>
        <v>5008411.6217652615</v>
      </c>
      <c r="F48" s="25">
        <v>7.6388888888888895E-2</v>
      </c>
      <c r="G48" s="4" t="s">
        <v>246</v>
      </c>
      <c r="H48" s="4" t="s">
        <v>247</v>
      </c>
      <c r="I48" s="3" t="s">
        <v>198</v>
      </c>
      <c r="J48" s="3">
        <f t="shared" si="6"/>
        <v>6260514527.2065763</v>
      </c>
      <c r="K48" s="10">
        <f t="shared" si="4"/>
        <v>6260514527.2065763</v>
      </c>
      <c r="L48" s="48"/>
      <c r="M48" s="40"/>
    </row>
    <row r="49" spans="1:13" x14ac:dyDescent="0.2">
      <c r="A49" s="12" t="s">
        <v>94</v>
      </c>
      <c r="B49" s="3" t="s">
        <v>155</v>
      </c>
      <c r="C49" s="2">
        <v>15.468094517886399</v>
      </c>
      <c r="D49" s="3">
        <f t="shared" si="1"/>
        <v>6.7002819446496389</v>
      </c>
      <c r="E49" s="9">
        <f t="shared" si="2"/>
        <v>5015127.1079354351</v>
      </c>
      <c r="F49" s="25">
        <v>7.6388888888888895E-2</v>
      </c>
      <c r="G49" s="4" t="s">
        <v>246</v>
      </c>
      <c r="H49" s="4" t="s">
        <v>247</v>
      </c>
      <c r="I49" s="3" t="s">
        <v>198</v>
      </c>
      <c r="J49" s="3">
        <f t="shared" si="6"/>
        <v>6268908884.9192944</v>
      </c>
      <c r="K49" s="10">
        <f t="shared" si="4"/>
        <v>6268908884.9192944</v>
      </c>
      <c r="L49" s="48"/>
      <c r="M49" s="40"/>
    </row>
    <row r="50" spans="1:13" x14ac:dyDescent="0.2">
      <c r="A50" s="12" t="s">
        <v>95</v>
      </c>
      <c r="B50" s="3" t="s">
        <v>156</v>
      </c>
      <c r="C50" s="2">
        <v>29.721334001868001</v>
      </c>
      <c r="D50" s="3">
        <f t="shared" si="1"/>
        <v>2.6276682421119979</v>
      </c>
      <c r="E50" s="9">
        <f t="shared" si="2"/>
        <v>424.2953205962022</v>
      </c>
      <c r="F50" s="25">
        <v>7.6388888888888895E-2</v>
      </c>
      <c r="G50" s="29" t="s">
        <v>246</v>
      </c>
      <c r="H50" s="29" t="s">
        <v>247</v>
      </c>
      <c r="I50" s="3" t="s">
        <v>198</v>
      </c>
      <c r="J50" s="3">
        <f t="shared" si="6"/>
        <v>530369.15074525273</v>
      </c>
      <c r="K50" s="10">
        <f t="shared" si="4"/>
        <v>530369.15074525273</v>
      </c>
      <c r="L50" s="47">
        <f t="shared" ref="L50" si="9">AVERAGE(K50:K52)</f>
        <v>7672574920.2682915</v>
      </c>
      <c r="M50" s="40" t="s">
        <v>238</v>
      </c>
    </row>
    <row r="51" spans="1:13" x14ac:dyDescent="0.2">
      <c r="A51" s="12" t="s">
        <v>96</v>
      </c>
      <c r="B51" s="3" t="s">
        <v>156</v>
      </c>
      <c r="C51" s="2">
        <v>15.1160196059566</v>
      </c>
      <c r="D51" s="3">
        <f t="shared" si="1"/>
        <v>6.8008811882290701</v>
      </c>
      <c r="E51" s="9">
        <f t="shared" si="2"/>
        <v>6322388.6346552623</v>
      </c>
      <c r="F51" s="25">
        <v>7.6388888888888895E-2</v>
      </c>
      <c r="G51" s="29" t="s">
        <v>246</v>
      </c>
      <c r="H51" s="29" t="s">
        <v>247</v>
      </c>
      <c r="I51" s="3" t="s">
        <v>198</v>
      </c>
      <c r="J51" s="3">
        <f t="shared" si="6"/>
        <v>7902985793.3190775</v>
      </c>
      <c r="K51" s="10">
        <f t="shared" si="4"/>
        <v>7902985793.3190775</v>
      </c>
      <c r="L51" s="48"/>
      <c r="M51" s="40"/>
    </row>
    <row r="52" spans="1:13" x14ac:dyDescent="0.2">
      <c r="A52" s="12" t="s">
        <v>97</v>
      </c>
      <c r="B52" s="3" t="s">
        <v>156</v>
      </c>
      <c r="C52" s="2">
        <v>14.1305026839043</v>
      </c>
      <c r="D52" s="3">
        <f t="shared" si="1"/>
        <v>7.0824753988184321</v>
      </c>
      <c r="E52" s="9">
        <f t="shared" si="2"/>
        <v>12091366.87866804</v>
      </c>
      <c r="F52" s="25">
        <v>7.6388888888888895E-2</v>
      </c>
      <c r="G52" s="29" t="s">
        <v>246</v>
      </c>
      <c r="H52" s="29" t="s">
        <v>247</v>
      </c>
      <c r="I52" s="3" t="s">
        <v>198</v>
      </c>
      <c r="J52" s="3">
        <f t="shared" si="6"/>
        <v>15114208598.335052</v>
      </c>
      <c r="K52" s="10">
        <f t="shared" si="4"/>
        <v>15114208598.335052</v>
      </c>
      <c r="L52" s="48"/>
      <c r="M52" s="40"/>
    </row>
    <row r="53" spans="1:13" x14ac:dyDescent="0.2">
      <c r="A53" s="12" t="s">
        <v>10</v>
      </c>
      <c r="B53" s="3" t="s">
        <v>157</v>
      </c>
      <c r="C53" s="2">
        <v>14.7779041479806</v>
      </c>
      <c r="D53" s="3">
        <f t="shared" si="1"/>
        <v>6.8974917621789711</v>
      </c>
      <c r="E53" s="9">
        <f t="shared" si="2"/>
        <v>7897538.6898221299</v>
      </c>
      <c r="F53" s="25">
        <v>7.6388888888888895E-2</v>
      </c>
      <c r="G53" s="4" t="s">
        <v>246</v>
      </c>
      <c r="H53" s="4" t="s">
        <v>247</v>
      </c>
      <c r="I53" s="3" t="s">
        <v>198</v>
      </c>
      <c r="J53" s="3">
        <f t="shared" si="6"/>
        <v>9871923362.2776623</v>
      </c>
      <c r="K53" s="10">
        <f t="shared" si="4"/>
        <v>9871923362.2776623</v>
      </c>
      <c r="L53" s="47">
        <f t="shared" ref="L53" si="10">AVERAGE(K53:K55)</f>
        <v>9243228893.13521</v>
      </c>
      <c r="M53" s="40" t="s">
        <v>238</v>
      </c>
    </row>
    <row r="54" spans="1:13" x14ac:dyDescent="0.2">
      <c r="A54" s="12" t="s">
        <v>11</v>
      </c>
      <c r="B54" s="3" t="s">
        <v>157</v>
      </c>
      <c r="C54" s="2">
        <v>14.878995307294</v>
      </c>
      <c r="D54" s="3">
        <f t="shared" si="1"/>
        <v>6.8686067328431593</v>
      </c>
      <c r="E54" s="9">
        <f t="shared" si="2"/>
        <v>7389358.4262688048</v>
      </c>
      <c r="F54" s="25">
        <v>7.6388888888888895E-2</v>
      </c>
      <c r="G54" s="4" t="s">
        <v>246</v>
      </c>
      <c r="H54" s="4" t="s">
        <v>247</v>
      </c>
      <c r="I54" s="3" t="s">
        <v>198</v>
      </c>
      <c r="J54" s="3">
        <f t="shared" si="6"/>
        <v>9236698032.8360062</v>
      </c>
      <c r="K54" s="10">
        <f t="shared" si="4"/>
        <v>9236698032.8360062</v>
      </c>
      <c r="L54" s="48"/>
      <c r="M54" s="40"/>
    </row>
    <row r="55" spans="1:13" x14ac:dyDescent="0.2">
      <c r="A55" s="12" t="s">
        <v>12</v>
      </c>
      <c r="B55" s="3" t="s">
        <v>157</v>
      </c>
      <c r="C55" s="2">
        <v>14.9838339670263</v>
      </c>
      <c r="D55" s="3">
        <f t="shared" si="1"/>
        <v>6.8386509208566073</v>
      </c>
      <c r="E55" s="9">
        <f t="shared" si="2"/>
        <v>6896852.2274335679</v>
      </c>
      <c r="F55" s="25">
        <v>7.6388888888888895E-2</v>
      </c>
      <c r="G55" s="4" t="s">
        <v>246</v>
      </c>
      <c r="H55" s="4" t="s">
        <v>247</v>
      </c>
      <c r="I55" s="3" t="s">
        <v>198</v>
      </c>
      <c r="J55" s="3">
        <f t="shared" si="6"/>
        <v>8621065284.2919598</v>
      </c>
      <c r="K55" s="10">
        <f t="shared" si="4"/>
        <v>8621065284.2919598</v>
      </c>
      <c r="L55" s="48"/>
      <c r="M55" s="40"/>
    </row>
    <row r="56" spans="1:13" x14ac:dyDescent="0.2">
      <c r="A56" s="12" t="s">
        <v>98</v>
      </c>
      <c r="B56" s="3" t="s">
        <v>158</v>
      </c>
      <c r="C56" s="2">
        <v>15.0378140251945</v>
      </c>
      <c r="D56" s="3">
        <f t="shared" si="1"/>
        <v>6.8232270640690569</v>
      </c>
      <c r="E56" s="9">
        <f t="shared" si="2"/>
        <v>6656210.7479762947</v>
      </c>
      <c r="F56" s="25">
        <v>7.6388888888888895E-2</v>
      </c>
      <c r="G56" s="4" t="s">
        <v>246</v>
      </c>
      <c r="H56" s="4" t="s">
        <v>247</v>
      </c>
      <c r="I56" s="3" t="s">
        <v>198</v>
      </c>
      <c r="J56" s="3">
        <f t="shared" si="6"/>
        <v>8320263434.9703684</v>
      </c>
      <c r="K56" s="10">
        <f t="shared" si="4"/>
        <v>8320263434.9703684</v>
      </c>
      <c r="L56" s="47">
        <f t="shared" ref="L56" si="11">AVERAGE(K56:K58)</f>
        <v>7139602306.1948357</v>
      </c>
      <c r="M56" s="40" t="s">
        <v>238</v>
      </c>
    </row>
    <row r="57" spans="1:13" x14ac:dyDescent="0.2">
      <c r="A57" s="12" t="s">
        <v>99</v>
      </c>
      <c r="B57" s="3" t="s">
        <v>158</v>
      </c>
      <c r="C57" s="2">
        <v>15.355476871733</v>
      </c>
      <c r="D57" s="3">
        <f t="shared" si="1"/>
        <v>6.7324604658473861</v>
      </c>
      <c r="E57" s="9">
        <f t="shared" si="2"/>
        <v>5400829.4837073451</v>
      </c>
      <c r="F57" s="25">
        <v>7.6388888888888895E-2</v>
      </c>
      <c r="G57" s="4" t="s">
        <v>246</v>
      </c>
      <c r="H57" s="4" t="s">
        <v>247</v>
      </c>
      <c r="I57" s="3" t="s">
        <v>198</v>
      </c>
      <c r="J57" s="3">
        <f t="shared" si="6"/>
        <v>6751036854.634181</v>
      </c>
      <c r="K57" s="10">
        <f t="shared" si="4"/>
        <v>6751036854.634181</v>
      </c>
      <c r="L57" s="48"/>
      <c r="M57" s="40"/>
    </row>
    <row r="58" spans="1:13" x14ac:dyDescent="0.2">
      <c r="A58" s="12" t="s">
        <v>100</v>
      </c>
      <c r="B58" s="3" t="s">
        <v>158</v>
      </c>
      <c r="C58" s="2">
        <v>15.4491565059161</v>
      </c>
      <c r="D58" s="3">
        <f t="shared" si="1"/>
        <v>6.7056931500907417</v>
      </c>
      <c r="E58" s="9">
        <f t="shared" si="2"/>
        <v>5078005.3031839663</v>
      </c>
      <c r="F58" s="25">
        <v>7.6388888888888895E-2</v>
      </c>
      <c r="G58" s="4" t="s">
        <v>246</v>
      </c>
      <c r="H58" s="4" t="s">
        <v>247</v>
      </c>
      <c r="I58" s="3" t="s">
        <v>198</v>
      </c>
      <c r="J58" s="3">
        <f t="shared" si="6"/>
        <v>6347506628.9799576</v>
      </c>
      <c r="K58" s="10">
        <f t="shared" si="4"/>
        <v>6347506628.9799576</v>
      </c>
      <c r="L58" s="48"/>
      <c r="M58" s="40"/>
    </row>
    <row r="59" spans="1:13" x14ac:dyDescent="0.2">
      <c r="A59" s="12" t="s">
        <v>101</v>
      </c>
      <c r="B59" s="3" t="s">
        <v>159</v>
      </c>
      <c r="C59" s="2">
        <v>15.0151656758289</v>
      </c>
      <c r="D59" s="3">
        <f t="shared" si="1"/>
        <v>6.8296984334773843</v>
      </c>
      <c r="E59" s="9">
        <f t="shared" si="2"/>
        <v>6756136.7810634682</v>
      </c>
      <c r="F59" s="25">
        <v>7.6388888888888895E-2</v>
      </c>
      <c r="G59" s="4" t="s">
        <v>246</v>
      </c>
      <c r="H59" s="4" t="s">
        <v>247</v>
      </c>
      <c r="I59" s="3" t="s">
        <v>198</v>
      </c>
      <c r="J59" s="3">
        <f t="shared" si="6"/>
        <v>8445170976.3293352</v>
      </c>
      <c r="K59" s="10">
        <f t="shared" si="4"/>
        <v>8445170976.3293352</v>
      </c>
      <c r="L59" s="47">
        <f t="shared" ref="L59" si="12">AVERAGE(K59:K61)</f>
        <v>7618189000.4043245</v>
      </c>
      <c r="M59" s="40" t="s">
        <v>238</v>
      </c>
    </row>
    <row r="60" spans="1:13" x14ac:dyDescent="0.2">
      <c r="A60" s="12" t="s">
        <v>102</v>
      </c>
      <c r="B60" s="3" t="s">
        <v>159</v>
      </c>
      <c r="C60" s="2">
        <v>15.2572529104628</v>
      </c>
      <c r="D60" s="3">
        <f t="shared" si="1"/>
        <v>6.76052624352804</v>
      </c>
      <c r="E60" s="9">
        <f t="shared" si="2"/>
        <v>5761376.3232774055</v>
      </c>
      <c r="F60" s="25">
        <v>7.6388888888888895E-2</v>
      </c>
      <c r="G60" s="4" t="s">
        <v>246</v>
      </c>
      <c r="H60" s="4" t="s">
        <v>247</v>
      </c>
      <c r="I60" s="3" t="s">
        <v>198</v>
      </c>
      <c r="J60" s="3">
        <f t="shared" si="6"/>
        <v>7201720404.0967569</v>
      </c>
      <c r="K60" s="10">
        <f t="shared" si="4"/>
        <v>7201720404.0967569</v>
      </c>
      <c r="L60" s="48"/>
      <c r="M60" s="40"/>
    </row>
    <row r="61" spans="1:13" x14ac:dyDescent="0.2">
      <c r="A61" s="12" t="s">
        <v>103</v>
      </c>
      <c r="B61" s="3" t="s">
        <v>159</v>
      </c>
      <c r="C61" s="2">
        <v>15.255996572489099</v>
      </c>
      <c r="D61" s="3">
        <f t="shared" si="1"/>
        <v>6.7608852201138516</v>
      </c>
      <c r="E61" s="9">
        <f t="shared" si="2"/>
        <v>5766140.4966295063</v>
      </c>
      <c r="F61" s="25">
        <v>7.6388888888888895E-2</v>
      </c>
      <c r="G61" s="4" t="s">
        <v>246</v>
      </c>
      <c r="H61" s="4" t="s">
        <v>247</v>
      </c>
      <c r="I61" s="3" t="s">
        <v>198</v>
      </c>
      <c r="J61" s="3">
        <f t="shared" si="6"/>
        <v>7207675620.7868834</v>
      </c>
      <c r="K61" s="10">
        <f t="shared" si="4"/>
        <v>7207675620.7868834</v>
      </c>
      <c r="L61" s="48"/>
      <c r="M61" s="40"/>
    </row>
    <row r="62" spans="1:13" x14ac:dyDescent="0.2">
      <c r="A62" s="12" t="s">
        <v>104</v>
      </c>
      <c r="B62" s="3" t="s">
        <v>160</v>
      </c>
      <c r="C62" s="2">
        <v>15.1564256338925</v>
      </c>
      <c r="D62" s="3">
        <f t="shared" si="1"/>
        <v>6.789335872988854</v>
      </c>
      <c r="E62" s="9">
        <f t="shared" si="2"/>
        <v>6156528.1984278169</v>
      </c>
      <c r="F62" s="25">
        <v>7.6388888888888895E-2</v>
      </c>
      <c r="G62" s="4" t="s">
        <v>246</v>
      </c>
      <c r="H62" s="4" t="s">
        <v>247</v>
      </c>
      <c r="I62" s="3" t="s">
        <v>198</v>
      </c>
      <c r="J62" s="3">
        <f t="shared" si="6"/>
        <v>7695660248.034771</v>
      </c>
      <c r="K62" s="10">
        <f t="shared" si="4"/>
        <v>7695660248.034771</v>
      </c>
      <c r="L62" s="47">
        <f t="shared" ref="L62" si="13">AVERAGE(K62:K64)</f>
        <v>7137782318.5406466</v>
      </c>
      <c r="M62" s="40" t="s">
        <v>238</v>
      </c>
    </row>
    <row r="63" spans="1:13" x14ac:dyDescent="0.2">
      <c r="A63" s="12" t="s">
        <v>105</v>
      </c>
      <c r="B63" s="3" t="s">
        <v>160</v>
      </c>
      <c r="C63" s="2">
        <v>15.3929666846501</v>
      </c>
      <c r="D63" s="3">
        <f t="shared" si="1"/>
        <v>6.7217484080051442</v>
      </c>
      <c r="E63" s="9">
        <f t="shared" si="2"/>
        <v>5269245.1930225026</v>
      </c>
      <c r="F63" s="25">
        <v>7.6388888888888895E-2</v>
      </c>
      <c r="G63" s="4" t="s">
        <v>246</v>
      </c>
      <c r="H63" s="4" t="s">
        <v>247</v>
      </c>
      <c r="I63" s="3" t="s">
        <v>198</v>
      </c>
      <c r="J63" s="3">
        <f t="shared" si="6"/>
        <v>6586556491.2781286</v>
      </c>
      <c r="K63" s="10">
        <f t="shared" si="4"/>
        <v>6586556491.2781286</v>
      </c>
      <c r="L63" s="48"/>
      <c r="M63" s="40"/>
    </row>
    <row r="64" spans="1:13" x14ac:dyDescent="0.2">
      <c r="A64" s="12" t="s">
        <v>106</v>
      </c>
      <c r="B64" s="3" t="s">
        <v>160</v>
      </c>
      <c r="C64" s="2">
        <v>15.2722245700934</v>
      </c>
      <c r="D64" s="3">
        <f t="shared" si="1"/>
        <v>6.7562483538433948</v>
      </c>
      <c r="E64" s="9">
        <f t="shared" si="2"/>
        <v>5704904.1730472306</v>
      </c>
      <c r="F64" s="25">
        <v>7.6388888888888895E-2</v>
      </c>
      <c r="G64" s="4" t="s">
        <v>246</v>
      </c>
      <c r="H64" s="4" t="s">
        <v>247</v>
      </c>
      <c r="I64" s="3" t="s">
        <v>198</v>
      </c>
      <c r="J64" s="3">
        <f t="shared" si="6"/>
        <v>7131130216.3090382</v>
      </c>
      <c r="K64" s="10">
        <f t="shared" si="4"/>
        <v>7131130216.3090382</v>
      </c>
      <c r="L64" s="48"/>
      <c r="M64" s="40"/>
    </row>
    <row r="65" spans="1:13" x14ac:dyDescent="0.2">
      <c r="A65" s="12" t="s">
        <v>13</v>
      </c>
      <c r="B65" s="3" t="s">
        <v>161</v>
      </c>
      <c r="C65" s="2">
        <v>14.037937106298401</v>
      </c>
      <c r="D65" s="3">
        <f t="shared" si="1"/>
        <v>7.108924392407908</v>
      </c>
      <c r="E65" s="9">
        <f t="shared" si="2"/>
        <v>12850629.201193834</v>
      </c>
      <c r="F65" s="25">
        <v>7.6388888888888895E-2</v>
      </c>
      <c r="G65" s="4" t="s">
        <v>246</v>
      </c>
      <c r="H65" s="4" t="s">
        <v>247</v>
      </c>
      <c r="I65" s="3" t="s">
        <v>199</v>
      </c>
      <c r="J65" s="3">
        <f>(E65*50*50)/2.5</f>
        <v>12850629201.193834</v>
      </c>
      <c r="K65" s="10">
        <f t="shared" si="4"/>
        <v>12850629201.193834</v>
      </c>
      <c r="L65" s="47">
        <f t="shared" ref="L65" si="14">AVERAGE(K65:K67)</f>
        <v>10846206987.836332</v>
      </c>
      <c r="M65" s="40" t="s">
        <v>238</v>
      </c>
    </row>
    <row r="66" spans="1:13" x14ac:dyDescent="0.2">
      <c r="A66" s="12" t="s">
        <v>14</v>
      </c>
      <c r="B66" s="3" t="s">
        <v>161</v>
      </c>
      <c r="C66" s="2">
        <v>14.379570690148499</v>
      </c>
      <c r="D66" s="3">
        <f t="shared" si="1"/>
        <v>7.0113085755686138</v>
      </c>
      <c r="E66" s="9">
        <f t="shared" si="2"/>
        <v>10263809.329577925</v>
      </c>
      <c r="F66" s="25">
        <v>7.6388888888888895E-2</v>
      </c>
      <c r="G66" s="4" t="s">
        <v>246</v>
      </c>
      <c r="H66" s="4" t="s">
        <v>247</v>
      </c>
      <c r="I66" s="3" t="s">
        <v>199</v>
      </c>
      <c r="J66" s="3">
        <f t="shared" ref="J66:J67" si="15">(E66*50*50)/2.5</f>
        <v>10263809329.577925</v>
      </c>
      <c r="K66" s="10">
        <f t="shared" si="4"/>
        <v>10263809329.577925</v>
      </c>
      <c r="L66" s="48"/>
      <c r="M66" s="40"/>
    </row>
    <row r="67" spans="1:13" x14ac:dyDescent="0.2">
      <c r="A67" s="12" t="s">
        <v>15</v>
      </c>
      <c r="B67" s="3" t="s">
        <v>161</v>
      </c>
      <c r="C67" s="2">
        <v>14.509289540606201</v>
      </c>
      <c r="D67" s="3">
        <f t="shared" si="1"/>
        <v>6.9742436845699611</v>
      </c>
      <c r="E67" s="9">
        <f t="shared" si="2"/>
        <v>9424182.432737235</v>
      </c>
      <c r="F67" s="25">
        <v>7.6388888888888895E-2</v>
      </c>
      <c r="G67" s="4" t="s">
        <v>246</v>
      </c>
      <c r="H67" s="4" t="s">
        <v>247</v>
      </c>
      <c r="I67" s="3" t="s">
        <v>199</v>
      </c>
      <c r="J67" s="3">
        <f t="shared" si="15"/>
        <v>9424182432.7372341</v>
      </c>
      <c r="K67" s="10">
        <f t="shared" si="4"/>
        <v>9424182432.7372341</v>
      </c>
      <c r="L67" s="48"/>
      <c r="M67" s="40"/>
    </row>
    <row r="68" spans="1:13" x14ac:dyDescent="0.2">
      <c r="A68" s="12" t="s">
        <v>107</v>
      </c>
      <c r="B68" s="3" t="s">
        <v>162</v>
      </c>
      <c r="C68" s="2">
        <v>15.478212887626499</v>
      </c>
      <c r="D68" s="3">
        <f t="shared" si="1"/>
        <v>6.6973907976021785</v>
      </c>
      <c r="E68" s="9">
        <f t="shared" si="2"/>
        <v>4981851.7264777888</v>
      </c>
      <c r="F68" s="25">
        <v>7.6388888888888895E-2</v>
      </c>
      <c r="G68" s="4" t="s">
        <v>246</v>
      </c>
      <c r="H68" s="4" t="s">
        <v>247</v>
      </c>
      <c r="I68" s="3" t="s">
        <v>198</v>
      </c>
      <c r="J68" s="3">
        <f t="shared" ref="J68:J76" si="16">(E68*50*50)/2</f>
        <v>6227314658.0972357</v>
      </c>
      <c r="K68" s="10">
        <f t="shared" si="4"/>
        <v>6227314658.0972357</v>
      </c>
      <c r="L68" s="47">
        <f t="shared" ref="L68" si="17">AVERAGE(K68:K70)</f>
        <v>5632174003.7507067</v>
      </c>
      <c r="M68" s="40" t="s">
        <v>238</v>
      </c>
    </row>
    <row r="69" spans="1:13" x14ac:dyDescent="0.2">
      <c r="A69" s="12" t="s">
        <v>108</v>
      </c>
      <c r="B69" s="3" t="s">
        <v>162</v>
      </c>
      <c r="C69" s="2">
        <v>15.6928539246948</v>
      </c>
      <c r="D69" s="3">
        <f t="shared" si="1"/>
        <v>6.6360608782057016</v>
      </c>
      <c r="E69" s="9">
        <f t="shared" si="2"/>
        <v>4325744.6388354478</v>
      </c>
      <c r="F69" s="25">
        <v>7.6388888888888895E-2</v>
      </c>
      <c r="G69" s="4" t="s">
        <v>246</v>
      </c>
      <c r="H69" s="4" t="s">
        <v>247</v>
      </c>
      <c r="I69" s="3" t="s">
        <v>198</v>
      </c>
      <c r="J69" s="3">
        <f t="shared" si="16"/>
        <v>5407180798.5443096</v>
      </c>
      <c r="K69" s="10">
        <f t="shared" si="4"/>
        <v>5407180798.5443096</v>
      </c>
      <c r="L69" s="48"/>
      <c r="M69" s="40"/>
    </row>
    <row r="70" spans="1:13" x14ac:dyDescent="0.2">
      <c r="A70" s="12" t="s">
        <v>109</v>
      </c>
      <c r="B70" s="3" t="s">
        <v>162</v>
      </c>
      <c r="C70" s="2">
        <v>15.734213783824201</v>
      </c>
      <c r="D70" s="3">
        <f t="shared" si="1"/>
        <v>6.6242430223972226</v>
      </c>
      <c r="E70" s="9">
        <f t="shared" si="2"/>
        <v>4209621.2436884623</v>
      </c>
      <c r="F70" s="25">
        <v>7.6388888888888895E-2</v>
      </c>
      <c r="G70" s="4" t="s">
        <v>246</v>
      </c>
      <c r="H70" s="4" t="s">
        <v>247</v>
      </c>
      <c r="I70" s="3" t="s">
        <v>198</v>
      </c>
      <c r="J70" s="3">
        <f t="shared" si="16"/>
        <v>5262026554.6105776</v>
      </c>
      <c r="K70" s="10">
        <f t="shared" si="4"/>
        <v>5262026554.6105776</v>
      </c>
      <c r="L70" s="48"/>
      <c r="M70" s="40"/>
    </row>
    <row r="71" spans="1:13" x14ac:dyDescent="0.2">
      <c r="A71" s="12" t="s">
        <v>110</v>
      </c>
      <c r="B71" s="3" t="s">
        <v>163</v>
      </c>
      <c r="C71" s="2">
        <v>15.738090301013001</v>
      </c>
      <c r="D71" s="3">
        <f t="shared" si="1"/>
        <v>6.6231353754627147</v>
      </c>
      <c r="E71" s="9">
        <f t="shared" si="2"/>
        <v>4198898.4893759554</v>
      </c>
      <c r="F71" s="25">
        <v>7.6388888888888895E-2</v>
      </c>
      <c r="G71" s="4" t="s">
        <v>246</v>
      </c>
      <c r="H71" s="4" t="s">
        <v>247</v>
      </c>
      <c r="I71" s="3" t="s">
        <v>198</v>
      </c>
      <c r="J71" s="3">
        <f t="shared" si="16"/>
        <v>5248623111.719944</v>
      </c>
      <c r="K71" s="10">
        <f t="shared" si="4"/>
        <v>5248623111.719944</v>
      </c>
      <c r="L71" s="47">
        <f t="shared" ref="L71" si="18">AVERAGE(K71:K73)</f>
        <v>6328510548.8388672</v>
      </c>
      <c r="M71" s="40" t="s">
        <v>238</v>
      </c>
    </row>
    <row r="72" spans="1:13" x14ac:dyDescent="0.2">
      <c r="A72" s="12" t="s">
        <v>111</v>
      </c>
      <c r="B72" s="3" t="s">
        <v>163</v>
      </c>
      <c r="C72" s="2">
        <v>15.2402240918028</v>
      </c>
      <c r="D72" s="3">
        <f t="shared" si="1"/>
        <v>6.7653919303980796</v>
      </c>
      <c r="E72" s="9">
        <f t="shared" si="2"/>
        <v>5826287.7572971005</v>
      </c>
      <c r="F72" s="25">
        <v>7.6388888888888895E-2</v>
      </c>
      <c r="G72" s="4" t="s">
        <v>246</v>
      </c>
      <c r="H72" s="4" t="s">
        <v>247</v>
      </c>
      <c r="I72" s="3" t="s">
        <v>198</v>
      </c>
      <c r="J72" s="3">
        <f t="shared" si="16"/>
        <v>7282859696.621376</v>
      </c>
      <c r="K72" s="10">
        <f t="shared" si="4"/>
        <v>7282859696.621376</v>
      </c>
      <c r="L72" s="48"/>
      <c r="M72" s="40"/>
    </row>
    <row r="73" spans="1:13" x14ac:dyDescent="0.2">
      <c r="A73" s="12" t="s">
        <v>112</v>
      </c>
      <c r="B73" s="3" t="s">
        <v>163</v>
      </c>
      <c r="C73" s="2">
        <v>15.423856323403699</v>
      </c>
      <c r="D73" s="3">
        <f t="shared" si="1"/>
        <v>6.7129222344046982</v>
      </c>
      <c r="E73" s="9">
        <f t="shared" si="2"/>
        <v>5163239.070540227</v>
      </c>
      <c r="F73" s="25">
        <v>7.6388888888888895E-2</v>
      </c>
      <c r="G73" s="4" t="s">
        <v>246</v>
      </c>
      <c r="H73" s="4" t="s">
        <v>247</v>
      </c>
      <c r="I73" s="3" t="s">
        <v>198</v>
      </c>
      <c r="J73" s="3">
        <f t="shared" si="16"/>
        <v>6454048838.1752834</v>
      </c>
      <c r="K73" s="10">
        <f t="shared" si="4"/>
        <v>6454048838.1752834</v>
      </c>
      <c r="L73" s="48"/>
      <c r="M73" s="40"/>
    </row>
    <row r="74" spans="1:13" x14ac:dyDescent="0.2">
      <c r="A74" s="12" t="s">
        <v>113</v>
      </c>
      <c r="B74" s="3" t="s">
        <v>164</v>
      </c>
      <c r="C74" s="2">
        <v>16.507459566444801</v>
      </c>
      <c r="D74" s="3">
        <f t="shared" si="1"/>
        <v>6.403301574435921</v>
      </c>
      <c r="E74" s="9">
        <f t="shared" si="2"/>
        <v>2531054.9529451849</v>
      </c>
      <c r="F74" s="25">
        <v>7.6388888888888895E-2</v>
      </c>
      <c r="G74" s="4" t="s">
        <v>246</v>
      </c>
      <c r="H74" s="4" t="s">
        <v>247</v>
      </c>
      <c r="I74" s="3" t="s">
        <v>198</v>
      </c>
      <c r="J74" s="3">
        <f t="shared" si="16"/>
        <v>3163818691.1814814</v>
      </c>
      <c r="K74" s="10">
        <f t="shared" si="4"/>
        <v>3163818691.1814814</v>
      </c>
      <c r="L74" s="47">
        <f t="shared" ref="L74" si="19">AVERAGE(K74:K76)</f>
        <v>3148143577.8883743</v>
      </c>
      <c r="M74" s="40" t="s">
        <v>238</v>
      </c>
    </row>
    <row r="75" spans="1:13" x14ac:dyDescent="0.2">
      <c r="A75" s="12" t="s">
        <v>114</v>
      </c>
      <c r="B75" s="3" t="s">
        <v>164</v>
      </c>
      <c r="C75" s="2">
        <v>16.3614948563661</v>
      </c>
      <c r="D75" s="3">
        <f t="shared" si="1"/>
        <v>6.4450084354636559</v>
      </c>
      <c r="E75" s="9">
        <f t="shared" si="2"/>
        <v>2786175.2850256441</v>
      </c>
      <c r="F75" s="25">
        <v>7.6388888888888895E-2</v>
      </c>
      <c r="G75" s="4" t="s">
        <v>246</v>
      </c>
      <c r="H75" s="4" t="s">
        <v>247</v>
      </c>
      <c r="I75" s="3" t="s">
        <v>198</v>
      </c>
      <c r="J75" s="3">
        <f t="shared" si="16"/>
        <v>3482719106.2820554</v>
      </c>
      <c r="K75" s="10">
        <f t="shared" si="4"/>
        <v>3482719106.2820554</v>
      </c>
      <c r="L75" s="48"/>
      <c r="M75" s="40"/>
    </row>
    <row r="76" spans="1:13" x14ac:dyDescent="0.2">
      <c r="A76" s="12" t="s">
        <v>115</v>
      </c>
      <c r="B76" s="3" t="s">
        <v>164</v>
      </c>
      <c r="C76" s="2">
        <v>16.694279393584999</v>
      </c>
      <c r="D76" s="3">
        <f t="shared" si="1"/>
        <v>6.3499210788109117</v>
      </c>
      <c r="E76" s="9">
        <f t="shared" si="2"/>
        <v>2238314.348961269</v>
      </c>
      <c r="F76" s="25">
        <v>7.6388888888888895E-2</v>
      </c>
      <c r="G76" s="4" t="s">
        <v>246</v>
      </c>
      <c r="H76" s="4" t="s">
        <v>247</v>
      </c>
      <c r="I76" s="3" t="s">
        <v>198</v>
      </c>
      <c r="J76" s="3">
        <f t="shared" si="16"/>
        <v>2797892936.2015862</v>
      </c>
      <c r="K76" s="10">
        <f t="shared" si="4"/>
        <v>2797892936.2015862</v>
      </c>
      <c r="L76" s="48"/>
      <c r="M76" s="40"/>
    </row>
    <row r="77" spans="1:13" x14ac:dyDescent="0.2">
      <c r="A77" s="12" t="s">
        <v>16</v>
      </c>
      <c r="B77" s="3" t="s">
        <v>165</v>
      </c>
      <c r="C77" s="2">
        <v>17.396801608803099</v>
      </c>
      <c r="D77" s="3">
        <f t="shared" si="1"/>
        <v>6.1491876523326887</v>
      </c>
      <c r="E77" s="9">
        <f t="shared" si="2"/>
        <v>1409897.8632006752</v>
      </c>
      <c r="F77" s="25">
        <v>7.6388888888888895E-2</v>
      </c>
      <c r="G77" s="4" t="s">
        <v>246</v>
      </c>
      <c r="H77" s="4" t="s">
        <v>247</v>
      </c>
      <c r="I77" s="3" t="s">
        <v>212</v>
      </c>
      <c r="J77" s="4">
        <f>(E77*50*50)/247.9*1000</f>
        <v>14218413303.758322</v>
      </c>
      <c r="K77" s="10">
        <f t="shared" si="4"/>
        <v>14218413303.758322</v>
      </c>
      <c r="L77" s="47">
        <f t="shared" ref="L77:L101" si="20">AVERAGE(K77:K79)</f>
        <v>14352705417.814108</v>
      </c>
      <c r="M77" s="40" t="s">
        <v>239</v>
      </c>
    </row>
    <row r="78" spans="1:13" x14ac:dyDescent="0.2">
      <c r="A78" s="12" t="s">
        <v>17</v>
      </c>
      <c r="B78" s="3" t="s">
        <v>165</v>
      </c>
      <c r="C78" s="2">
        <v>17.407490872433499</v>
      </c>
      <c r="D78" s="3">
        <f t="shared" si="1"/>
        <v>6.1461333823486521</v>
      </c>
      <c r="E78" s="9">
        <f t="shared" si="2"/>
        <v>1400017.2357351284</v>
      </c>
      <c r="F78" s="25">
        <v>7.6388888888888895E-2</v>
      </c>
      <c r="G78" s="4" t="s">
        <v>246</v>
      </c>
      <c r="H78" s="4" t="s">
        <v>247</v>
      </c>
      <c r="I78" s="3" t="s">
        <v>212</v>
      </c>
      <c r="J78" s="4">
        <f t="shared" ref="J78:J79" si="21">(E78*50*50)/247.9*1000</f>
        <v>14118770025.56604</v>
      </c>
      <c r="K78" s="10">
        <f t="shared" si="4"/>
        <v>14118770025.56604</v>
      </c>
      <c r="L78" s="48"/>
      <c r="M78" s="40"/>
    </row>
    <row r="79" spans="1:13" x14ac:dyDescent="0.2">
      <c r="A79" s="12" t="s">
        <v>18</v>
      </c>
      <c r="B79" s="3" t="s">
        <v>165</v>
      </c>
      <c r="C79" s="2">
        <v>17.3440102750004</v>
      </c>
      <c r="D79" s="3">
        <f t="shared" si="1"/>
        <v>6.1642718519395032</v>
      </c>
      <c r="E79" s="9">
        <f t="shared" si="2"/>
        <v>1459727.7087555374</v>
      </c>
      <c r="F79" s="25">
        <v>7.6388888888888895E-2</v>
      </c>
      <c r="G79" s="4" t="s">
        <v>246</v>
      </c>
      <c r="H79" s="4" t="s">
        <v>247</v>
      </c>
      <c r="I79" s="3" t="s">
        <v>212</v>
      </c>
      <c r="J79" s="4">
        <f t="shared" si="21"/>
        <v>14720932924.117962</v>
      </c>
      <c r="K79" s="10">
        <f t="shared" si="4"/>
        <v>14720932924.117962</v>
      </c>
      <c r="L79" s="48"/>
      <c r="M79" s="40"/>
    </row>
    <row r="80" spans="1:13" x14ac:dyDescent="0.2">
      <c r="A80" s="12" t="s">
        <v>116</v>
      </c>
      <c r="B80" s="3" t="s">
        <v>166</v>
      </c>
      <c r="C80" s="2">
        <v>16.6431004631789</v>
      </c>
      <c r="D80" s="3">
        <f t="shared" si="1"/>
        <v>6.3645445623696739</v>
      </c>
      <c r="E80" s="9">
        <f t="shared" si="2"/>
        <v>2314965.7093309429</v>
      </c>
      <c r="F80" s="25">
        <v>7.6388888888888895E-2</v>
      </c>
      <c r="G80" s="4" t="s">
        <v>246</v>
      </c>
      <c r="H80" s="4" t="s">
        <v>247</v>
      </c>
      <c r="I80" s="3" t="s">
        <v>215</v>
      </c>
      <c r="J80" s="4">
        <f>(E80*50*50)/247.6*1000</f>
        <v>23374047953.664608</v>
      </c>
      <c r="K80" s="10">
        <f t="shared" si="4"/>
        <v>23374047953.664608</v>
      </c>
      <c r="L80" s="47">
        <f t="shared" si="20"/>
        <v>21115452825.876865</v>
      </c>
      <c r="M80" s="40" t="s">
        <v>239</v>
      </c>
    </row>
    <row r="81" spans="1:13" x14ac:dyDescent="0.2">
      <c r="A81" s="12" t="s">
        <v>117</v>
      </c>
      <c r="B81" s="3" t="s">
        <v>166</v>
      </c>
      <c r="C81" s="2">
        <v>16.778400743680901</v>
      </c>
      <c r="D81" s="3">
        <f t="shared" si="1"/>
        <v>6.3258848754298098</v>
      </c>
      <c r="E81" s="9">
        <f t="shared" si="2"/>
        <v>2117799.6657745186</v>
      </c>
      <c r="F81" s="25">
        <v>7.6388888888888895E-2</v>
      </c>
      <c r="G81" s="4" t="s">
        <v>246</v>
      </c>
      <c r="H81" s="4" t="s">
        <v>247</v>
      </c>
      <c r="I81" s="3" t="s">
        <v>215</v>
      </c>
      <c r="J81" s="4">
        <f t="shared" ref="J81:J82" si="22">(E81*50*50)/247.6*1000</f>
        <v>21383276108.385689</v>
      </c>
      <c r="K81" s="10">
        <f t="shared" si="4"/>
        <v>21383276108.385689</v>
      </c>
      <c r="L81" s="48"/>
      <c r="M81" s="40"/>
    </row>
    <row r="82" spans="1:13" x14ac:dyDescent="0.2">
      <c r="A82" s="12" t="s">
        <v>118</v>
      </c>
      <c r="B82" s="3" t="s">
        <v>166</v>
      </c>
      <c r="C82" s="2">
        <v>16.991248120187599</v>
      </c>
      <c r="D82" s="3">
        <f t="shared" si="1"/>
        <v>6.265067463143672</v>
      </c>
      <c r="E82" s="9">
        <f t="shared" si="2"/>
        <v>1841057.968519073</v>
      </c>
      <c r="F82" s="25">
        <v>7.6388888888888895E-2</v>
      </c>
      <c r="G82" s="4" t="s">
        <v>246</v>
      </c>
      <c r="H82" s="4" t="s">
        <v>247</v>
      </c>
      <c r="I82" s="3" t="s">
        <v>215</v>
      </c>
      <c r="J82" s="4">
        <f t="shared" si="22"/>
        <v>18589034415.580303</v>
      </c>
      <c r="K82" s="10">
        <f t="shared" si="4"/>
        <v>18589034415.580303</v>
      </c>
      <c r="L82" s="48"/>
      <c r="M82" s="40"/>
    </row>
    <row r="83" spans="1:13" x14ac:dyDescent="0.2">
      <c r="A83" s="12" t="s">
        <v>119</v>
      </c>
      <c r="B83" s="3" t="s">
        <v>167</v>
      </c>
      <c r="C83" s="2">
        <v>17.408041854756402</v>
      </c>
      <c r="D83" s="3">
        <f t="shared" si="1"/>
        <v>6.1459759487939412</v>
      </c>
      <c r="E83" s="9">
        <f t="shared" si="2"/>
        <v>1399509.815644905</v>
      </c>
      <c r="F83" s="25">
        <v>7.6388888888888895E-2</v>
      </c>
      <c r="G83" s="4" t="s">
        <v>246</v>
      </c>
      <c r="H83" s="4" t="s">
        <v>247</v>
      </c>
      <c r="I83" s="3" t="s">
        <v>217</v>
      </c>
      <c r="J83" s="4">
        <f>(E83*50*50)/231.4*1000</f>
        <v>15120028258.912109</v>
      </c>
      <c r="K83" s="10">
        <f t="shared" si="4"/>
        <v>15120028258.912109</v>
      </c>
      <c r="L83" s="47">
        <f t="shared" si="20"/>
        <v>17028324211.317434</v>
      </c>
      <c r="M83" s="40" t="s">
        <v>239</v>
      </c>
    </row>
    <row r="84" spans="1:13" x14ac:dyDescent="0.2">
      <c r="A84" s="12" t="s">
        <v>120</v>
      </c>
      <c r="B84" s="3" t="s">
        <v>167</v>
      </c>
      <c r="C84" s="2">
        <v>17.0715961920911</v>
      </c>
      <c r="D84" s="3">
        <f t="shared" si="1"/>
        <v>6.2421094079608883</v>
      </c>
      <c r="E84" s="9">
        <f t="shared" si="2"/>
        <v>1746262.017830461</v>
      </c>
      <c r="F84" s="25">
        <v>7.6388888888888895E-2</v>
      </c>
      <c r="G84" s="4" t="s">
        <v>246</v>
      </c>
      <c r="H84" s="4" t="s">
        <v>247</v>
      </c>
      <c r="I84" s="3" t="s">
        <v>217</v>
      </c>
      <c r="J84" s="4">
        <f t="shared" ref="J84:J85" si="23">(E84*50*50)/231.4*1000</f>
        <v>18866270719.862373</v>
      </c>
      <c r="K84" s="10">
        <f t="shared" si="4"/>
        <v>18866270719.862373</v>
      </c>
      <c r="L84" s="48"/>
      <c r="M84" s="40"/>
    </row>
    <row r="85" spans="1:13" x14ac:dyDescent="0.2">
      <c r="A85" s="12" t="s">
        <v>121</v>
      </c>
      <c r="B85" s="3" t="s">
        <v>167</v>
      </c>
      <c r="C85" s="2">
        <v>17.221119396718901</v>
      </c>
      <c r="D85" s="3">
        <f t="shared" si="1"/>
        <v>6.1993857694014656</v>
      </c>
      <c r="E85" s="9">
        <f t="shared" si="2"/>
        <v>1582653.2335232587</v>
      </c>
      <c r="F85" s="25">
        <v>7.6388888888888895E-2</v>
      </c>
      <c r="G85" s="4" t="s">
        <v>246</v>
      </c>
      <c r="H85" s="4" t="s">
        <v>247</v>
      </c>
      <c r="I85" s="3" t="s">
        <v>217</v>
      </c>
      <c r="J85" s="4">
        <f t="shared" si="23"/>
        <v>17098673655.177816</v>
      </c>
      <c r="K85" s="10">
        <f t="shared" si="4"/>
        <v>17098673655.177816</v>
      </c>
      <c r="L85" s="48"/>
      <c r="M85" s="40"/>
    </row>
    <row r="86" spans="1:13" x14ac:dyDescent="0.2">
      <c r="A86" s="12" t="s">
        <v>122</v>
      </c>
      <c r="B86" s="3" t="s">
        <v>168</v>
      </c>
      <c r="C86" s="2">
        <v>16.8786480685676</v>
      </c>
      <c r="D86" s="3">
        <f t="shared" si="1"/>
        <v>6.2972409570114642</v>
      </c>
      <c r="E86" s="9">
        <f t="shared" si="2"/>
        <v>1982626.7296433924</v>
      </c>
      <c r="F86" s="25">
        <v>7.6388888888888895E-2</v>
      </c>
      <c r="G86" s="4" t="s">
        <v>246</v>
      </c>
      <c r="H86" s="4" t="s">
        <v>247</v>
      </c>
      <c r="I86" s="3" t="s">
        <v>220</v>
      </c>
      <c r="J86" s="4">
        <f>(E86*50*50)/259.8*1000</f>
        <v>19078394242.141956</v>
      </c>
      <c r="K86" s="10">
        <f t="shared" si="4"/>
        <v>19078394242.141956</v>
      </c>
      <c r="L86" s="47">
        <f t="shared" si="20"/>
        <v>17292137717.731045</v>
      </c>
      <c r="M86" s="40" t="s">
        <v>239</v>
      </c>
    </row>
    <row r="87" spans="1:13" x14ac:dyDescent="0.2">
      <c r="A87" s="12" t="s">
        <v>123</v>
      </c>
      <c r="B87" s="3" t="s">
        <v>168</v>
      </c>
      <c r="C87" s="2">
        <v>17.121850309277701</v>
      </c>
      <c r="D87" s="3">
        <f t="shared" si="1"/>
        <v>6.2277501735922316</v>
      </c>
      <c r="E87" s="9">
        <f t="shared" si="2"/>
        <v>1689468.7909455656</v>
      </c>
      <c r="F87" s="25">
        <v>7.6388888888888895E-2</v>
      </c>
      <c r="G87" s="4" t="s">
        <v>246</v>
      </c>
      <c r="H87" s="4" t="s">
        <v>247</v>
      </c>
      <c r="I87" s="3" t="s">
        <v>220</v>
      </c>
      <c r="J87" s="4">
        <f t="shared" ref="J87:J88" si="24">(E87*50*50)/259.8*1000</f>
        <v>16257397911.331463</v>
      </c>
      <c r="K87" s="10">
        <f t="shared" si="4"/>
        <v>16257397911.331463</v>
      </c>
      <c r="L87" s="48"/>
      <c r="M87" s="40"/>
    </row>
    <row r="88" spans="1:13" x14ac:dyDescent="0.2">
      <c r="A88" s="12" t="s">
        <v>124</v>
      </c>
      <c r="B88" s="3" t="s">
        <v>168</v>
      </c>
      <c r="C88" s="2">
        <v>17.095599269578699</v>
      </c>
      <c r="D88" s="3">
        <f t="shared" si="1"/>
        <v>6.2352509487040342</v>
      </c>
      <c r="E88" s="9">
        <f t="shared" si="2"/>
        <v>1718901.3342908728</v>
      </c>
      <c r="F88" s="25">
        <v>7.6388888888888895E-2</v>
      </c>
      <c r="G88" s="4" t="s">
        <v>246</v>
      </c>
      <c r="H88" s="4" t="s">
        <v>247</v>
      </c>
      <c r="I88" s="3" t="s">
        <v>220</v>
      </c>
      <c r="J88" s="4">
        <f t="shared" si="24"/>
        <v>16540620999.719717</v>
      </c>
      <c r="K88" s="10">
        <f t="shared" si="4"/>
        <v>16540620999.719717</v>
      </c>
      <c r="L88" s="48"/>
      <c r="M88" s="40"/>
    </row>
    <row r="89" spans="1:13" x14ac:dyDescent="0.2">
      <c r="A89" s="12" t="s">
        <v>19</v>
      </c>
      <c r="B89" s="3" t="s">
        <v>169</v>
      </c>
      <c r="C89" s="2">
        <v>16.718389663385199</v>
      </c>
      <c r="D89" s="3">
        <f t="shared" si="1"/>
        <v>6.3430319912269608</v>
      </c>
      <c r="E89" s="9">
        <f t="shared" si="2"/>
        <v>2203088.7421500538</v>
      </c>
      <c r="F89" s="25">
        <v>7.6388888888888895E-2</v>
      </c>
      <c r="G89" s="4" t="s">
        <v>246</v>
      </c>
      <c r="H89" s="4" t="s">
        <v>247</v>
      </c>
      <c r="I89" s="3" t="s">
        <v>222</v>
      </c>
      <c r="J89" s="4">
        <f>(E89*50*50)/236.5*1000</f>
        <v>23288464504.757446</v>
      </c>
      <c r="K89" s="10">
        <f t="shared" si="4"/>
        <v>23288464504.757446</v>
      </c>
      <c r="L89" s="47">
        <f t="shared" si="20"/>
        <v>22089796953.768673</v>
      </c>
      <c r="M89" s="40" t="s">
        <v>239</v>
      </c>
    </row>
    <row r="90" spans="1:13" x14ac:dyDescent="0.2">
      <c r="A90" s="12" t="s">
        <v>20</v>
      </c>
      <c r="B90" s="3" t="s">
        <v>169</v>
      </c>
      <c r="C90" s="2">
        <v>16.813276813640702</v>
      </c>
      <c r="D90" s="3">
        <f t="shared" si="1"/>
        <v>6.3159196488882525</v>
      </c>
      <c r="E90" s="9">
        <f t="shared" si="2"/>
        <v>2069758.37645504</v>
      </c>
      <c r="F90" s="25">
        <v>7.6388888888888895E-2</v>
      </c>
      <c r="G90" s="4" t="s">
        <v>246</v>
      </c>
      <c r="H90" s="4" t="s">
        <v>247</v>
      </c>
      <c r="I90" s="3" t="s">
        <v>222</v>
      </c>
      <c r="J90" s="4">
        <f t="shared" ref="J90:J91" si="25">(E90*50*50)/236.5*1000</f>
        <v>21879052605.232979</v>
      </c>
      <c r="K90" s="10">
        <f t="shared" si="4"/>
        <v>21879052605.232979</v>
      </c>
      <c r="L90" s="48"/>
      <c r="M90" s="40"/>
    </row>
    <row r="91" spans="1:13" x14ac:dyDescent="0.2">
      <c r="A91" s="12" t="s">
        <v>21</v>
      </c>
      <c r="B91" s="3" t="s">
        <v>169</v>
      </c>
      <c r="C91" s="2">
        <v>16.868249532073499</v>
      </c>
      <c r="D91" s="3">
        <f t="shared" si="1"/>
        <v>6.3002121568050136</v>
      </c>
      <c r="E91" s="9">
        <f t="shared" si="2"/>
        <v>1996237.2568744558</v>
      </c>
      <c r="F91" s="25">
        <v>7.6388888888888895E-2</v>
      </c>
      <c r="G91" s="4" t="s">
        <v>246</v>
      </c>
      <c r="H91" s="4" t="s">
        <v>247</v>
      </c>
      <c r="I91" s="3" t="s">
        <v>222</v>
      </c>
      <c r="J91" s="4">
        <f t="shared" si="25"/>
        <v>21101873751.315598</v>
      </c>
      <c r="K91" s="10">
        <f t="shared" si="4"/>
        <v>21101873751.315598</v>
      </c>
      <c r="L91" s="48"/>
      <c r="M91" s="40"/>
    </row>
    <row r="92" spans="1:13" x14ac:dyDescent="0.2">
      <c r="A92" s="12" t="s">
        <v>125</v>
      </c>
      <c r="B92" s="3" t="s">
        <v>170</v>
      </c>
      <c r="C92" s="2">
        <v>17.879404522370098</v>
      </c>
      <c r="D92" s="3">
        <f t="shared" si="1"/>
        <v>6.0112923169679515</v>
      </c>
      <c r="E92" s="9">
        <f t="shared" si="2"/>
        <v>1026342.5092474942</v>
      </c>
      <c r="F92" s="25">
        <v>7.6388888888888895E-2</v>
      </c>
      <c r="G92" s="4" t="s">
        <v>246</v>
      </c>
      <c r="H92" s="4" t="s">
        <v>247</v>
      </c>
      <c r="I92" s="3" t="s">
        <v>225</v>
      </c>
      <c r="J92" s="4">
        <f>(E92*50*50)/241.8*1000</f>
        <v>10611481691.971609</v>
      </c>
      <c r="K92" s="10">
        <f t="shared" si="4"/>
        <v>10611481691.971609</v>
      </c>
      <c r="L92" s="47">
        <f t="shared" si="20"/>
        <v>11291768885.460138</v>
      </c>
      <c r="M92" s="40" t="s">
        <v>239</v>
      </c>
    </row>
    <row r="93" spans="1:13" x14ac:dyDescent="0.2">
      <c r="A93" s="12" t="s">
        <v>126</v>
      </c>
      <c r="B93" s="3" t="s">
        <v>170</v>
      </c>
      <c r="C93" s="2">
        <v>17.777184394442799</v>
      </c>
      <c r="D93" s="3">
        <f t="shared" si="1"/>
        <v>6.0404999293244082</v>
      </c>
      <c r="E93" s="9">
        <f t="shared" si="2"/>
        <v>1097741.111631084</v>
      </c>
      <c r="F93" s="25">
        <v>7.6388888888888895E-2</v>
      </c>
      <c r="G93" s="4" t="s">
        <v>246</v>
      </c>
      <c r="H93" s="4" t="s">
        <v>247</v>
      </c>
      <c r="I93" s="3" t="s">
        <v>225</v>
      </c>
      <c r="J93" s="4">
        <f t="shared" ref="J93:J94" si="26">(E93*50*50)/241.8*1000</f>
        <v>11349680641.347021</v>
      </c>
      <c r="K93" s="10">
        <f t="shared" si="4"/>
        <v>11349680641.347021</v>
      </c>
      <c r="L93" s="48"/>
      <c r="M93" s="40"/>
    </row>
    <row r="94" spans="1:13" x14ac:dyDescent="0.2">
      <c r="A94" s="12" t="s">
        <v>127</v>
      </c>
      <c r="B94" s="3" t="s">
        <v>170</v>
      </c>
      <c r="C94" s="2">
        <v>17.703411843408301</v>
      </c>
      <c r="D94" s="3">
        <f t="shared" si="1"/>
        <v>6.0615791445127805</v>
      </c>
      <c r="E94" s="9">
        <f t="shared" si="2"/>
        <v>1152336.0389265362</v>
      </c>
      <c r="F94" s="25">
        <v>7.6388888888888895E-2</v>
      </c>
      <c r="G94" s="4" t="s">
        <v>246</v>
      </c>
      <c r="H94" s="4" t="s">
        <v>247</v>
      </c>
      <c r="I94" s="3" t="s">
        <v>225</v>
      </c>
      <c r="J94" s="4">
        <f t="shared" si="26"/>
        <v>11914144323.061789</v>
      </c>
      <c r="K94" s="10">
        <f t="shared" si="4"/>
        <v>11914144323.061789</v>
      </c>
      <c r="L94" s="48"/>
      <c r="M94" s="40"/>
    </row>
    <row r="95" spans="1:13" x14ac:dyDescent="0.2">
      <c r="A95" s="12" t="s">
        <v>128</v>
      </c>
      <c r="B95" s="3" t="s">
        <v>171</v>
      </c>
      <c r="C95" s="2">
        <v>17.006669982342402</v>
      </c>
      <c r="D95" s="3">
        <f t="shared" si="1"/>
        <v>6.2606609359678052</v>
      </c>
      <c r="E95" s="9">
        <f t="shared" si="2"/>
        <v>1822472.2992760774</v>
      </c>
      <c r="F95" s="25">
        <v>7.6388888888888895E-2</v>
      </c>
      <c r="G95" s="4" t="s">
        <v>246</v>
      </c>
      <c r="H95" s="4" t="s">
        <v>247</v>
      </c>
      <c r="I95" s="3" t="s">
        <v>228</v>
      </c>
      <c r="J95" s="4">
        <f>(E95*50*50)/232.2*1000</f>
        <v>19621794781.180851</v>
      </c>
      <c r="K95" s="10">
        <f t="shared" si="4"/>
        <v>19621794781.180851</v>
      </c>
      <c r="L95" s="47">
        <f t="shared" si="20"/>
        <v>20032466892.409042</v>
      </c>
      <c r="M95" s="40" t="s">
        <v>239</v>
      </c>
    </row>
    <row r="96" spans="1:13" x14ac:dyDescent="0.2">
      <c r="A96" s="12" t="s">
        <v>129</v>
      </c>
      <c r="B96" s="3" t="s">
        <v>171</v>
      </c>
      <c r="C96" s="2">
        <v>16.9100575219958</v>
      </c>
      <c r="D96" s="3">
        <f t="shared" si="1"/>
        <v>6.2882662554662705</v>
      </c>
      <c r="E96" s="9">
        <f t="shared" si="2"/>
        <v>1942076.1527132187</v>
      </c>
      <c r="F96" s="25">
        <v>7.6388888888888895E-2</v>
      </c>
      <c r="G96" s="4" t="s">
        <v>246</v>
      </c>
      <c r="H96" s="4" t="s">
        <v>247</v>
      </c>
      <c r="I96" s="3" t="s">
        <v>228</v>
      </c>
      <c r="J96" s="4">
        <f t="shared" ref="J96:J97" si="27">(E96*50*50)/232.2*1000</f>
        <v>20909519301.391243</v>
      </c>
      <c r="K96" s="10">
        <f t="shared" si="4"/>
        <v>20909519301.391243</v>
      </c>
      <c r="L96" s="48"/>
      <c r="M96" s="40"/>
    </row>
    <row r="97" spans="1:13" x14ac:dyDescent="0.2">
      <c r="A97" s="12" t="s">
        <v>130</v>
      </c>
      <c r="B97" s="3" t="s">
        <v>171</v>
      </c>
      <c r="C97" s="2">
        <v>17.010991359778401</v>
      </c>
      <c r="D97" s="3">
        <f t="shared" si="1"/>
        <v>6.2594261780042233</v>
      </c>
      <c r="E97" s="9">
        <f t="shared" si="2"/>
        <v>1817298.1229115594</v>
      </c>
      <c r="F97" s="25">
        <v>7.6388888888888895E-2</v>
      </c>
      <c r="G97" s="4" t="s">
        <v>246</v>
      </c>
      <c r="H97" s="4" t="s">
        <v>247</v>
      </c>
      <c r="I97" s="3" t="s">
        <v>228</v>
      </c>
      <c r="J97" s="4">
        <f t="shared" si="27"/>
        <v>19566086594.655033</v>
      </c>
      <c r="K97" s="10">
        <f t="shared" si="4"/>
        <v>19566086594.655033</v>
      </c>
      <c r="L97" s="48"/>
      <c r="M97" s="40"/>
    </row>
    <row r="98" spans="1:13" x14ac:dyDescent="0.2">
      <c r="A98" s="12" t="s">
        <v>131</v>
      </c>
      <c r="B98" s="3" t="s">
        <v>172</v>
      </c>
      <c r="C98" s="2">
        <v>17.331238279949801</v>
      </c>
      <c r="D98" s="3">
        <f t="shared" si="1"/>
        <v>6.1679212259720009</v>
      </c>
      <c r="E98" s="9">
        <f t="shared" si="2"/>
        <v>1472045.4728633694</v>
      </c>
      <c r="F98" s="25">
        <v>7.6388888888888895E-2</v>
      </c>
      <c r="G98" s="4" t="s">
        <v>246</v>
      </c>
      <c r="H98" s="4" t="s">
        <v>247</v>
      </c>
      <c r="I98" s="3" t="s">
        <v>231</v>
      </c>
      <c r="J98" s="4">
        <f>(E98*50*50)/253.5*1000</f>
        <v>14517213736.325142</v>
      </c>
      <c r="K98" s="10">
        <f t="shared" si="4"/>
        <v>14517213736.325142</v>
      </c>
      <c r="L98" s="47">
        <f t="shared" si="20"/>
        <v>15465501286.911848</v>
      </c>
      <c r="M98" s="40" t="s">
        <v>239</v>
      </c>
    </row>
    <row r="99" spans="1:13" x14ac:dyDescent="0.2">
      <c r="A99" s="12" t="s">
        <v>132</v>
      </c>
      <c r="B99" s="3" t="s">
        <v>172</v>
      </c>
      <c r="C99" s="2">
        <v>17.225941710914199</v>
      </c>
      <c r="D99" s="3">
        <f t="shared" si="1"/>
        <v>6.1980078775270053</v>
      </c>
      <c r="E99" s="9">
        <f t="shared" si="2"/>
        <v>1577639.8857389509</v>
      </c>
      <c r="F99" s="25">
        <v>7.6388888888888895E-2</v>
      </c>
      <c r="G99" s="4" t="s">
        <v>246</v>
      </c>
      <c r="H99" s="4" t="s">
        <v>247</v>
      </c>
      <c r="I99" s="3" t="s">
        <v>231</v>
      </c>
      <c r="J99" s="4">
        <f t="shared" ref="J99:J100" si="28">(E99*50*50)/253.5*1000</f>
        <v>15558578754.822001</v>
      </c>
      <c r="K99" s="10">
        <f t="shared" si="4"/>
        <v>15558578754.822001</v>
      </c>
      <c r="L99" s="48"/>
      <c r="M99" s="40"/>
    </row>
    <row r="100" spans="1:13" x14ac:dyDescent="0.2">
      <c r="A100" s="12" t="s">
        <v>133</v>
      </c>
      <c r="B100" s="3" t="s">
        <v>172</v>
      </c>
      <c r="C100" s="2">
        <v>17.153254277362802</v>
      </c>
      <c r="D100" s="3">
        <f t="shared" si="1"/>
        <v>6.2187770393878168</v>
      </c>
      <c r="E100" s="9">
        <f t="shared" si="2"/>
        <v>1654920.1328762639</v>
      </c>
      <c r="F100" s="25">
        <v>7.6388888888888895E-2</v>
      </c>
      <c r="G100" s="4" t="s">
        <v>246</v>
      </c>
      <c r="H100" s="4" t="s">
        <v>247</v>
      </c>
      <c r="I100" s="3" t="s">
        <v>231</v>
      </c>
      <c r="J100" s="4">
        <f t="shared" si="28"/>
        <v>16320711369.588402</v>
      </c>
      <c r="K100" s="10">
        <f t="shared" si="4"/>
        <v>16320711369.588402</v>
      </c>
      <c r="L100" s="48"/>
      <c r="M100" s="40"/>
    </row>
    <row r="101" spans="1:13" x14ac:dyDescent="0.2">
      <c r="A101" s="12" t="s">
        <v>22</v>
      </c>
      <c r="B101" s="3" t="s">
        <v>173</v>
      </c>
      <c r="C101" s="2">
        <v>17.513630457654799</v>
      </c>
      <c r="D101" s="3">
        <f t="shared" si="1"/>
        <v>6.1158058536742255</v>
      </c>
      <c r="E101" s="9">
        <f t="shared" si="2"/>
        <v>1305587.1100367464</v>
      </c>
      <c r="F101" s="25">
        <v>7.6388888888888895E-2</v>
      </c>
      <c r="G101" s="4" t="s">
        <v>246</v>
      </c>
      <c r="H101" s="4" t="s">
        <v>247</v>
      </c>
      <c r="I101" s="3" t="s">
        <v>234</v>
      </c>
      <c r="J101" s="4">
        <f>(E101*50*50)/245.1*1000</f>
        <v>13316881987.318914</v>
      </c>
      <c r="K101" s="10">
        <f t="shared" si="4"/>
        <v>13316881987.318914</v>
      </c>
      <c r="L101" s="47">
        <f t="shared" si="20"/>
        <v>13910046742.306036</v>
      </c>
      <c r="M101" s="40" t="s">
        <v>239</v>
      </c>
    </row>
    <row r="102" spans="1:13" x14ac:dyDescent="0.2">
      <c r="A102" s="12" t="s">
        <v>23</v>
      </c>
      <c r="B102" s="3" t="s">
        <v>173</v>
      </c>
      <c r="C102" s="2">
        <v>17.4592359548544</v>
      </c>
      <c r="D102" s="3">
        <f t="shared" si="1"/>
        <v>6.1313481307612401</v>
      </c>
      <c r="E102" s="9">
        <f t="shared" si="2"/>
        <v>1353156.820021526</v>
      </c>
      <c r="F102" s="25">
        <v>7.6388888888888895E-2</v>
      </c>
      <c r="G102" s="4" t="s">
        <v>246</v>
      </c>
      <c r="H102" s="4" t="s">
        <v>247</v>
      </c>
      <c r="I102" s="3" t="s">
        <v>234</v>
      </c>
      <c r="J102" s="4">
        <f t="shared" ref="J102:J103" si="29">(E102*50*50)/245.1*1000</f>
        <v>13802089147.506384</v>
      </c>
      <c r="K102" s="10">
        <f t="shared" si="4"/>
        <v>13802089147.506384</v>
      </c>
      <c r="L102" s="48"/>
      <c r="M102" s="40"/>
    </row>
    <row r="103" spans="1:13" x14ac:dyDescent="0.2">
      <c r="A103" s="12" t="s">
        <v>24</v>
      </c>
      <c r="B103" s="3" t="s">
        <v>173</v>
      </c>
      <c r="C103" s="2">
        <v>17.372650988504699</v>
      </c>
      <c r="D103" s="3">
        <f t="shared" ref="D103" si="30">(C103-$S$10)/$S$9</f>
        <v>6.1560882693652292</v>
      </c>
      <c r="E103" s="9">
        <f t="shared" si="2"/>
        <v>1432479.0177887792</v>
      </c>
      <c r="F103" s="25">
        <v>7.6388888888888895E-2</v>
      </c>
      <c r="G103" s="4" t="s">
        <v>246</v>
      </c>
      <c r="H103" s="4" t="s">
        <v>247</v>
      </c>
      <c r="I103" s="3" t="s">
        <v>234</v>
      </c>
      <c r="J103" s="4">
        <f t="shared" si="29"/>
        <v>14611169092.09281</v>
      </c>
      <c r="K103" s="10">
        <f t="shared" si="4"/>
        <v>14611169092.09281</v>
      </c>
      <c r="L103" s="48"/>
      <c r="M103" s="40"/>
    </row>
    <row r="104" spans="1:13" x14ac:dyDescent="0.2">
      <c r="I104" s="3"/>
      <c r="J104" s="3"/>
      <c r="K104" s="3"/>
      <c r="L104" s="3"/>
    </row>
    <row r="105" spans="1:13" x14ac:dyDescent="0.2">
      <c r="I105" s="3"/>
      <c r="J105" s="3"/>
      <c r="K105" s="3"/>
      <c r="L105" s="3"/>
    </row>
    <row r="106" spans="1:13" x14ac:dyDescent="0.2">
      <c r="I106" s="3"/>
      <c r="J106" s="3"/>
      <c r="K106" s="3"/>
      <c r="L106" s="3"/>
    </row>
  </sheetData>
  <mergeCells count="45">
    <mergeCell ref="M101:M103"/>
    <mergeCell ref="L86:L88"/>
    <mergeCell ref="L89:L91"/>
    <mergeCell ref="L92:L94"/>
    <mergeCell ref="L95:L97"/>
    <mergeCell ref="L98:L100"/>
    <mergeCell ref="L101:L103"/>
    <mergeCell ref="M86:M88"/>
    <mergeCell ref="M89:M91"/>
    <mergeCell ref="M92:M94"/>
    <mergeCell ref="M95:M97"/>
    <mergeCell ref="M98:M100"/>
    <mergeCell ref="M68:M70"/>
    <mergeCell ref="M71:M73"/>
    <mergeCell ref="M74:M76"/>
    <mergeCell ref="L77:L79"/>
    <mergeCell ref="L80:L82"/>
    <mergeCell ref="L68:L70"/>
    <mergeCell ref="L71:L73"/>
    <mergeCell ref="L83:L85"/>
    <mergeCell ref="M77:M79"/>
    <mergeCell ref="M80:M82"/>
    <mergeCell ref="M83:M85"/>
    <mergeCell ref="L74:L76"/>
    <mergeCell ref="M56:M58"/>
    <mergeCell ref="M59:M61"/>
    <mergeCell ref="M62:M64"/>
    <mergeCell ref="M65:M67"/>
    <mergeCell ref="L56:L58"/>
    <mergeCell ref="L59:L61"/>
    <mergeCell ref="L62:L64"/>
    <mergeCell ref="L65:L67"/>
    <mergeCell ref="L53:L55"/>
    <mergeCell ref="S6:U7"/>
    <mergeCell ref="L38:L40"/>
    <mergeCell ref="L41:L43"/>
    <mergeCell ref="L44:L46"/>
    <mergeCell ref="L47:L49"/>
    <mergeCell ref="M38:M40"/>
    <mergeCell ref="M41:M43"/>
    <mergeCell ref="M44:M46"/>
    <mergeCell ref="M47:M49"/>
    <mergeCell ref="M53:M55"/>
    <mergeCell ref="L50:L52"/>
    <mergeCell ref="M50:M52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1AF5-9988-4F49-901E-DCFC7C8D699C}">
  <dimension ref="A1:U106"/>
  <sheetViews>
    <sheetView workbookViewId="0">
      <selection activeCell="B17" sqref="B17:D19"/>
    </sheetView>
  </sheetViews>
  <sheetFormatPr baseColWidth="10" defaultRowHeight="16" x14ac:dyDescent="0.2"/>
  <cols>
    <col min="1" max="1" width="5" style="7" bestFit="1" customWidth="1"/>
    <col min="2" max="2" width="14.33203125" style="7" bestFit="1" customWidth="1"/>
    <col min="3" max="3" width="6.33203125" style="19" bestFit="1" customWidth="1"/>
    <col min="4" max="4" width="21.6640625" style="7" bestFit="1" customWidth="1"/>
    <col min="5" max="5" width="12.33203125" style="7" bestFit="1" customWidth="1"/>
    <col min="6" max="6" width="10.83203125" style="7"/>
    <col min="7" max="7" width="11.1640625" style="7" bestFit="1" customWidth="1"/>
    <col min="8" max="8" width="18.1640625" style="3" bestFit="1" customWidth="1"/>
    <col min="9" max="9" width="14.33203125" style="7" bestFit="1" customWidth="1"/>
    <col min="10" max="10" width="13.1640625" style="7" bestFit="1" customWidth="1"/>
    <col min="11" max="12" width="10.83203125" style="7"/>
    <col min="13" max="13" width="13.1640625" style="7" bestFit="1" customWidth="1"/>
    <col min="14" max="14" width="5" style="7" bestFit="1" customWidth="1"/>
    <col min="15" max="15" width="8.33203125" style="7" bestFit="1" customWidth="1"/>
    <col min="16" max="16" width="9.83203125" style="7" bestFit="1" customWidth="1"/>
    <col min="17" max="17" width="5.6640625" style="7" bestFit="1" customWidth="1"/>
    <col min="18" max="20" width="10.83203125" style="7"/>
    <col min="21" max="21" width="13.1640625" style="7" bestFit="1" customWidth="1"/>
    <col min="22" max="16384" width="10.83203125" style="7"/>
  </cols>
  <sheetData>
    <row r="1" spans="1:21" x14ac:dyDescent="0.2">
      <c r="A1" s="3" t="s">
        <v>0</v>
      </c>
      <c r="B1" s="3" t="s">
        <v>25</v>
      </c>
      <c r="C1" s="3" t="s">
        <v>60</v>
      </c>
      <c r="D1" s="26" t="s">
        <v>26</v>
      </c>
      <c r="E1" s="3"/>
      <c r="F1" s="3"/>
      <c r="G1" s="3"/>
      <c r="I1" s="3"/>
      <c r="J1" s="3"/>
      <c r="N1" s="1" t="s">
        <v>0</v>
      </c>
      <c r="O1" s="35" t="s">
        <v>25</v>
      </c>
      <c r="P1" s="1" t="s">
        <v>241</v>
      </c>
      <c r="Q1" s="26" t="s">
        <v>26</v>
      </c>
    </row>
    <row r="2" spans="1:21" x14ac:dyDescent="0.2">
      <c r="A2" s="12" t="s">
        <v>62</v>
      </c>
      <c r="B2" s="3" t="s">
        <v>27</v>
      </c>
      <c r="C2" s="24">
        <f>LOG(P2)</f>
        <v>8.0136044023579664</v>
      </c>
      <c r="D2" s="2">
        <v>6.85026438264667</v>
      </c>
      <c r="E2" s="9"/>
      <c r="F2" s="3"/>
      <c r="G2" s="10"/>
      <c r="I2" s="10"/>
      <c r="L2" s="3"/>
      <c r="M2" s="3"/>
      <c r="N2" s="1" t="s">
        <v>62</v>
      </c>
      <c r="O2" s="35" t="s">
        <v>27</v>
      </c>
      <c r="P2" s="20">
        <v>103182109.45826009</v>
      </c>
      <c r="Q2" s="2">
        <v>6.85026438264667</v>
      </c>
    </row>
    <row r="3" spans="1:21" x14ac:dyDescent="0.2">
      <c r="A3" s="12" t="s">
        <v>63</v>
      </c>
      <c r="B3" s="3" t="s">
        <v>27</v>
      </c>
      <c r="C3" s="24">
        <f t="shared" ref="C3:C28" si="0">LOG(P3)</f>
        <v>8.0136044023579664</v>
      </c>
      <c r="D3" s="2">
        <v>6.6728766318081796</v>
      </c>
      <c r="E3" s="9"/>
      <c r="F3" s="3"/>
      <c r="G3" s="10"/>
      <c r="I3" s="10"/>
      <c r="L3" s="3"/>
      <c r="M3" s="3"/>
      <c r="N3" s="1" t="s">
        <v>63</v>
      </c>
      <c r="O3" s="35" t="s">
        <v>27</v>
      </c>
      <c r="P3" s="20">
        <v>103182109.45826009</v>
      </c>
      <c r="Q3" s="2">
        <v>6.6728766318081796</v>
      </c>
    </row>
    <row r="4" spans="1:21" x14ac:dyDescent="0.2">
      <c r="A4" s="12" t="s">
        <v>64</v>
      </c>
      <c r="B4" s="3" t="s">
        <v>27</v>
      </c>
      <c r="C4" s="24">
        <f t="shared" si="0"/>
        <v>8.0136044023579664</v>
      </c>
      <c r="D4" s="2">
        <v>6.5706037075829302</v>
      </c>
      <c r="E4" s="9"/>
      <c r="F4" s="3"/>
      <c r="G4" s="10"/>
      <c r="I4" s="10"/>
      <c r="L4" s="3"/>
      <c r="M4" s="3"/>
      <c r="N4" s="1" t="s">
        <v>64</v>
      </c>
      <c r="O4" s="35" t="s">
        <v>27</v>
      </c>
      <c r="P4" s="20">
        <v>103182109.45826009</v>
      </c>
      <c r="Q4" s="2">
        <v>6.5706037075829302</v>
      </c>
    </row>
    <row r="5" spans="1:21" ht="17" thickBot="1" x14ac:dyDescent="0.25">
      <c r="A5" s="12" t="s">
        <v>65</v>
      </c>
      <c r="B5" s="3" t="s">
        <v>28</v>
      </c>
      <c r="C5" s="24">
        <f t="shared" si="0"/>
        <v>7.0136044023579664</v>
      </c>
      <c r="D5" s="2">
        <v>10.999394202817699</v>
      </c>
      <c r="E5" s="9"/>
      <c r="F5" s="3"/>
      <c r="G5" s="10"/>
      <c r="I5" s="10"/>
      <c r="L5" s="3"/>
      <c r="M5" s="3"/>
      <c r="N5" s="1" t="s">
        <v>65</v>
      </c>
      <c r="O5" s="35" t="s">
        <v>28</v>
      </c>
      <c r="P5" s="20">
        <v>10318210.945826009</v>
      </c>
      <c r="Q5" s="2">
        <v>10.999394202817699</v>
      </c>
    </row>
    <row r="6" spans="1:21" x14ac:dyDescent="0.2">
      <c r="A6" s="12" t="s">
        <v>66</v>
      </c>
      <c r="B6" s="3" t="s">
        <v>28</v>
      </c>
      <c r="C6" s="24">
        <f t="shared" si="0"/>
        <v>7.0136044023579664</v>
      </c>
      <c r="D6" s="2">
        <v>10.870365897368499</v>
      </c>
      <c r="E6" s="9"/>
      <c r="F6" s="3"/>
      <c r="G6" s="10"/>
      <c r="I6" s="10"/>
      <c r="L6" s="3"/>
      <c r="M6" s="3"/>
      <c r="N6" s="1" t="s">
        <v>66</v>
      </c>
      <c r="O6" s="35" t="s">
        <v>28</v>
      </c>
      <c r="P6" s="20">
        <v>10318210.945826009</v>
      </c>
      <c r="Q6" s="2">
        <v>10.870365897368499</v>
      </c>
      <c r="S6" s="49" t="s">
        <v>253</v>
      </c>
      <c r="T6" s="50"/>
      <c r="U6" s="51"/>
    </row>
    <row r="7" spans="1:21" ht="17" thickBot="1" x14ac:dyDescent="0.25">
      <c r="A7" s="12" t="s">
        <v>67</v>
      </c>
      <c r="B7" s="3" t="s">
        <v>28</v>
      </c>
      <c r="C7" s="24">
        <f t="shared" si="0"/>
        <v>7.0136044023579664</v>
      </c>
      <c r="D7" s="2">
        <v>10.9151699791143</v>
      </c>
      <c r="E7" s="9"/>
      <c r="F7" s="3"/>
      <c r="G7" s="10"/>
      <c r="I7" s="10"/>
      <c r="L7" s="3"/>
      <c r="M7" s="3"/>
      <c r="N7" s="1" t="s">
        <v>67</v>
      </c>
      <c r="O7" s="35" t="s">
        <v>28</v>
      </c>
      <c r="P7" s="20">
        <v>10318210.945826009</v>
      </c>
      <c r="Q7" s="2">
        <v>10.9151699791143</v>
      </c>
      <c r="S7" s="52"/>
      <c r="T7" s="53"/>
      <c r="U7" s="54"/>
    </row>
    <row r="8" spans="1:21" x14ac:dyDescent="0.2">
      <c r="A8" s="12" t="s">
        <v>68</v>
      </c>
      <c r="B8" s="3" t="s">
        <v>29</v>
      </c>
      <c r="C8" s="24">
        <f t="shared" si="0"/>
        <v>6.0136044023579664</v>
      </c>
      <c r="D8" s="2">
        <v>15.256564994123201</v>
      </c>
      <c r="E8" s="9"/>
      <c r="F8" s="3"/>
      <c r="G8" s="10"/>
      <c r="I8" s="10"/>
      <c r="L8" s="3"/>
      <c r="M8" s="3"/>
      <c r="N8" s="1" t="s">
        <v>68</v>
      </c>
      <c r="O8" s="35" t="s">
        <v>29</v>
      </c>
      <c r="P8" s="20">
        <v>1031821.0945826009</v>
      </c>
      <c r="Q8" s="2">
        <v>15.256564994123201</v>
      </c>
    </row>
    <row r="9" spans="1:21" x14ac:dyDescent="0.2">
      <c r="A9" s="12" t="s">
        <v>69</v>
      </c>
      <c r="B9" s="3" t="s">
        <v>29</v>
      </c>
      <c r="C9" s="24">
        <f t="shared" si="0"/>
        <v>6.0136044023579664</v>
      </c>
      <c r="D9" s="2">
        <v>15.231099301301899</v>
      </c>
      <c r="E9" s="9"/>
      <c r="F9" s="3"/>
      <c r="G9" s="10"/>
      <c r="I9" s="10"/>
      <c r="L9" s="3"/>
      <c r="M9" s="3"/>
      <c r="N9" s="1" t="s">
        <v>69</v>
      </c>
      <c r="O9" s="35" t="s">
        <v>29</v>
      </c>
      <c r="P9" s="20">
        <v>1031821.0945826009</v>
      </c>
      <c r="Q9" s="2">
        <v>15.231099301301899</v>
      </c>
      <c r="S9" s="7">
        <f>SLOPE(D2:D19,C2:C19)</f>
        <v>-3.8639144323795653</v>
      </c>
    </row>
    <row r="10" spans="1:21" x14ac:dyDescent="0.2">
      <c r="A10" s="12" t="s">
        <v>70</v>
      </c>
      <c r="B10" s="3" t="s">
        <v>29</v>
      </c>
      <c r="C10" s="24">
        <f t="shared" si="0"/>
        <v>6.0136044023579664</v>
      </c>
      <c r="D10" s="2">
        <v>15.1490112216598</v>
      </c>
      <c r="E10" s="9"/>
      <c r="F10" s="3"/>
      <c r="G10" s="10"/>
      <c r="I10" s="10"/>
      <c r="N10" s="1" t="s">
        <v>70</v>
      </c>
      <c r="O10" s="35" t="s">
        <v>29</v>
      </c>
      <c r="P10" s="20">
        <v>1031821.0945826009</v>
      </c>
      <c r="Q10" s="2">
        <v>15.1490112216598</v>
      </c>
      <c r="S10" s="7">
        <f>INTERCEPT(D2:D19,C2:C19)</f>
        <v>38.043317794984233</v>
      </c>
    </row>
    <row r="11" spans="1:21" x14ac:dyDescent="0.2">
      <c r="A11" s="12" t="s">
        <v>1</v>
      </c>
      <c r="B11" s="3" t="s">
        <v>30</v>
      </c>
      <c r="C11" s="24">
        <f t="shared" si="0"/>
        <v>5.0136044023579664</v>
      </c>
      <c r="D11" s="2">
        <v>19.0394279884521</v>
      </c>
      <c r="E11" s="9"/>
      <c r="F11" s="3"/>
      <c r="G11" s="10"/>
      <c r="I11" s="10"/>
      <c r="N11" s="1" t="s">
        <v>1</v>
      </c>
      <c r="O11" s="35" t="s">
        <v>30</v>
      </c>
      <c r="P11" s="20">
        <v>103182.10945826009</v>
      </c>
      <c r="Q11" s="2">
        <v>19.0394279884521</v>
      </c>
      <c r="S11" s="1">
        <f>-1+10^(-1/S9)</f>
        <v>0.8147002666136236</v>
      </c>
    </row>
    <row r="12" spans="1:21" x14ac:dyDescent="0.2">
      <c r="A12" s="12" t="s">
        <v>2</v>
      </c>
      <c r="B12" s="3" t="s">
        <v>30</v>
      </c>
      <c r="C12" s="24">
        <f t="shared" si="0"/>
        <v>5.0136044023579664</v>
      </c>
      <c r="D12" s="2">
        <v>19.054683462624901</v>
      </c>
      <c r="E12" s="9"/>
      <c r="F12" s="3"/>
      <c r="G12" s="10"/>
      <c r="I12" s="10"/>
      <c r="N12" s="1" t="s">
        <v>2</v>
      </c>
      <c r="O12" s="35" t="s">
        <v>30</v>
      </c>
      <c r="P12" s="20">
        <v>103182.10945826009</v>
      </c>
      <c r="Q12" s="2">
        <v>19.054683462624901</v>
      </c>
    </row>
    <row r="13" spans="1:21" x14ac:dyDescent="0.2">
      <c r="A13" s="12" t="s">
        <v>3</v>
      </c>
      <c r="B13" s="3" t="s">
        <v>30</v>
      </c>
      <c r="C13" s="24">
        <f t="shared" si="0"/>
        <v>5.0136044023579664</v>
      </c>
      <c r="D13" s="2">
        <v>18.977933830550899</v>
      </c>
      <c r="E13" s="9"/>
      <c r="F13" s="3"/>
      <c r="G13" s="10"/>
      <c r="I13" s="10"/>
      <c r="K13" s="18"/>
      <c r="N13" s="1" t="s">
        <v>3</v>
      </c>
      <c r="O13" s="35" t="s">
        <v>30</v>
      </c>
      <c r="P13" s="20">
        <v>103182.10945826009</v>
      </c>
      <c r="Q13" s="2">
        <v>18.977933830550899</v>
      </c>
    </row>
    <row r="14" spans="1:21" x14ac:dyDescent="0.2">
      <c r="A14" s="12" t="s">
        <v>71</v>
      </c>
      <c r="B14" s="3" t="s">
        <v>31</v>
      </c>
      <c r="C14" s="24">
        <f t="shared" si="0"/>
        <v>4.0136044023579664</v>
      </c>
      <c r="D14" s="2">
        <v>22.656036418494299</v>
      </c>
      <c r="E14" s="9"/>
      <c r="F14" s="3"/>
      <c r="G14" s="10"/>
      <c r="I14" s="10"/>
      <c r="N14" s="1" t="s">
        <v>71</v>
      </c>
      <c r="O14" s="35" t="s">
        <v>31</v>
      </c>
      <c r="P14" s="20">
        <v>10318.210945826009</v>
      </c>
      <c r="Q14" s="2">
        <v>22.656036418494299</v>
      </c>
    </row>
    <row r="15" spans="1:21" x14ac:dyDescent="0.2">
      <c r="A15" s="12" t="s">
        <v>72</v>
      </c>
      <c r="B15" s="3" t="s">
        <v>31</v>
      </c>
      <c r="C15" s="24">
        <f t="shared" si="0"/>
        <v>4.0136044023579664</v>
      </c>
      <c r="D15" s="2">
        <v>22.530710908194902</v>
      </c>
      <c r="E15" s="9"/>
      <c r="F15" s="3"/>
      <c r="G15" s="10"/>
      <c r="I15" s="10"/>
      <c r="N15" s="1" t="s">
        <v>72</v>
      </c>
      <c r="O15" s="35" t="s">
        <v>31</v>
      </c>
      <c r="P15" s="20">
        <v>10318.210945826009</v>
      </c>
      <c r="Q15" s="2">
        <v>22.530710908194902</v>
      </c>
    </row>
    <row r="16" spans="1:21" x14ac:dyDescent="0.2">
      <c r="A16" s="12" t="s">
        <v>73</v>
      </c>
      <c r="B16" s="3" t="s">
        <v>31</v>
      </c>
      <c r="C16" s="24">
        <f t="shared" si="0"/>
        <v>4.0136044023579664</v>
      </c>
      <c r="D16" s="2">
        <v>22.560181594161399</v>
      </c>
      <c r="E16" s="9"/>
      <c r="F16" s="3"/>
      <c r="G16" s="10"/>
      <c r="I16" s="10"/>
      <c r="N16" s="1" t="s">
        <v>73</v>
      </c>
      <c r="O16" s="35" t="s">
        <v>31</v>
      </c>
      <c r="P16" s="20">
        <v>10318.210945826009</v>
      </c>
      <c r="Q16" s="2">
        <v>22.560181594161399</v>
      </c>
    </row>
    <row r="17" spans="1:19" x14ac:dyDescent="0.2">
      <c r="A17" s="12" t="s">
        <v>74</v>
      </c>
      <c r="B17" s="3" t="s">
        <v>32</v>
      </c>
      <c r="C17" s="24">
        <f t="shared" si="0"/>
        <v>3.0136044023579664</v>
      </c>
      <c r="D17" s="2">
        <v>26.121148724128901</v>
      </c>
      <c r="E17" s="9"/>
      <c r="F17" s="3"/>
      <c r="G17" s="10"/>
      <c r="I17" s="10"/>
      <c r="N17" s="1" t="s">
        <v>74</v>
      </c>
      <c r="O17" s="35" t="s">
        <v>32</v>
      </c>
      <c r="P17" s="20">
        <v>1031.8210945826008</v>
      </c>
      <c r="Q17" s="2">
        <v>26.121148724128901</v>
      </c>
    </row>
    <row r="18" spans="1:19" x14ac:dyDescent="0.2">
      <c r="A18" s="12" t="s">
        <v>75</v>
      </c>
      <c r="B18" s="3" t="s">
        <v>32</v>
      </c>
      <c r="C18" s="24">
        <f t="shared" si="0"/>
        <v>3.0136044023579664</v>
      </c>
      <c r="D18" s="2">
        <v>25.844794337508802</v>
      </c>
      <c r="E18" s="9"/>
      <c r="F18" s="3"/>
      <c r="G18" s="10"/>
      <c r="I18" s="10"/>
      <c r="N18" s="1" t="s">
        <v>75</v>
      </c>
      <c r="O18" s="35" t="s">
        <v>32</v>
      </c>
      <c r="P18" s="20">
        <v>1031.8210945826008</v>
      </c>
      <c r="Q18" s="2">
        <v>25.844794337508802</v>
      </c>
    </row>
    <row r="19" spans="1:19" x14ac:dyDescent="0.2">
      <c r="A19" s="12" t="s">
        <v>76</v>
      </c>
      <c r="B19" s="3" t="s">
        <v>32</v>
      </c>
      <c r="C19" s="24">
        <f t="shared" si="0"/>
        <v>3.0136044023579664</v>
      </c>
      <c r="D19" s="2">
        <v>26.005731482532301</v>
      </c>
      <c r="E19" s="9"/>
      <c r="F19" s="3"/>
      <c r="G19" s="10"/>
      <c r="I19" s="10"/>
      <c r="N19" s="1" t="s">
        <v>76</v>
      </c>
      <c r="O19" s="35" t="s">
        <v>32</v>
      </c>
      <c r="P19" s="20">
        <v>1031.8210945826008</v>
      </c>
      <c r="Q19" s="2">
        <v>26.005731482532301</v>
      </c>
    </row>
    <row r="20" spans="1:19" x14ac:dyDescent="0.2">
      <c r="A20" s="12" t="s">
        <v>77</v>
      </c>
      <c r="B20" s="3" t="s">
        <v>33</v>
      </c>
      <c r="C20" s="24">
        <f t="shared" si="0"/>
        <v>2.0136044023579664</v>
      </c>
      <c r="D20" s="2">
        <v>27.449035848749599</v>
      </c>
      <c r="E20" s="9"/>
      <c r="F20" s="3"/>
      <c r="G20" s="10"/>
      <c r="I20" s="10"/>
      <c r="N20" s="1" t="s">
        <v>77</v>
      </c>
      <c r="O20" s="35" t="s">
        <v>33</v>
      </c>
      <c r="P20" s="20">
        <v>103.18210945826009</v>
      </c>
      <c r="Q20" s="2">
        <v>27.449035848749599</v>
      </c>
    </row>
    <row r="21" spans="1:19" x14ac:dyDescent="0.2">
      <c r="A21" s="12" t="s">
        <v>78</v>
      </c>
      <c r="B21" s="3" t="s">
        <v>33</v>
      </c>
      <c r="C21" s="24">
        <f t="shared" si="0"/>
        <v>2.0136044023579664</v>
      </c>
      <c r="D21" s="2">
        <v>27.750179936415702</v>
      </c>
      <c r="E21" s="9"/>
      <c r="F21" s="3"/>
      <c r="G21" s="10"/>
      <c r="I21" s="10"/>
      <c r="N21" s="1" t="s">
        <v>78</v>
      </c>
      <c r="O21" s="35" t="s">
        <v>33</v>
      </c>
      <c r="P21" s="20">
        <v>103.18210945826009</v>
      </c>
      <c r="Q21" s="2">
        <v>27.750179936415702</v>
      </c>
    </row>
    <row r="22" spans="1:19" x14ac:dyDescent="0.2">
      <c r="A22" s="12" t="s">
        <v>79</v>
      </c>
      <c r="B22" s="3" t="s">
        <v>33</v>
      </c>
      <c r="C22" s="24">
        <f t="shared" si="0"/>
        <v>2.0136044023579664</v>
      </c>
      <c r="D22" s="2">
        <v>27.8229425752113</v>
      </c>
      <c r="E22" s="9"/>
      <c r="F22" s="3"/>
      <c r="G22" s="10"/>
      <c r="I22" s="10"/>
      <c r="N22" s="1" t="s">
        <v>79</v>
      </c>
      <c r="O22" s="35" t="s">
        <v>33</v>
      </c>
      <c r="P22" s="20">
        <v>103.18210945826009</v>
      </c>
      <c r="Q22" s="2">
        <v>27.8229425752113</v>
      </c>
    </row>
    <row r="23" spans="1:19" x14ac:dyDescent="0.2">
      <c r="A23" s="12" t="s">
        <v>4</v>
      </c>
      <c r="B23" s="3" t="s">
        <v>34</v>
      </c>
      <c r="C23" s="24">
        <f t="shared" si="0"/>
        <v>1.0136044023579664</v>
      </c>
      <c r="D23" s="2">
        <v>28.019997135089302</v>
      </c>
      <c r="E23" s="9"/>
      <c r="F23" s="3"/>
      <c r="G23" s="10"/>
      <c r="I23" s="10"/>
      <c r="N23" s="1" t="s">
        <v>4</v>
      </c>
      <c r="O23" s="35" t="s">
        <v>34</v>
      </c>
      <c r="P23" s="20">
        <v>10.318210945826008</v>
      </c>
      <c r="Q23" s="2">
        <v>28.019997135089302</v>
      </c>
    </row>
    <row r="24" spans="1:19" x14ac:dyDescent="0.2">
      <c r="A24" s="12" t="s">
        <v>5</v>
      </c>
      <c r="B24" s="3" t="s">
        <v>34</v>
      </c>
      <c r="C24" s="24">
        <f t="shared" si="0"/>
        <v>1.0136044023579664</v>
      </c>
      <c r="D24" s="2">
        <v>28.0489442167123</v>
      </c>
      <c r="E24" s="9"/>
      <c r="F24" s="3"/>
      <c r="G24" s="10"/>
      <c r="I24" s="10"/>
      <c r="N24" s="1" t="s">
        <v>5</v>
      </c>
      <c r="O24" s="35" t="s">
        <v>34</v>
      </c>
      <c r="P24" s="20">
        <v>10.318210945826008</v>
      </c>
      <c r="Q24" s="2">
        <v>28.0489442167123</v>
      </c>
    </row>
    <row r="25" spans="1:19" x14ac:dyDescent="0.2">
      <c r="A25" s="12" t="s">
        <v>6</v>
      </c>
      <c r="B25" s="3" t="s">
        <v>34</v>
      </c>
      <c r="C25" s="24">
        <f t="shared" si="0"/>
        <v>1.0136044023579664</v>
      </c>
      <c r="D25" s="2">
        <v>28.178043689869899</v>
      </c>
      <c r="E25" s="9"/>
      <c r="F25" s="3"/>
      <c r="G25" s="10"/>
      <c r="I25" s="10"/>
      <c r="N25" s="1" t="s">
        <v>6</v>
      </c>
      <c r="O25" s="35" t="s">
        <v>34</v>
      </c>
      <c r="P25" s="20">
        <v>10.318210945826008</v>
      </c>
      <c r="Q25" s="2">
        <v>28.178043689869899</v>
      </c>
    </row>
    <row r="26" spans="1:19" x14ac:dyDescent="0.2">
      <c r="A26" s="12" t="s">
        <v>80</v>
      </c>
      <c r="B26" s="3" t="s">
        <v>35</v>
      </c>
      <c r="C26" s="24">
        <f t="shared" si="0"/>
        <v>1.3604402357966342E-2</v>
      </c>
      <c r="D26" s="2">
        <v>27.929850337901701</v>
      </c>
      <c r="E26" s="9"/>
      <c r="F26" s="3"/>
      <c r="G26" s="10"/>
      <c r="I26" s="10"/>
      <c r="N26" s="1" t="s">
        <v>80</v>
      </c>
      <c r="O26" s="35" t="s">
        <v>35</v>
      </c>
      <c r="P26" s="20">
        <v>1.0318210945826007</v>
      </c>
      <c r="Q26" s="2">
        <v>27.929850337901701</v>
      </c>
    </row>
    <row r="27" spans="1:19" x14ac:dyDescent="0.2">
      <c r="A27" s="12" t="s">
        <v>81</v>
      </c>
      <c r="B27" s="3" t="s">
        <v>35</v>
      </c>
      <c r="C27" s="24">
        <f t="shared" si="0"/>
        <v>1.3604402357966342E-2</v>
      </c>
      <c r="D27" s="2">
        <v>28.037563889703701</v>
      </c>
      <c r="E27" s="9"/>
      <c r="F27" s="3"/>
      <c r="G27" s="10"/>
      <c r="I27" s="10"/>
      <c r="N27" s="1" t="s">
        <v>81</v>
      </c>
      <c r="O27" s="35" t="s">
        <v>35</v>
      </c>
      <c r="P27" s="20">
        <v>1.0318210945826007</v>
      </c>
      <c r="Q27" s="2">
        <v>28.037563889703701</v>
      </c>
    </row>
    <row r="28" spans="1:19" x14ac:dyDescent="0.2">
      <c r="A28" s="12" t="s">
        <v>82</v>
      </c>
      <c r="B28" s="3" t="s">
        <v>35</v>
      </c>
      <c r="C28" s="24">
        <f t="shared" si="0"/>
        <v>1.3604402357966342E-2</v>
      </c>
      <c r="D28" s="2">
        <v>27.653410076463</v>
      </c>
      <c r="E28" s="9"/>
      <c r="F28" s="3"/>
      <c r="G28" s="10"/>
      <c r="I28" s="10"/>
      <c r="N28" s="1" t="s">
        <v>82</v>
      </c>
      <c r="O28" s="35" t="s">
        <v>35</v>
      </c>
      <c r="P28" s="20">
        <v>1.0318210945826007</v>
      </c>
      <c r="Q28" s="2">
        <v>27.653410076463</v>
      </c>
    </row>
    <row r="29" spans="1:19" x14ac:dyDescent="0.2">
      <c r="A29" s="12" t="s">
        <v>83</v>
      </c>
      <c r="B29" s="3" t="s">
        <v>36</v>
      </c>
      <c r="C29" s="3" t="s">
        <v>37</v>
      </c>
      <c r="D29" s="2">
        <v>27.678484448128899</v>
      </c>
      <c r="E29" s="9"/>
      <c r="F29" s="3"/>
      <c r="G29" s="10"/>
      <c r="I29" s="10"/>
      <c r="N29" s="1" t="s">
        <v>83</v>
      </c>
      <c r="O29" s="35" t="s">
        <v>36</v>
      </c>
      <c r="P29" s="1" t="s">
        <v>37</v>
      </c>
      <c r="Q29" s="2">
        <v>27.678484448128899</v>
      </c>
      <c r="S29" s="32"/>
    </row>
    <row r="30" spans="1:19" x14ac:dyDescent="0.2">
      <c r="A30" s="12" t="s">
        <v>84</v>
      </c>
      <c r="B30" s="3" t="s">
        <v>36</v>
      </c>
      <c r="C30" s="3" t="s">
        <v>37</v>
      </c>
      <c r="D30" s="2">
        <v>27.8773445058779</v>
      </c>
      <c r="E30" s="9"/>
      <c r="F30" s="3"/>
      <c r="G30" s="10"/>
      <c r="I30" s="10"/>
      <c r="N30" s="1" t="s">
        <v>84</v>
      </c>
      <c r="O30" s="35" t="s">
        <v>36</v>
      </c>
      <c r="P30" s="1" t="s">
        <v>37</v>
      </c>
      <c r="Q30" s="2">
        <v>27.8773445058779</v>
      </c>
    </row>
    <row r="31" spans="1:19" x14ac:dyDescent="0.2">
      <c r="A31" s="12" t="s">
        <v>85</v>
      </c>
      <c r="B31" s="3" t="s">
        <v>36</v>
      </c>
      <c r="C31" s="3" t="s">
        <v>37</v>
      </c>
      <c r="D31" s="2">
        <v>27.8077026959132</v>
      </c>
      <c r="E31" s="9"/>
      <c r="F31" s="3"/>
      <c r="G31" s="10"/>
      <c r="I31" s="10"/>
      <c r="N31" s="1" t="s">
        <v>85</v>
      </c>
      <c r="O31" s="35" t="s">
        <v>36</v>
      </c>
      <c r="P31" s="1" t="s">
        <v>37</v>
      </c>
      <c r="Q31" s="2">
        <v>27.8077026959132</v>
      </c>
    </row>
    <row r="32" spans="1:19" x14ac:dyDescent="0.2">
      <c r="A32" s="12"/>
      <c r="B32" s="3"/>
      <c r="C32" s="6"/>
      <c r="E32" s="9"/>
      <c r="F32" s="3"/>
      <c r="G32" s="10"/>
      <c r="I32" s="10"/>
    </row>
    <row r="33" spans="1:21" x14ac:dyDescent="0.2">
      <c r="A33" s="12"/>
      <c r="B33" s="3"/>
      <c r="C33" s="6"/>
      <c r="E33" s="9"/>
      <c r="F33" s="3"/>
      <c r="G33" s="10"/>
      <c r="I33" s="10"/>
    </row>
    <row r="34" spans="1:21" x14ac:dyDescent="0.2">
      <c r="A34" s="12"/>
      <c r="B34" s="3"/>
      <c r="C34" s="6"/>
      <c r="E34" s="9"/>
      <c r="F34" s="3"/>
      <c r="G34" s="10"/>
      <c r="I34" s="10"/>
    </row>
    <row r="35" spans="1:21" x14ac:dyDescent="0.2">
      <c r="A35" s="12"/>
      <c r="B35" s="3"/>
      <c r="C35" s="6"/>
      <c r="E35" s="9"/>
      <c r="F35" s="3"/>
      <c r="G35" s="10"/>
      <c r="I35" s="10"/>
    </row>
    <row r="36" spans="1:21" x14ac:dyDescent="0.2">
      <c r="E36" s="9"/>
      <c r="F36" s="3"/>
      <c r="G36" s="10"/>
      <c r="I36" s="10"/>
    </row>
    <row r="37" spans="1:21" x14ac:dyDescent="0.2">
      <c r="A37" s="3" t="s">
        <v>0</v>
      </c>
      <c r="B37" s="3" t="s">
        <v>25</v>
      </c>
      <c r="C37" s="3" t="s">
        <v>26</v>
      </c>
      <c r="D37" s="34" t="s">
        <v>252</v>
      </c>
      <c r="E37" s="34" t="s">
        <v>61</v>
      </c>
      <c r="F37" s="34" t="s">
        <v>243</v>
      </c>
      <c r="G37" s="34" t="s">
        <v>244</v>
      </c>
      <c r="H37" s="34" t="s">
        <v>245</v>
      </c>
      <c r="I37" s="35" t="s">
        <v>248</v>
      </c>
      <c r="J37" s="34"/>
      <c r="K37" s="34"/>
      <c r="L37" s="34" t="s">
        <v>240</v>
      </c>
      <c r="S37" s="1"/>
      <c r="T37" s="20"/>
      <c r="U37" s="1"/>
    </row>
    <row r="38" spans="1:21" x14ac:dyDescent="0.2">
      <c r="A38" s="12" t="s">
        <v>86</v>
      </c>
      <c r="B38" s="3" t="s">
        <v>152</v>
      </c>
      <c r="C38" s="2">
        <v>15.53742076548</v>
      </c>
      <c r="D38" s="3">
        <f>(C38-$S$10)/$S$9</f>
        <v>5.8246364983926755</v>
      </c>
      <c r="E38" s="9">
        <f>10^D38</f>
        <v>667784.75217401877</v>
      </c>
      <c r="F38" s="25">
        <v>7.6388888888888895E-2</v>
      </c>
      <c r="G38" s="34" t="s">
        <v>246</v>
      </c>
      <c r="H38" s="34" t="s">
        <v>247</v>
      </c>
      <c r="I38" s="10" t="s">
        <v>197</v>
      </c>
      <c r="J38" s="3">
        <f>(E38*50*50)/5</f>
        <v>333892376.08700937</v>
      </c>
      <c r="K38" s="10">
        <f>J38</f>
        <v>333892376.08700937</v>
      </c>
      <c r="L38" s="47">
        <f>AVERAGE(K38:K40)</f>
        <v>328871525.78210753</v>
      </c>
      <c r="M38" s="40" t="s">
        <v>238</v>
      </c>
      <c r="S38" s="1"/>
      <c r="T38" s="20"/>
      <c r="U38" s="1"/>
    </row>
    <row r="39" spans="1:21" x14ac:dyDescent="0.2">
      <c r="A39" s="12" t="s">
        <v>87</v>
      </c>
      <c r="B39" s="3" t="s">
        <v>152</v>
      </c>
      <c r="C39" s="2">
        <v>15.5882600342799</v>
      </c>
      <c r="D39" s="3">
        <f t="shared" ref="D39:D102" si="1">(C39-$S$10)/$S$9</f>
        <v>5.8114790463606463</v>
      </c>
      <c r="E39" s="9">
        <f t="shared" ref="E39:E103" si="2">10^D39</f>
        <v>647856.83701760415</v>
      </c>
      <c r="F39" s="25">
        <v>7.6388888888888895E-2</v>
      </c>
      <c r="G39" s="34" t="s">
        <v>246</v>
      </c>
      <c r="H39" s="34" t="s">
        <v>247</v>
      </c>
      <c r="I39" s="10" t="s">
        <v>197</v>
      </c>
      <c r="J39" s="3">
        <f t="shared" ref="J39:J40" si="3">(E39*50*50)/5</f>
        <v>323928418.50880206</v>
      </c>
      <c r="K39" s="10">
        <f t="shared" ref="K39:K103" si="4">J39</f>
        <v>323928418.50880206</v>
      </c>
      <c r="L39" s="48"/>
      <c r="M39" s="40"/>
      <c r="S39" s="1"/>
      <c r="T39" s="20"/>
      <c r="U39" s="1"/>
    </row>
    <row r="40" spans="1:21" x14ac:dyDescent="0.2">
      <c r="A40" s="12" t="s">
        <v>88</v>
      </c>
      <c r="B40" s="3" t="s">
        <v>152</v>
      </c>
      <c r="C40" s="2">
        <v>15.563242942321001</v>
      </c>
      <c r="D40" s="3">
        <f t="shared" si="1"/>
        <v>5.8179535924192383</v>
      </c>
      <c r="E40" s="9">
        <f t="shared" si="2"/>
        <v>657587.5655010225</v>
      </c>
      <c r="F40" s="25">
        <v>7.6388888888888895E-2</v>
      </c>
      <c r="G40" s="34" t="s">
        <v>246</v>
      </c>
      <c r="H40" s="34" t="s">
        <v>247</v>
      </c>
      <c r="I40" s="10" t="s">
        <v>197</v>
      </c>
      <c r="J40" s="3">
        <f t="shared" si="3"/>
        <v>328793782.75051129</v>
      </c>
      <c r="K40" s="10">
        <f t="shared" si="4"/>
        <v>328793782.75051129</v>
      </c>
      <c r="L40" s="48"/>
      <c r="M40" s="40"/>
    </row>
    <row r="41" spans="1:21" x14ac:dyDescent="0.2">
      <c r="A41" s="12" t="s">
        <v>7</v>
      </c>
      <c r="B41" s="3" t="s">
        <v>153</v>
      </c>
      <c r="C41" s="2">
        <v>26.075184905832899</v>
      </c>
      <c r="D41" s="3">
        <f t="shared" si="1"/>
        <v>3.0974114718634804</v>
      </c>
      <c r="E41" s="9">
        <f t="shared" si="2"/>
        <v>1251.4441481901861</v>
      </c>
      <c r="F41" s="25">
        <v>7.6388888888888895E-2</v>
      </c>
      <c r="G41" s="34" t="s">
        <v>246</v>
      </c>
      <c r="H41" s="34" t="s">
        <v>247</v>
      </c>
      <c r="I41" s="3" t="s">
        <v>198</v>
      </c>
      <c r="J41" s="3">
        <f>(E41*50*50)/2</f>
        <v>1564305.1852377327</v>
      </c>
      <c r="K41" s="10">
        <f t="shared" si="4"/>
        <v>1564305.1852377327</v>
      </c>
      <c r="L41" s="47">
        <f t="shared" ref="L41" si="5">AVERAGE(K41:K43)</f>
        <v>1460085.8914656292</v>
      </c>
      <c r="M41" s="40" t="s">
        <v>238</v>
      </c>
    </row>
    <row r="42" spans="1:21" x14ac:dyDescent="0.2">
      <c r="A42" s="12" t="s">
        <v>8</v>
      </c>
      <c r="B42" s="3" t="s">
        <v>153</v>
      </c>
      <c r="C42" s="2">
        <v>26.267932889235901</v>
      </c>
      <c r="D42" s="3">
        <f t="shared" si="1"/>
        <v>3.0475273487090506</v>
      </c>
      <c r="E42" s="9">
        <f t="shared" si="2"/>
        <v>1115.6484045643133</v>
      </c>
      <c r="F42" s="25">
        <v>7.6388888888888895E-2</v>
      </c>
      <c r="G42" s="34" t="s">
        <v>246</v>
      </c>
      <c r="H42" s="34" t="s">
        <v>247</v>
      </c>
      <c r="I42" s="3" t="s">
        <v>198</v>
      </c>
      <c r="J42" s="3">
        <f t="shared" ref="J42:J64" si="6">(E42*50*50)/2</f>
        <v>1394560.5057053915</v>
      </c>
      <c r="K42" s="10">
        <f t="shared" si="4"/>
        <v>1394560.5057053915</v>
      </c>
      <c r="L42" s="48"/>
      <c r="M42" s="40"/>
    </row>
    <row r="43" spans="1:21" x14ac:dyDescent="0.2">
      <c r="A43" s="12" t="s">
        <v>9</v>
      </c>
      <c r="B43" s="3" t="s">
        <v>153</v>
      </c>
      <c r="C43" s="2">
        <v>26.235953201408201</v>
      </c>
      <c r="D43" s="3">
        <f t="shared" si="1"/>
        <v>3.0558038487163257</v>
      </c>
      <c r="E43" s="9">
        <f t="shared" si="2"/>
        <v>1137.1135867630107</v>
      </c>
      <c r="F43" s="25">
        <v>7.6388888888888895E-2</v>
      </c>
      <c r="G43" s="34" t="s">
        <v>246</v>
      </c>
      <c r="H43" s="34" t="s">
        <v>247</v>
      </c>
      <c r="I43" s="3" t="s">
        <v>198</v>
      </c>
      <c r="J43" s="3">
        <f t="shared" si="6"/>
        <v>1421391.9834537634</v>
      </c>
      <c r="K43" s="10">
        <f t="shared" si="4"/>
        <v>1421391.9834537634</v>
      </c>
      <c r="L43" s="48"/>
      <c r="M43" s="40"/>
    </row>
    <row r="44" spans="1:21" x14ac:dyDescent="0.2">
      <c r="A44" s="13" t="s">
        <v>89</v>
      </c>
      <c r="B44" s="14" t="s">
        <v>154</v>
      </c>
      <c r="C44" s="15">
        <v>15.540246919777401</v>
      </c>
      <c r="D44" s="14">
        <f t="shared" si="1"/>
        <v>5.82390507580378</v>
      </c>
      <c r="E44" s="16">
        <f t="shared" si="2"/>
        <v>666661.04049176199</v>
      </c>
      <c r="F44" s="27">
        <v>7.6388888888888895E-2</v>
      </c>
      <c r="G44" s="36" t="s">
        <v>246</v>
      </c>
      <c r="H44" s="36" t="s">
        <v>247</v>
      </c>
      <c r="I44" s="14" t="s">
        <v>198</v>
      </c>
      <c r="J44" s="14">
        <f t="shared" si="6"/>
        <v>833326300.61470246</v>
      </c>
      <c r="K44" s="17">
        <f t="shared" si="4"/>
        <v>833326300.61470246</v>
      </c>
      <c r="L44" s="55">
        <f t="shared" ref="L44" si="7">AVERAGE(K44:K46)</f>
        <v>842223838.48405182</v>
      </c>
      <c r="M44" s="57" t="s">
        <v>238</v>
      </c>
    </row>
    <row r="45" spans="1:21" x14ac:dyDescent="0.2">
      <c r="A45" s="13" t="s">
        <v>90</v>
      </c>
      <c r="B45" s="14" t="s">
        <v>154</v>
      </c>
      <c r="C45" s="15">
        <v>15.5148181062616</v>
      </c>
      <c r="D45" s="14">
        <f t="shared" si="1"/>
        <v>5.8304861774199823</v>
      </c>
      <c r="E45" s="16">
        <f t="shared" si="2"/>
        <v>676840.25033102999</v>
      </c>
      <c r="F45" s="27">
        <v>7.6388888888888895E-2</v>
      </c>
      <c r="G45" s="36" t="s">
        <v>246</v>
      </c>
      <c r="H45" s="36" t="s">
        <v>247</v>
      </c>
      <c r="I45" s="14" t="s">
        <v>198</v>
      </c>
      <c r="J45" s="14">
        <f t="shared" si="6"/>
        <v>846050312.9137876</v>
      </c>
      <c r="K45" s="17">
        <f t="shared" si="4"/>
        <v>846050312.9137876</v>
      </c>
      <c r="L45" s="56"/>
      <c r="M45" s="57"/>
    </row>
    <row r="46" spans="1:21" x14ac:dyDescent="0.2">
      <c r="A46" s="13" t="s">
        <v>91</v>
      </c>
      <c r="B46" s="14" t="s">
        <v>154</v>
      </c>
      <c r="C46" s="15">
        <v>15.5123513721345</v>
      </c>
      <c r="D46" s="14">
        <f t="shared" si="1"/>
        <v>5.8311245803065548</v>
      </c>
      <c r="E46" s="16">
        <f t="shared" si="2"/>
        <v>677835.92153893248</v>
      </c>
      <c r="F46" s="27">
        <v>7.6388888888888895E-2</v>
      </c>
      <c r="G46" s="36" t="s">
        <v>246</v>
      </c>
      <c r="H46" s="36" t="s">
        <v>247</v>
      </c>
      <c r="I46" s="14" t="s">
        <v>198</v>
      </c>
      <c r="J46" s="14">
        <f t="shared" si="6"/>
        <v>847294901.92366564</v>
      </c>
      <c r="K46" s="17">
        <f t="shared" si="4"/>
        <v>847294901.92366564</v>
      </c>
      <c r="L46" s="56"/>
      <c r="M46" s="57"/>
    </row>
    <row r="47" spans="1:21" x14ac:dyDescent="0.2">
      <c r="A47" s="12" t="s">
        <v>92</v>
      </c>
      <c r="B47" s="3" t="s">
        <v>155</v>
      </c>
      <c r="C47" s="2">
        <v>15.536800120339301</v>
      </c>
      <c r="D47" s="3">
        <f t="shared" si="1"/>
        <v>5.824797124398132</v>
      </c>
      <c r="E47" s="9">
        <f t="shared" si="2"/>
        <v>668031.78141374781</v>
      </c>
      <c r="F47" s="25">
        <v>7.6388888888888895E-2</v>
      </c>
      <c r="G47" s="34" t="s">
        <v>246</v>
      </c>
      <c r="H47" s="34" t="s">
        <v>247</v>
      </c>
      <c r="I47" s="3" t="s">
        <v>198</v>
      </c>
      <c r="J47" s="3">
        <f t="shared" si="6"/>
        <v>835039726.76718473</v>
      </c>
      <c r="K47" s="10">
        <f t="shared" si="4"/>
        <v>835039726.76718473</v>
      </c>
      <c r="L47" s="47">
        <f t="shared" ref="L47" si="8">AVERAGE(K47:K49)</f>
        <v>876532641.40641963</v>
      </c>
      <c r="M47" s="40" t="s">
        <v>238</v>
      </c>
    </row>
    <row r="48" spans="1:21" x14ac:dyDescent="0.2">
      <c r="A48" s="12" t="s">
        <v>93</v>
      </c>
      <c r="B48" s="3" t="s">
        <v>155</v>
      </c>
      <c r="C48" s="2">
        <v>15.459992528912901</v>
      </c>
      <c r="D48" s="3">
        <f t="shared" si="1"/>
        <v>5.844675305649444</v>
      </c>
      <c r="E48" s="9">
        <f t="shared" si="2"/>
        <v>699318.96421500831</v>
      </c>
      <c r="F48" s="25">
        <v>7.6388888888888895E-2</v>
      </c>
      <c r="G48" s="34" t="s">
        <v>246</v>
      </c>
      <c r="H48" s="34" t="s">
        <v>247</v>
      </c>
      <c r="I48" s="3" t="s">
        <v>198</v>
      </c>
      <c r="J48" s="3">
        <f t="shared" si="6"/>
        <v>874148705.26876044</v>
      </c>
      <c r="K48" s="10">
        <f t="shared" si="4"/>
        <v>874148705.26876044</v>
      </c>
      <c r="L48" s="48"/>
      <c r="M48" s="40"/>
    </row>
    <row r="49" spans="1:13" x14ac:dyDescent="0.2">
      <c r="A49" s="12" t="s">
        <v>94</v>
      </c>
      <c r="B49" s="3" t="s">
        <v>155</v>
      </c>
      <c r="C49" s="2">
        <v>15.373457189053299</v>
      </c>
      <c r="D49" s="3">
        <f t="shared" si="1"/>
        <v>5.8670710758907401</v>
      </c>
      <c r="E49" s="9">
        <f t="shared" si="2"/>
        <v>736327.59374665085</v>
      </c>
      <c r="F49" s="25">
        <v>7.6388888888888895E-2</v>
      </c>
      <c r="G49" s="34" t="s">
        <v>246</v>
      </c>
      <c r="H49" s="34" t="s">
        <v>247</v>
      </c>
      <c r="I49" s="3" t="s">
        <v>198</v>
      </c>
      <c r="J49" s="3">
        <f t="shared" si="6"/>
        <v>920409492.18331349</v>
      </c>
      <c r="K49" s="10">
        <f t="shared" si="4"/>
        <v>920409492.18331349</v>
      </c>
      <c r="L49" s="48"/>
      <c r="M49" s="40"/>
    </row>
    <row r="50" spans="1:13" x14ac:dyDescent="0.2">
      <c r="A50" s="12" t="s">
        <v>95</v>
      </c>
      <c r="B50" s="3" t="s">
        <v>156</v>
      </c>
      <c r="C50" s="2">
        <v>14.6752640331612</v>
      </c>
      <c r="D50" s="3">
        <f t="shared" si="1"/>
        <v>6.0477668878997353</v>
      </c>
      <c r="E50" s="9">
        <f t="shared" si="2"/>
        <v>1116263.9206263176</v>
      </c>
      <c r="F50" s="25">
        <v>7.6388888888888895E-2</v>
      </c>
      <c r="G50" s="34" t="s">
        <v>246</v>
      </c>
      <c r="H50" s="34" t="s">
        <v>247</v>
      </c>
      <c r="I50" s="3" t="s">
        <v>198</v>
      </c>
      <c r="J50" s="3">
        <f t="shared" si="6"/>
        <v>1395329900.782897</v>
      </c>
      <c r="K50" s="10">
        <f t="shared" si="4"/>
        <v>1395329900.782897</v>
      </c>
      <c r="L50" s="47">
        <f t="shared" ref="L50" si="9">AVERAGE(K50:K52)</f>
        <v>1244449627.4691608</v>
      </c>
      <c r="M50" s="40" t="s">
        <v>238</v>
      </c>
    </row>
    <row r="51" spans="1:13" x14ac:dyDescent="0.2">
      <c r="A51" s="12" t="s">
        <v>96</v>
      </c>
      <c r="B51" s="3" t="s">
        <v>156</v>
      </c>
      <c r="C51" s="2">
        <v>14.936629606035901</v>
      </c>
      <c r="D51" s="3">
        <f t="shared" si="1"/>
        <v>5.9801241961557201</v>
      </c>
      <c r="E51" s="9">
        <f t="shared" si="2"/>
        <v>955265.72642167984</v>
      </c>
      <c r="F51" s="25">
        <v>7.6388888888888895E-2</v>
      </c>
      <c r="G51" s="34" t="s">
        <v>246</v>
      </c>
      <c r="H51" s="34" t="s">
        <v>247</v>
      </c>
      <c r="I51" s="3" t="s">
        <v>198</v>
      </c>
      <c r="J51" s="3">
        <f t="shared" si="6"/>
        <v>1194082158.0270998</v>
      </c>
      <c r="K51" s="10">
        <f t="shared" si="4"/>
        <v>1194082158.0270998</v>
      </c>
      <c r="L51" s="48"/>
      <c r="M51" s="40"/>
    </row>
    <row r="52" spans="1:13" x14ac:dyDescent="0.2">
      <c r="A52" s="12" t="s">
        <v>97</v>
      </c>
      <c r="B52" s="3" t="s">
        <v>156</v>
      </c>
      <c r="C52" s="2">
        <v>15.008622712367201</v>
      </c>
      <c r="D52" s="3">
        <f t="shared" si="1"/>
        <v>5.9614920272526</v>
      </c>
      <c r="E52" s="9">
        <f t="shared" si="2"/>
        <v>915149.45887798897</v>
      </c>
      <c r="F52" s="25">
        <v>7.6388888888888895E-2</v>
      </c>
      <c r="G52" s="34" t="s">
        <v>246</v>
      </c>
      <c r="H52" s="34" t="s">
        <v>247</v>
      </c>
      <c r="I52" s="3" t="s">
        <v>198</v>
      </c>
      <c r="J52" s="3">
        <f t="shared" si="6"/>
        <v>1143936823.597486</v>
      </c>
      <c r="K52" s="10">
        <f t="shared" si="4"/>
        <v>1143936823.597486</v>
      </c>
      <c r="L52" s="48"/>
      <c r="M52" s="40"/>
    </row>
    <row r="53" spans="1:13" x14ac:dyDescent="0.2">
      <c r="A53" s="12" t="s">
        <v>10</v>
      </c>
      <c r="B53" s="3" t="s">
        <v>157</v>
      </c>
      <c r="C53" s="2">
        <v>15.754061452361301</v>
      </c>
      <c r="D53" s="3">
        <f t="shared" si="1"/>
        <v>5.7685688264313475</v>
      </c>
      <c r="E53" s="9">
        <f t="shared" si="2"/>
        <v>586906.37441687833</v>
      </c>
      <c r="F53" s="25">
        <v>7.6388888888888895E-2</v>
      </c>
      <c r="G53" s="34" t="s">
        <v>246</v>
      </c>
      <c r="H53" s="34" t="s">
        <v>247</v>
      </c>
      <c r="I53" s="3" t="s">
        <v>198</v>
      </c>
      <c r="J53" s="3">
        <f t="shared" si="6"/>
        <v>733632968.0210979</v>
      </c>
      <c r="K53" s="10">
        <f t="shared" si="4"/>
        <v>733632968.0210979</v>
      </c>
      <c r="L53" s="47">
        <f t="shared" ref="L53" si="10">AVERAGE(K53:K55)</f>
        <v>733024377.537516</v>
      </c>
      <c r="M53" s="40" t="s">
        <v>238</v>
      </c>
    </row>
    <row r="54" spans="1:13" x14ac:dyDescent="0.2">
      <c r="A54" s="12" t="s">
        <v>11</v>
      </c>
      <c r="B54" s="3" t="s">
        <v>157</v>
      </c>
      <c r="C54" s="2">
        <v>15.769082580809</v>
      </c>
      <c r="D54" s="3">
        <f t="shared" si="1"/>
        <v>5.7646812847399937</v>
      </c>
      <c r="E54" s="9">
        <f t="shared" si="2"/>
        <v>581676.18697220739</v>
      </c>
      <c r="F54" s="25">
        <v>7.6388888888888895E-2</v>
      </c>
      <c r="G54" s="34" t="s">
        <v>246</v>
      </c>
      <c r="H54" s="34" t="s">
        <v>247</v>
      </c>
      <c r="I54" s="3" t="s">
        <v>198</v>
      </c>
      <c r="J54" s="3">
        <f t="shared" si="6"/>
        <v>727095233.71525931</v>
      </c>
      <c r="K54" s="10">
        <f t="shared" si="4"/>
        <v>727095233.71525931</v>
      </c>
      <c r="L54" s="48"/>
      <c r="M54" s="40"/>
    </row>
    <row r="55" spans="1:13" x14ac:dyDescent="0.2">
      <c r="A55" s="12" t="s">
        <v>12</v>
      </c>
      <c r="B55" s="3" t="s">
        <v>157</v>
      </c>
      <c r="C55" s="2">
        <v>15.743318000071101</v>
      </c>
      <c r="D55" s="3">
        <f t="shared" si="1"/>
        <v>5.7713492845595527</v>
      </c>
      <c r="E55" s="9">
        <f t="shared" si="2"/>
        <v>590675.94470095239</v>
      </c>
      <c r="F55" s="25">
        <v>7.6388888888888895E-2</v>
      </c>
      <c r="G55" s="34" t="s">
        <v>246</v>
      </c>
      <c r="H55" s="34" t="s">
        <v>247</v>
      </c>
      <c r="I55" s="3" t="s">
        <v>198</v>
      </c>
      <c r="J55" s="3">
        <f t="shared" si="6"/>
        <v>738344930.87619054</v>
      </c>
      <c r="K55" s="10">
        <f t="shared" si="4"/>
        <v>738344930.87619054</v>
      </c>
      <c r="L55" s="48"/>
      <c r="M55" s="40"/>
    </row>
    <row r="56" spans="1:13" x14ac:dyDescent="0.2">
      <c r="A56" s="12" t="s">
        <v>98</v>
      </c>
      <c r="B56" s="3" t="s">
        <v>158</v>
      </c>
      <c r="C56" s="2">
        <v>15.259644107648301</v>
      </c>
      <c r="D56" s="3">
        <f t="shared" si="1"/>
        <v>5.8965264593876539</v>
      </c>
      <c r="E56" s="9">
        <f t="shared" si="2"/>
        <v>788000.43890899653</v>
      </c>
      <c r="F56" s="25">
        <v>7.6388888888888895E-2</v>
      </c>
      <c r="G56" s="34" t="s">
        <v>246</v>
      </c>
      <c r="H56" s="34" t="s">
        <v>247</v>
      </c>
      <c r="I56" s="3" t="s">
        <v>198</v>
      </c>
      <c r="J56" s="3">
        <f t="shared" si="6"/>
        <v>985000548.63624573</v>
      </c>
      <c r="K56" s="10">
        <f t="shared" si="4"/>
        <v>985000548.63624573</v>
      </c>
      <c r="L56" s="47">
        <f t="shared" ref="L56" si="11">AVERAGE(K56:K58)</f>
        <v>1027340404.619264</v>
      </c>
      <c r="M56" s="40" t="s">
        <v>238</v>
      </c>
    </row>
    <row r="57" spans="1:13" x14ac:dyDescent="0.2">
      <c r="A57" s="12" t="s">
        <v>99</v>
      </c>
      <c r="B57" s="3" t="s">
        <v>158</v>
      </c>
      <c r="C57" s="2">
        <v>15.2500565559451</v>
      </c>
      <c r="D57" s="3">
        <f t="shared" si="1"/>
        <v>5.899007764776524</v>
      </c>
      <c r="E57" s="9">
        <f t="shared" si="2"/>
        <v>792515.49978492677</v>
      </c>
      <c r="F57" s="25">
        <v>7.6388888888888895E-2</v>
      </c>
      <c r="G57" s="34" t="s">
        <v>246</v>
      </c>
      <c r="H57" s="34" t="s">
        <v>247</v>
      </c>
      <c r="I57" s="3" t="s">
        <v>198</v>
      </c>
      <c r="J57" s="3">
        <f t="shared" si="6"/>
        <v>990644374.73115849</v>
      </c>
      <c r="K57" s="10">
        <f t="shared" si="4"/>
        <v>990644374.73115849</v>
      </c>
      <c r="L57" s="48"/>
      <c r="M57" s="40"/>
    </row>
    <row r="58" spans="1:13" x14ac:dyDescent="0.2">
      <c r="A58" s="12" t="s">
        <v>100</v>
      </c>
      <c r="B58" s="3" t="s">
        <v>158</v>
      </c>
      <c r="C58" s="2">
        <v>15.064646302986199</v>
      </c>
      <c r="D58" s="3">
        <f t="shared" si="1"/>
        <v>5.9469928473148865</v>
      </c>
      <c r="E58" s="9">
        <f t="shared" si="2"/>
        <v>885101.0323923101</v>
      </c>
      <c r="F58" s="25">
        <v>7.6388888888888895E-2</v>
      </c>
      <c r="G58" s="34" t="s">
        <v>246</v>
      </c>
      <c r="H58" s="34" t="s">
        <v>247</v>
      </c>
      <c r="I58" s="3" t="s">
        <v>198</v>
      </c>
      <c r="J58" s="3">
        <f t="shared" si="6"/>
        <v>1106376290.4903877</v>
      </c>
      <c r="K58" s="10">
        <f t="shared" si="4"/>
        <v>1106376290.4903877</v>
      </c>
      <c r="L58" s="48"/>
      <c r="M58" s="40"/>
    </row>
    <row r="59" spans="1:13" x14ac:dyDescent="0.2">
      <c r="A59" s="12" t="s">
        <v>101</v>
      </c>
      <c r="B59" s="3" t="s">
        <v>159</v>
      </c>
      <c r="C59" s="2">
        <v>15.4054353338115</v>
      </c>
      <c r="D59" s="3">
        <f t="shared" si="1"/>
        <v>5.8587949752374167</v>
      </c>
      <c r="E59" s="9">
        <f t="shared" si="2"/>
        <v>722428.6739291203</v>
      </c>
      <c r="F59" s="25">
        <v>7.6388888888888895E-2</v>
      </c>
      <c r="G59" s="34" t="s">
        <v>246</v>
      </c>
      <c r="H59" s="34" t="s">
        <v>247</v>
      </c>
      <c r="I59" s="3" t="s">
        <v>198</v>
      </c>
      <c r="J59" s="3">
        <f t="shared" si="6"/>
        <v>903035842.41140032</v>
      </c>
      <c r="K59" s="10">
        <f t="shared" si="4"/>
        <v>903035842.41140032</v>
      </c>
      <c r="L59" s="47">
        <f t="shared" ref="L59" si="12">AVERAGE(K59:K61)</f>
        <v>936577967.43830383</v>
      </c>
      <c r="M59" s="40" t="s">
        <v>238</v>
      </c>
    </row>
    <row r="60" spans="1:13" x14ac:dyDescent="0.2">
      <c r="A60" s="12" t="s">
        <v>102</v>
      </c>
      <c r="B60" s="3" t="s">
        <v>159</v>
      </c>
      <c r="C60" s="2">
        <v>15.3143500687583</v>
      </c>
      <c r="D60" s="3">
        <f t="shared" si="1"/>
        <v>5.8823682884272497</v>
      </c>
      <c r="E60" s="9">
        <f t="shared" si="2"/>
        <v>762725.53888881102</v>
      </c>
      <c r="F60" s="25">
        <v>7.6388888888888895E-2</v>
      </c>
      <c r="G60" s="34" t="s">
        <v>246</v>
      </c>
      <c r="H60" s="34" t="s">
        <v>247</v>
      </c>
      <c r="I60" s="3" t="s">
        <v>198</v>
      </c>
      <c r="J60" s="3">
        <f t="shared" si="6"/>
        <v>953406923.61101377</v>
      </c>
      <c r="K60" s="10">
        <f t="shared" si="4"/>
        <v>953406923.61101377</v>
      </c>
      <c r="L60" s="48"/>
      <c r="M60" s="40"/>
    </row>
    <row r="61" spans="1:13" x14ac:dyDescent="0.2">
      <c r="A61" s="12" t="s">
        <v>103</v>
      </c>
      <c r="B61" s="3" t="s">
        <v>159</v>
      </c>
      <c r="C61" s="2">
        <v>15.314553876595101</v>
      </c>
      <c r="D61" s="3">
        <f t="shared" si="1"/>
        <v>5.8823155419598097</v>
      </c>
      <c r="E61" s="9">
        <f t="shared" si="2"/>
        <v>762632.9090339978</v>
      </c>
      <c r="F61" s="25">
        <v>7.6388888888888895E-2</v>
      </c>
      <c r="G61" s="34" t="s">
        <v>246</v>
      </c>
      <c r="H61" s="34" t="s">
        <v>247</v>
      </c>
      <c r="I61" s="3" t="s">
        <v>198</v>
      </c>
      <c r="J61" s="3">
        <f t="shared" si="6"/>
        <v>953291136.29249728</v>
      </c>
      <c r="K61" s="10">
        <f t="shared" si="4"/>
        <v>953291136.29249728</v>
      </c>
      <c r="L61" s="48"/>
      <c r="M61" s="40"/>
    </row>
    <row r="62" spans="1:13" x14ac:dyDescent="0.2">
      <c r="A62" s="12" t="s">
        <v>104</v>
      </c>
      <c r="B62" s="3" t="s">
        <v>160</v>
      </c>
      <c r="C62" s="2">
        <v>14.7194475368513</v>
      </c>
      <c r="D62" s="3">
        <f t="shared" si="1"/>
        <v>6.0363319805115578</v>
      </c>
      <c r="E62" s="9">
        <f t="shared" si="2"/>
        <v>1087256.4193922065</v>
      </c>
      <c r="F62" s="25">
        <v>7.6388888888888895E-2</v>
      </c>
      <c r="G62" s="34" t="s">
        <v>246</v>
      </c>
      <c r="H62" s="34" t="s">
        <v>247</v>
      </c>
      <c r="I62" s="3" t="s">
        <v>198</v>
      </c>
      <c r="J62" s="3">
        <f t="shared" si="6"/>
        <v>1359070524.2402582</v>
      </c>
      <c r="K62" s="10">
        <f t="shared" si="4"/>
        <v>1359070524.2402582</v>
      </c>
      <c r="L62" s="47">
        <f t="shared" ref="L62" si="13">AVERAGE(K62:K64)</f>
        <v>1386956477.476552</v>
      </c>
      <c r="M62" s="40" t="s">
        <v>238</v>
      </c>
    </row>
    <row r="63" spans="1:13" x14ac:dyDescent="0.2">
      <c r="A63" s="12" t="s">
        <v>105</v>
      </c>
      <c r="B63" s="3" t="s">
        <v>160</v>
      </c>
      <c r="C63" s="2">
        <v>14.674375466998899</v>
      </c>
      <c r="D63" s="3">
        <f t="shared" si="1"/>
        <v>6.0479968531792068</v>
      </c>
      <c r="E63" s="9">
        <f t="shared" si="2"/>
        <v>1116855.1552168641</v>
      </c>
      <c r="F63" s="25">
        <v>7.6388888888888895E-2</v>
      </c>
      <c r="G63" s="34" t="s">
        <v>246</v>
      </c>
      <c r="H63" s="34" t="s">
        <v>247</v>
      </c>
      <c r="I63" s="3" t="s">
        <v>198</v>
      </c>
      <c r="J63" s="3">
        <f t="shared" si="6"/>
        <v>1396068944.02108</v>
      </c>
      <c r="K63" s="10">
        <f t="shared" si="4"/>
        <v>1396068944.02108</v>
      </c>
      <c r="L63" s="48"/>
      <c r="M63" s="40"/>
    </row>
    <row r="64" spans="1:13" x14ac:dyDescent="0.2">
      <c r="A64" s="12" t="s">
        <v>106</v>
      </c>
      <c r="B64" s="3" t="s">
        <v>160</v>
      </c>
      <c r="C64" s="2">
        <v>14.662802903977401</v>
      </c>
      <c r="D64" s="3">
        <f t="shared" si="1"/>
        <v>6.05099188922983</v>
      </c>
      <c r="E64" s="9">
        <f t="shared" si="2"/>
        <v>1124583.9713346544</v>
      </c>
      <c r="F64" s="25">
        <v>7.6388888888888895E-2</v>
      </c>
      <c r="G64" s="34" t="s">
        <v>246</v>
      </c>
      <c r="H64" s="34" t="s">
        <v>247</v>
      </c>
      <c r="I64" s="3" t="s">
        <v>198</v>
      </c>
      <c r="J64" s="3">
        <f t="shared" si="6"/>
        <v>1405729964.168318</v>
      </c>
      <c r="K64" s="10">
        <f t="shared" si="4"/>
        <v>1405729964.168318</v>
      </c>
      <c r="L64" s="48"/>
      <c r="M64" s="40"/>
    </row>
    <row r="65" spans="1:13" x14ac:dyDescent="0.2">
      <c r="A65" s="12" t="s">
        <v>13</v>
      </c>
      <c r="B65" s="3" t="s">
        <v>161</v>
      </c>
      <c r="C65" s="2">
        <v>15.596569102667299</v>
      </c>
      <c r="D65" s="3">
        <f t="shared" si="1"/>
        <v>5.8093286187223505</v>
      </c>
      <c r="E65" s="9">
        <f t="shared" si="2"/>
        <v>644656.87518687488</v>
      </c>
      <c r="F65" s="25">
        <v>7.6388888888888895E-2</v>
      </c>
      <c r="G65" s="34" t="s">
        <v>246</v>
      </c>
      <c r="H65" s="34" t="s">
        <v>247</v>
      </c>
      <c r="I65" s="3" t="s">
        <v>199</v>
      </c>
      <c r="J65" s="3">
        <f>(E65*50*50)/2.5</f>
        <v>644656875.18687487</v>
      </c>
      <c r="K65" s="10">
        <f t="shared" si="4"/>
        <v>644656875.18687487</v>
      </c>
      <c r="L65" s="47">
        <f t="shared" ref="L65" si="14">AVERAGE(K65:K67)</f>
        <v>635321435.61977971</v>
      </c>
      <c r="M65" s="40" t="s">
        <v>238</v>
      </c>
    </row>
    <row r="66" spans="1:13" x14ac:dyDescent="0.2">
      <c r="A66" s="12" t="s">
        <v>14</v>
      </c>
      <c r="B66" s="3" t="s">
        <v>161</v>
      </c>
      <c r="C66" s="2">
        <v>15.6194032800041</v>
      </c>
      <c r="D66" s="3">
        <f t="shared" si="1"/>
        <v>5.8034190216708597</v>
      </c>
      <c r="E66" s="9">
        <f t="shared" si="2"/>
        <v>635944.21594517177</v>
      </c>
      <c r="F66" s="25">
        <v>7.6388888888888895E-2</v>
      </c>
      <c r="G66" s="34" t="s">
        <v>246</v>
      </c>
      <c r="H66" s="34" t="s">
        <v>247</v>
      </c>
      <c r="I66" s="3" t="s">
        <v>199</v>
      </c>
      <c r="J66" s="3">
        <f t="shared" ref="J66:J67" si="15">(E66*50*50)/2.5</f>
        <v>635944215.94517183</v>
      </c>
      <c r="K66" s="10">
        <f t="shared" si="4"/>
        <v>635944215.94517183</v>
      </c>
      <c r="L66" s="48"/>
      <c r="M66" s="40"/>
    </row>
    <row r="67" spans="1:13" x14ac:dyDescent="0.2">
      <c r="A67" s="12" t="s">
        <v>15</v>
      </c>
      <c r="B67" s="3" t="s">
        <v>161</v>
      </c>
      <c r="C67" s="2">
        <v>15.6475584247185</v>
      </c>
      <c r="D67" s="3">
        <f t="shared" si="1"/>
        <v>5.7961323321731681</v>
      </c>
      <c r="E67" s="9">
        <f t="shared" si="2"/>
        <v>625363.21572729247</v>
      </c>
      <c r="F67" s="25">
        <v>7.6388888888888895E-2</v>
      </c>
      <c r="G67" s="34" t="s">
        <v>246</v>
      </c>
      <c r="H67" s="34" t="s">
        <v>247</v>
      </c>
      <c r="I67" s="3" t="s">
        <v>199</v>
      </c>
      <c r="J67" s="3">
        <f t="shared" si="15"/>
        <v>625363215.72729242</v>
      </c>
      <c r="K67" s="10">
        <f t="shared" si="4"/>
        <v>625363215.72729242</v>
      </c>
      <c r="L67" s="48"/>
      <c r="M67" s="40"/>
    </row>
    <row r="68" spans="1:13" x14ac:dyDescent="0.2">
      <c r="A68" s="12" t="s">
        <v>107</v>
      </c>
      <c r="B68" s="3" t="s">
        <v>162</v>
      </c>
      <c r="C68" s="2">
        <v>15.6020334557571</v>
      </c>
      <c r="D68" s="3">
        <f t="shared" si="1"/>
        <v>5.8079144173508057</v>
      </c>
      <c r="E68" s="9">
        <f t="shared" si="2"/>
        <v>642561.08089720306</v>
      </c>
      <c r="F68" s="25">
        <v>7.6388888888888895E-2</v>
      </c>
      <c r="G68" s="34" t="s">
        <v>246</v>
      </c>
      <c r="H68" s="34" t="s">
        <v>247</v>
      </c>
      <c r="I68" s="3" t="s">
        <v>198</v>
      </c>
      <c r="J68" s="3">
        <f t="shared" ref="J68:J76" si="16">(E68*50*50)/2</f>
        <v>803201351.12150383</v>
      </c>
      <c r="K68" s="10">
        <f t="shared" si="4"/>
        <v>803201351.12150383</v>
      </c>
      <c r="L68" s="47">
        <f t="shared" ref="L68" si="17">AVERAGE(K68:K70)</f>
        <v>787790064.17915714</v>
      </c>
      <c r="M68" s="40" t="s">
        <v>238</v>
      </c>
    </row>
    <row r="69" spans="1:13" x14ac:dyDescent="0.2">
      <c r="A69" s="12" t="s">
        <v>108</v>
      </c>
      <c r="B69" s="3" t="s">
        <v>162</v>
      </c>
      <c r="C69" s="2">
        <v>15.644850948724701</v>
      </c>
      <c r="D69" s="3">
        <f t="shared" si="1"/>
        <v>5.7968330402352075</v>
      </c>
      <c r="E69" s="9">
        <f t="shared" si="2"/>
        <v>626373.0161225081</v>
      </c>
      <c r="F69" s="25">
        <v>7.6388888888888895E-2</v>
      </c>
      <c r="G69" s="34" t="s">
        <v>246</v>
      </c>
      <c r="H69" s="34" t="s">
        <v>247</v>
      </c>
      <c r="I69" s="3" t="s">
        <v>198</v>
      </c>
      <c r="J69" s="3">
        <f t="shared" si="16"/>
        <v>782966270.15313518</v>
      </c>
      <c r="K69" s="10">
        <f t="shared" si="4"/>
        <v>782966270.15313518</v>
      </c>
      <c r="L69" s="48"/>
      <c r="M69" s="40"/>
    </row>
    <row r="70" spans="1:13" x14ac:dyDescent="0.2">
      <c r="A70" s="12" t="s">
        <v>109</v>
      </c>
      <c r="B70" s="3" t="s">
        <v>162</v>
      </c>
      <c r="C70" s="2">
        <v>15.657249572069</v>
      </c>
      <c r="D70" s="3">
        <f t="shared" si="1"/>
        <v>5.7936242157228435</v>
      </c>
      <c r="E70" s="9">
        <f t="shared" si="2"/>
        <v>621762.05701026565</v>
      </c>
      <c r="F70" s="25">
        <v>7.6388888888888895E-2</v>
      </c>
      <c r="G70" s="34" t="s">
        <v>246</v>
      </c>
      <c r="H70" s="34" t="s">
        <v>247</v>
      </c>
      <c r="I70" s="3" t="s">
        <v>198</v>
      </c>
      <c r="J70" s="3">
        <f t="shared" si="16"/>
        <v>777202571.26283205</v>
      </c>
      <c r="K70" s="10">
        <f t="shared" si="4"/>
        <v>777202571.26283205</v>
      </c>
      <c r="L70" s="48"/>
      <c r="M70" s="40"/>
    </row>
    <row r="71" spans="1:13" x14ac:dyDescent="0.2">
      <c r="A71" s="12" t="s">
        <v>110</v>
      </c>
      <c r="B71" s="3" t="s">
        <v>163</v>
      </c>
      <c r="C71" s="2">
        <v>16.600928644792099</v>
      </c>
      <c r="D71" s="3">
        <f t="shared" si="1"/>
        <v>5.5493954448124221</v>
      </c>
      <c r="E71" s="9">
        <f t="shared" si="2"/>
        <v>354319.81850213034</v>
      </c>
      <c r="F71" s="25">
        <v>7.6388888888888895E-2</v>
      </c>
      <c r="G71" s="34" t="s">
        <v>246</v>
      </c>
      <c r="H71" s="34" t="s">
        <v>247</v>
      </c>
      <c r="I71" s="3" t="s">
        <v>198</v>
      </c>
      <c r="J71" s="3">
        <f t="shared" si="16"/>
        <v>442899773.12766296</v>
      </c>
      <c r="K71" s="10">
        <f t="shared" si="4"/>
        <v>442899773.12766296</v>
      </c>
      <c r="L71" s="47">
        <f t="shared" ref="L71" si="18">AVERAGE(K71:K73)</f>
        <v>457781515.3180669</v>
      </c>
      <c r="M71" s="40" t="s">
        <v>238</v>
      </c>
    </row>
    <row r="72" spans="1:13" x14ac:dyDescent="0.2">
      <c r="A72" s="12" t="s">
        <v>111</v>
      </c>
      <c r="B72" s="3" t="s">
        <v>163</v>
      </c>
      <c r="C72" s="2">
        <v>16.5611713854336</v>
      </c>
      <c r="D72" s="3">
        <f t="shared" si="1"/>
        <v>5.5596848184655583</v>
      </c>
      <c r="E72" s="9">
        <f t="shared" si="2"/>
        <v>362814.65288850782</v>
      </c>
      <c r="F72" s="25">
        <v>7.6388888888888895E-2</v>
      </c>
      <c r="G72" s="34" t="s">
        <v>246</v>
      </c>
      <c r="H72" s="34" t="s">
        <v>247</v>
      </c>
      <c r="I72" s="3" t="s">
        <v>198</v>
      </c>
      <c r="J72" s="3">
        <f t="shared" si="16"/>
        <v>453518316.1106348</v>
      </c>
      <c r="K72" s="10">
        <f t="shared" si="4"/>
        <v>453518316.1106348</v>
      </c>
      <c r="L72" s="48"/>
      <c r="M72" s="40"/>
    </row>
    <row r="73" spans="1:13" x14ac:dyDescent="0.2">
      <c r="A73" s="12" t="s">
        <v>112</v>
      </c>
      <c r="B73" s="3" t="s">
        <v>163</v>
      </c>
      <c r="C73" s="2">
        <v>16.476719417371498</v>
      </c>
      <c r="D73" s="3">
        <f t="shared" si="1"/>
        <v>5.5815414018708207</v>
      </c>
      <c r="E73" s="9">
        <f t="shared" si="2"/>
        <v>381541.16537272243</v>
      </c>
      <c r="F73" s="25">
        <v>7.6388888888888895E-2</v>
      </c>
      <c r="G73" s="34" t="s">
        <v>246</v>
      </c>
      <c r="H73" s="34" t="s">
        <v>247</v>
      </c>
      <c r="I73" s="3" t="s">
        <v>198</v>
      </c>
      <c r="J73" s="3">
        <f t="shared" si="16"/>
        <v>476926456.71590304</v>
      </c>
      <c r="K73" s="10">
        <f t="shared" si="4"/>
        <v>476926456.71590304</v>
      </c>
      <c r="L73" s="48"/>
      <c r="M73" s="40"/>
    </row>
    <row r="74" spans="1:13" x14ac:dyDescent="0.2">
      <c r="A74" s="12" t="s">
        <v>113</v>
      </c>
      <c r="B74" s="3" t="s">
        <v>164</v>
      </c>
      <c r="C74" s="2">
        <v>17.3607265908811</v>
      </c>
      <c r="D74" s="3">
        <f t="shared" si="1"/>
        <v>5.3527560110501469</v>
      </c>
      <c r="E74" s="9">
        <f t="shared" si="2"/>
        <v>225297.31242539838</v>
      </c>
      <c r="F74" s="25">
        <v>7.6388888888888895E-2</v>
      </c>
      <c r="G74" s="34" t="s">
        <v>246</v>
      </c>
      <c r="H74" s="34" t="s">
        <v>247</v>
      </c>
      <c r="I74" s="3" t="s">
        <v>198</v>
      </c>
      <c r="J74" s="3">
        <f t="shared" si="16"/>
        <v>281621640.531748</v>
      </c>
      <c r="K74" s="10">
        <f t="shared" si="4"/>
        <v>281621640.531748</v>
      </c>
      <c r="L74" s="47">
        <f t="shared" ref="L74" si="19">AVERAGE(K74:K76)</f>
        <v>278409478.08134621</v>
      </c>
      <c r="M74" s="40" t="s">
        <v>238</v>
      </c>
    </row>
    <row r="75" spans="1:13" x14ac:dyDescent="0.2">
      <c r="A75" s="12" t="s">
        <v>114</v>
      </c>
      <c r="B75" s="3" t="s">
        <v>164</v>
      </c>
      <c r="C75" s="2">
        <v>17.4005331272162</v>
      </c>
      <c r="D75" s="3">
        <f t="shared" si="1"/>
        <v>5.3424538842738594</v>
      </c>
      <c r="E75" s="9">
        <f t="shared" si="2"/>
        <v>220015.80726043606</v>
      </c>
      <c r="F75" s="25">
        <v>7.6388888888888895E-2</v>
      </c>
      <c r="G75" s="34" t="s">
        <v>246</v>
      </c>
      <c r="H75" s="34" t="s">
        <v>247</v>
      </c>
      <c r="I75" s="3" t="s">
        <v>198</v>
      </c>
      <c r="J75" s="3">
        <f t="shared" si="16"/>
        <v>275019759.07554507</v>
      </c>
      <c r="K75" s="10">
        <f t="shared" si="4"/>
        <v>275019759.07554507</v>
      </c>
      <c r="L75" s="48"/>
      <c r="M75" s="40"/>
    </row>
    <row r="76" spans="1:13" x14ac:dyDescent="0.2">
      <c r="A76" s="12" t="s">
        <v>115</v>
      </c>
      <c r="B76" s="3" t="s">
        <v>164</v>
      </c>
      <c r="C76" s="2">
        <v>17.3789067852647</v>
      </c>
      <c r="D76" s="3">
        <f t="shared" si="1"/>
        <v>5.3480508876055772</v>
      </c>
      <c r="E76" s="9">
        <f t="shared" si="2"/>
        <v>222869.62770939642</v>
      </c>
      <c r="F76" s="25">
        <v>7.6388888888888895E-2</v>
      </c>
      <c r="G76" s="34" t="s">
        <v>246</v>
      </c>
      <c r="H76" s="34" t="s">
        <v>247</v>
      </c>
      <c r="I76" s="3" t="s">
        <v>198</v>
      </c>
      <c r="J76" s="3">
        <f t="shared" si="16"/>
        <v>278587034.63674551</v>
      </c>
      <c r="K76" s="10">
        <f t="shared" si="4"/>
        <v>278587034.63674551</v>
      </c>
      <c r="L76" s="48"/>
      <c r="M76" s="40"/>
    </row>
    <row r="77" spans="1:13" x14ac:dyDescent="0.2">
      <c r="A77" s="12" t="s">
        <v>16</v>
      </c>
      <c r="B77" s="3" t="s">
        <v>165</v>
      </c>
      <c r="C77" s="2">
        <v>17.219048813630401</v>
      </c>
      <c r="D77" s="3">
        <f t="shared" si="1"/>
        <v>5.3894229144534522</v>
      </c>
      <c r="E77" s="9">
        <f t="shared" si="2"/>
        <v>245144.92926728801</v>
      </c>
      <c r="F77" s="25">
        <v>7.6388888888888895E-2</v>
      </c>
      <c r="G77" s="34" t="s">
        <v>246</v>
      </c>
      <c r="H77" s="34" t="s">
        <v>247</v>
      </c>
      <c r="I77" s="3" t="s">
        <v>212</v>
      </c>
      <c r="J77" s="34">
        <f>(E77*50*50)/247.9*1000</f>
        <v>2472215906.2856798</v>
      </c>
      <c r="K77" s="10">
        <f t="shared" si="4"/>
        <v>2472215906.2856798</v>
      </c>
      <c r="L77" s="47">
        <f t="shared" ref="L77:L101" si="20">AVERAGE(K77:K79)</f>
        <v>2368238927.0611157</v>
      </c>
      <c r="M77" s="40" t="s">
        <v>239</v>
      </c>
    </row>
    <row r="78" spans="1:13" x14ac:dyDescent="0.2">
      <c r="A78" s="12" t="s">
        <v>17</v>
      </c>
      <c r="B78" s="3" t="s">
        <v>165</v>
      </c>
      <c r="C78" s="2">
        <v>17.286749274950498</v>
      </c>
      <c r="D78" s="3">
        <f t="shared" si="1"/>
        <v>5.3719017031262108</v>
      </c>
      <c r="E78" s="9">
        <f t="shared" si="2"/>
        <v>235451.6309621571</v>
      </c>
      <c r="F78" s="25">
        <v>7.6388888888888895E-2</v>
      </c>
      <c r="G78" s="34" t="s">
        <v>246</v>
      </c>
      <c r="H78" s="34" t="s">
        <v>247</v>
      </c>
      <c r="I78" s="3" t="s">
        <v>212</v>
      </c>
      <c r="J78" s="34">
        <f t="shared" ref="J78:J79" si="21">(E78*50*50)/247.9*1000</f>
        <v>2374461788.6461992</v>
      </c>
      <c r="K78" s="10">
        <f t="shared" si="4"/>
        <v>2374461788.6461992</v>
      </c>
      <c r="L78" s="48"/>
      <c r="M78" s="40"/>
    </row>
    <row r="79" spans="1:13" x14ac:dyDescent="0.2">
      <c r="A79" s="12" t="s">
        <v>18</v>
      </c>
      <c r="B79" s="3" t="s">
        <v>165</v>
      </c>
      <c r="C79" s="2">
        <v>17.371112938702499</v>
      </c>
      <c r="D79" s="3">
        <f t="shared" si="1"/>
        <v>5.3500679733093621</v>
      </c>
      <c r="E79" s="9">
        <f t="shared" si="2"/>
        <v>223907.15579269562</v>
      </c>
      <c r="F79" s="25">
        <v>7.6388888888888895E-2</v>
      </c>
      <c r="G79" s="34" t="s">
        <v>246</v>
      </c>
      <c r="H79" s="34" t="s">
        <v>247</v>
      </c>
      <c r="I79" s="3" t="s">
        <v>212</v>
      </c>
      <c r="J79" s="34">
        <f t="shared" si="21"/>
        <v>2258039086.2514682</v>
      </c>
      <c r="K79" s="10">
        <f t="shared" si="4"/>
        <v>2258039086.2514682</v>
      </c>
      <c r="L79" s="48"/>
      <c r="M79" s="40"/>
    </row>
    <row r="80" spans="1:13" x14ac:dyDescent="0.2">
      <c r="A80" s="12" t="s">
        <v>116</v>
      </c>
      <c r="B80" s="3" t="s">
        <v>166</v>
      </c>
      <c r="C80" s="2">
        <v>17.483655996460801</v>
      </c>
      <c r="D80" s="3">
        <f t="shared" si="1"/>
        <v>5.3209412781591814</v>
      </c>
      <c r="E80" s="9">
        <f t="shared" si="2"/>
        <v>209382.93257853173</v>
      </c>
      <c r="F80" s="25">
        <v>7.6388888888888895E-2</v>
      </c>
      <c r="G80" s="34" t="s">
        <v>246</v>
      </c>
      <c r="H80" s="34" t="s">
        <v>247</v>
      </c>
      <c r="I80" s="3" t="s">
        <v>215</v>
      </c>
      <c r="J80" s="34">
        <f>(E80*50*50)/247.6*1000</f>
        <v>2114124925.0659504</v>
      </c>
      <c r="K80" s="10">
        <f t="shared" si="4"/>
        <v>2114124925.0659504</v>
      </c>
      <c r="L80" s="47">
        <f t="shared" si="20"/>
        <v>2127913048.3957033</v>
      </c>
      <c r="M80" s="40" t="s">
        <v>239</v>
      </c>
    </row>
    <row r="81" spans="1:13" x14ac:dyDescent="0.2">
      <c r="A81" s="12" t="s">
        <v>117</v>
      </c>
      <c r="B81" s="3" t="s">
        <v>166</v>
      </c>
      <c r="C81" s="2">
        <v>17.474160751305501</v>
      </c>
      <c r="D81" s="3">
        <f t="shared" si="1"/>
        <v>5.3233986941608737</v>
      </c>
      <c r="E81" s="9">
        <f t="shared" si="2"/>
        <v>210571.0652439433</v>
      </c>
      <c r="F81" s="25">
        <v>7.6388888888888895E-2</v>
      </c>
      <c r="G81" s="34" t="s">
        <v>246</v>
      </c>
      <c r="H81" s="34" t="s">
        <v>247</v>
      </c>
      <c r="I81" s="3" t="s">
        <v>215</v>
      </c>
      <c r="J81" s="34">
        <f t="shared" ref="J81:J82" si="22">(E81*50*50)/247.6*1000</f>
        <v>2126121418.0527389</v>
      </c>
      <c r="K81" s="10">
        <f t="shared" si="4"/>
        <v>2126121418.0527389</v>
      </c>
      <c r="L81" s="48"/>
      <c r="M81" s="40"/>
    </row>
    <row r="82" spans="1:13" x14ac:dyDescent="0.2">
      <c r="A82" s="12" t="s">
        <v>118</v>
      </c>
      <c r="B82" s="3" t="s">
        <v>166</v>
      </c>
      <c r="C82" s="2">
        <v>17.460505805262301</v>
      </c>
      <c r="D82" s="3">
        <f t="shared" si="1"/>
        <v>5.3269326611475059</v>
      </c>
      <c r="E82" s="9">
        <f t="shared" si="2"/>
        <v>212291.52711685639</v>
      </c>
      <c r="F82" s="25">
        <v>7.6388888888888895E-2</v>
      </c>
      <c r="G82" s="34" t="s">
        <v>246</v>
      </c>
      <c r="H82" s="34" t="s">
        <v>247</v>
      </c>
      <c r="I82" s="3" t="s">
        <v>215</v>
      </c>
      <c r="J82" s="34">
        <f t="shared" si="22"/>
        <v>2143492802.0684206</v>
      </c>
      <c r="K82" s="10">
        <f t="shared" si="4"/>
        <v>2143492802.0684206</v>
      </c>
      <c r="L82" s="48"/>
      <c r="M82" s="40"/>
    </row>
    <row r="83" spans="1:13" x14ac:dyDescent="0.2">
      <c r="A83" s="12" t="s">
        <v>119</v>
      </c>
      <c r="B83" s="3" t="s">
        <v>167</v>
      </c>
      <c r="C83" s="2">
        <v>17.3118844781125</v>
      </c>
      <c r="D83" s="3">
        <f t="shared" si="1"/>
        <v>5.3653965893091531</v>
      </c>
      <c r="E83" s="9">
        <f t="shared" si="2"/>
        <v>231951.181640847</v>
      </c>
      <c r="F83" s="25">
        <v>7.6388888888888895E-2</v>
      </c>
      <c r="G83" s="34" t="s">
        <v>246</v>
      </c>
      <c r="H83" s="34" t="s">
        <v>247</v>
      </c>
      <c r="I83" s="3" t="s">
        <v>217</v>
      </c>
      <c r="J83" s="34">
        <f>(E83*50*50)/231.4*1000</f>
        <v>2505954857.8311038</v>
      </c>
      <c r="K83" s="10">
        <f t="shared" si="4"/>
        <v>2505954857.8311038</v>
      </c>
      <c r="L83" s="47">
        <f t="shared" si="20"/>
        <v>2239710744.9104924</v>
      </c>
      <c r="M83" s="40" t="s">
        <v>239</v>
      </c>
    </row>
    <row r="84" spans="1:13" x14ac:dyDescent="0.2">
      <c r="A84" s="12" t="s">
        <v>120</v>
      </c>
      <c r="B84" s="3" t="s">
        <v>167</v>
      </c>
      <c r="C84" s="2">
        <v>17.552553211773301</v>
      </c>
      <c r="D84" s="3">
        <f t="shared" si="1"/>
        <v>5.3031103410309823</v>
      </c>
      <c r="E84" s="9">
        <f t="shared" si="2"/>
        <v>200960.33268926191</v>
      </c>
      <c r="F84" s="25">
        <v>7.6388888888888895E-2</v>
      </c>
      <c r="G84" s="34" t="s">
        <v>246</v>
      </c>
      <c r="H84" s="34" t="s">
        <v>247</v>
      </c>
      <c r="I84" s="3" t="s">
        <v>217</v>
      </c>
      <c r="J84" s="34">
        <f t="shared" ref="J84:J85" si="23">(E84*50*50)/231.4*1000</f>
        <v>2171135832.8571944</v>
      </c>
      <c r="K84" s="10">
        <f t="shared" si="4"/>
        <v>2171135832.8571944</v>
      </c>
      <c r="L84" s="48"/>
      <c r="M84" s="40"/>
    </row>
    <row r="85" spans="1:13" x14ac:dyDescent="0.2">
      <c r="A85" s="12" t="s">
        <v>121</v>
      </c>
      <c r="B85" s="3" t="s">
        <v>167</v>
      </c>
      <c r="C85" s="2">
        <v>17.655419971591499</v>
      </c>
      <c r="D85" s="3">
        <f t="shared" si="1"/>
        <v>5.2764879192309095</v>
      </c>
      <c r="E85" s="9">
        <f t="shared" si="2"/>
        <v>189011.36531663663</v>
      </c>
      <c r="F85" s="25">
        <v>7.6388888888888895E-2</v>
      </c>
      <c r="G85" s="34" t="s">
        <v>246</v>
      </c>
      <c r="H85" s="34" t="s">
        <v>247</v>
      </c>
      <c r="I85" s="3" t="s">
        <v>217</v>
      </c>
      <c r="J85" s="34">
        <f t="shared" si="23"/>
        <v>2042041544.0431788</v>
      </c>
      <c r="K85" s="10">
        <f t="shared" si="4"/>
        <v>2042041544.0431788</v>
      </c>
      <c r="L85" s="48"/>
      <c r="M85" s="40"/>
    </row>
    <row r="86" spans="1:13" x14ac:dyDescent="0.2">
      <c r="A86" s="12" t="s">
        <v>122</v>
      </c>
      <c r="B86" s="3" t="s">
        <v>168</v>
      </c>
      <c r="C86" s="2">
        <v>17.109146150627499</v>
      </c>
      <c r="D86" s="3">
        <f t="shared" si="1"/>
        <v>5.417866262494992</v>
      </c>
      <c r="E86" s="9">
        <f t="shared" si="2"/>
        <v>261737.68838714182</v>
      </c>
      <c r="F86" s="25">
        <v>7.6388888888888895E-2</v>
      </c>
      <c r="G86" s="34" t="s">
        <v>246</v>
      </c>
      <c r="H86" s="34" t="s">
        <v>247</v>
      </c>
      <c r="I86" s="3" t="s">
        <v>220</v>
      </c>
      <c r="J86" s="34">
        <f>(E86*50*50)/259.8*1000</f>
        <v>2518645962.1549439</v>
      </c>
      <c r="K86" s="10">
        <f t="shared" si="4"/>
        <v>2518645962.1549439</v>
      </c>
      <c r="L86" s="47">
        <f t="shared" si="20"/>
        <v>1690778032.1592162</v>
      </c>
      <c r="M86" s="40" t="s">
        <v>239</v>
      </c>
    </row>
    <row r="87" spans="1:13" x14ac:dyDescent="0.2">
      <c r="A87" s="12" t="s">
        <v>123</v>
      </c>
      <c r="B87" s="3" t="s">
        <v>168</v>
      </c>
      <c r="C87" s="2">
        <v>17.087849346256899</v>
      </c>
      <c r="D87" s="3">
        <f t="shared" si="1"/>
        <v>5.4233779798850392</v>
      </c>
      <c r="E87" s="9">
        <f t="shared" si="2"/>
        <v>265080.62133586669</v>
      </c>
      <c r="F87" s="25">
        <v>7.6388888888888895E-2</v>
      </c>
      <c r="G87" s="34" t="s">
        <v>246</v>
      </c>
      <c r="H87" s="34" t="s">
        <v>247</v>
      </c>
      <c r="I87" s="3" t="s">
        <v>220</v>
      </c>
      <c r="J87" s="34">
        <f t="shared" ref="J87:J88" si="24">(E87*50*50)/259.8*1000</f>
        <v>2550814293.0703106</v>
      </c>
      <c r="K87" s="10">
        <f t="shared" si="4"/>
        <v>2550814293.0703106</v>
      </c>
      <c r="L87" s="48"/>
      <c r="M87" s="40"/>
    </row>
    <row r="88" spans="1:13" x14ac:dyDescent="0.2">
      <c r="A88" s="12" t="s">
        <v>124</v>
      </c>
      <c r="B88" s="3" t="s">
        <v>168</v>
      </c>
      <c r="C88" s="2">
        <v>28.479503958373598</v>
      </c>
      <c r="D88" s="3">
        <f t="shared" si="1"/>
        <v>2.4751619126101674</v>
      </c>
      <c r="E88" s="9">
        <f t="shared" si="2"/>
        <v>298.64958294885236</v>
      </c>
      <c r="F88" s="25">
        <v>7.6388888888888895E-2</v>
      </c>
      <c r="G88" s="34" t="s">
        <v>246</v>
      </c>
      <c r="H88" s="34" t="s">
        <v>247</v>
      </c>
      <c r="I88" s="3" t="s">
        <v>220</v>
      </c>
      <c r="J88" s="34">
        <f t="shared" si="24"/>
        <v>2873841.2523946529</v>
      </c>
      <c r="K88" s="10">
        <f t="shared" si="4"/>
        <v>2873841.2523946529</v>
      </c>
      <c r="L88" s="48"/>
      <c r="M88" s="40"/>
    </row>
    <row r="89" spans="1:13" x14ac:dyDescent="0.2">
      <c r="A89" s="12" t="s">
        <v>19</v>
      </c>
      <c r="B89" s="3" t="s">
        <v>169</v>
      </c>
      <c r="C89" s="2">
        <v>17.128671605482399</v>
      </c>
      <c r="D89" s="3">
        <f t="shared" si="1"/>
        <v>5.4128129790445936</v>
      </c>
      <c r="E89" s="9">
        <f t="shared" si="2"/>
        <v>258709.85886680195</v>
      </c>
      <c r="F89" s="25">
        <v>7.6388888888888895E-2</v>
      </c>
      <c r="G89" s="34" t="s">
        <v>246</v>
      </c>
      <c r="H89" s="34" t="s">
        <v>247</v>
      </c>
      <c r="I89" s="3" t="s">
        <v>222</v>
      </c>
      <c r="J89" s="34">
        <f>(E89*50*50)/236.5*1000</f>
        <v>2734776520.7907181</v>
      </c>
      <c r="K89" s="10">
        <f t="shared" si="4"/>
        <v>2734776520.7907181</v>
      </c>
      <c r="L89" s="47">
        <f t="shared" si="20"/>
        <v>2650336780.337656</v>
      </c>
      <c r="M89" s="40" t="s">
        <v>239</v>
      </c>
    </row>
    <row r="90" spans="1:13" x14ac:dyDescent="0.2">
      <c r="A90" s="12" t="s">
        <v>20</v>
      </c>
      <c r="B90" s="3" t="s">
        <v>169</v>
      </c>
      <c r="C90" s="2">
        <v>17.193953926932299</v>
      </c>
      <c r="D90" s="3">
        <f t="shared" si="1"/>
        <v>5.3959175941719799</v>
      </c>
      <c r="E90" s="9">
        <f t="shared" si="2"/>
        <v>248838.5111289761</v>
      </c>
      <c r="F90" s="25">
        <v>7.6388888888888895E-2</v>
      </c>
      <c r="G90" s="34" t="s">
        <v>246</v>
      </c>
      <c r="H90" s="34" t="s">
        <v>247</v>
      </c>
      <c r="I90" s="3" t="s">
        <v>222</v>
      </c>
      <c r="J90" s="34">
        <f t="shared" ref="J90:J91" si="25">(E90*50*50)/236.5*1000</f>
        <v>2630428236.0356884</v>
      </c>
      <c r="K90" s="10">
        <f t="shared" si="4"/>
        <v>2630428236.0356884</v>
      </c>
      <c r="L90" s="48"/>
      <c r="M90" s="40"/>
    </row>
    <row r="91" spans="1:13" x14ac:dyDescent="0.2">
      <c r="A91" s="12" t="s">
        <v>21</v>
      </c>
      <c r="B91" s="3" t="s">
        <v>169</v>
      </c>
      <c r="C91" s="2">
        <v>17.222665086115398</v>
      </c>
      <c r="D91" s="3">
        <f t="shared" si="1"/>
        <v>5.3884870054036309</v>
      </c>
      <c r="E91" s="9">
        <f t="shared" si="2"/>
        <v>244617.20826404874</v>
      </c>
      <c r="F91" s="25">
        <v>7.6388888888888895E-2</v>
      </c>
      <c r="G91" s="34" t="s">
        <v>246</v>
      </c>
      <c r="H91" s="34" t="s">
        <v>247</v>
      </c>
      <c r="I91" s="3" t="s">
        <v>222</v>
      </c>
      <c r="J91" s="34">
        <f t="shared" si="25"/>
        <v>2585805584.1865616</v>
      </c>
      <c r="K91" s="10">
        <f t="shared" si="4"/>
        <v>2585805584.1865616</v>
      </c>
      <c r="L91" s="48"/>
      <c r="M91" s="40"/>
    </row>
    <row r="92" spans="1:13" x14ac:dyDescent="0.2">
      <c r="A92" s="12" t="s">
        <v>125</v>
      </c>
      <c r="B92" s="3" t="s">
        <v>170</v>
      </c>
      <c r="C92" s="2">
        <v>18.178729470073201</v>
      </c>
      <c r="D92" s="3">
        <f t="shared" si="1"/>
        <v>5.141052855220078</v>
      </c>
      <c r="E92" s="9">
        <f t="shared" si="2"/>
        <v>138373.47742857822</v>
      </c>
      <c r="F92" s="25">
        <v>7.6388888888888895E-2</v>
      </c>
      <c r="G92" s="34" t="s">
        <v>246</v>
      </c>
      <c r="H92" s="34" t="s">
        <v>247</v>
      </c>
      <c r="I92" s="3" t="s">
        <v>225</v>
      </c>
      <c r="J92" s="34">
        <f>(E92*50*50)/241.8*1000</f>
        <v>1430660436.6064744</v>
      </c>
      <c r="K92" s="10">
        <f t="shared" si="4"/>
        <v>1430660436.6064744</v>
      </c>
      <c r="L92" s="47">
        <f t="shared" si="20"/>
        <v>1492947670.6775897</v>
      </c>
      <c r="M92" s="40" t="s">
        <v>239</v>
      </c>
    </row>
    <row r="93" spans="1:13" x14ac:dyDescent="0.2">
      <c r="A93" s="12" t="s">
        <v>126</v>
      </c>
      <c r="B93" s="3" t="s">
        <v>170</v>
      </c>
      <c r="C93" s="2">
        <v>18.063137730367998</v>
      </c>
      <c r="D93" s="3">
        <f t="shared" si="1"/>
        <v>5.1709685642059044</v>
      </c>
      <c r="E93" s="9">
        <f t="shared" si="2"/>
        <v>148241.07790470691</v>
      </c>
      <c r="F93" s="25">
        <v>7.6388888888888895E-2</v>
      </c>
      <c r="G93" s="34" t="s">
        <v>246</v>
      </c>
      <c r="H93" s="34" t="s">
        <v>247</v>
      </c>
      <c r="I93" s="3" t="s">
        <v>225</v>
      </c>
      <c r="J93" s="34">
        <f t="shared" ref="J93:J94" si="26">(E93*50*50)/241.8*1000</f>
        <v>1532682774.0354311</v>
      </c>
      <c r="K93" s="10">
        <f t="shared" si="4"/>
        <v>1532682774.0354311</v>
      </c>
      <c r="L93" s="48"/>
      <c r="M93" s="40"/>
    </row>
    <row r="94" spans="1:13" x14ac:dyDescent="0.2">
      <c r="A94" s="12" t="s">
        <v>127</v>
      </c>
      <c r="B94" s="3" t="s">
        <v>170</v>
      </c>
      <c r="C94" s="2">
        <v>18.0820569722652</v>
      </c>
      <c r="D94" s="3">
        <f t="shared" si="1"/>
        <v>5.1660721716412406</v>
      </c>
      <c r="E94" s="9">
        <f t="shared" si="2"/>
        <v>146579.14079052431</v>
      </c>
      <c r="F94" s="25">
        <v>7.6388888888888895E-2</v>
      </c>
      <c r="G94" s="34" t="s">
        <v>246</v>
      </c>
      <c r="H94" s="34" t="s">
        <v>247</v>
      </c>
      <c r="I94" s="3" t="s">
        <v>225</v>
      </c>
      <c r="J94" s="34">
        <f t="shared" si="26"/>
        <v>1515499801.3908634</v>
      </c>
      <c r="K94" s="10">
        <f t="shared" si="4"/>
        <v>1515499801.3908634</v>
      </c>
      <c r="L94" s="48"/>
      <c r="M94" s="40"/>
    </row>
    <row r="95" spans="1:13" x14ac:dyDescent="0.2">
      <c r="A95" s="12" t="s">
        <v>128</v>
      </c>
      <c r="B95" s="3" t="s">
        <v>171</v>
      </c>
      <c r="C95" s="2">
        <v>17.3984055395971</v>
      </c>
      <c r="D95" s="3">
        <f t="shared" si="1"/>
        <v>5.343004514381315</v>
      </c>
      <c r="E95" s="9">
        <f t="shared" si="2"/>
        <v>220294.93620359796</v>
      </c>
      <c r="F95" s="25">
        <v>7.6388888888888895E-2</v>
      </c>
      <c r="G95" s="34" t="s">
        <v>246</v>
      </c>
      <c r="H95" s="34" t="s">
        <v>247</v>
      </c>
      <c r="I95" s="3" t="s">
        <v>228</v>
      </c>
      <c r="J95" s="34">
        <f>(E95*50*50)/232.2*1000</f>
        <v>2371823171.873363</v>
      </c>
      <c r="K95" s="10">
        <f t="shared" si="4"/>
        <v>2371823171.873363</v>
      </c>
      <c r="L95" s="47">
        <f t="shared" si="20"/>
        <v>2472630277.1519217</v>
      </c>
      <c r="M95" s="40" t="s">
        <v>239</v>
      </c>
    </row>
    <row r="96" spans="1:13" x14ac:dyDescent="0.2">
      <c r="A96" s="12" t="s">
        <v>129</v>
      </c>
      <c r="B96" s="3" t="s">
        <v>171</v>
      </c>
      <c r="C96" s="2">
        <v>17.3221166791167</v>
      </c>
      <c r="D96" s="3">
        <f t="shared" si="1"/>
        <v>5.362748445520447</v>
      </c>
      <c r="E96" s="9">
        <f t="shared" si="2"/>
        <v>230541.14485926574</v>
      </c>
      <c r="F96" s="25">
        <v>7.6388888888888895E-2</v>
      </c>
      <c r="G96" s="34" t="s">
        <v>246</v>
      </c>
      <c r="H96" s="34" t="s">
        <v>247</v>
      </c>
      <c r="I96" s="3" t="s">
        <v>228</v>
      </c>
      <c r="J96" s="34">
        <f t="shared" ref="J96:J97" si="27">(E96*50*50)/232.2*1000</f>
        <v>2482139802.5330071</v>
      </c>
      <c r="K96" s="10">
        <f t="shared" si="4"/>
        <v>2482139802.5330071</v>
      </c>
      <c r="L96" s="48"/>
      <c r="M96" s="40"/>
    </row>
    <row r="97" spans="1:13" x14ac:dyDescent="0.2">
      <c r="A97" s="12" t="s">
        <v>130</v>
      </c>
      <c r="B97" s="3" t="s">
        <v>171</v>
      </c>
      <c r="C97" s="2">
        <v>17.267714455550401</v>
      </c>
      <c r="D97" s="3">
        <f t="shared" si="1"/>
        <v>5.3768280077153054</v>
      </c>
      <c r="E97" s="9">
        <f t="shared" si="2"/>
        <v>238137.61936274779</v>
      </c>
      <c r="F97" s="25">
        <v>7.6388888888888895E-2</v>
      </c>
      <c r="G97" s="34" t="s">
        <v>246</v>
      </c>
      <c r="H97" s="34" t="s">
        <v>247</v>
      </c>
      <c r="I97" s="3" t="s">
        <v>228</v>
      </c>
      <c r="J97" s="34">
        <f t="shared" si="27"/>
        <v>2563927857.0493951</v>
      </c>
      <c r="K97" s="10">
        <f t="shared" si="4"/>
        <v>2563927857.0493951</v>
      </c>
      <c r="L97" s="48"/>
      <c r="M97" s="40"/>
    </row>
    <row r="98" spans="1:13" x14ac:dyDescent="0.2">
      <c r="A98" s="12" t="s">
        <v>131</v>
      </c>
      <c r="B98" s="3" t="s">
        <v>172</v>
      </c>
      <c r="C98" s="2">
        <v>17.368868957104301</v>
      </c>
      <c r="D98" s="3">
        <f t="shared" si="1"/>
        <v>5.3506487267492915</v>
      </c>
      <c r="E98" s="9">
        <f t="shared" si="2"/>
        <v>224206.77238619837</v>
      </c>
      <c r="F98" s="25">
        <v>7.6388888888888895E-2</v>
      </c>
      <c r="G98" s="34" t="s">
        <v>246</v>
      </c>
      <c r="H98" s="34" t="s">
        <v>247</v>
      </c>
      <c r="I98" s="3" t="s">
        <v>231</v>
      </c>
      <c r="J98" s="34">
        <f>(E98*50*50)/253.5*1000</f>
        <v>2211112153.710043</v>
      </c>
      <c r="K98" s="10">
        <f t="shared" si="4"/>
        <v>2211112153.710043</v>
      </c>
      <c r="L98" s="47">
        <f t="shared" si="20"/>
        <v>2243197564.2968903</v>
      </c>
      <c r="M98" s="40" t="s">
        <v>239</v>
      </c>
    </row>
    <row r="99" spans="1:13" x14ac:dyDescent="0.2">
      <c r="A99" s="12" t="s">
        <v>132</v>
      </c>
      <c r="B99" s="3" t="s">
        <v>172</v>
      </c>
      <c r="C99" s="2">
        <v>17.3920893638163</v>
      </c>
      <c r="D99" s="3">
        <f t="shared" si="1"/>
        <v>5.3446391716418047</v>
      </c>
      <c r="E99" s="9">
        <f t="shared" si="2"/>
        <v>221125.67500552008</v>
      </c>
      <c r="F99" s="25">
        <v>7.6388888888888895E-2</v>
      </c>
      <c r="G99" s="34" t="s">
        <v>246</v>
      </c>
      <c r="H99" s="34" t="s">
        <v>247</v>
      </c>
      <c r="I99" s="3" t="s">
        <v>231</v>
      </c>
      <c r="J99" s="34">
        <f t="shared" ref="J99:J100" si="28">(E99*50*50)/253.5*1000</f>
        <v>2180726577.9637089</v>
      </c>
      <c r="K99" s="10">
        <f t="shared" si="4"/>
        <v>2180726577.9637089</v>
      </c>
      <c r="L99" s="48"/>
      <c r="M99" s="40"/>
    </row>
    <row r="100" spans="1:13" x14ac:dyDescent="0.2">
      <c r="A100" s="12" t="s">
        <v>133</v>
      </c>
      <c r="B100" s="3" t="s">
        <v>172</v>
      </c>
      <c r="C100" s="2">
        <v>17.275408479633398</v>
      </c>
      <c r="D100" s="3">
        <f t="shared" si="1"/>
        <v>5.3748367565585706</v>
      </c>
      <c r="E100" s="9">
        <f t="shared" si="2"/>
        <v>237048.25166739561</v>
      </c>
      <c r="F100" s="25">
        <v>7.6388888888888895E-2</v>
      </c>
      <c r="G100" s="34" t="s">
        <v>246</v>
      </c>
      <c r="H100" s="34" t="s">
        <v>247</v>
      </c>
      <c r="I100" s="3" t="s">
        <v>231</v>
      </c>
      <c r="J100" s="34">
        <f t="shared" si="28"/>
        <v>2337753961.2169189</v>
      </c>
      <c r="K100" s="10">
        <f t="shared" si="4"/>
        <v>2337753961.2169189</v>
      </c>
      <c r="L100" s="48"/>
      <c r="M100" s="40"/>
    </row>
    <row r="101" spans="1:13" x14ac:dyDescent="0.2">
      <c r="A101" s="12" t="s">
        <v>22</v>
      </c>
      <c r="B101" s="3" t="s">
        <v>173</v>
      </c>
      <c r="C101" s="2">
        <v>17.5274510128591</v>
      </c>
      <c r="D101" s="3">
        <f t="shared" si="1"/>
        <v>5.3096069131868884</v>
      </c>
      <c r="E101" s="9">
        <f t="shared" si="2"/>
        <v>203989.07714015926</v>
      </c>
      <c r="F101" s="25">
        <v>7.6388888888888895E-2</v>
      </c>
      <c r="G101" s="34" t="s">
        <v>246</v>
      </c>
      <c r="H101" s="34" t="s">
        <v>247</v>
      </c>
      <c r="I101" s="3" t="s">
        <v>234</v>
      </c>
      <c r="J101" s="34">
        <f>(E101*50*50)/245.1*1000</f>
        <v>2080671941.454093</v>
      </c>
      <c r="K101" s="10">
        <f t="shared" si="4"/>
        <v>2080671941.454093</v>
      </c>
      <c r="L101" s="47">
        <f t="shared" si="20"/>
        <v>2018443248.6515653</v>
      </c>
      <c r="M101" s="40" t="s">
        <v>239</v>
      </c>
    </row>
    <row r="102" spans="1:13" x14ac:dyDescent="0.2">
      <c r="A102" s="12" t="s">
        <v>23</v>
      </c>
      <c r="B102" s="3" t="s">
        <v>173</v>
      </c>
      <c r="C102" s="2">
        <v>17.596809874556701</v>
      </c>
      <c r="D102" s="3">
        <f t="shared" si="1"/>
        <v>5.2916564997107578</v>
      </c>
      <c r="E102" s="9">
        <f t="shared" si="2"/>
        <v>195729.59601026637</v>
      </c>
      <c r="F102" s="25">
        <v>7.6388888888888895E-2</v>
      </c>
      <c r="G102" s="34" t="s">
        <v>246</v>
      </c>
      <c r="H102" s="34" t="s">
        <v>247</v>
      </c>
      <c r="I102" s="3" t="s">
        <v>234</v>
      </c>
      <c r="J102" s="34">
        <f t="shared" ref="J102:J103" si="29">(E102*50*50)/245.1*1000</f>
        <v>1996425907.8974538</v>
      </c>
      <c r="K102" s="10">
        <f t="shared" si="4"/>
        <v>1996425907.8974538</v>
      </c>
      <c r="L102" s="48"/>
      <c r="M102" s="40"/>
    </row>
    <row r="103" spans="1:13" x14ac:dyDescent="0.2">
      <c r="A103" s="12" t="s">
        <v>24</v>
      </c>
      <c r="B103" s="3" t="s">
        <v>173</v>
      </c>
      <c r="C103" s="2">
        <v>17.612172787029401</v>
      </c>
      <c r="D103" s="3">
        <f t="shared" ref="D103" si="30">(C103-$S$10)/$S$9</f>
        <v>5.2876805026379561</v>
      </c>
      <c r="E103" s="9">
        <f t="shared" si="2"/>
        <v>193945.85514297269</v>
      </c>
      <c r="F103" s="25">
        <v>7.6388888888888895E-2</v>
      </c>
      <c r="G103" s="34" t="s">
        <v>246</v>
      </c>
      <c r="H103" s="34" t="s">
        <v>247</v>
      </c>
      <c r="I103" s="3" t="s">
        <v>234</v>
      </c>
      <c r="J103" s="34">
        <f t="shared" si="29"/>
        <v>1978231896.6031487</v>
      </c>
      <c r="K103" s="10">
        <f t="shared" si="4"/>
        <v>1978231896.6031487</v>
      </c>
      <c r="L103" s="48"/>
      <c r="M103" s="40"/>
    </row>
    <row r="104" spans="1:13" x14ac:dyDescent="0.2">
      <c r="I104" s="3"/>
      <c r="J104" s="3"/>
      <c r="K104" s="3"/>
      <c r="L104" s="3"/>
    </row>
    <row r="105" spans="1:13" x14ac:dyDescent="0.2">
      <c r="I105" s="3"/>
      <c r="J105" s="3"/>
      <c r="K105" s="3"/>
      <c r="L105" s="3"/>
    </row>
    <row r="106" spans="1:13" x14ac:dyDescent="0.2">
      <c r="I106" s="3"/>
      <c r="J106" s="3"/>
      <c r="K106" s="3"/>
      <c r="L106" s="3"/>
    </row>
  </sheetData>
  <mergeCells count="45">
    <mergeCell ref="L101:L103"/>
    <mergeCell ref="M101:M103"/>
    <mergeCell ref="L92:L94"/>
    <mergeCell ref="M92:M94"/>
    <mergeCell ref="L95:L97"/>
    <mergeCell ref="M95:M97"/>
    <mergeCell ref="L98:L100"/>
    <mergeCell ref="M98:M100"/>
    <mergeCell ref="L83:L85"/>
    <mergeCell ref="M83:M85"/>
    <mergeCell ref="L86:L88"/>
    <mergeCell ref="M86:M88"/>
    <mergeCell ref="L89:L91"/>
    <mergeCell ref="M89:M91"/>
    <mergeCell ref="L74:L76"/>
    <mergeCell ref="M74:M76"/>
    <mergeCell ref="L77:L79"/>
    <mergeCell ref="M77:M79"/>
    <mergeCell ref="L80:L82"/>
    <mergeCell ref="M80:M82"/>
    <mergeCell ref="L65:L67"/>
    <mergeCell ref="M65:M67"/>
    <mergeCell ref="L68:L70"/>
    <mergeCell ref="M68:M70"/>
    <mergeCell ref="L71:L73"/>
    <mergeCell ref="M71:M73"/>
    <mergeCell ref="L56:L58"/>
    <mergeCell ref="M56:M58"/>
    <mergeCell ref="L59:L61"/>
    <mergeCell ref="M59:M61"/>
    <mergeCell ref="L62:L64"/>
    <mergeCell ref="M62:M64"/>
    <mergeCell ref="L47:L49"/>
    <mergeCell ref="M47:M49"/>
    <mergeCell ref="L50:L52"/>
    <mergeCell ref="M50:M52"/>
    <mergeCell ref="L53:L55"/>
    <mergeCell ref="M53:M55"/>
    <mergeCell ref="L44:L46"/>
    <mergeCell ref="M44:M46"/>
    <mergeCell ref="S6:U7"/>
    <mergeCell ref="L38:L40"/>
    <mergeCell ref="M38:M40"/>
    <mergeCell ref="L41:L43"/>
    <mergeCell ref="M41:M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5396-6C88-8F4C-919A-77D4A98EE92A}">
  <dimension ref="A1:U104"/>
  <sheetViews>
    <sheetView workbookViewId="0">
      <selection sqref="A1:D34"/>
    </sheetView>
  </sheetViews>
  <sheetFormatPr baseColWidth="10" defaultRowHeight="16" x14ac:dyDescent="0.2"/>
  <cols>
    <col min="1" max="1" width="5" style="1" bestFit="1" customWidth="1"/>
    <col min="2" max="2" width="15.33203125" style="1" bestFit="1" customWidth="1"/>
    <col min="3" max="3" width="6.6640625" style="1" bestFit="1" customWidth="1"/>
    <col min="4" max="4" width="21.6640625" style="1" bestFit="1" customWidth="1"/>
    <col min="5" max="5" width="10.83203125" style="1"/>
    <col min="6" max="6" width="4.6640625" style="1" bestFit="1" customWidth="1"/>
    <col min="7" max="7" width="9.1640625" style="1" bestFit="1" customWidth="1"/>
    <col min="8" max="8" width="13" style="1" bestFit="1" customWidth="1"/>
    <col min="9" max="9" width="14.33203125" style="1" bestFit="1" customWidth="1"/>
    <col min="10" max="10" width="12.1640625" style="1" bestFit="1" customWidth="1"/>
    <col min="11" max="11" width="8.6640625" style="1" bestFit="1" customWidth="1"/>
    <col min="12" max="12" width="10.83203125" style="1"/>
    <col min="13" max="13" width="13.1640625" style="1" bestFit="1" customWidth="1"/>
    <col min="14" max="14" width="5" style="1" bestFit="1" customWidth="1"/>
    <col min="15" max="15" width="8.33203125" style="1" bestFit="1" customWidth="1"/>
    <col min="16" max="16" width="9.83203125" style="1" bestFit="1" customWidth="1"/>
    <col min="17" max="17" width="5.6640625" style="1" bestFit="1" customWidth="1"/>
    <col min="18" max="20" width="10.83203125" style="1"/>
    <col min="21" max="21" width="13.1640625" style="1" bestFit="1" customWidth="1"/>
    <col min="22" max="16384" width="10.83203125" style="1"/>
  </cols>
  <sheetData>
    <row r="1" spans="1:21" x14ac:dyDescent="0.2">
      <c r="A1" s="3" t="s">
        <v>0</v>
      </c>
      <c r="B1" s="3" t="s">
        <v>25</v>
      </c>
      <c r="C1" s="3" t="s">
        <v>60</v>
      </c>
      <c r="D1" s="3" t="s">
        <v>26</v>
      </c>
      <c r="N1" s="1" t="s">
        <v>0</v>
      </c>
      <c r="O1" s="11" t="s">
        <v>25</v>
      </c>
      <c r="P1" s="1" t="s">
        <v>241</v>
      </c>
      <c r="Q1" s="3" t="s">
        <v>26</v>
      </c>
    </row>
    <row r="2" spans="1:21" x14ac:dyDescent="0.2">
      <c r="A2" s="12" t="s">
        <v>62</v>
      </c>
      <c r="B2" s="3" t="s">
        <v>27</v>
      </c>
      <c r="C2" s="24">
        <f>LOG(P2)</f>
        <v>8.0136044023579664</v>
      </c>
      <c r="D2" s="2">
        <v>10.5081767814891</v>
      </c>
      <c r="N2" s="1" t="s">
        <v>62</v>
      </c>
      <c r="O2" s="11" t="s">
        <v>27</v>
      </c>
      <c r="P2" s="20">
        <v>103182109.45826009</v>
      </c>
      <c r="Q2" s="2">
        <v>10.5081767814891</v>
      </c>
    </row>
    <row r="3" spans="1:21" x14ac:dyDescent="0.2">
      <c r="A3" s="12" t="s">
        <v>63</v>
      </c>
      <c r="B3" s="3" t="s">
        <v>27</v>
      </c>
      <c r="C3" s="24">
        <f t="shared" ref="C3:C28" si="0">LOG(P3)</f>
        <v>8.0136044023579664</v>
      </c>
      <c r="D3" s="2">
        <v>10.4775217935701</v>
      </c>
      <c r="N3" s="1" t="s">
        <v>63</v>
      </c>
      <c r="O3" s="11" t="s">
        <v>27</v>
      </c>
      <c r="P3" s="20">
        <v>103182109.45826009</v>
      </c>
      <c r="Q3" s="2">
        <v>10.4775217935701</v>
      </c>
    </row>
    <row r="4" spans="1:21" x14ac:dyDescent="0.2">
      <c r="A4" s="12" t="s">
        <v>64</v>
      </c>
      <c r="B4" s="3" t="s">
        <v>27</v>
      </c>
      <c r="C4" s="24">
        <f t="shared" si="0"/>
        <v>8.0136044023579664</v>
      </c>
      <c r="D4" s="2">
        <v>10.2240814750709</v>
      </c>
      <c r="N4" s="1" t="s">
        <v>64</v>
      </c>
      <c r="O4" s="11" t="s">
        <v>27</v>
      </c>
      <c r="P4" s="20">
        <v>103182109.45826009</v>
      </c>
      <c r="Q4" s="2">
        <v>10.2240814750709</v>
      </c>
    </row>
    <row r="5" spans="1:21" x14ac:dyDescent="0.2">
      <c r="A5" s="12" t="s">
        <v>65</v>
      </c>
      <c r="B5" s="3" t="s">
        <v>28</v>
      </c>
      <c r="C5" s="24">
        <f t="shared" si="0"/>
        <v>7.0136044023579664</v>
      </c>
      <c r="D5" s="2">
        <v>14.771255123327199</v>
      </c>
      <c r="N5" s="1" t="s">
        <v>65</v>
      </c>
      <c r="O5" s="11" t="s">
        <v>28</v>
      </c>
      <c r="P5" s="20">
        <v>10318210.945826009</v>
      </c>
      <c r="Q5" s="2">
        <v>14.771255123327199</v>
      </c>
    </row>
    <row r="6" spans="1:21" ht="17" thickBot="1" x14ac:dyDescent="0.25">
      <c r="A6" s="12" t="s">
        <v>66</v>
      </c>
      <c r="B6" s="3" t="s">
        <v>28</v>
      </c>
      <c r="C6" s="24">
        <f t="shared" si="0"/>
        <v>7.0136044023579664</v>
      </c>
      <c r="D6" s="2">
        <v>14.442326749385501</v>
      </c>
      <c r="N6" s="1" t="s">
        <v>66</v>
      </c>
      <c r="O6" s="11" t="s">
        <v>28</v>
      </c>
      <c r="P6" s="20">
        <v>10318210.945826009</v>
      </c>
      <c r="Q6" s="2">
        <v>14.442326749385501</v>
      </c>
    </row>
    <row r="7" spans="1:21" x14ac:dyDescent="0.2">
      <c r="A7" s="12" t="s">
        <v>67</v>
      </c>
      <c r="B7" s="3" t="s">
        <v>28</v>
      </c>
      <c r="C7" s="24">
        <f t="shared" si="0"/>
        <v>7.0136044023579664</v>
      </c>
      <c r="D7" s="2">
        <v>14.418678690222601</v>
      </c>
      <c r="N7" s="1" t="s">
        <v>67</v>
      </c>
      <c r="O7" s="11" t="s">
        <v>28</v>
      </c>
      <c r="P7" s="20">
        <v>10318210.945826009</v>
      </c>
      <c r="Q7" s="2">
        <v>14.418678690222601</v>
      </c>
      <c r="S7" s="41" t="s">
        <v>251</v>
      </c>
      <c r="T7" s="42"/>
      <c r="U7" s="43"/>
    </row>
    <row r="8" spans="1:21" ht="17" thickBot="1" x14ac:dyDescent="0.25">
      <c r="A8" s="12" t="s">
        <v>68</v>
      </c>
      <c r="B8" s="3" t="s">
        <v>29</v>
      </c>
      <c r="C8" s="24">
        <f t="shared" si="0"/>
        <v>6.0136044023579664</v>
      </c>
      <c r="D8" s="2">
        <v>18.560040409872901</v>
      </c>
      <c r="N8" s="1" t="s">
        <v>68</v>
      </c>
      <c r="O8" s="11" t="s">
        <v>29</v>
      </c>
      <c r="P8" s="20">
        <v>1031821.0945826009</v>
      </c>
      <c r="Q8" s="2">
        <v>18.560040409872901</v>
      </c>
      <c r="S8" s="44"/>
      <c r="T8" s="45"/>
      <c r="U8" s="46"/>
    </row>
    <row r="9" spans="1:21" x14ac:dyDescent="0.2">
      <c r="A9" s="12" t="s">
        <v>69</v>
      </c>
      <c r="B9" s="3" t="s">
        <v>29</v>
      </c>
      <c r="C9" s="24">
        <f t="shared" si="0"/>
        <v>6.0136044023579664</v>
      </c>
      <c r="D9" s="2">
        <v>18.626660150798699</v>
      </c>
      <c r="N9" s="1" t="s">
        <v>69</v>
      </c>
      <c r="O9" s="11" t="s">
        <v>29</v>
      </c>
      <c r="P9" s="20">
        <v>1031821.0945826009</v>
      </c>
      <c r="Q9" s="2">
        <v>18.626660150798699</v>
      </c>
    </row>
    <row r="10" spans="1:21" x14ac:dyDescent="0.2">
      <c r="A10" s="12" t="s">
        <v>70</v>
      </c>
      <c r="B10" s="3" t="s">
        <v>29</v>
      </c>
      <c r="C10" s="24">
        <f t="shared" si="0"/>
        <v>6.0136044023579664</v>
      </c>
      <c r="D10" s="2">
        <v>18.628571851929099</v>
      </c>
      <c r="N10" s="1" t="s">
        <v>70</v>
      </c>
      <c r="O10" s="11" t="s">
        <v>29</v>
      </c>
      <c r="P10" s="20">
        <v>1031821.0945826009</v>
      </c>
      <c r="Q10" s="2">
        <v>18.628571851929099</v>
      </c>
      <c r="S10" s="1">
        <f>SLOPE(D2:D19,C2:C19)</f>
        <v>-3.5469715627594711</v>
      </c>
    </row>
    <row r="11" spans="1:21" x14ac:dyDescent="0.2">
      <c r="A11" s="12" t="s">
        <v>1</v>
      </c>
      <c r="B11" s="3" t="s">
        <v>30</v>
      </c>
      <c r="C11" s="24">
        <f t="shared" si="0"/>
        <v>5.0136044023579664</v>
      </c>
      <c r="D11" s="2">
        <v>22.182615034169</v>
      </c>
      <c r="N11" s="1" t="s">
        <v>1</v>
      </c>
      <c r="O11" s="11" t="s">
        <v>30</v>
      </c>
      <c r="P11" s="20">
        <v>103182.10945826009</v>
      </c>
      <c r="Q11" s="2">
        <v>22.182615034169</v>
      </c>
      <c r="S11" s="1">
        <f>INTERCEPT(D2:D19,C2:C19)</f>
        <v>39.420065230406337</v>
      </c>
    </row>
    <row r="12" spans="1:21" x14ac:dyDescent="0.2">
      <c r="A12" s="12" t="s">
        <v>2</v>
      </c>
      <c r="B12" s="3" t="s">
        <v>30</v>
      </c>
      <c r="C12" s="24">
        <f t="shared" si="0"/>
        <v>5.0136044023579664</v>
      </c>
      <c r="D12" s="2">
        <v>22.317427971227801</v>
      </c>
      <c r="N12" s="1" t="s">
        <v>2</v>
      </c>
      <c r="O12" s="11" t="s">
        <v>30</v>
      </c>
      <c r="P12" s="20">
        <v>103182.10945826009</v>
      </c>
      <c r="Q12" s="2">
        <v>22.317427971227801</v>
      </c>
      <c r="S12" s="1">
        <f>-1+10^(-1/S10)</f>
        <v>0.91395027506505677</v>
      </c>
    </row>
    <row r="13" spans="1:21" x14ac:dyDescent="0.2">
      <c r="A13" s="12" t="s">
        <v>3</v>
      </c>
      <c r="B13" s="3" t="s">
        <v>30</v>
      </c>
      <c r="C13" s="24">
        <f t="shared" si="0"/>
        <v>5.0136044023579664</v>
      </c>
      <c r="D13" s="2">
        <v>22.188039107307301</v>
      </c>
      <c r="N13" s="1" t="s">
        <v>3</v>
      </c>
      <c r="O13" s="11" t="s">
        <v>30</v>
      </c>
      <c r="P13" s="20">
        <v>103182.10945826009</v>
      </c>
      <c r="Q13" s="2">
        <v>22.188039107307301</v>
      </c>
    </row>
    <row r="14" spans="1:21" x14ac:dyDescent="0.2">
      <c r="A14" s="12" t="s">
        <v>71</v>
      </c>
      <c r="B14" s="3" t="s">
        <v>31</v>
      </c>
      <c r="C14" s="24">
        <f t="shared" si="0"/>
        <v>4.0136044023579664</v>
      </c>
      <c r="D14" s="2">
        <v>25.517297442304201</v>
      </c>
      <c r="N14" s="1" t="s">
        <v>71</v>
      </c>
      <c r="O14" s="11" t="s">
        <v>31</v>
      </c>
      <c r="P14" s="20">
        <v>10318.210945826009</v>
      </c>
      <c r="Q14" s="2">
        <v>25.517297442304201</v>
      </c>
    </row>
    <row r="15" spans="1:21" x14ac:dyDescent="0.2">
      <c r="A15" s="12" t="s">
        <v>72</v>
      </c>
      <c r="B15" s="3" t="s">
        <v>31</v>
      </c>
      <c r="C15" s="24">
        <f t="shared" si="0"/>
        <v>4.0136044023579664</v>
      </c>
      <c r="D15" s="2">
        <v>25.381209536605301</v>
      </c>
      <c r="N15" s="1" t="s">
        <v>72</v>
      </c>
      <c r="O15" s="11" t="s">
        <v>31</v>
      </c>
      <c r="P15" s="20">
        <v>10318.210945826009</v>
      </c>
      <c r="Q15" s="2">
        <v>25.381209536605301</v>
      </c>
    </row>
    <row r="16" spans="1:21" x14ac:dyDescent="0.2">
      <c r="A16" s="12" t="s">
        <v>73</v>
      </c>
      <c r="B16" s="3" t="s">
        <v>31</v>
      </c>
      <c r="C16" s="24">
        <f t="shared" si="0"/>
        <v>4.0136044023579664</v>
      </c>
      <c r="D16" s="2">
        <v>25.34158632279</v>
      </c>
      <c r="N16" s="1" t="s">
        <v>73</v>
      </c>
      <c r="O16" s="11" t="s">
        <v>31</v>
      </c>
      <c r="P16" s="20">
        <v>10318.210945826009</v>
      </c>
      <c r="Q16" s="2">
        <v>25.34158632279</v>
      </c>
    </row>
    <row r="17" spans="1:20" x14ac:dyDescent="0.2">
      <c r="A17" s="12" t="s">
        <v>74</v>
      </c>
      <c r="B17" s="3" t="s">
        <v>32</v>
      </c>
      <c r="C17" s="24">
        <f t="shared" si="0"/>
        <v>3.0136044023579664</v>
      </c>
      <c r="D17" s="2">
        <v>28.331730621049399</v>
      </c>
      <c r="N17" s="1" t="s">
        <v>74</v>
      </c>
      <c r="O17" s="11" t="s">
        <v>32</v>
      </c>
      <c r="P17" s="20">
        <v>1031.8210945826008</v>
      </c>
      <c r="Q17" s="2">
        <v>28.331730621049399</v>
      </c>
    </row>
    <row r="18" spans="1:20" x14ac:dyDescent="0.2">
      <c r="A18" s="12" t="s">
        <v>75</v>
      </c>
      <c r="B18" s="3" t="s">
        <v>32</v>
      </c>
      <c r="C18" s="24">
        <f t="shared" si="0"/>
        <v>3.0136044023579664</v>
      </c>
      <c r="D18" s="2">
        <v>28.047396200010301</v>
      </c>
      <c r="N18" s="1" t="s">
        <v>75</v>
      </c>
      <c r="O18" s="11" t="s">
        <v>32</v>
      </c>
      <c r="P18" s="20">
        <v>1031.8210945826008</v>
      </c>
      <c r="Q18" s="2">
        <v>28.047396200010301</v>
      </c>
    </row>
    <row r="19" spans="1:20" x14ac:dyDescent="0.2">
      <c r="A19" s="12" t="s">
        <v>76</v>
      </c>
      <c r="B19" s="3" t="s">
        <v>32</v>
      </c>
      <c r="C19" s="24">
        <f t="shared" si="0"/>
        <v>3.0136044023579664</v>
      </c>
      <c r="D19" s="2">
        <v>27.577794463740101</v>
      </c>
      <c r="N19" s="1" t="s">
        <v>76</v>
      </c>
      <c r="O19" s="11" t="s">
        <v>32</v>
      </c>
      <c r="P19" s="20">
        <v>1031.8210945826008</v>
      </c>
      <c r="Q19" s="2">
        <v>27.577794463740101</v>
      </c>
    </row>
    <row r="20" spans="1:20" x14ac:dyDescent="0.2">
      <c r="A20" s="12" t="s">
        <v>77</v>
      </c>
      <c r="B20" s="3" t="s">
        <v>33</v>
      </c>
      <c r="C20" s="24">
        <f t="shared" si="0"/>
        <v>2.0136044023579664</v>
      </c>
      <c r="D20" s="2">
        <v>28.714154235202098</v>
      </c>
      <c r="N20" s="1" t="s">
        <v>77</v>
      </c>
      <c r="O20" s="11" t="s">
        <v>33</v>
      </c>
      <c r="P20" s="20">
        <v>103.18210945826009</v>
      </c>
      <c r="Q20" s="2">
        <v>28.714154235202098</v>
      </c>
    </row>
    <row r="21" spans="1:20" x14ac:dyDescent="0.2">
      <c r="A21" s="12" t="s">
        <v>78</v>
      </c>
      <c r="B21" s="3" t="s">
        <v>33</v>
      </c>
      <c r="C21" s="24">
        <f t="shared" si="0"/>
        <v>2.0136044023579664</v>
      </c>
      <c r="D21" s="2">
        <v>28.448994692028698</v>
      </c>
      <c r="N21" s="1" t="s">
        <v>78</v>
      </c>
      <c r="O21" s="11" t="s">
        <v>33</v>
      </c>
      <c r="P21" s="20">
        <v>103.18210945826009</v>
      </c>
      <c r="Q21" s="2">
        <v>28.448994692028698</v>
      </c>
    </row>
    <row r="22" spans="1:20" x14ac:dyDescent="0.2">
      <c r="A22" s="12" t="s">
        <v>79</v>
      </c>
      <c r="B22" s="3" t="s">
        <v>33</v>
      </c>
      <c r="C22" s="24">
        <f t="shared" si="0"/>
        <v>2.0136044023579664</v>
      </c>
      <c r="D22" s="2">
        <v>28.787476211709301</v>
      </c>
      <c r="N22" s="1" t="s">
        <v>79</v>
      </c>
      <c r="O22" s="11" t="s">
        <v>33</v>
      </c>
      <c r="P22" s="20">
        <v>103.18210945826009</v>
      </c>
      <c r="Q22" s="2">
        <v>28.787476211709301</v>
      </c>
    </row>
    <row r="23" spans="1:20" x14ac:dyDescent="0.2">
      <c r="A23" s="12" t="s">
        <v>4</v>
      </c>
      <c r="B23" s="3" t="s">
        <v>34</v>
      </c>
      <c r="C23" s="24">
        <f t="shared" si="0"/>
        <v>1.0136044023579664</v>
      </c>
      <c r="D23" s="2">
        <v>28.550528197974199</v>
      </c>
      <c r="N23" s="1" t="s">
        <v>4</v>
      </c>
      <c r="O23" s="11" t="s">
        <v>34</v>
      </c>
      <c r="P23" s="20">
        <v>10.318210945826008</v>
      </c>
      <c r="Q23" s="2">
        <v>28.550528197974199</v>
      </c>
    </row>
    <row r="24" spans="1:20" x14ac:dyDescent="0.2">
      <c r="A24" s="12" t="s">
        <v>5</v>
      </c>
      <c r="B24" s="3" t="s">
        <v>34</v>
      </c>
      <c r="C24" s="24">
        <f t="shared" si="0"/>
        <v>1.0136044023579664</v>
      </c>
      <c r="D24" s="2">
        <v>28.666373911231101</v>
      </c>
      <c r="N24" s="1" t="s">
        <v>5</v>
      </c>
      <c r="O24" s="11" t="s">
        <v>34</v>
      </c>
      <c r="P24" s="20">
        <v>10.318210945826008</v>
      </c>
      <c r="Q24" s="2">
        <v>28.666373911231101</v>
      </c>
    </row>
    <row r="25" spans="1:20" x14ac:dyDescent="0.2">
      <c r="A25" s="12" t="s">
        <v>6</v>
      </c>
      <c r="B25" s="3" t="s">
        <v>34</v>
      </c>
      <c r="C25" s="24">
        <f t="shared" si="0"/>
        <v>1.0136044023579664</v>
      </c>
      <c r="D25" s="2">
        <v>28.768023075033501</v>
      </c>
      <c r="N25" s="1" t="s">
        <v>6</v>
      </c>
      <c r="O25" s="11" t="s">
        <v>34</v>
      </c>
      <c r="P25" s="20">
        <v>10.318210945826008</v>
      </c>
      <c r="Q25" s="2">
        <v>28.768023075033501</v>
      </c>
    </row>
    <row r="26" spans="1:20" x14ac:dyDescent="0.2">
      <c r="A26" s="12" t="s">
        <v>80</v>
      </c>
      <c r="B26" s="3" t="s">
        <v>35</v>
      </c>
      <c r="C26" s="24">
        <f t="shared" si="0"/>
        <v>1.3604402357966342E-2</v>
      </c>
      <c r="D26" s="2">
        <v>28.519896777460499</v>
      </c>
      <c r="N26" s="1" t="s">
        <v>80</v>
      </c>
      <c r="O26" s="11" t="s">
        <v>35</v>
      </c>
      <c r="P26" s="20">
        <v>1.0318210945826007</v>
      </c>
      <c r="Q26" s="2">
        <v>28.519896777460499</v>
      </c>
    </row>
    <row r="27" spans="1:20" x14ac:dyDescent="0.2">
      <c r="A27" s="12" t="s">
        <v>81</v>
      </c>
      <c r="B27" s="3" t="s">
        <v>35</v>
      </c>
      <c r="C27" s="24">
        <f t="shared" si="0"/>
        <v>1.3604402357966342E-2</v>
      </c>
      <c r="D27" s="2">
        <v>28.164823783937901</v>
      </c>
      <c r="N27" s="1" t="s">
        <v>81</v>
      </c>
      <c r="O27" s="11" t="s">
        <v>35</v>
      </c>
      <c r="P27" s="20">
        <v>1.0318210945826007</v>
      </c>
      <c r="Q27" s="2">
        <v>28.164823783937901</v>
      </c>
    </row>
    <row r="28" spans="1:20" x14ac:dyDescent="0.2">
      <c r="A28" s="12" t="s">
        <v>82</v>
      </c>
      <c r="B28" s="3" t="s">
        <v>35</v>
      </c>
      <c r="C28" s="24">
        <f t="shared" si="0"/>
        <v>1.3604402357966342E-2</v>
      </c>
      <c r="D28" s="2">
        <v>28.344329964391399</v>
      </c>
      <c r="N28" s="1" t="s">
        <v>82</v>
      </c>
      <c r="O28" s="11" t="s">
        <v>35</v>
      </c>
      <c r="P28" s="20">
        <v>1.0318210945826007</v>
      </c>
      <c r="Q28" s="2">
        <v>28.344329964391399</v>
      </c>
    </row>
    <row r="29" spans="1:20" x14ac:dyDescent="0.2">
      <c r="A29" s="12" t="s">
        <v>83</v>
      </c>
      <c r="B29" s="3" t="s">
        <v>36</v>
      </c>
      <c r="C29" s="3" t="s">
        <v>37</v>
      </c>
      <c r="D29" s="2">
        <v>28.4812696038749</v>
      </c>
      <c r="N29" s="1" t="s">
        <v>83</v>
      </c>
      <c r="O29" s="11" t="s">
        <v>36</v>
      </c>
      <c r="P29" s="1" t="s">
        <v>37</v>
      </c>
      <c r="Q29" s="2">
        <v>28.4812696038749</v>
      </c>
      <c r="T29" s="33"/>
    </row>
    <row r="30" spans="1:20" x14ac:dyDescent="0.2">
      <c r="A30" s="12" t="s">
        <v>84</v>
      </c>
      <c r="B30" s="3" t="s">
        <v>36</v>
      </c>
      <c r="C30" s="3" t="s">
        <v>37</v>
      </c>
      <c r="D30" s="2">
        <v>28.273636800831799</v>
      </c>
      <c r="N30" s="1" t="s">
        <v>84</v>
      </c>
      <c r="O30" s="11" t="s">
        <v>36</v>
      </c>
      <c r="P30" s="1" t="s">
        <v>37</v>
      </c>
      <c r="Q30" s="2">
        <v>28.273636800831799</v>
      </c>
    </row>
    <row r="31" spans="1:20" x14ac:dyDescent="0.2">
      <c r="A31" s="12" t="s">
        <v>85</v>
      </c>
      <c r="B31" s="3" t="s">
        <v>36</v>
      </c>
      <c r="C31" s="3" t="s">
        <v>37</v>
      </c>
      <c r="D31" s="2">
        <v>28.408298486051301</v>
      </c>
      <c r="N31" s="1" t="s">
        <v>85</v>
      </c>
      <c r="O31" s="11" t="s">
        <v>36</v>
      </c>
      <c r="P31" s="1" t="s">
        <v>37</v>
      </c>
      <c r="Q31" s="2">
        <v>28.408298486051301</v>
      </c>
    </row>
    <row r="32" spans="1:20" x14ac:dyDescent="0.2">
      <c r="A32" s="12" t="s">
        <v>86</v>
      </c>
      <c r="B32" s="3" t="s">
        <v>36</v>
      </c>
      <c r="C32" s="3" t="s">
        <v>37</v>
      </c>
      <c r="D32" s="2">
        <v>28.292431446458899</v>
      </c>
      <c r="N32" s="12" t="s">
        <v>86</v>
      </c>
      <c r="O32" s="3" t="s">
        <v>36</v>
      </c>
      <c r="P32" s="3" t="s">
        <v>37</v>
      </c>
      <c r="Q32" s="2">
        <v>28.292431446458899</v>
      </c>
    </row>
    <row r="33" spans="1:20" x14ac:dyDescent="0.2">
      <c r="A33" s="12" t="s">
        <v>87</v>
      </c>
      <c r="B33" s="3" t="s">
        <v>36</v>
      </c>
      <c r="C33" s="3" t="s">
        <v>37</v>
      </c>
      <c r="D33" s="2">
        <v>28.476006670724701</v>
      </c>
      <c r="N33" s="12" t="s">
        <v>87</v>
      </c>
      <c r="O33" s="3" t="s">
        <v>36</v>
      </c>
      <c r="P33" s="3" t="s">
        <v>37</v>
      </c>
      <c r="Q33" s="2">
        <v>28.476006670724701</v>
      </c>
    </row>
    <row r="34" spans="1:20" x14ac:dyDescent="0.2">
      <c r="A34" s="12" t="s">
        <v>88</v>
      </c>
      <c r="B34" s="3" t="s">
        <v>36</v>
      </c>
      <c r="C34" s="3" t="s">
        <v>37</v>
      </c>
      <c r="D34" s="2">
        <v>28.383509536131498</v>
      </c>
      <c r="N34" s="12" t="s">
        <v>88</v>
      </c>
      <c r="O34" s="3" t="s">
        <v>36</v>
      </c>
      <c r="P34" s="3" t="s">
        <v>37</v>
      </c>
      <c r="Q34" s="2">
        <v>28.383509536131498</v>
      </c>
    </row>
    <row r="37" spans="1:20" x14ac:dyDescent="0.2">
      <c r="T37" s="20"/>
    </row>
    <row r="38" spans="1:20" x14ac:dyDescent="0.2">
      <c r="T38" s="20"/>
    </row>
    <row r="39" spans="1:20" x14ac:dyDescent="0.2">
      <c r="T39" s="20"/>
    </row>
    <row r="40" spans="1:20" x14ac:dyDescent="0.2">
      <c r="A40" s="3" t="s">
        <v>0</v>
      </c>
      <c r="B40" s="3" t="s">
        <v>25</v>
      </c>
      <c r="C40" s="3" t="s">
        <v>26</v>
      </c>
      <c r="D40" s="4" t="s">
        <v>251</v>
      </c>
      <c r="E40" s="4" t="s">
        <v>61</v>
      </c>
      <c r="F40" s="4" t="s">
        <v>243</v>
      </c>
      <c r="G40" s="4" t="s">
        <v>244</v>
      </c>
      <c r="H40" s="4" t="s">
        <v>245</v>
      </c>
      <c r="I40" s="11" t="s">
        <v>248</v>
      </c>
      <c r="J40" s="4"/>
      <c r="K40" s="4"/>
      <c r="L40" s="4" t="s">
        <v>240</v>
      </c>
      <c r="M40" s="4"/>
    </row>
    <row r="41" spans="1:20" x14ac:dyDescent="0.2">
      <c r="A41" s="12" t="s">
        <v>89</v>
      </c>
      <c r="B41" s="3" t="s">
        <v>175</v>
      </c>
      <c r="C41" s="2">
        <v>17.8061675981848</v>
      </c>
      <c r="D41" s="1">
        <f>(C41-$S$11)/$S$10</f>
        <v>6.0936202193305347</v>
      </c>
      <c r="E41" s="1">
        <f>10^D41</f>
        <v>1240566.9854388118</v>
      </c>
      <c r="F41" s="25">
        <v>7.6388888888888895E-2</v>
      </c>
      <c r="G41" s="4" t="s">
        <v>246</v>
      </c>
      <c r="H41" s="4" t="s">
        <v>247</v>
      </c>
      <c r="I41" s="3" t="s">
        <v>213</v>
      </c>
      <c r="J41" s="1">
        <f>(E41*50*50)/245.2*1000</f>
        <v>12648521466.545797</v>
      </c>
      <c r="K41" s="20">
        <f>J41</f>
        <v>12648521466.545797</v>
      </c>
      <c r="L41" s="39">
        <f>AVERAGE(K41:K43)</f>
        <v>13354947402.112579</v>
      </c>
      <c r="M41" s="40" t="s">
        <v>239</v>
      </c>
    </row>
    <row r="42" spans="1:20" x14ac:dyDescent="0.2">
      <c r="A42" s="12" t="s">
        <v>98</v>
      </c>
      <c r="B42" s="3" t="s">
        <v>175</v>
      </c>
      <c r="C42" s="2">
        <v>17.651460951271499</v>
      </c>
      <c r="D42" s="1">
        <f t="shared" ref="D42:D103" si="1">(C42-$S$11)/$S$10</f>
        <v>6.1372367649317461</v>
      </c>
      <c r="E42" s="1">
        <f t="shared" ref="E42:E103" si="2">10^D42</f>
        <v>1371629.3354580011</v>
      </c>
      <c r="F42" s="25">
        <v>7.6388888888888895E-2</v>
      </c>
      <c r="G42" s="4" t="s">
        <v>246</v>
      </c>
      <c r="H42" s="4" t="s">
        <v>247</v>
      </c>
      <c r="I42" s="3" t="s">
        <v>213</v>
      </c>
      <c r="J42" s="1">
        <f t="shared" ref="J42:J43" si="3">(E42*50*50)/245.2*1000</f>
        <v>13984801544.229214</v>
      </c>
      <c r="K42" s="20">
        <f t="shared" ref="K42:K103" si="4">J42</f>
        <v>13984801544.229214</v>
      </c>
      <c r="L42" s="39"/>
      <c r="M42" s="40"/>
      <c r="N42" s="18"/>
    </row>
    <row r="43" spans="1:20" x14ac:dyDescent="0.2">
      <c r="A43" s="12" t="s">
        <v>107</v>
      </c>
      <c r="B43" s="3" t="s">
        <v>175</v>
      </c>
      <c r="C43" s="2">
        <v>17.713643515101801</v>
      </c>
      <c r="D43" s="1">
        <f t="shared" si="1"/>
        <v>6.1197055942612026</v>
      </c>
      <c r="E43" s="1">
        <f t="shared" si="2"/>
        <v>1317363.4027007925</v>
      </c>
      <c r="F43" s="25">
        <v>7.6388888888888895E-2</v>
      </c>
      <c r="G43" s="4" t="s">
        <v>246</v>
      </c>
      <c r="H43" s="4" t="s">
        <v>247</v>
      </c>
      <c r="I43" s="3" t="s">
        <v>213</v>
      </c>
      <c r="J43" s="1">
        <f t="shared" si="3"/>
        <v>13431519195.562729</v>
      </c>
      <c r="K43" s="20">
        <f t="shared" si="4"/>
        <v>13431519195.562729</v>
      </c>
      <c r="L43" s="39"/>
      <c r="M43" s="40"/>
      <c r="N43" s="18"/>
    </row>
    <row r="44" spans="1:20" x14ac:dyDescent="0.2">
      <c r="A44" s="12" t="s">
        <v>11</v>
      </c>
      <c r="B44" s="3" t="s">
        <v>185</v>
      </c>
      <c r="C44" s="2">
        <v>17.1763684980004</v>
      </c>
      <c r="D44" s="1">
        <f t="shared" si="1"/>
        <v>6.2711798893309414</v>
      </c>
      <c r="E44" s="1">
        <f t="shared" si="2"/>
        <v>1867152.9250141261</v>
      </c>
      <c r="F44" s="25">
        <v>7.6388888888888895E-2</v>
      </c>
      <c r="G44" s="4" t="s">
        <v>246</v>
      </c>
      <c r="H44" s="4" t="s">
        <v>247</v>
      </c>
      <c r="I44" s="3" t="s">
        <v>214</v>
      </c>
      <c r="J44" s="1">
        <f>(E44*50*50)/256.8*1000</f>
        <v>18177111808.938137</v>
      </c>
      <c r="K44" s="20">
        <f t="shared" si="4"/>
        <v>18177111808.938137</v>
      </c>
      <c r="L44" s="39">
        <f t="shared" ref="L44" si="5">AVERAGE(K44:K46)</f>
        <v>17405004409.539494</v>
      </c>
      <c r="M44" s="40" t="s">
        <v>239</v>
      </c>
      <c r="N44" s="18"/>
    </row>
    <row r="45" spans="1:20" x14ac:dyDescent="0.2">
      <c r="A45" s="12" t="s">
        <v>14</v>
      </c>
      <c r="B45" s="3" t="s">
        <v>185</v>
      </c>
      <c r="C45" s="2">
        <v>17.313256973036999</v>
      </c>
      <c r="D45" s="1">
        <f t="shared" si="1"/>
        <v>6.2325868325176801</v>
      </c>
      <c r="E45" s="1">
        <f t="shared" si="2"/>
        <v>1708389.2600007488</v>
      </c>
      <c r="F45" s="25">
        <v>7.6388888888888895E-2</v>
      </c>
      <c r="G45" s="4" t="s">
        <v>246</v>
      </c>
      <c r="H45" s="4" t="s">
        <v>247</v>
      </c>
      <c r="I45" s="3" t="s">
        <v>214</v>
      </c>
      <c r="J45" s="1">
        <f t="shared" ref="J45:J46" si="6">(E45*50*50)/256.8*1000</f>
        <v>16631515381.627228</v>
      </c>
      <c r="K45" s="20">
        <f t="shared" si="4"/>
        <v>16631515381.627228</v>
      </c>
      <c r="L45" s="39"/>
      <c r="M45" s="40"/>
      <c r="N45" s="18"/>
    </row>
    <row r="46" spans="1:20" x14ac:dyDescent="0.2">
      <c r="A46" s="12" t="s">
        <v>17</v>
      </c>
      <c r="B46" s="3" t="s">
        <v>185</v>
      </c>
      <c r="C46" s="2">
        <v>17.2431092639154</v>
      </c>
      <c r="D46" s="1">
        <f t="shared" si="1"/>
        <v>6.2523636217815399</v>
      </c>
      <c r="E46" s="1">
        <f t="shared" si="2"/>
        <v>1787983.9738288149</v>
      </c>
      <c r="F46" s="25">
        <v>7.6388888888888895E-2</v>
      </c>
      <c r="G46" s="4" t="s">
        <v>246</v>
      </c>
      <c r="H46" s="4" t="s">
        <v>247</v>
      </c>
      <c r="I46" s="3" t="s">
        <v>214</v>
      </c>
      <c r="J46" s="1">
        <f t="shared" si="6"/>
        <v>17406386038.053108</v>
      </c>
      <c r="K46" s="20">
        <f t="shared" si="4"/>
        <v>17406386038.053108</v>
      </c>
      <c r="L46" s="39"/>
      <c r="M46" s="40"/>
      <c r="N46" s="18"/>
    </row>
    <row r="47" spans="1:20" x14ac:dyDescent="0.2">
      <c r="A47" s="12" t="s">
        <v>90</v>
      </c>
      <c r="B47" s="3" t="s">
        <v>176</v>
      </c>
      <c r="C47" s="2">
        <v>17.398212475690801</v>
      </c>
      <c r="D47" s="1">
        <f t="shared" si="1"/>
        <v>6.20863527239079</v>
      </c>
      <c r="E47" s="1">
        <f t="shared" si="2"/>
        <v>1616721.7180115434</v>
      </c>
      <c r="F47" s="25">
        <v>7.6388888888888895E-2</v>
      </c>
      <c r="G47" s="4" t="s">
        <v>246</v>
      </c>
      <c r="H47" s="4" t="s">
        <v>247</v>
      </c>
      <c r="I47" s="3" t="s">
        <v>204</v>
      </c>
      <c r="J47" s="1">
        <f>(E47*50*50)/250.8*1000</f>
        <v>16115647109.365465</v>
      </c>
      <c r="K47" s="20">
        <f t="shared" si="4"/>
        <v>16115647109.365465</v>
      </c>
      <c r="L47" s="39">
        <f t="shared" ref="L47" si="7">AVERAGE(K47:K49)</f>
        <v>17252750554.513241</v>
      </c>
      <c r="M47" s="40" t="s">
        <v>239</v>
      </c>
      <c r="N47" s="18"/>
    </row>
    <row r="48" spans="1:20" x14ac:dyDescent="0.2">
      <c r="A48" s="12" t="s">
        <v>99</v>
      </c>
      <c r="B48" s="3" t="s">
        <v>176</v>
      </c>
      <c r="C48" s="2">
        <v>17.3629663668471</v>
      </c>
      <c r="D48" s="1">
        <f t="shared" si="1"/>
        <v>6.2185722307847504</v>
      </c>
      <c r="E48" s="1">
        <f t="shared" si="2"/>
        <v>1654139.8743498209</v>
      </c>
      <c r="F48" s="25">
        <v>7.6388888888888895E-2</v>
      </c>
      <c r="G48" s="4" t="s">
        <v>246</v>
      </c>
      <c r="H48" s="4" t="s">
        <v>247</v>
      </c>
      <c r="I48" s="3" t="s">
        <v>204</v>
      </c>
      <c r="J48" s="1">
        <f t="shared" ref="J48:J49" si="8">(E48*50*50)/250.8*1000</f>
        <v>16488635111.142551</v>
      </c>
      <c r="K48" s="20">
        <f t="shared" si="4"/>
        <v>16488635111.142551</v>
      </c>
      <c r="L48" s="39"/>
      <c r="M48" s="40"/>
      <c r="N48" s="18"/>
    </row>
    <row r="49" spans="1:14" x14ac:dyDescent="0.2">
      <c r="A49" s="12" t="s">
        <v>108</v>
      </c>
      <c r="B49" s="3" t="s">
        <v>176</v>
      </c>
      <c r="C49" s="2">
        <v>17.132150445179501</v>
      </c>
      <c r="D49" s="1">
        <f t="shared" si="1"/>
        <v>6.2836463137266581</v>
      </c>
      <c r="E49" s="1">
        <f t="shared" si="2"/>
        <v>1921526.2145249413</v>
      </c>
      <c r="F49" s="25">
        <v>7.6388888888888895E-2</v>
      </c>
      <c r="G49" s="4" t="s">
        <v>246</v>
      </c>
      <c r="H49" s="4" t="s">
        <v>247</v>
      </c>
      <c r="I49" s="3" t="s">
        <v>204</v>
      </c>
      <c r="J49" s="1">
        <f t="shared" si="8"/>
        <v>19153969443.031708</v>
      </c>
      <c r="K49" s="20">
        <f t="shared" si="4"/>
        <v>19153969443.031708</v>
      </c>
      <c r="L49" s="39"/>
      <c r="M49" s="40"/>
      <c r="N49" s="18"/>
    </row>
    <row r="50" spans="1:14" x14ac:dyDescent="0.2">
      <c r="A50" s="12" t="s">
        <v>12</v>
      </c>
      <c r="B50" s="3" t="s">
        <v>186</v>
      </c>
      <c r="C50" s="2">
        <v>17.7667246785206</v>
      </c>
      <c r="D50" s="1">
        <f t="shared" si="1"/>
        <v>6.1047403873291506</v>
      </c>
      <c r="E50" s="1">
        <f t="shared" si="2"/>
        <v>1272742.0334985887</v>
      </c>
      <c r="F50" s="25">
        <v>7.6388888888888895E-2</v>
      </c>
      <c r="G50" s="4" t="s">
        <v>246</v>
      </c>
      <c r="H50" s="4" t="s">
        <v>247</v>
      </c>
      <c r="I50" s="3" t="s">
        <v>216</v>
      </c>
      <c r="J50" s="1">
        <f>(E50*50*50)/250.1*1000</f>
        <v>12722331402.424917</v>
      </c>
      <c r="K50" s="20">
        <f t="shared" si="4"/>
        <v>12722331402.424917</v>
      </c>
      <c r="L50" s="39">
        <f t="shared" ref="L50" si="9">AVERAGE(K50:K52)</f>
        <v>13316104526.770765</v>
      </c>
      <c r="M50" s="40" t="s">
        <v>239</v>
      </c>
      <c r="N50" s="18"/>
    </row>
    <row r="51" spans="1:14" x14ac:dyDescent="0.2">
      <c r="A51" s="12" t="s">
        <v>15</v>
      </c>
      <c r="B51" s="3" t="s">
        <v>186</v>
      </c>
      <c r="C51" s="2">
        <v>17.615967522255801</v>
      </c>
      <c r="D51" s="1">
        <f t="shared" si="1"/>
        <v>6.1472434504626801</v>
      </c>
      <c r="E51" s="1">
        <f t="shared" si="2"/>
        <v>1403600.2938429229</v>
      </c>
      <c r="F51" s="25">
        <v>7.6388888888888895E-2</v>
      </c>
      <c r="G51" s="4" t="s">
        <v>246</v>
      </c>
      <c r="H51" s="4" t="s">
        <v>247</v>
      </c>
      <c r="I51" s="3" t="s">
        <v>216</v>
      </c>
      <c r="J51" s="1">
        <f t="shared" ref="J51:J52" si="10">(E51*50*50)/250.1*1000</f>
        <v>14030390782.116383</v>
      </c>
      <c r="K51" s="20">
        <f t="shared" si="4"/>
        <v>14030390782.116383</v>
      </c>
      <c r="L51" s="39"/>
      <c r="M51" s="40"/>
      <c r="N51" s="18"/>
    </row>
    <row r="52" spans="1:14" x14ac:dyDescent="0.2">
      <c r="A52" s="12" t="s">
        <v>18</v>
      </c>
      <c r="B52" s="3" t="s">
        <v>186</v>
      </c>
      <c r="C52" s="2">
        <v>17.7104620665494</v>
      </c>
      <c r="D52" s="1">
        <f t="shared" si="1"/>
        <v>6.1206025421211185</v>
      </c>
      <c r="E52" s="1">
        <f t="shared" si="2"/>
        <v>1320086.9632329305</v>
      </c>
      <c r="F52" s="25">
        <v>7.6388888888888895E-2</v>
      </c>
      <c r="G52" s="4" t="s">
        <v>246</v>
      </c>
      <c r="H52" s="4" t="s">
        <v>247</v>
      </c>
      <c r="I52" s="3" t="s">
        <v>216</v>
      </c>
      <c r="J52" s="1">
        <f t="shared" si="10"/>
        <v>13195591395.770994</v>
      </c>
      <c r="K52" s="20">
        <f t="shared" si="4"/>
        <v>13195591395.770994</v>
      </c>
      <c r="L52" s="39"/>
      <c r="M52" s="40"/>
      <c r="N52" s="18"/>
    </row>
    <row r="53" spans="1:14" x14ac:dyDescent="0.2">
      <c r="A53" s="12" t="s">
        <v>91</v>
      </c>
      <c r="B53" s="3" t="s">
        <v>177</v>
      </c>
      <c r="C53" s="2">
        <v>17.117182580510001</v>
      </c>
      <c r="D53" s="1">
        <f t="shared" si="1"/>
        <v>6.2878662135495533</v>
      </c>
      <c r="E53" s="1">
        <f t="shared" si="2"/>
        <v>1940288.0706856742</v>
      </c>
      <c r="F53" s="25">
        <v>7.6388888888888895E-2</v>
      </c>
      <c r="G53" s="4" t="s">
        <v>246</v>
      </c>
      <c r="H53" s="4" t="s">
        <v>247</v>
      </c>
      <c r="I53" s="3" t="s">
        <v>218</v>
      </c>
      <c r="J53" s="1">
        <f>(E53*50*50)/252.9*1000</f>
        <v>19180388203.693893</v>
      </c>
      <c r="K53" s="20">
        <f t="shared" si="4"/>
        <v>19180388203.693893</v>
      </c>
      <c r="L53" s="39">
        <f t="shared" ref="L53" si="11">AVERAGE(K53:K55)</f>
        <v>19152526860.250427</v>
      </c>
      <c r="M53" s="40" t="s">
        <v>239</v>
      </c>
      <c r="N53" s="18"/>
    </row>
    <row r="54" spans="1:14" x14ac:dyDescent="0.2">
      <c r="A54" s="12" t="s">
        <v>100</v>
      </c>
      <c r="B54" s="3" t="s">
        <v>177</v>
      </c>
      <c r="C54" s="2">
        <v>17.1705507396914</v>
      </c>
      <c r="D54" s="1">
        <f t="shared" si="1"/>
        <v>6.2728200937154597</v>
      </c>
      <c r="E54" s="1">
        <f t="shared" si="2"/>
        <v>1874217.953330552</v>
      </c>
      <c r="F54" s="25">
        <v>7.6388888888888895E-2</v>
      </c>
      <c r="G54" s="4" t="s">
        <v>246</v>
      </c>
      <c r="H54" s="4" t="s">
        <v>247</v>
      </c>
      <c r="I54" s="3" t="s">
        <v>218</v>
      </c>
      <c r="J54" s="1">
        <f t="shared" ref="J54:J55" si="12">(E54*50*50)/252.9*1000</f>
        <v>18527263279.266033</v>
      </c>
      <c r="K54" s="20">
        <f t="shared" si="4"/>
        <v>18527263279.266033</v>
      </c>
      <c r="L54" s="39"/>
      <c r="M54" s="40"/>
      <c r="N54" s="18"/>
    </row>
    <row r="55" spans="1:14" x14ac:dyDescent="0.2">
      <c r="A55" s="12" t="s">
        <v>109</v>
      </c>
      <c r="B55" s="3" t="s">
        <v>177</v>
      </c>
      <c r="C55" s="2">
        <v>17.072107141039002</v>
      </c>
      <c r="D55" s="1">
        <f t="shared" si="1"/>
        <v>6.3005743615212637</v>
      </c>
      <c r="E55" s="1">
        <f t="shared" si="2"/>
        <v>1997902.8275325734</v>
      </c>
      <c r="F55" s="25">
        <v>7.6388888888888895E-2</v>
      </c>
      <c r="G55" s="4" t="s">
        <v>246</v>
      </c>
      <c r="H55" s="4" t="s">
        <v>247</v>
      </c>
      <c r="I55" s="3" t="s">
        <v>218</v>
      </c>
      <c r="J55" s="1">
        <f t="shared" si="12"/>
        <v>19749929097.791351</v>
      </c>
      <c r="K55" s="20">
        <f t="shared" si="4"/>
        <v>19749929097.791351</v>
      </c>
      <c r="L55" s="39"/>
      <c r="M55" s="40"/>
      <c r="N55" s="18"/>
    </row>
    <row r="56" spans="1:14" x14ac:dyDescent="0.2">
      <c r="A56" s="12" t="s">
        <v>116</v>
      </c>
      <c r="B56" s="3" t="s">
        <v>187</v>
      </c>
      <c r="C56" s="2">
        <v>17.157736336347298</v>
      </c>
      <c r="D56" s="1">
        <f t="shared" si="1"/>
        <v>6.2764328667860543</v>
      </c>
      <c r="E56" s="1">
        <f t="shared" si="2"/>
        <v>1889874.0719902441</v>
      </c>
      <c r="F56" s="25">
        <v>7.6388888888888895E-2</v>
      </c>
      <c r="G56" s="4" t="s">
        <v>246</v>
      </c>
      <c r="H56" s="4" t="s">
        <v>247</v>
      </c>
      <c r="I56" s="3" t="s">
        <v>219</v>
      </c>
      <c r="J56" s="1">
        <f>(E56*50*50)/245.3*1000</f>
        <v>19260844598.351444</v>
      </c>
      <c r="K56" s="20">
        <f t="shared" si="4"/>
        <v>19260844598.351444</v>
      </c>
      <c r="L56" s="39">
        <f t="shared" ref="L56" si="13">AVERAGE(K56:K58)</f>
        <v>19788969690.931702</v>
      </c>
      <c r="M56" s="40" t="s">
        <v>239</v>
      </c>
      <c r="N56" s="18"/>
    </row>
    <row r="57" spans="1:14" x14ac:dyDescent="0.2">
      <c r="A57" s="12" t="s">
        <v>117</v>
      </c>
      <c r="B57" s="3" t="s">
        <v>187</v>
      </c>
      <c r="C57" s="2">
        <v>17.089741861193801</v>
      </c>
      <c r="D57" s="1">
        <f t="shared" si="1"/>
        <v>6.2956025933966053</v>
      </c>
      <c r="E57" s="1">
        <f t="shared" si="2"/>
        <v>1975161.4167342656</v>
      </c>
      <c r="F57" s="25">
        <v>7.6388888888888895E-2</v>
      </c>
      <c r="G57" s="4" t="s">
        <v>246</v>
      </c>
      <c r="H57" s="4" t="s">
        <v>247</v>
      </c>
      <c r="I57" s="3" t="s">
        <v>219</v>
      </c>
      <c r="J57" s="1">
        <f t="shared" ref="J57:J58" si="14">(E57*50*50)/245.3*1000</f>
        <v>20130059281.84127</v>
      </c>
      <c r="K57" s="20">
        <f t="shared" si="4"/>
        <v>20130059281.84127</v>
      </c>
      <c r="L57" s="39"/>
      <c r="M57" s="40"/>
      <c r="N57" s="18"/>
    </row>
    <row r="58" spans="1:14" x14ac:dyDescent="0.2">
      <c r="A58" s="12" t="s">
        <v>118</v>
      </c>
      <c r="B58" s="3" t="s">
        <v>187</v>
      </c>
      <c r="C58" s="2">
        <v>17.1015760183585</v>
      </c>
      <c r="D58" s="1">
        <f t="shared" si="1"/>
        <v>6.2922661817690217</v>
      </c>
      <c r="E58" s="1">
        <f t="shared" si="2"/>
        <v>1960045.6294981462</v>
      </c>
      <c r="F58" s="25">
        <v>7.6388888888888895E-2</v>
      </c>
      <c r="G58" s="4" t="s">
        <v>246</v>
      </c>
      <c r="H58" s="4" t="s">
        <v>247</v>
      </c>
      <c r="I58" s="3" t="s">
        <v>219</v>
      </c>
      <c r="J58" s="1">
        <f t="shared" si="14"/>
        <v>19976005192.602386</v>
      </c>
      <c r="K58" s="20">
        <f t="shared" si="4"/>
        <v>19976005192.602386</v>
      </c>
      <c r="L58" s="39"/>
      <c r="M58" s="40"/>
      <c r="N58" s="18"/>
    </row>
    <row r="59" spans="1:14" x14ac:dyDescent="0.2">
      <c r="A59" s="12" t="s">
        <v>92</v>
      </c>
      <c r="B59" s="3" t="s">
        <v>178</v>
      </c>
      <c r="C59" s="2">
        <v>16.760027347965401</v>
      </c>
      <c r="D59" s="1">
        <f t="shared" si="1"/>
        <v>6.3885592205909569</v>
      </c>
      <c r="E59" s="1">
        <f t="shared" si="2"/>
        <v>2446578.8699017665</v>
      </c>
      <c r="F59" s="25">
        <v>7.6388888888888895E-2</v>
      </c>
      <c r="G59" s="4" t="s">
        <v>246</v>
      </c>
      <c r="H59" s="4" t="s">
        <v>247</v>
      </c>
      <c r="I59" s="3" t="s">
        <v>214</v>
      </c>
      <c r="J59" s="1">
        <f>(E59*50*50)/256.8*1000</f>
        <v>23817940711.6605</v>
      </c>
      <c r="K59" s="20">
        <f t="shared" si="4"/>
        <v>23817940711.6605</v>
      </c>
      <c r="L59" s="39">
        <f t="shared" ref="L59" si="15">AVERAGE(K59:K61)</f>
        <v>21786009792.908371</v>
      </c>
      <c r="M59" s="40" t="s">
        <v>239</v>
      </c>
      <c r="N59" s="18"/>
    </row>
    <row r="60" spans="1:14" x14ac:dyDescent="0.2">
      <c r="A60" s="12" t="s">
        <v>101</v>
      </c>
      <c r="B60" s="3" t="s">
        <v>178</v>
      </c>
      <c r="C60" s="2">
        <v>17.114064730244401</v>
      </c>
      <c r="D60" s="1">
        <f t="shared" si="1"/>
        <v>6.2887452311031007</v>
      </c>
      <c r="E60" s="1">
        <f t="shared" si="2"/>
        <v>1944219.2154134659</v>
      </c>
      <c r="F60" s="25">
        <v>7.6388888888888895E-2</v>
      </c>
      <c r="G60" s="4" t="s">
        <v>246</v>
      </c>
      <c r="H60" s="4" t="s">
        <v>247</v>
      </c>
      <c r="I60" s="3" t="s">
        <v>214</v>
      </c>
      <c r="J60" s="1">
        <f t="shared" ref="J60:J61" si="16">(E60*50*50)/256.8*1000</f>
        <v>18927367751.299316</v>
      </c>
      <c r="K60" s="20">
        <f t="shared" si="4"/>
        <v>18927367751.299316</v>
      </c>
      <c r="L60" s="39"/>
      <c r="M60" s="40"/>
      <c r="N60" s="18"/>
    </row>
    <row r="61" spans="1:14" x14ac:dyDescent="0.2">
      <c r="A61" s="12" t="s">
        <v>110</v>
      </c>
      <c r="B61" s="3" t="s">
        <v>178</v>
      </c>
      <c r="C61" s="2">
        <v>16.8400164767897</v>
      </c>
      <c r="D61" s="1">
        <f t="shared" si="1"/>
        <v>6.366007833468454</v>
      </c>
      <c r="E61" s="1">
        <f t="shared" si="2"/>
        <v>2322778.6924674115</v>
      </c>
      <c r="F61" s="25">
        <v>7.6388888888888895E-2</v>
      </c>
      <c r="G61" s="4" t="s">
        <v>246</v>
      </c>
      <c r="H61" s="4" t="s">
        <v>247</v>
      </c>
      <c r="I61" s="3" t="s">
        <v>214</v>
      </c>
      <c r="J61" s="1">
        <f t="shared" si="16"/>
        <v>22612720915.765297</v>
      </c>
      <c r="K61" s="20">
        <f t="shared" si="4"/>
        <v>22612720915.765297</v>
      </c>
      <c r="L61" s="39"/>
      <c r="M61" s="40"/>
      <c r="N61" s="18"/>
    </row>
    <row r="62" spans="1:14" x14ac:dyDescent="0.2">
      <c r="A62" s="12" t="s">
        <v>119</v>
      </c>
      <c r="B62" s="3" t="s">
        <v>188</v>
      </c>
      <c r="C62" s="2">
        <v>17.357078319311601</v>
      </c>
      <c r="D62" s="1">
        <f t="shared" si="1"/>
        <v>6.2202322518566193</v>
      </c>
      <c r="E62" s="1">
        <f t="shared" si="2"/>
        <v>1660474.6581187779</v>
      </c>
      <c r="F62" s="25">
        <v>7.6388888888888895E-2</v>
      </c>
      <c r="G62" s="4" t="s">
        <v>246</v>
      </c>
      <c r="H62" s="4" t="s">
        <v>247</v>
      </c>
      <c r="I62" s="3" t="s">
        <v>221</v>
      </c>
      <c r="J62" s="1">
        <f>(E62*50*50)/250.3*1000</f>
        <v>16584844767.466818</v>
      </c>
      <c r="K62" s="20">
        <f t="shared" si="4"/>
        <v>16584844767.466818</v>
      </c>
      <c r="L62" s="39">
        <f t="shared" ref="L62" si="17">AVERAGE(K62:K64)</f>
        <v>17100236946.855814</v>
      </c>
      <c r="M62" s="40" t="s">
        <v>239</v>
      </c>
      <c r="N62" s="18"/>
    </row>
    <row r="63" spans="1:14" x14ac:dyDescent="0.2">
      <c r="A63" s="12" t="s">
        <v>120</v>
      </c>
      <c r="B63" s="3" t="s">
        <v>188</v>
      </c>
      <c r="C63" s="2">
        <v>17.335409859810699</v>
      </c>
      <c r="D63" s="1">
        <f t="shared" si="1"/>
        <v>6.2263412547390793</v>
      </c>
      <c r="E63" s="1">
        <f t="shared" si="2"/>
        <v>1683996.7722325316</v>
      </c>
      <c r="F63" s="25">
        <v>7.6388888888888895E-2</v>
      </c>
      <c r="G63" s="4" t="s">
        <v>246</v>
      </c>
      <c r="H63" s="4" t="s">
        <v>247</v>
      </c>
      <c r="I63" s="3" t="s">
        <v>221</v>
      </c>
      <c r="J63" s="1">
        <f t="shared" ref="J63:J64" si="18">(E63*50*50)/250.3*1000</f>
        <v>16819783981.547457</v>
      </c>
      <c r="K63" s="20">
        <f t="shared" si="4"/>
        <v>16819783981.547457</v>
      </c>
      <c r="L63" s="39"/>
      <c r="M63" s="40"/>
      <c r="N63" s="18"/>
    </row>
    <row r="64" spans="1:14" x14ac:dyDescent="0.2">
      <c r="A64" s="12" t="s">
        <v>121</v>
      </c>
      <c r="B64" s="3" t="s">
        <v>188</v>
      </c>
      <c r="C64" s="2">
        <v>17.239863137930399</v>
      </c>
      <c r="D64" s="1">
        <f t="shared" si="1"/>
        <v>6.2532788041921021</v>
      </c>
      <c r="E64" s="1">
        <f t="shared" si="2"/>
        <v>1791755.7390063033</v>
      </c>
      <c r="F64" s="25">
        <v>7.6388888888888895E-2</v>
      </c>
      <c r="G64" s="4" t="s">
        <v>246</v>
      </c>
      <c r="H64" s="4" t="s">
        <v>247</v>
      </c>
      <c r="I64" s="3" t="s">
        <v>221</v>
      </c>
      <c r="J64" s="1">
        <f t="shared" si="18"/>
        <v>17896082091.553169</v>
      </c>
      <c r="K64" s="20">
        <f t="shared" si="4"/>
        <v>17896082091.553169</v>
      </c>
      <c r="L64" s="39"/>
      <c r="M64" s="40"/>
      <c r="N64" s="18"/>
    </row>
    <row r="65" spans="1:14" x14ac:dyDescent="0.2">
      <c r="A65" s="12" t="s">
        <v>93</v>
      </c>
      <c r="B65" s="3" t="s">
        <v>179</v>
      </c>
      <c r="C65" s="2">
        <v>17.225787441626299</v>
      </c>
      <c r="D65" s="1">
        <f t="shared" si="1"/>
        <v>6.2572471744073823</v>
      </c>
      <c r="E65" s="1">
        <f t="shared" si="2"/>
        <v>1808202.9540300949</v>
      </c>
      <c r="F65" s="25">
        <v>7.6388888888888895E-2</v>
      </c>
      <c r="G65" s="4" t="s">
        <v>246</v>
      </c>
      <c r="H65" s="4" t="s">
        <v>247</v>
      </c>
      <c r="I65" s="3" t="s">
        <v>223</v>
      </c>
      <c r="J65" s="1">
        <f>(E65*50*50)/244.3*1000</f>
        <v>18503918891.016113</v>
      </c>
      <c r="K65" s="20">
        <f t="shared" si="4"/>
        <v>18503918891.016113</v>
      </c>
      <c r="L65" s="39">
        <f t="shared" ref="L65" si="19">AVERAGE(K65:K67)</f>
        <v>17910530171.307713</v>
      </c>
      <c r="M65" s="40" t="s">
        <v>239</v>
      </c>
      <c r="N65" s="18"/>
    </row>
    <row r="66" spans="1:14" x14ac:dyDescent="0.2">
      <c r="A66" s="12" t="s">
        <v>102</v>
      </c>
      <c r="B66" s="3" t="s">
        <v>179</v>
      </c>
      <c r="C66" s="2">
        <v>17.270538010528298</v>
      </c>
      <c r="D66" s="1">
        <f t="shared" si="1"/>
        <v>6.2446306174065178</v>
      </c>
      <c r="E66" s="1">
        <f t="shared" si="2"/>
        <v>1756429.0743245932</v>
      </c>
      <c r="F66" s="25">
        <v>7.6388888888888895E-2</v>
      </c>
      <c r="G66" s="4" t="s">
        <v>246</v>
      </c>
      <c r="H66" s="4" t="s">
        <v>247</v>
      </c>
      <c r="I66" s="3" t="s">
        <v>223</v>
      </c>
      <c r="J66" s="1">
        <f t="shared" ref="J66:J67" si="20">(E66*50*50)/244.3*1000</f>
        <v>17974100228.4547</v>
      </c>
      <c r="K66" s="20">
        <f t="shared" si="4"/>
        <v>17974100228.4547</v>
      </c>
      <c r="L66" s="39"/>
      <c r="M66" s="40"/>
      <c r="N66" s="18"/>
    </row>
    <row r="67" spans="1:14" x14ac:dyDescent="0.2">
      <c r="A67" s="12" t="s">
        <v>111</v>
      </c>
      <c r="B67" s="3" t="s">
        <v>179</v>
      </c>
      <c r="C67" s="2">
        <v>17.333561146849298</v>
      </c>
      <c r="D67" s="1">
        <f t="shared" si="1"/>
        <v>6.2268624635868779</v>
      </c>
      <c r="E67" s="1">
        <f t="shared" si="2"/>
        <v>1686018.9966658824</v>
      </c>
      <c r="F67" s="25">
        <v>7.6388888888888895E-2</v>
      </c>
      <c r="G67" s="4" t="s">
        <v>246</v>
      </c>
      <c r="H67" s="4" t="s">
        <v>247</v>
      </c>
      <c r="I67" s="3" t="s">
        <v>223</v>
      </c>
      <c r="J67" s="1">
        <f t="shared" si="20"/>
        <v>17253571394.452335</v>
      </c>
      <c r="K67" s="20">
        <f t="shared" si="4"/>
        <v>17253571394.452335</v>
      </c>
      <c r="L67" s="39"/>
      <c r="M67" s="40"/>
      <c r="N67" s="18"/>
    </row>
    <row r="68" spans="1:14" x14ac:dyDescent="0.2">
      <c r="A68" s="12" t="s">
        <v>122</v>
      </c>
      <c r="B68" s="3" t="s">
        <v>189</v>
      </c>
      <c r="C68" s="2">
        <v>16.900000026434999</v>
      </c>
      <c r="D68" s="1">
        <f t="shared" si="1"/>
        <v>6.3490966322975506</v>
      </c>
      <c r="E68" s="1">
        <f t="shared" si="2"/>
        <v>2234069.2570746299</v>
      </c>
      <c r="F68" s="25">
        <v>7.6388888888888895E-2</v>
      </c>
      <c r="G68" s="4" t="s">
        <v>246</v>
      </c>
      <c r="H68" s="4" t="s">
        <v>247</v>
      </c>
      <c r="I68" s="3" t="s">
        <v>224</v>
      </c>
      <c r="J68" s="1">
        <f>(E68*50*50)/243.2*1000</f>
        <v>22965350093.283615</v>
      </c>
      <c r="K68" s="20">
        <f t="shared" si="4"/>
        <v>22965350093.283615</v>
      </c>
      <c r="L68" s="39">
        <f t="shared" ref="L68" si="21">AVERAGE(K68:K70)</f>
        <v>22585304903.658047</v>
      </c>
      <c r="M68" s="40" t="s">
        <v>239</v>
      </c>
      <c r="N68" s="18"/>
    </row>
    <row r="69" spans="1:14" x14ac:dyDescent="0.2">
      <c r="A69" s="12" t="s">
        <v>123</v>
      </c>
      <c r="B69" s="3" t="s">
        <v>189</v>
      </c>
      <c r="C69" s="2">
        <v>16.859042565973201</v>
      </c>
      <c r="D69" s="1">
        <f t="shared" si="1"/>
        <v>6.3606437957684454</v>
      </c>
      <c r="E69" s="1">
        <f t="shared" si="2"/>
        <v>2294266.1407943247</v>
      </c>
      <c r="F69" s="25">
        <v>7.6388888888888895E-2</v>
      </c>
      <c r="G69" s="4" t="s">
        <v>246</v>
      </c>
      <c r="H69" s="4" t="s">
        <v>247</v>
      </c>
      <c r="I69" s="3" t="s">
        <v>224</v>
      </c>
      <c r="J69" s="1">
        <f t="shared" ref="J69:J70" si="22">(E69*50*50)/243.2*1000</f>
        <v>23584150295.994289</v>
      </c>
      <c r="K69" s="20">
        <f t="shared" si="4"/>
        <v>23584150295.994289</v>
      </c>
      <c r="L69" s="39"/>
      <c r="M69" s="40"/>
      <c r="N69" s="18"/>
    </row>
    <row r="70" spans="1:14" x14ac:dyDescent="0.2">
      <c r="A70" s="12" t="s">
        <v>124</v>
      </c>
      <c r="B70" s="3" t="s">
        <v>189</v>
      </c>
      <c r="C70" s="2">
        <v>17.022745914817701</v>
      </c>
      <c r="D70" s="1">
        <f t="shared" si="1"/>
        <v>6.3144908041393997</v>
      </c>
      <c r="E70" s="1">
        <f t="shared" si="2"/>
        <v>2062959.985214609</v>
      </c>
      <c r="F70" s="25">
        <v>7.6388888888888895E-2</v>
      </c>
      <c r="G70" s="4" t="s">
        <v>246</v>
      </c>
      <c r="H70" s="4" t="s">
        <v>247</v>
      </c>
      <c r="I70" s="3" t="s">
        <v>224</v>
      </c>
      <c r="J70" s="1">
        <f t="shared" si="22"/>
        <v>21206414321.696224</v>
      </c>
      <c r="K70" s="20">
        <f t="shared" si="4"/>
        <v>21206414321.696224</v>
      </c>
      <c r="L70" s="39"/>
      <c r="M70" s="40"/>
      <c r="N70" s="18"/>
    </row>
    <row r="71" spans="1:14" x14ac:dyDescent="0.2">
      <c r="A71" s="12" t="s">
        <v>94</v>
      </c>
      <c r="B71" s="3" t="s">
        <v>180</v>
      </c>
      <c r="C71" s="2">
        <v>18.335977726728299</v>
      </c>
      <c r="D71" s="1">
        <f t="shared" si="1"/>
        <v>5.9442505051478483</v>
      </c>
      <c r="E71" s="1">
        <f t="shared" si="2"/>
        <v>879529.69155575975</v>
      </c>
      <c r="F71" s="25">
        <v>7.6388888888888895E-2</v>
      </c>
      <c r="G71" s="4" t="s">
        <v>246</v>
      </c>
      <c r="H71" s="4" t="s">
        <v>247</v>
      </c>
      <c r="I71" s="3" t="s">
        <v>226</v>
      </c>
      <c r="J71" s="1">
        <f>(E71*50*50)/251*1000</f>
        <v>8760255891.9896393</v>
      </c>
      <c r="K71" s="20">
        <f t="shared" si="4"/>
        <v>8760255891.9896393</v>
      </c>
      <c r="L71" s="39">
        <f t="shared" ref="L71" si="23">AVERAGE(K71:K73)</f>
        <v>9009769726.6983604</v>
      </c>
      <c r="M71" s="40" t="s">
        <v>239</v>
      </c>
      <c r="N71" s="18"/>
    </row>
    <row r="72" spans="1:14" x14ac:dyDescent="0.2">
      <c r="A72" s="12" t="s">
        <v>103</v>
      </c>
      <c r="B72" s="3" t="s">
        <v>180</v>
      </c>
      <c r="C72" s="2">
        <v>18.2640070484461</v>
      </c>
      <c r="D72" s="1">
        <f t="shared" si="1"/>
        <v>5.9645412452930007</v>
      </c>
      <c r="E72" s="1">
        <f t="shared" si="2"/>
        <v>921597.40941925789</v>
      </c>
      <c r="F72" s="25">
        <v>7.6388888888888895E-2</v>
      </c>
      <c r="G72" s="4" t="s">
        <v>246</v>
      </c>
      <c r="H72" s="4" t="s">
        <v>247</v>
      </c>
      <c r="I72" s="3" t="s">
        <v>226</v>
      </c>
      <c r="J72" s="1">
        <f t="shared" ref="J72:J73" si="24">(E72*50*50)/251*1000</f>
        <v>9179257065.9288635</v>
      </c>
      <c r="K72" s="20">
        <f t="shared" si="4"/>
        <v>9179257065.9288635</v>
      </c>
      <c r="L72" s="39"/>
      <c r="M72" s="40"/>
      <c r="N72" s="3"/>
    </row>
    <row r="73" spans="1:14" x14ac:dyDescent="0.2">
      <c r="A73" s="12" t="s">
        <v>112</v>
      </c>
      <c r="B73" s="3" t="s">
        <v>180</v>
      </c>
      <c r="C73" s="2">
        <v>18.279093685147199</v>
      </c>
      <c r="D73" s="1">
        <f t="shared" si="1"/>
        <v>5.9602878599939766</v>
      </c>
      <c r="E73" s="1">
        <f t="shared" si="2"/>
        <v>912615.54070652835</v>
      </c>
      <c r="F73" s="25">
        <v>7.6388888888888895E-2</v>
      </c>
      <c r="G73" s="4" t="s">
        <v>246</v>
      </c>
      <c r="H73" s="4" t="s">
        <v>247</v>
      </c>
      <c r="I73" s="3" t="s">
        <v>226</v>
      </c>
      <c r="J73" s="1">
        <f t="shared" si="24"/>
        <v>9089796222.1765785</v>
      </c>
      <c r="K73" s="20">
        <f t="shared" si="4"/>
        <v>9089796222.1765785</v>
      </c>
      <c r="L73" s="39"/>
      <c r="M73" s="40"/>
      <c r="N73" s="3"/>
    </row>
    <row r="74" spans="1:14" x14ac:dyDescent="0.2">
      <c r="A74" s="12" t="s">
        <v>19</v>
      </c>
      <c r="B74" s="3" t="s">
        <v>190</v>
      </c>
      <c r="C74" s="2">
        <v>17.664874701331399</v>
      </c>
      <c r="D74" s="1">
        <f t="shared" si="1"/>
        <v>6.1334550176516904</v>
      </c>
      <c r="E74" s="1">
        <f t="shared" si="2"/>
        <v>1359737.3202667786</v>
      </c>
      <c r="F74" s="25">
        <v>7.6388888888888895E-2</v>
      </c>
      <c r="G74" s="4" t="s">
        <v>246</v>
      </c>
      <c r="H74" s="4" t="s">
        <v>247</v>
      </c>
      <c r="I74" s="3" t="s">
        <v>227</v>
      </c>
      <c r="J74" s="1">
        <f>(E74*50*50)/257.9*1000</f>
        <v>13180858087.114954</v>
      </c>
      <c r="K74" s="20">
        <f t="shared" si="4"/>
        <v>13180858087.114954</v>
      </c>
      <c r="L74" s="39">
        <f t="shared" ref="L74" si="25">AVERAGE(K74:K76)</f>
        <v>11205193572.088207</v>
      </c>
      <c r="M74" s="40" t="s">
        <v>239</v>
      </c>
    </row>
    <row r="75" spans="1:14" x14ac:dyDescent="0.2">
      <c r="A75" s="12" t="s">
        <v>20</v>
      </c>
      <c r="B75" s="3" t="s">
        <v>190</v>
      </c>
      <c r="C75" s="2">
        <v>17.989891957551102</v>
      </c>
      <c r="D75" s="1">
        <f t="shared" si="1"/>
        <v>6.041822691181375</v>
      </c>
      <c r="E75" s="1">
        <f t="shared" si="2"/>
        <v>1101089.677374318</v>
      </c>
      <c r="F75" s="25">
        <v>7.6388888888888895E-2</v>
      </c>
      <c r="G75" s="4" t="s">
        <v>246</v>
      </c>
      <c r="H75" s="4" t="s">
        <v>247</v>
      </c>
      <c r="I75" s="3" t="s">
        <v>227</v>
      </c>
      <c r="J75" s="1">
        <f t="shared" ref="J75:J76" si="26">(E75*50*50)/257.9*1000</f>
        <v>10673610676.369892</v>
      </c>
      <c r="K75" s="20">
        <f t="shared" si="4"/>
        <v>10673610676.369892</v>
      </c>
      <c r="L75" s="39"/>
      <c r="M75" s="40"/>
    </row>
    <row r="76" spans="1:14" x14ac:dyDescent="0.2">
      <c r="A76" s="12" t="s">
        <v>21</v>
      </c>
      <c r="B76" s="3" t="s">
        <v>190</v>
      </c>
      <c r="C76" s="2">
        <v>18.127557244410202</v>
      </c>
      <c r="D76" s="1">
        <f t="shared" si="1"/>
        <v>6.0030106273056782</v>
      </c>
      <c r="E76" s="1">
        <f t="shared" si="2"/>
        <v>1006956.3090487615</v>
      </c>
      <c r="F76" s="25">
        <v>7.6388888888888895E-2</v>
      </c>
      <c r="G76" s="4" t="s">
        <v>246</v>
      </c>
      <c r="H76" s="4" t="s">
        <v>247</v>
      </c>
      <c r="I76" s="3" t="s">
        <v>227</v>
      </c>
      <c r="J76" s="1">
        <f t="shared" si="26"/>
        <v>9761111952.7797737</v>
      </c>
      <c r="K76" s="20">
        <f t="shared" si="4"/>
        <v>9761111952.7797737</v>
      </c>
      <c r="L76" s="39"/>
      <c r="M76" s="40"/>
    </row>
    <row r="77" spans="1:14" x14ac:dyDescent="0.2">
      <c r="A77" s="12" t="s">
        <v>95</v>
      </c>
      <c r="B77" s="3" t="s">
        <v>181</v>
      </c>
      <c r="C77" s="2">
        <v>17.239256701788001</v>
      </c>
      <c r="D77" s="1">
        <f t="shared" si="1"/>
        <v>6.2534497771282167</v>
      </c>
      <c r="E77" s="1">
        <f t="shared" si="2"/>
        <v>1792461.2557937524</v>
      </c>
      <c r="F77" s="25">
        <v>7.6388888888888895E-2</v>
      </c>
      <c r="G77" s="4" t="s">
        <v>246</v>
      </c>
      <c r="H77" s="4" t="s">
        <v>247</v>
      </c>
      <c r="I77" s="3" t="s">
        <v>229</v>
      </c>
      <c r="J77" s="1">
        <f>(E77*50*50)/251.3*1000</f>
        <v>17831886746.853882</v>
      </c>
      <c r="K77" s="20">
        <f t="shared" si="4"/>
        <v>17831886746.853882</v>
      </c>
      <c r="L77" s="39">
        <f t="shared" ref="L77" si="27">AVERAGE(K77:K79)</f>
        <v>17905708299.70332</v>
      </c>
      <c r="M77" s="40" t="s">
        <v>239</v>
      </c>
    </row>
    <row r="78" spans="1:14" x14ac:dyDescent="0.2">
      <c r="A78" s="12" t="s">
        <v>104</v>
      </c>
      <c r="B78" s="3" t="s">
        <v>181</v>
      </c>
      <c r="C78" s="2">
        <v>17.259872751602199</v>
      </c>
      <c r="D78" s="1">
        <f t="shared" si="1"/>
        <v>6.2476374807933226</v>
      </c>
      <c r="E78" s="1">
        <f t="shared" si="2"/>
        <v>1768632.0094414456</v>
      </c>
      <c r="F78" s="25">
        <v>7.6388888888888895E-2</v>
      </c>
      <c r="G78" s="4" t="s">
        <v>246</v>
      </c>
      <c r="H78" s="4" t="s">
        <v>247</v>
      </c>
      <c r="I78" s="3" t="s">
        <v>229</v>
      </c>
      <c r="J78" s="1">
        <f t="shared" ref="J78:J79" si="28">(E78*50*50)/251.3*1000</f>
        <v>17594826994.045418</v>
      </c>
      <c r="K78" s="20">
        <f t="shared" si="4"/>
        <v>17594826994.045418</v>
      </c>
      <c r="L78" s="39"/>
      <c r="M78" s="40"/>
    </row>
    <row r="79" spans="1:14" x14ac:dyDescent="0.2">
      <c r="A79" s="12" t="s">
        <v>113</v>
      </c>
      <c r="B79" s="3" t="s">
        <v>181</v>
      </c>
      <c r="C79" s="2">
        <v>17.200147186537201</v>
      </c>
      <c r="D79" s="1">
        <f t="shared" si="1"/>
        <v>6.2644759482036827</v>
      </c>
      <c r="E79" s="1">
        <f t="shared" si="2"/>
        <v>1838552.1296233351</v>
      </c>
      <c r="F79" s="25">
        <v>7.6388888888888895E-2</v>
      </c>
      <c r="G79" s="4" t="s">
        <v>246</v>
      </c>
      <c r="H79" s="4" t="s">
        <v>247</v>
      </c>
      <c r="I79" s="3" t="s">
        <v>229</v>
      </c>
      <c r="J79" s="1">
        <f t="shared" si="28"/>
        <v>18290411158.210655</v>
      </c>
      <c r="K79" s="20">
        <f t="shared" si="4"/>
        <v>18290411158.210655</v>
      </c>
      <c r="L79" s="39"/>
      <c r="M79" s="40"/>
    </row>
    <row r="80" spans="1:14" x14ac:dyDescent="0.2">
      <c r="A80" s="12" t="s">
        <v>125</v>
      </c>
      <c r="B80" s="3" t="s">
        <v>191</v>
      </c>
      <c r="C80" s="2">
        <v>17.268148068695002</v>
      </c>
      <c r="D80" s="1">
        <f t="shared" si="1"/>
        <v>6.2453044152622406</v>
      </c>
      <c r="E80" s="1">
        <f t="shared" si="2"/>
        <v>1759156.2484836809</v>
      </c>
      <c r="F80" s="25">
        <v>7.6388888888888895E-2</v>
      </c>
      <c r="G80" s="4" t="s">
        <v>246</v>
      </c>
      <c r="H80" s="4" t="s">
        <v>247</v>
      </c>
      <c r="I80" s="3" t="s">
        <v>230</v>
      </c>
      <c r="J80" s="1">
        <f>(E80*50*50)/255.8*1000</f>
        <v>17192692029.746685</v>
      </c>
      <c r="K80" s="20">
        <f t="shared" si="4"/>
        <v>17192692029.746685</v>
      </c>
      <c r="L80" s="39">
        <f t="shared" ref="L80" si="29">AVERAGE(K80:K82)</f>
        <v>17643381893.67326</v>
      </c>
      <c r="M80" s="40" t="s">
        <v>239</v>
      </c>
    </row>
    <row r="81" spans="1:13" x14ac:dyDescent="0.2">
      <c r="A81" s="12" t="s">
        <v>126</v>
      </c>
      <c r="B81" s="3" t="s">
        <v>191</v>
      </c>
      <c r="C81" s="2">
        <v>17.242393152380199</v>
      </c>
      <c r="D81" s="1">
        <f t="shared" si="1"/>
        <v>6.2525655155724911</v>
      </c>
      <c r="E81" s="1">
        <f t="shared" si="2"/>
        <v>1788815.3608187831</v>
      </c>
      <c r="F81" s="25">
        <v>7.6388888888888895E-2</v>
      </c>
      <c r="G81" s="4" t="s">
        <v>246</v>
      </c>
      <c r="H81" s="4" t="s">
        <v>247</v>
      </c>
      <c r="I81" s="3" t="s">
        <v>230</v>
      </c>
      <c r="J81" s="1">
        <f t="shared" ref="J81:J82" si="30">(E81*50*50)/255.8*1000</f>
        <v>17482558256.633923</v>
      </c>
      <c r="K81" s="20">
        <f t="shared" si="4"/>
        <v>17482558256.633923</v>
      </c>
      <c r="L81" s="39"/>
      <c r="M81" s="40"/>
    </row>
    <row r="82" spans="1:13" x14ac:dyDescent="0.2">
      <c r="A82" s="12" t="s">
        <v>127</v>
      </c>
      <c r="B82" s="3" t="s">
        <v>191</v>
      </c>
      <c r="C82" s="2">
        <v>17.175801015144501</v>
      </c>
      <c r="D82" s="1">
        <f t="shared" si="1"/>
        <v>6.271339880141654</v>
      </c>
      <c r="E82" s="1">
        <f t="shared" si="2"/>
        <v>1867840.896779479</v>
      </c>
      <c r="F82" s="25">
        <v>7.6388888888888895E-2</v>
      </c>
      <c r="G82" s="4" t="s">
        <v>246</v>
      </c>
      <c r="H82" s="4" t="s">
        <v>247</v>
      </c>
      <c r="I82" s="3" t="s">
        <v>230</v>
      </c>
      <c r="J82" s="1">
        <f t="shared" si="30"/>
        <v>18254895394.639164</v>
      </c>
      <c r="K82" s="20">
        <f t="shared" si="4"/>
        <v>18254895394.639164</v>
      </c>
      <c r="L82" s="39"/>
      <c r="M82" s="40"/>
    </row>
    <row r="83" spans="1:13" x14ac:dyDescent="0.2">
      <c r="A83" s="12" t="s">
        <v>96</v>
      </c>
      <c r="B83" s="3" t="s">
        <v>182</v>
      </c>
      <c r="C83" s="2">
        <v>17.496186922607698</v>
      </c>
      <c r="D83" s="1">
        <f t="shared" si="1"/>
        <v>6.1810132728389595</v>
      </c>
      <c r="E83" s="1">
        <f t="shared" si="2"/>
        <v>1517096.7320201444</v>
      </c>
      <c r="F83" s="25">
        <v>7.6388888888888895E-2</v>
      </c>
      <c r="G83" s="4" t="s">
        <v>246</v>
      </c>
      <c r="H83" s="4" t="s">
        <v>247</v>
      </c>
      <c r="I83" s="3" t="s">
        <v>232</v>
      </c>
      <c r="J83" s="1">
        <f>(E83*50*50)/251.7*1000</f>
        <v>15068501509.933895</v>
      </c>
      <c r="K83" s="20">
        <f t="shared" si="4"/>
        <v>15068501509.933895</v>
      </c>
      <c r="L83" s="39">
        <f t="shared" ref="L83" si="31">AVERAGE(K83:K85)</f>
        <v>15086748413.859482</v>
      </c>
      <c r="M83" s="40" t="s">
        <v>239</v>
      </c>
    </row>
    <row r="84" spans="1:13" x14ac:dyDescent="0.2">
      <c r="A84" s="12" t="s">
        <v>105</v>
      </c>
      <c r="B84" s="3" t="s">
        <v>182</v>
      </c>
      <c r="C84" s="2">
        <v>17.447082574545501</v>
      </c>
      <c r="D84" s="1">
        <f t="shared" si="1"/>
        <v>6.1948572936305997</v>
      </c>
      <c r="E84" s="1">
        <f t="shared" si="2"/>
        <v>1566236.3303728937</v>
      </c>
      <c r="F84" s="25">
        <v>7.6388888888888895E-2</v>
      </c>
      <c r="G84" s="4" t="s">
        <v>246</v>
      </c>
      <c r="H84" s="4" t="s">
        <v>247</v>
      </c>
      <c r="I84" s="3" t="s">
        <v>232</v>
      </c>
      <c r="J84" s="1">
        <f t="shared" ref="J84:J85" si="32">(E84*50*50)/251.7*1000</f>
        <v>15556578569.456635</v>
      </c>
      <c r="K84" s="20">
        <f t="shared" si="4"/>
        <v>15556578569.456635</v>
      </c>
      <c r="L84" s="39"/>
      <c r="M84" s="40"/>
    </row>
    <row r="85" spans="1:13" x14ac:dyDescent="0.2">
      <c r="A85" s="12" t="s">
        <v>114</v>
      </c>
      <c r="B85" s="3" t="s">
        <v>182</v>
      </c>
      <c r="C85" s="2">
        <v>17.541135699905698</v>
      </c>
      <c r="D85" s="1">
        <f t="shared" si="1"/>
        <v>6.1683408348160764</v>
      </c>
      <c r="E85" s="1">
        <f t="shared" si="2"/>
        <v>1473468.4285290793</v>
      </c>
      <c r="F85" s="25">
        <v>7.6388888888888895E-2</v>
      </c>
      <c r="G85" s="4" t="s">
        <v>246</v>
      </c>
      <c r="H85" s="4" t="s">
        <v>247</v>
      </c>
      <c r="I85" s="3" t="s">
        <v>232</v>
      </c>
      <c r="J85" s="1">
        <f t="shared" si="32"/>
        <v>14635165162.187916</v>
      </c>
      <c r="K85" s="20">
        <f t="shared" si="4"/>
        <v>14635165162.187916</v>
      </c>
      <c r="L85" s="39"/>
      <c r="M85" s="40"/>
    </row>
    <row r="86" spans="1:13" x14ac:dyDescent="0.2">
      <c r="A86" s="12" t="s">
        <v>128</v>
      </c>
      <c r="B86" s="3" t="s">
        <v>192</v>
      </c>
      <c r="C86" s="2">
        <v>17.451312188556098</v>
      </c>
      <c r="D86" s="1">
        <f t="shared" si="1"/>
        <v>6.1936648358012203</v>
      </c>
      <c r="E86" s="1">
        <f t="shared" si="2"/>
        <v>1561941.7580663629</v>
      </c>
      <c r="F86" s="25">
        <v>7.6388888888888895E-2</v>
      </c>
      <c r="G86" s="4" t="s">
        <v>246</v>
      </c>
      <c r="H86" s="4" t="s">
        <v>247</v>
      </c>
      <c r="I86" s="3" t="s">
        <v>233</v>
      </c>
      <c r="J86" s="1">
        <f>(E86*50*50)/255.7*1000</f>
        <v>15271233457.825216</v>
      </c>
      <c r="K86" s="20">
        <f t="shared" si="4"/>
        <v>15271233457.825216</v>
      </c>
      <c r="L86" s="39">
        <f t="shared" ref="L86" si="33">AVERAGE(K86:K88)</f>
        <v>15626783253.564501</v>
      </c>
      <c r="M86" s="40" t="s">
        <v>239</v>
      </c>
    </row>
    <row r="87" spans="1:13" x14ac:dyDescent="0.2">
      <c r="A87" s="12" t="s">
        <v>129</v>
      </c>
      <c r="B87" s="3" t="s">
        <v>192</v>
      </c>
      <c r="C87" s="2">
        <v>17.419330733572501</v>
      </c>
      <c r="D87" s="1">
        <f t="shared" si="1"/>
        <v>6.202681388208739</v>
      </c>
      <c r="E87" s="1">
        <f t="shared" si="2"/>
        <v>1594708.7905607892</v>
      </c>
      <c r="F87" s="25">
        <v>7.6388888888888895E-2</v>
      </c>
      <c r="G87" s="4" t="s">
        <v>246</v>
      </c>
      <c r="H87" s="4" t="s">
        <v>247</v>
      </c>
      <c r="I87" s="3" t="s">
        <v>233</v>
      </c>
      <c r="J87" s="1">
        <f t="shared" ref="J87:J88" si="34">(E87*50*50)/255.7*1000</f>
        <v>15591599438.412096</v>
      </c>
      <c r="K87" s="20">
        <f t="shared" si="4"/>
        <v>15591599438.412096</v>
      </c>
      <c r="L87" s="39"/>
      <c r="M87" s="40"/>
    </row>
    <row r="88" spans="1:13" x14ac:dyDescent="0.2">
      <c r="A88" s="12" t="s">
        <v>130</v>
      </c>
      <c r="B88" s="3" t="s">
        <v>192</v>
      </c>
      <c r="C88" s="2">
        <v>17.377815130189099</v>
      </c>
      <c r="D88" s="1">
        <f t="shared" si="1"/>
        <v>6.2143859092765945</v>
      </c>
      <c r="E88" s="1">
        <f t="shared" si="2"/>
        <v>1638271.6248965792</v>
      </c>
      <c r="F88" s="25">
        <v>7.6388888888888895E-2</v>
      </c>
      <c r="G88" s="4" t="s">
        <v>246</v>
      </c>
      <c r="H88" s="4" t="s">
        <v>247</v>
      </c>
      <c r="I88" s="3" t="s">
        <v>233</v>
      </c>
      <c r="J88" s="1">
        <f t="shared" si="34"/>
        <v>16017516864.456192</v>
      </c>
      <c r="K88" s="20">
        <f t="shared" si="4"/>
        <v>16017516864.456192</v>
      </c>
      <c r="L88" s="39"/>
      <c r="M88" s="40"/>
    </row>
    <row r="89" spans="1:13" x14ac:dyDescent="0.2">
      <c r="A89" s="12" t="s">
        <v>97</v>
      </c>
      <c r="B89" s="3" t="s">
        <v>183</v>
      </c>
      <c r="C89" s="2">
        <v>16.785826202474901</v>
      </c>
      <c r="D89" s="1">
        <f t="shared" si="1"/>
        <v>6.3812857327568935</v>
      </c>
      <c r="E89" s="1">
        <f t="shared" si="2"/>
        <v>2405945.2084607175</v>
      </c>
      <c r="F89" s="25">
        <v>7.6388888888888895E-2</v>
      </c>
      <c r="G89" s="4" t="s">
        <v>246</v>
      </c>
      <c r="H89" s="4" t="s">
        <v>247</v>
      </c>
      <c r="I89" s="3" t="s">
        <v>219</v>
      </c>
      <c r="J89" s="1">
        <f>(E89*50*50)/245.3*1000</f>
        <v>24520436286.798996</v>
      </c>
      <c r="K89" s="20">
        <f t="shared" si="4"/>
        <v>24520436286.798996</v>
      </c>
      <c r="L89" s="39">
        <f t="shared" ref="L89" si="35">AVERAGE(K89:K91)</f>
        <v>26031310556.686596</v>
      </c>
      <c r="M89" s="40" t="s">
        <v>239</v>
      </c>
    </row>
    <row r="90" spans="1:13" x14ac:dyDescent="0.2">
      <c r="A90" s="12" t="s">
        <v>106</v>
      </c>
      <c r="B90" s="3" t="s">
        <v>183</v>
      </c>
      <c r="C90" s="2">
        <v>16.5426335019718</v>
      </c>
      <c r="D90" s="1">
        <f t="shared" si="1"/>
        <v>6.4498492090070112</v>
      </c>
      <c r="E90" s="1">
        <f t="shared" si="2"/>
        <v>2817404.5329484795</v>
      </c>
      <c r="F90" s="25">
        <v>7.6388888888888895E-2</v>
      </c>
      <c r="G90" s="4" t="s">
        <v>246</v>
      </c>
      <c r="H90" s="4" t="s">
        <v>247</v>
      </c>
      <c r="I90" s="3" t="s">
        <v>219</v>
      </c>
      <c r="J90" s="1">
        <f t="shared" ref="J90:J91" si="36">(E90*50*50)/245.3*1000</f>
        <v>28713866010.481853</v>
      </c>
      <c r="K90" s="20">
        <f t="shared" si="4"/>
        <v>28713866010.481853</v>
      </c>
      <c r="L90" s="39"/>
      <c r="M90" s="40"/>
    </row>
    <row r="91" spans="1:13" x14ac:dyDescent="0.2">
      <c r="A91" s="12" t="s">
        <v>115</v>
      </c>
      <c r="B91" s="3" t="s">
        <v>183</v>
      </c>
      <c r="C91" s="2">
        <v>16.764663351569801</v>
      </c>
      <c r="D91" s="1">
        <f t="shared" si="1"/>
        <v>6.3872521890790397</v>
      </c>
      <c r="E91" s="1">
        <f t="shared" si="2"/>
        <v>2439226.8340570689</v>
      </c>
      <c r="F91" s="25">
        <v>7.6388888888888895E-2</v>
      </c>
      <c r="G91" s="4" t="s">
        <v>246</v>
      </c>
      <c r="H91" s="4" t="s">
        <v>247</v>
      </c>
      <c r="I91" s="3" t="s">
        <v>219</v>
      </c>
      <c r="J91" s="1">
        <f t="shared" si="36"/>
        <v>24859629372.778931</v>
      </c>
      <c r="K91" s="20">
        <f t="shared" si="4"/>
        <v>24859629372.778931</v>
      </c>
      <c r="L91" s="39"/>
      <c r="M91" s="40"/>
    </row>
    <row r="92" spans="1:13" x14ac:dyDescent="0.2">
      <c r="A92" s="12" t="s">
        <v>131</v>
      </c>
      <c r="B92" s="3" t="s">
        <v>193</v>
      </c>
      <c r="C92" s="2">
        <v>17.081145199920499</v>
      </c>
      <c r="D92" s="1">
        <f t="shared" si="1"/>
        <v>6.2980262557015303</v>
      </c>
      <c r="E92" s="1">
        <f t="shared" si="2"/>
        <v>1986214.992315368</v>
      </c>
      <c r="F92" s="25">
        <v>7.6388888888888895E-2</v>
      </c>
      <c r="G92" s="4" t="s">
        <v>246</v>
      </c>
      <c r="H92" s="4" t="s">
        <v>247</v>
      </c>
      <c r="I92" s="3" t="s">
        <v>235</v>
      </c>
      <c r="J92" s="1">
        <f>(E92*50*50)/253.1*1000</f>
        <v>19618875862.459187</v>
      </c>
      <c r="K92" s="20">
        <f t="shared" si="4"/>
        <v>19618875862.459187</v>
      </c>
      <c r="L92" s="39">
        <f t="shared" ref="L92" si="37">AVERAGE(K92:K94)</f>
        <v>18653851674.082798</v>
      </c>
      <c r="M92" s="40" t="s">
        <v>239</v>
      </c>
    </row>
    <row r="93" spans="1:13" x14ac:dyDescent="0.2">
      <c r="A93" s="12" t="s">
        <v>132</v>
      </c>
      <c r="B93" s="3" t="s">
        <v>193</v>
      </c>
      <c r="C93" s="2">
        <v>17.286568910313001</v>
      </c>
      <c r="D93" s="1">
        <f t="shared" si="1"/>
        <v>6.2401110154020882</v>
      </c>
      <c r="E93" s="1">
        <f t="shared" si="2"/>
        <v>1738245.1063664583</v>
      </c>
      <c r="F93" s="25">
        <v>7.6388888888888895E-2</v>
      </c>
      <c r="G93" s="4" t="s">
        <v>246</v>
      </c>
      <c r="H93" s="4" t="s">
        <v>247</v>
      </c>
      <c r="I93" s="3" t="s">
        <v>235</v>
      </c>
      <c r="J93" s="1">
        <f t="shared" ref="J93:J94" si="38">(E93*50*50)/253.1*1000</f>
        <v>17169548660.277147</v>
      </c>
      <c r="K93" s="20">
        <f t="shared" si="4"/>
        <v>17169548660.277147</v>
      </c>
      <c r="L93" s="39"/>
      <c r="M93" s="40"/>
    </row>
    <row r="94" spans="1:13" x14ac:dyDescent="0.2">
      <c r="A94" s="12" t="s">
        <v>133</v>
      </c>
      <c r="B94" s="3" t="s">
        <v>193</v>
      </c>
      <c r="C94" s="2">
        <v>17.1165478457423</v>
      </c>
      <c r="D94" s="1">
        <f t="shared" si="1"/>
        <v>6.2880451647355065</v>
      </c>
      <c r="E94" s="1">
        <f t="shared" si="2"/>
        <v>1941087.7317706011</v>
      </c>
      <c r="F94" s="25">
        <v>7.6388888888888895E-2</v>
      </c>
      <c r="G94" s="4" t="s">
        <v>246</v>
      </c>
      <c r="H94" s="4" t="s">
        <v>247</v>
      </c>
      <c r="I94" s="3" t="s">
        <v>235</v>
      </c>
      <c r="J94" s="1">
        <f t="shared" si="38"/>
        <v>19173130499.512066</v>
      </c>
      <c r="K94" s="20">
        <f t="shared" si="4"/>
        <v>19173130499.512066</v>
      </c>
      <c r="L94" s="39"/>
      <c r="M94" s="40"/>
    </row>
    <row r="95" spans="1:13" x14ac:dyDescent="0.2">
      <c r="A95" s="12" t="s">
        <v>7</v>
      </c>
      <c r="B95" s="3" t="s">
        <v>174</v>
      </c>
      <c r="C95" s="2">
        <v>17.297767761526298</v>
      </c>
      <c r="D95" s="1">
        <f t="shared" si="1"/>
        <v>6.2369537159946509</v>
      </c>
      <c r="E95" s="1">
        <f t="shared" si="2"/>
        <v>1725653.9743093371</v>
      </c>
      <c r="F95" s="25">
        <v>7.6388888888888895E-2</v>
      </c>
      <c r="G95" s="4" t="s">
        <v>246</v>
      </c>
      <c r="H95" s="4" t="s">
        <v>247</v>
      </c>
      <c r="I95" s="3" t="s">
        <v>205</v>
      </c>
      <c r="J95" s="1">
        <f>(E95*50*50)/246.7*1000</f>
        <v>17487373067.585503</v>
      </c>
      <c r="K95" s="20">
        <f t="shared" si="4"/>
        <v>17487373067.585503</v>
      </c>
      <c r="L95" s="39">
        <f t="shared" ref="L95" si="39">AVERAGE(K95:K97)</f>
        <v>16049775305.185766</v>
      </c>
      <c r="M95" s="40" t="s">
        <v>239</v>
      </c>
    </row>
    <row r="96" spans="1:13" x14ac:dyDescent="0.2">
      <c r="A96" s="12" t="s">
        <v>8</v>
      </c>
      <c r="B96" s="3" t="s">
        <v>174</v>
      </c>
      <c r="C96" s="2">
        <v>17.448343002011502</v>
      </c>
      <c r="D96" s="1">
        <f t="shared" si="1"/>
        <v>6.1945019404951998</v>
      </c>
      <c r="E96" s="1">
        <f t="shared" si="2"/>
        <v>1564955.3116726531</v>
      </c>
      <c r="F96" s="25">
        <v>7.6388888888888895E-2</v>
      </c>
      <c r="G96" s="4" t="s">
        <v>246</v>
      </c>
      <c r="H96" s="4" t="s">
        <v>247</v>
      </c>
      <c r="I96" s="3" t="s">
        <v>205</v>
      </c>
      <c r="J96" s="1">
        <f t="shared" ref="J96:J97" si="40">(E96*50*50)/246.7*1000</f>
        <v>15858890470.942978</v>
      </c>
      <c r="K96" s="20">
        <f t="shared" si="4"/>
        <v>15858890470.942978</v>
      </c>
      <c r="L96" s="39"/>
      <c r="M96" s="40"/>
    </row>
    <row r="97" spans="1:13" x14ac:dyDescent="0.2">
      <c r="A97" s="12" t="s">
        <v>9</v>
      </c>
      <c r="B97" s="3" t="s">
        <v>174</v>
      </c>
      <c r="C97" s="2">
        <v>17.554472755745302</v>
      </c>
      <c r="D97" s="1">
        <f t="shared" si="1"/>
        <v>6.1645807099874386</v>
      </c>
      <c r="E97" s="1">
        <f t="shared" si="2"/>
        <v>1460766.1953652031</v>
      </c>
      <c r="F97" s="25">
        <v>7.6388888888888895E-2</v>
      </c>
      <c r="G97" s="4" t="s">
        <v>246</v>
      </c>
      <c r="H97" s="4" t="s">
        <v>247</v>
      </c>
      <c r="I97" s="3" t="s">
        <v>205</v>
      </c>
      <c r="J97" s="1">
        <f t="shared" si="40"/>
        <v>14803062377.028812</v>
      </c>
      <c r="K97" s="20">
        <f t="shared" si="4"/>
        <v>14803062377.028812</v>
      </c>
      <c r="L97" s="39"/>
      <c r="M97" s="40"/>
    </row>
    <row r="98" spans="1:13" x14ac:dyDescent="0.2">
      <c r="A98" s="12" t="s">
        <v>10</v>
      </c>
      <c r="B98" s="3" t="s">
        <v>184</v>
      </c>
      <c r="C98" s="2">
        <v>17.329967438475801</v>
      </c>
      <c r="D98" s="1">
        <f t="shared" si="1"/>
        <v>6.2278756401263315</v>
      </c>
      <c r="E98" s="1">
        <f t="shared" si="2"/>
        <v>1689956.9445475542</v>
      </c>
      <c r="F98" s="25">
        <v>7.6388888888888895E-2</v>
      </c>
      <c r="G98" s="4" t="s">
        <v>246</v>
      </c>
      <c r="H98" s="4" t="s">
        <v>247</v>
      </c>
      <c r="I98" s="3" t="s">
        <v>236</v>
      </c>
      <c r="J98" s="1">
        <f>(E98*50*50)/255.2*1000</f>
        <v>16555220851.758957</v>
      </c>
      <c r="K98" s="20">
        <f t="shared" si="4"/>
        <v>16555220851.758957</v>
      </c>
      <c r="L98" s="39">
        <f t="shared" ref="L98" si="41">AVERAGE(K98:K100)</f>
        <v>17305420560.134449</v>
      </c>
      <c r="M98" s="40" t="s">
        <v>239</v>
      </c>
    </row>
    <row r="99" spans="1:13" x14ac:dyDescent="0.2">
      <c r="A99" s="12" t="s">
        <v>13</v>
      </c>
      <c r="B99" s="3" t="s">
        <v>184</v>
      </c>
      <c r="C99" s="2">
        <v>17.202659114403598</v>
      </c>
      <c r="D99" s="1">
        <f t="shared" si="1"/>
        <v>6.2637677587462957</v>
      </c>
      <c r="E99" s="1">
        <f t="shared" si="2"/>
        <v>1835556.5073740666</v>
      </c>
      <c r="F99" s="25">
        <v>7.6388888888888895E-2</v>
      </c>
      <c r="G99" s="4" t="s">
        <v>246</v>
      </c>
      <c r="H99" s="4" t="s">
        <v>247</v>
      </c>
      <c r="I99" s="3" t="s">
        <v>236</v>
      </c>
      <c r="J99" s="1">
        <f t="shared" ref="J99:J100" si="42">(E99*50*50)/255.2*1000</f>
        <v>17981548857.504574</v>
      </c>
      <c r="K99" s="20">
        <f t="shared" si="4"/>
        <v>17981548857.504574</v>
      </c>
      <c r="L99" s="39"/>
      <c r="M99" s="40"/>
    </row>
    <row r="100" spans="1:13" x14ac:dyDescent="0.2">
      <c r="A100" s="12" t="s">
        <v>16</v>
      </c>
      <c r="B100" s="3" t="s">
        <v>184</v>
      </c>
      <c r="C100" s="2">
        <v>17.255118895310201</v>
      </c>
      <c r="D100" s="1">
        <f t="shared" si="1"/>
        <v>6.248977738590118</v>
      </c>
      <c r="E100" s="1">
        <f t="shared" si="2"/>
        <v>1774098.5404139524</v>
      </c>
      <c r="F100" s="25">
        <v>7.6388888888888895E-2</v>
      </c>
      <c r="G100" s="4" t="s">
        <v>246</v>
      </c>
      <c r="H100" s="4" t="s">
        <v>247</v>
      </c>
      <c r="I100" s="3" t="s">
        <v>236</v>
      </c>
      <c r="J100" s="1">
        <f t="shared" si="42"/>
        <v>17379491971.13982</v>
      </c>
      <c r="K100" s="20">
        <f t="shared" si="4"/>
        <v>17379491971.13982</v>
      </c>
      <c r="L100" s="39"/>
      <c r="M100" s="40"/>
    </row>
    <row r="101" spans="1:13" x14ac:dyDescent="0.2">
      <c r="A101" s="12" t="s">
        <v>22</v>
      </c>
      <c r="B101" s="3" t="s">
        <v>194</v>
      </c>
      <c r="C101" s="2">
        <v>17.3264895557156</v>
      </c>
      <c r="D101" s="1">
        <f t="shared" si="1"/>
        <v>6.2288561618752842</v>
      </c>
      <c r="E101" s="1">
        <f t="shared" si="2"/>
        <v>1693776.7294964406</v>
      </c>
      <c r="F101" s="25">
        <v>7.6388888888888895E-2</v>
      </c>
      <c r="G101" s="4" t="s">
        <v>246</v>
      </c>
      <c r="H101" s="4" t="s">
        <v>247</v>
      </c>
      <c r="I101" s="3" t="s">
        <v>237</v>
      </c>
      <c r="J101" s="1">
        <f>(E101*50*50)/255.5*1000</f>
        <v>16573157822.861454</v>
      </c>
      <c r="K101" s="20">
        <f t="shared" si="4"/>
        <v>16573157822.861454</v>
      </c>
      <c r="L101" s="39">
        <f t="shared" ref="L101" si="43">AVERAGE(K101:K103)</f>
        <v>16542802936.784355</v>
      </c>
      <c r="M101" s="40" t="s">
        <v>239</v>
      </c>
    </row>
    <row r="102" spans="1:13" x14ac:dyDescent="0.2">
      <c r="A102" s="12" t="s">
        <v>23</v>
      </c>
      <c r="B102" s="3" t="s">
        <v>194</v>
      </c>
      <c r="C102" s="2">
        <v>17.261372060540999</v>
      </c>
      <c r="D102" s="1">
        <f t="shared" si="1"/>
        <v>6.2472147796489041</v>
      </c>
      <c r="E102" s="1">
        <f t="shared" si="2"/>
        <v>1766911.4278989686</v>
      </c>
      <c r="F102" s="25">
        <v>7.6388888888888895E-2</v>
      </c>
      <c r="G102" s="4" t="s">
        <v>246</v>
      </c>
      <c r="H102" s="4" t="s">
        <v>247</v>
      </c>
      <c r="I102" s="3" t="s">
        <v>237</v>
      </c>
      <c r="J102" s="1">
        <f t="shared" ref="J102:J103" si="44">(E102*50*50)/255.5*1000</f>
        <v>17288761525.430222</v>
      </c>
      <c r="K102" s="20">
        <f t="shared" si="4"/>
        <v>17288761525.430222</v>
      </c>
      <c r="L102" s="39"/>
      <c r="M102" s="40"/>
    </row>
    <row r="103" spans="1:13" x14ac:dyDescent="0.2">
      <c r="A103" s="12" t="s">
        <v>24</v>
      </c>
      <c r="B103" s="3" t="s">
        <v>194</v>
      </c>
      <c r="C103" s="2">
        <v>17.4033533559682</v>
      </c>
      <c r="D103" s="1">
        <f t="shared" si="1"/>
        <v>6.2071859006700318</v>
      </c>
      <c r="E103" s="1">
        <f t="shared" si="2"/>
        <v>1611335.2230226744</v>
      </c>
      <c r="F103" s="25">
        <v>7.6388888888888895E-2</v>
      </c>
      <c r="G103" s="4" t="s">
        <v>246</v>
      </c>
      <c r="H103" s="4" t="s">
        <v>247</v>
      </c>
      <c r="I103" s="3" t="s">
        <v>237</v>
      </c>
      <c r="J103" s="1">
        <f t="shared" si="44"/>
        <v>15766489462.061392</v>
      </c>
      <c r="K103" s="20">
        <f t="shared" si="4"/>
        <v>15766489462.061392</v>
      </c>
      <c r="L103" s="39"/>
      <c r="M103" s="40"/>
    </row>
    <row r="104" spans="1:13" x14ac:dyDescent="0.2">
      <c r="I104" s="3"/>
    </row>
  </sheetData>
  <mergeCells count="43">
    <mergeCell ref="M71:M73"/>
    <mergeCell ref="M95:M97"/>
    <mergeCell ref="M98:M100"/>
    <mergeCell ref="M101:M103"/>
    <mergeCell ref="M77:M79"/>
    <mergeCell ref="M80:M82"/>
    <mergeCell ref="M83:M85"/>
    <mergeCell ref="M86:M88"/>
    <mergeCell ref="M89:M91"/>
    <mergeCell ref="M92:M94"/>
    <mergeCell ref="L92:L94"/>
    <mergeCell ref="L95:L97"/>
    <mergeCell ref="L98:L100"/>
    <mergeCell ref="L101:L103"/>
    <mergeCell ref="L86:L88"/>
    <mergeCell ref="L89:L91"/>
    <mergeCell ref="M56:M58"/>
    <mergeCell ref="L74:L76"/>
    <mergeCell ref="L77:L79"/>
    <mergeCell ref="L80:L82"/>
    <mergeCell ref="L83:L85"/>
    <mergeCell ref="L56:L58"/>
    <mergeCell ref="L59:L61"/>
    <mergeCell ref="L62:L64"/>
    <mergeCell ref="L65:L67"/>
    <mergeCell ref="L68:L70"/>
    <mergeCell ref="L71:L73"/>
    <mergeCell ref="M74:M76"/>
    <mergeCell ref="M59:M61"/>
    <mergeCell ref="M62:M64"/>
    <mergeCell ref="M65:M67"/>
    <mergeCell ref="M68:M70"/>
    <mergeCell ref="L53:L55"/>
    <mergeCell ref="S7:U8"/>
    <mergeCell ref="L41:L43"/>
    <mergeCell ref="L44:L46"/>
    <mergeCell ref="L47:L49"/>
    <mergeCell ref="L50:L52"/>
    <mergeCell ref="M41:M43"/>
    <mergeCell ref="M44:M46"/>
    <mergeCell ref="M47:M49"/>
    <mergeCell ref="M50:M52"/>
    <mergeCell ref="M53:M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16S - plate 1</vt:lpstr>
      <vt:lpstr>16S - plate 2</vt:lpstr>
      <vt:lpstr>16S - plate 3a</vt:lpstr>
      <vt:lpstr>16S - plate 3b</vt:lpstr>
      <vt:lpstr>16S - plate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2019-06-03T21:48:02Z</dcterms:created>
  <dcterms:modified xsi:type="dcterms:W3CDTF">2021-06-01T17:22:08Z</dcterms:modified>
</cp:coreProperties>
</file>