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Flume/Flume Run 3 - 05:02:19/qPCR/Raw Data/ermB/"/>
    </mc:Choice>
  </mc:AlternateContent>
  <xr:revisionPtr revIDLastSave="0" documentId="13_ncr:1_{B2C3A23B-611B-5543-ACCA-283DE7173DBA}" xr6:coauthVersionLast="47" xr6:coauthVersionMax="47" xr10:uidLastSave="{00000000-0000-0000-0000-000000000000}"/>
  <bookViews>
    <workbookView xWindow="30180" yWindow="1740" windowWidth="28060" windowHeight="16160" activeTab="3" xr2:uid="{70D906E7-DD79-D342-AB06-CCF3C5B2EF98}"/>
  </bookViews>
  <sheets>
    <sheet name="ermB - plate 1" sheetId="2" r:id="rId1"/>
    <sheet name="ermB - plate 2" sheetId="6" r:id="rId2"/>
    <sheet name="ermB - plate 3" sheetId="4" r:id="rId3"/>
    <sheet name="ermB - plate 4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" i="6" l="1"/>
  <c r="C25" i="2"/>
  <c r="S10" i="2"/>
  <c r="S10" i="4"/>
  <c r="S13" i="8" l="1"/>
  <c r="S12" i="8"/>
  <c r="S13" i="4"/>
  <c r="S12" i="4"/>
  <c r="S13" i="6"/>
  <c r="S12" i="6"/>
  <c r="S12" i="2" l="1"/>
  <c r="S13" i="2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41" i="8"/>
  <c r="S10" i="8"/>
  <c r="S11" i="8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38" i="4"/>
  <c r="S11" i="4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38" i="6"/>
  <c r="S11" i="6"/>
  <c r="D39" i="2"/>
  <c r="D45" i="2"/>
  <c r="D50" i="2"/>
  <c r="D55" i="2"/>
  <c r="D61" i="2"/>
  <c r="D65" i="2"/>
  <c r="D66" i="2"/>
  <c r="D70" i="2"/>
  <c r="D71" i="2"/>
  <c r="D75" i="2"/>
  <c r="D77" i="2"/>
  <c r="D81" i="2"/>
  <c r="D82" i="2"/>
  <c r="D86" i="2"/>
  <c r="D87" i="2"/>
  <c r="D91" i="2"/>
  <c r="D93" i="2"/>
  <c r="D97" i="2"/>
  <c r="D98" i="2"/>
  <c r="D102" i="2"/>
  <c r="D103" i="2"/>
  <c r="S11" i="2"/>
  <c r="D59" i="2" l="1"/>
  <c r="D49" i="2"/>
  <c r="D101" i="2"/>
  <c r="D95" i="2"/>
  <c r="D90" i="2"/>
  <c r="D85" i="2"/>
  <c r="D79" i="2"/>
  <c r="D74" i="2"/>
  <c r="D69" i="2"/>
  <c r="D63" i="2"/>
  <c r="D58" i="2"/>
  <c r="D53" i="2"/>
  <c r="D47" i="2"/>
  <c r="D42" i="2"/>
  <c r="D54" i="2"/>
  <c r="D43" i="2"/>
  <c r="D99" i="2"/>
  <c r="D94" i="2"/>
  <c r="D89" i="2"/>
  <c r="D83" i="2"/>
  <c r="D78" i="2"/>
  <c r="D73" i="2"/>
  <c r="D67" i="2"/>
  <c r="D62" i="2"/>
  <c r="D57" i="2"/>
  <c r="D51" i="2"/>
  <c r="D46" i="2"/>
  <c r="D41" i="2"/>
  <c r="D38" i="2"/>
  <c r="D100" i="2"/>
  <c r="D96" i="2"/>
  <c r="D92" i="2"/>
  <c r="D88" i="2"/>
  <c r="D84" i="2"/>
  <c r="D80" i="2"/>
  <c r="D76" i="2"/>
  <c r="D72" i="2"/>
  <c r="D68" i="2"/>
  <c r="D64" i="2"/>
  <c r="D60" i="2"/>
  <c r="D56" i="2"/>
  <c r="D52" i="2"/>
  <c r="D48" i="2"/>
  <c r="D44" i="2"/>
  <c r="D40" i="2"/>
  <c r="T38" i="8"/>
  <c r="E42" i="8" l="1"/>
  <c r="J42" i="8" s="1"/>
  <c r="K42" i="8" s="1"/>
  <c r="E46" i="8"/>
  <c r="J46" i="8" s="1"/>
  <c r="K46" i="8" s="1"/>
  <c r="E50" i="8"/>
  <c r="J50" i="8" s="1"/>
  <c r="K50" i="8" s="1"/>
  <c r="E54" i="8"/>
  <c r="J54" i="8" s="1"/>
  <c r="K54" i="8" s="1"/>
  <c r="E58" i="8"/>
  <c r="J58" i="8" s="1"/>
  <c r="K58" i="8" s="1"/>
  <c r="E62" i="8"/>
  <c r="J62" i="8" s="1"/>
  <c r="K62" i="8" s="1"/>
  <c r="E66" i="8"/>
  <c r="J66" i="8" s="1"/>
  <c r="K66" i="8" s="1"/>
  <c r="E70" i="8"/>
  <c r="J70" i="8" s="1"/>
  <c r="K70" i="8" s="1"/>
  <c r="E74" i="8"/>
  <c r="J74" i="8" s="1"/>
  <c r="K74" i="8" s="1"/>
  <c r="E78" i="8"/>
  <c r="J78" i="8" s="1"/>
  <c r="K78" i="8" s="1"/>
  <c r="E82" i="8"/>
  <c r="J82" i="8" s="1"/>
  <c r="K82" i="8" s="1"/>
  <c r="E86" i="8"/>
  <c r="J86" i="8" s="1"/>
  <c r="K86" i="8" s="1"/>
  <c r="E90" i="8"/>
  <c r="J90" i="8" s="1"/>
  <c r="K90" i="8" s="1"/>
  <c r="E94" i="8"/>
  <c r="J94" i="8" s="1"/>
  <c r="K94" i="8" s="1"/>
  <c r="E98" i="8"/>
  <c r="J98" i="8" s="1"/>
  <c r="K98" i="8" s="1"/>
  <c r="E102" i="8"/>
  <c r="J102" i="8" s="1"/>
  <c r="K102" i="8" s="1"/>
  <c r="E43" i="8"/>
  <c r="J43" i="8" s="1"/>
  <c r="K43" i="8" s="1"/>
  <c r="E44" i="8"/>
  <c r="J44" i="8" s="1"/>
  <c r="K44" i="8" s="1"/>
  <c r="E45" i="8"/>
  <c r="J45" i="8" s="1"/>
  <c r="K45" i="8" s="1"/>
  <c r="E47" i="8"/>
  <c r="J47" i="8" s="1"/>
  <c r="K47" i="8" s="1"/>
  <c r="E48" i="8"/>
  <c r="J48" i="8" s="1"/>
  <c r="K48" i="8" s="1"/>
  <c r="E49" i="8"/>
  <c r="J49" i="8" s="1"/>
  <c r="K49" i="8" s="1"/>
  <c r="E51" i="8"/>
  <c r="J51" i="8" s="1"/>
  <c r="K51" i="8" s="1"/>
  <c r="E52" i="8"/>
  <c r="J52" i="8" s="1"/>
  <c r="K52" i="8" s="1"/>
  <c r="E53" i="8"/>
  <c r="J53" i="8" s="1"/>
  <c r="K53" i="8" s="1"/>
  <c r="E55" i="8"/>
  <c r="J55" i="8" s="1"/>
  <c r="K55" i="8" s="1"/>
  <c r="E56" i="8"/>
  <c r="J56" i="8" s="1"/>
  <c r="K56" i="8" s="1"/>
  <c r="L56" i="8" s="1"/>
  <c r="E57" i="8"/>
  <c r="J57" i="8" s="1"/>
  <c r="K57" i="8" s="1"/>
  <c r="E59" i="8"/>
  <c r="J59" i="8" s="1"/>
  <c r="K59" i="8" s="1"/>
  <c r="E60" i="8"/>
  <c r="J60" i="8" s="1"/>
  <c r="K60" i="8" s="1"/>
  <c r="E61" i="8"/>
  <c r="J61" i="8" s="1"/>
  <c r="K61" i="8" s="1"/>
  <c r="E63" i="8"/>
  <c r="J63" i="8" s="1"/>
  <c r="K63" i="8" s="1"/>
  <c r="E64" i="8"/>
  <c r="J64" i="8" s="1"/>
  <c r="K64" i="8" s="1"/>
  <c r="E65" i="8"/>
  <c r="J65" i="8" s="1"/>
  <c r="K65" i="8" s="1"/>
  <c r="E67" i="8"/>
  <c r="J67" i="8" s="1"/>
  <c r="K67" i="8" s="1"/>
  <c r="E68" i="8"/>
  <c r="J68" i="8" s="1"/>
  <c r="K68" i="8" s="1"/>
  <c r="E69" i="8"/>
  <c r="J69" i="8" s="1"/>
  <c r="K69" i="8" s="1"/>
  <c r="E71" i="8"/>
  <c r="J71" i="8" s="1"/>
  <c r="K71" i="8" s="1"/>
  <c r="E72" i="8"/>
  <c r="J72" i="8" s="1"/>
  <c r="K72" i="8" s="1"/>
  <c r="E73" i="8"/>
  <c r="J73" i="8" s="1"/>
  <c r="K73" i="8" s="1"/>
  <c r="E75" i="8"/>
  <c r="J75" i="8" s="1"/>
  <c r="K75" i="8" s="1"/>
  <c r="E76" i="8"/>
  <c r="J76" i="8" s="1"/>
  <c r="K76" i="8" s="1"/>
  <c r="E77" i="8"/>
  <c r="J77" i="8" s="1"/>
  <c r="K77" i="8" s="1"/>
  <c r="L77" i="8" s="1"/>
  <c r="E79" i="8"/>
  <c r="J79" i="8" s="1"/>
  <c r="K79" i="8" s="1"/>
  <c r="E80" i="8"/>
  <c r="J80" i="8" s="1"/>
  <c r="K80" i="8" s="1"/>
  <c r="E81" i="8"/>
  <c r="J81" i="8" s="1"/>
  <c r="K81" i="8" s="1"/>
  <c r="E83" i="8"/>
  <c r="J83" i="8" s="1"/>
  <c r="K83" i="8" s="1"/>
  <c r="E84" i="8"/>
  <c r="J84" i="8" s="1"/>
  <c r="K84" i="8" s="1"/>
  <c r="E85" i="8"/>
  <c r="J85" i="8" s="1"/>
  <c r="K85" i="8" s="1"/>
  <c r="E87" i="8"/>
  <c r="J87" i="8" s="1"/>
  <c r="K87" i="8" s="1"/>
  <c r="E88" i="8"/>
  <c r="J88" i="8" s="1"/>
  <c r="K88" i="8" s="1"/>
  <c r="E89" i="8"/>
  <c r="J89" i="8" s="1"/>
  <c r="K89" i="8" s="1"/>
  <c r="E91" i="8"/>
  <c r="J91" i="8" s="1"/>
  <c r="K91" i="8" s="1"/>
  <c r="E92" i="8"/>
  <c r="J92" i="8" s="1"/>
  <c r="K92" i="8" s="1"/>
  <c r="E93" i="8"/>
  <c r="J93" i="8" s="1"/>
  <c r="K93" i="8" s="1"/>
  <c r="E95" i="8"/>
  <c r="J95" i="8" s="1"/>
  <c r="K95" i="8" s="1"/>
  <c r="E96" i="8"/>
  <c r="J96" i="8" s="1"/>
  <c r="K96" i="8" s="1"/>
  <c r="E97" i="8"/>
  <c r="J97" i="8" s="1"/>
  <c r="K97" i="8" s="1"/>
  <c r="E99" i="8"/>
  <c r="J99" i="8" s="1"/>
  <c r="K99" i="8" s="1"/>
  <c r="E100" i="8"/>
  <c r="J100" i="8" s="1"/>
  <c r="K100" i="8" s="1"/>
  <c r="E101" i="8"/>
  <c r="J101" i="8" s="1"/>
  <c r="K101" i="8" s="1"/>
  <c r="E103" i="8"/>
  <c r="J103" i="8" s="1"/>
  <c r="K103" i="8" s="1"/>
  <c r="E41" i="8"/>
  <c r="J41" i="8" s="1"/>
  <c r="K41" i="8" s="1"/>
  <c r="L41" i="8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" i="8"/>
  <c r="E43" i="4"/>
  <c r="J43" i="4" s="1"/>
  <c r="K43" i="4" s="1"/>
  <c r="E46" i="4"/>
  <c r="J46" i="4" s="1"/>
  <c r="K46" i="4" s="1"/>
  <c r="E47" i="4"/>
  <c r="J47" i="4" s="1"/>
  <c r="K47" i="4" s="1"/>
  <c r="E51" i="4"/>
  <c r="J51" i="4" s="1"/>
  <c r="K51" i="4" s="1"/>
  <c r="E55" i="4"/>
  <c r="J55" i="4" s="1"/>
  <c r="K55" i="4" s="1"/>
  <c r="E59" i="4"/>
  <c r="J59" i="4" s="1"/>
  <c r="K59" i="4" s="1"/>
  <c r="L59" i="4" s="1"/>
  <c r="E63" i="4"/>
  <c r="J63" i="4" s="1"/>
  <c r="K63" i="4" s="1"/>
  <c r="E67" i="4"/>
  <c r="J67" i="4" s="1"/>
  <c r="K67" i="4" s="1"/>
  <c r="E70" i="4"/>
  <c r="J70" i="4" s="1"/>
  <c r="K70" i="4" s="1"/>
  <c r="E71" i="4"/>
  <c r="J71" i="4" s="1"/>
  <c r="K71" i="4" s="1"/>
  <c r="E75" i="4"/>
  <c r="J75" i="4" s="1"/>
  <c r="K75" i="4" s="1"/>
  <c r="E78" i="4"/>
  <c r="J78" i="4" s="1"/>
  <c r="K78" i="4" s="1"/>
  <c r="E79" i="4"/>
  <c r="J79" i="4" s="1"/>
  <c r="K79" i="4" s="1"/>
  <c r="E83" i="4"/>
  <c r="J83" i="4" s="1"/>
  <c r="K83" i="4" s="1"/>
  <c r="E87" i="4"/>
  <c r="J87" i="4" s="1"/>
  <c r="K87" i="4" s="1"/>
  <c r="E91" i="4"/>
  <c r="J91" i="4" s="1"/>
  <c r="K91" i="4" s="1"/>
  <c r="E95" i="4"/>
  <c r="J95" i="4" s="1"/>
  <c r="K95" i="4" s="1"/>
  <c r="E99" i="4"/>
  <c r="J99" i="4" s="1"/>
  <c r="K99" i="4" s="1"/>
  <c r="E102" i="4"/>
  <c r="J102" i="4" s="1"/>
  <c r="K102" i="4" s="1"/>
  <c r="E103" i="4"/>
  <c r="J103" i="4" s="1"/>
  <c r="K103" i="4" s="1"/>
  <c r="E39" i="4"/>
  <c r="J39" i="4" s="1"/>
  <c r="K39" i="4" s="1"/>
  <c r="E40" i="4"/>
  <c r="J40" i="4" s="1"/>
  <c r="K40" i="4" s="1"/>
  <c r="E41" i="4"/>
  <c r="J41" i="4" s="1"/>
  <c r="K41" i="4" s="1"/>
  <c r="E42" i="4"/>
  <c r="J42" i="4" s="1"/>
  <c r="K42" i="4" s="1"/>
  <c r="E44" i="4"/>
  <c r="J44" i="4" s="1"/>
  <c r="K44" i="4" s="1"/>
  <c r="E45" i="4"/>
  <c r="J45" i="4" s="1"/>
  <c r="K45" i="4" s="1"/>
  <c r="L44" i="4" s="1"/>
  <c r="E48" i="4"/>
  <c r="J48" i="4" s="1"/>
  <c r="K48" i="4" s="1"/>
  <c r="E49" i="4"/>
  <c r="J49" i="4" s="1"/>
  <c r="K49" i="4" s="1"/>
  <c r="E50" i="4"/>
  <c r="J50" i="4" s="1"/>
  <c r="K50" i="4" s="1"/>
  <c r="E52" i="4"/>
  <c r="J52" i="4" s="1"/>
  <c r="K52" i="4" s="1"/>
  <c r="E53" i="4"/>
  <c r="J53" i="4" s="1"/>
  <c r="K53" i="4" s="1"/>
  <c r="E54" i="4"/>
  <c r="J54" i="4" s="1"/>
  <c r="K54" i="4" s="1"/>
  <c r="E56" i="4"/>
  <c r="J56" i="4" s="1"/>
  <c r="K56" i="4" s="1"/>
  <c r="E57" i="4"/>
  <c r="J57" i="4" s="1"/>
  <c r="K57" i="4" s="1"/>
  <c r="E58" i="4"/>
  <c r="J58" i="4" s="1"/>
  <c r="K58" i="4" s="1"/>
  <c r="E60" i="4"/>
  <c r="J60" i="4" s="1"/>
  <c r="K60" i="4" s="1"/>
  <c r="E61" i="4"/>
  <c r="J61" i="4" s="1"/>
  <c r="K61" i="4" s="1"/>
  <c r="E62" i="4"/>
  <c r="J62" i="4" s="1"/>
  <c r="K62" i="4" s="1"/>
  <c r="E64" i="4"/>
  <c r="J64" i="4" s="1"/>
  <c r="K64" i="4" s="1"/>
  <c r="E65" i="4"/>
  <c r="J65" i="4" s="1"/>
  <c r="K65" i="4" s="1"/>
  <c r="E66" i="4"/>
  <c r="J66" i="4" s="1"/>
  <c r="K66" i="4" s="1"/>
  <c r="E68" i="4"/>
  <c r="J68" i="4" s="1"/>
  <c r="K68" i="4" s="1"/>
  <c r="L68" i="4" s="1"/>
  <c r="E69" i="4"/>
  <c r="J69" i="4" s="1"/>
  <c r="K69" i="4" s="1"/>
  <c r="E72" i="4"/>
  <c r="J72" i="4" s="1"/>
  <c r="K72" i="4" s="1"/>
  <c r="E73" i="4"/>
  <c r="J73" i="4" s="1"/>
  <c r="K73" i="4" s="1"/>
  <c r="E74" i="4"/>
  <c r="J74" i="4" s="1"/>
  <c r="K74" i="4" s="1"/>
  <c r="E76" i="4"/>
  <c r="J76" i="4" s="1"/>
  <c r="K76" i="4" s="1"/>
  <c r="E77" i="4"/>
  <c r="J77" i="4" s="1"/>
  <c r="K77" i="4" s="1"/>
  <c r="E80" i="4"/>
  <c r="J80" i="4" s="1"/>
  <c r="K80" i="4" s="1"/>
  <c r="E81" i="4"/>
  <c r="J81" i="4" s="1"/>
  <c r="K81" i="4" s="1"/>
  <c r="E82" i="4"/>
  <c r="J82" i="4" s="1"/>
  <c r="K82" i="4" s="1"/>
  <c r="E84" i="4"/>
  <c r="J84" i="4" s="1"/>
  <c r="K84" i="4" s="1"/>
  <c r="E85" i="4"/>
  <c r="J85" i="4" s="1"/>
  <c r="K85" i="4" s="1"/>
  <c r="E86" i="4"/>
  <c r="J86" i="4" s="1"/>
  <c r="K86" i="4" s="1"/>
  <c r="E88" i="4"/>
  <c r="J88" i="4" s="1"/>
  <c r="K88" i="4" s="1"/>
  <c r="E89" i="4"/>
  <c r="J89" i="4" s="1"/>
  <c r="K89" i="4" s="1"/>
  <c r="E90" i="4"/>
  <c r="J90" i="4" s="1"/>
  <c r="K90" i="4" s="1"/>
  <c r="E92" i="4"/>
  <c r="J92" i="4" s="1"/>
  <c r="K92" i="4" s="1"/>
  <c r="E93" i="4"/>
  <c r="J93" i="4" s="1"/>
  <c r="K93" i="4" s="1"/>
  <c r="E94" i="4"/>
  <c r="J94" i="4" s="1"/>
  <c r="K94" i="4" s="1"/>
  <c r="E96" i="4"/>
  <c r="J96" i="4" s="1"/>
  <c r="K96" i="4" s="1"/>
  <c r="E97" i="4"/>
  <c r="J97" i="4" s="1"/>
  <c r="K97" i="4" s="1"/>
  <c r="E98" i="4"/>
  <c r="J98" i="4" s="1"/>
  <c r="K98" i="4" s="1"/>
  <c r="E100" i="4"/>
  <c r="J100" i="4" s="1"/>
  <c r="K100" i="4" s="1"/>
  <c r="E101" i="4"/>
  <c r="J101" i="4" s="1"/>
  <c r="K101" i="4" s="1"/>
  <c r="L101" i="4" s="1"/>
  <c r="E38" i="4"/>
  <c r="J38" i="4" s="1"/>
  <c r="K38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" i="4"/>
  <c r="E41" i="6"/>
  <c r="J41" i="6" s="1"/>
  <c r="K41" i="6" s="1"/>
  <c r="E42" i="6"/>
  <c r="J42" i="6" s="1"/>
  <c r="K42" i="6" s="1"/>
  <c r="E45" i="6"/>
  <c r="J45" i="6" s="1"/>
  <c r="K45" i="6" s="1"/>
  <c r="E46" i="6"/>
  <c r="J46" i="6" s="1"/>
  <c r="K46" i="6" s="1"/>
  <c r="E50" i="6"/>
  <c r="J50" i="6" s="1"/>
  <c r="K50" i="6" s="1"/>
  <c r="E51" i="6"/>
  <c r="J51" i="6" s="1"/>
  <c r="K51" i="6" s="1"/>
  <c r="E54" i="6"/>
  <c r="J54" i="6" s="1"/>
  <c r="K54" i="6" s="1"/>
  <c r="E57" i="6"/>
  <c r="J57" i="6" s="1"/>
  <c r="K57" i="6" s="1"/>
  <c r="E58" i="6"/>
  <c r="J58" i="6" s="1"/>
  <c r="K58" i="6" s="1"/>
  <c r="E61" i="6"/>
  <c r="J61" i="6" s="1"/>
  <c r="K61" i="6" s="1"/>
  <c r="E62" i="6"/>
  <c r="J62" i="6" s="1"/>
  <c r="K62" i="6" s="1"/>
  <c r="E66" i="6"/>
  <c r="J66" i="6" s="1"/>
  <c r="K66" i="6" s="1"/>
  <c r="E67" i="6"/>
  <c r="J67" i="6" s="1"/>
  <c r="K67" i="6" s="1"/>
  <c r="E70" i="6"/>
  <c r="J70" i="6" s="1"/>
  <c r="K70" i="6" s="1"/>
  <c r="E73" i="6"/>
  <c r="J73" i="6" s="1"/>
  <c r="K73" i="6" s="1"/>
  <c r="E74" i="6"/>
  <c r="J74" i="6" s="1"/>
  <c r="K74" i="6" s="1"/>
  <c r="E77" i="6"/>
  <c r="J77" i="6" s="1"/>
  <c r="K77" i="6" s="1"/>
  <c r="E78" i="6"/>
  <c r="J78" i="6" s="1"/>
  <c r="K78" i="6" s="1"/>
  <c r="E82" i="6"/>
  <c r="J82" i="6" s="1"/>
  <c r="K82" i="6" s="1"/>
  <c r="E83" i="6"/>
  <c r="J83" i="6" s="1"/>
  <c r="K83" i="6" s="1"/>
  <c r="E86" i="6"/>
  <c r="J86" i="6" s="1"/>
  <c r="K86" i="6" s="1"/>
  <c r="E89" i="6"/>
  <c r="J89" i="6" s="1"/>
  <c r="K89" i="6" s="1"/>
  <c r="E90" i="6"/>
  <c r="J90" i="6" s="1"/>
  <c r="K90" i="6" s="1"/>
  <c r="E39" i="6"/>
  <c r="J39" i="6" s="1"/>
  <c r="K39" i="6" s="1"/>
  <c r="E40" i="6"/>
  <c r="J40" i="6" s="1"/>
  <c r="K40" i="6" s="1"/>
  <c r="E43" i="6"/>
  <c r="J43" i="6" s="1"/>
  <c r="K43" i="6" s="1"/>
  <c r="E44" i="6"/>
  <c r="J44" i="6" s="1"/>
  <c r="K44" i="6" s="1"/>
  <c r="E47" i="6"/>
  <c r="J47" i="6" s="1"/>
  <c r="K47" i="6" s="1"/>
  <c r="E48" i="6"/>
  <c r="J48" i="6" s="1"/>
  <c r="K48" i="6" s="1"/>
  <c r="E49" i="6"/>
  <c r="J49" i="6" s="1"/>
  <c r="K49" i="6" s="1"/>
  <c r="E52" i="6"/>
  <c r="J52" i="6" s="1"/>
  <c r="K52" i="6" s="1"/>
  <c r="E53" i="6"/>
  <c r="J53" i="6" s="1"/>
  <c r="K53" i="6" s="1"/>
  <c r="E55" i="6"/>
  <c r="J55" i="6" s="1"/>
  <c r="K55" i="6" s="1"/>
  <c r="E56" i="6"/>
  <c r="J56" i="6" s="1"/>
  <c r="K56" i="6" s="1"/>
  <c r="E59" i="6"/>
  <c r="J59" i="6" s="1"/>
  <c r="K59" i="6" s="1"/>
  <c r="E60" i="6"/>
  <c r="J60" i="6" s="1"/>
  <c r="K60" i="6" s="1"/>
  <c r="E63" i="6"/>
  <c r="J63" i="6" s="1"/>
  <c r="K63" i="6" s="1"/>
  <c r="E64" i="6"/>
  <c r="J64" i="6" s="1"/>
  <c r="K64" i="6" s="1"/>
  <c r="E65" i="6"/>
  <c r="J65" i="6" s="1"/>
  <c r="K65" i="6" s="1"/>
  <c r="E68" i="6"/>
  <c r="J68" i="6" s="1"/>
  <c r="K68" i="6" s="1"/>
  <c r="E69" i="6"/>
  <c r="J69" i="6" s="1"/>
  <c r="K69" i="6" s="1"/>
  <c r="E71" i="6"/>
  <c r="J71" i="6" s="1"/>
  <c r="K71" i="6" s="1"/>
  <c r="E72" i="6"/>
  <c r="J72" i="6" s="1"/>
  <c r="K72" i="6" s="1"/>
  <c r="E75" i="6"/>
  <c r="J75" i="6" s="1"/>
  <c r="K75" i="6" s="1"/>
  <c r="E76" i="6"/>
  <c r="J76" i="6" s="1"/>
  <c r="K76" i="6" s="1"/>
  <c r="E79" i="6"/>
  <c r="J79" i="6" s="1"/>
  <c r="K79" i="6" s="1"/>
  <c r="E80" i="6"/>
  <c r="J80" i="6" s="1"/>
  <c r="K80" i="6" s="1"/>
  <c r="E81" i="6"/>
  <c r="J81" i="6" s="1"/>
  <c r="K81" i="6" s="1"/>
  <c r="E84" i="6"/>
  <c r="J84" i="6" s="1"/>
  <c r="K84" i="6" s="1"/>
  <c r="E85" i="6"/>
  <c r="J85" i="6" s="1"/>
  <c r="K85" i="6" s="1"/>
  <c r="E87" i="6"/>
  <c r="J87" i="6" s="1"/>
  <c r="K87" i="6" s="1"/>
  <c r="E88" i="6"/>
  <c r="J88" i="6" s="1"/>
  <c r="K88" i="6" s="1"/>
  <c r="E91" i="6"/>
  <c r="J91" i="6" s="1"/>
  <c r="K91" i="6" s="1"/>
  <c r="E38" i="6"/>
  <c r="J38" i="6" s="1"/>
  <c r="K38" i="6" s="1"/>
  <c r="L38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9" i="2"/>
  <c r="J39" i="2" s="1"/>
  <c r="K39" i="2" s="1"/>
  <c r="E42" i="2"/>
  <c r="J42" i="2" s="1"/>
  <c r="K42" i="2" s="1"/>
  <c r="E46" i="2"/>
  <c r="J46" i="2" s="1"/>
  <c r="K46" i="2" s="1"/>
  <c r="E49" i="2"/>
  <c r="J49" i="2" s="1"/>
  <c r="K49" i="2" s="1"/>
  <c r="E50" i="2"/>
  <c r="J50" i="2" s="1"/>
  <c r="K50" i="2" s="1"/>
  <c r="E53" i="2"/>
  <c r="J53" i="2" s="1"/>
  <c r="K53" i="2" s="1"/>
  <c r="E54" i="2"/>
  <c r="J54" i="2" s="1"/>
  <c r="K54" i="2" s="1"/>
  <c r="E55" i="2"/>
  <c r="J55" i="2" s="1"/>
  <c r="K55" i="2" s="1"/>
  <c r="E58" i="2"/>
  <c r="J58" i="2" s="1"/>
  <c r="K58" i="2" s="1"/>
  <c r="E62" i="2"/>
  <c r="J62" i="2" s="1"/>
  <c r="K62" i="2" s="1"/>
  <c r="E65" i="2"/>
  <c r="J65" i="2" s="1"/>
  <c r="K65" i="2" s="1"/>
  <c r="E66" i="2"/>
  <c r="J66" i="2" s="1"/>
  <c r="K66" i="2" s="1"/>
  <c r="E69" i="2"/>
  <c r="J69" i="2" s="1"/>
  <c r="K69" i="2" s="1"/>
  <c r="E70" i="2"/>
  <c r="J70" i="2" s="1"/>
  <c r="K70" i="2" s="1"/>
  <c r="E71" i="2"/>
  <c r="J71" i="2" s="1"/>
  <c r="K71" i="2" s="1"/>
  <c r="E74" i="2"/>
  <c r="J74" i="2" s="1"/>
  <c r="K74" i="2" s="1"/>
  <c r="E78" i="2"/>
  <c r="J78" i="2" s="1"/>
  <c r="K78" i="2" s="1"/>
  <c r="E81" i="2"/>
  <c r="J81" i="2" s="1"/>
  <c r="K81" i="2" s="1"/>
  <c r="E82" i="2"/>
  <c r="J82" i="2" s="1"/>
  <c r="K82" i="2" s="1"/>
  <c r="E85" i="2"/>
  <c r="J85" i="2" s="1"/>
  <c r="K85" i="2" s="1"/>
  <c r="E86" i="2"/>
  <c r="J86" i="2" s="1"/>
  <c r="K86" i="2" s="1"/>
  <c r="E87" i="2"/>
  <c r="J87" i="2" s="1"/>
  <c r="K87" i="2" s="1"/>
  <c r="E90" i="2"/>
  <c r="J90" i="2" s="1"/>
  <c r="K90" i="2" s="1"/>
  <c r="E94" i="2"/>
  <c r="J94" i="2" s="1"/>
  <c r="K94" i="2" s="1"/>
  <c r="E97" i="2"/>
  <c r="J97" i="2" s="1"/>
  <c r="K97" i="2" s="1"/>
  <c r="E98" i="2"/>
  <c r="J98" i="2" s="1"/>
  <c r="K98" i="2" s="1"/>
  <c r="E101" i="2"/>
  <c r="J101" i="2" s="1"/>
  <c r="K101" i="2" s="1"/>
  <c r="E102" i="2"/>
  <c r="J102" i="2" s="1"/>
  <c r="K102" i="2" s="1"/>
  <c r="E103" i="2"/>
  <c r="J103" i="2" s="1"/>
  <c r="K103" i="2" s="1"/>
  <c r="E38" i="2"/>
  <c r="J38" i="2" s="1"/>
  <c r="K38" i="2" s="1"/>
  <c r="C24" i="2"/>
  <c r="C23" i="2"/>
  <c r="E40" i="2"/>
  <c r="J40" i="2" s="1"/>
  <c r="K40" i="2" s="1"/>
  <c r="E41" i="2"/>
  <c r="J41" i="2" s="1"/>
  <c r="K41" i="2" s="1"/>
  <c r="E43" i="2"/>
  <c r="J43" i="2" s="1"/>
  <c r="K43" i="2" s="1"/>
  <c r="E44" i="2"/>
  <c r="J44" i="2" s="1"/>
  <c r="K44" i="2" s="1"/>
  <c r="E45" i="2"/>
  <c r="J45" i="2" s="1"/>
  <c r="K45" i="2" s="1"/>
  <c r="E47" i="2"/>
  <c r="J47" i="2" s="1"/>
  <c r="K47" i="2" s="1"/>
  <c r="E48" i="2"/>
  <c r="J48" i="2" s="1"/>
  <c r="K48" i="2" s="1"/>
  <c r="E51" i="2"/>
  <c r="J51" i="2" s="1"/>
  <c r="K51" i="2" s="1"/>
  <c r="E52" i="2"/>
  <c r="J52" i="2" s="1"/>
  <c r="K52" i="2" s="1"/>
  <c r="E56" i="2"/>
  <c r="J56" i="2" s="1"/>
  <c r="K56" i="2" s="1"/>
  <c r="E57" i="2"/>
  <c r="J57" i="2" s="1"/>
  <c r="K57" i="2" s="1"/>
  <c r="E59" i="2"/>
  <c r="J59" i="2" s="1"/>
  <c r="K59" i="2" s="1"/>
  <c r="E60" i="2"/>
  <c r="J60" i="2" s="1"/>
  <c r="K60" i="2" s="1"/>
  <c r="E61" i="2"/>
  <c r="J61" i="2" s="1"/>
  <c r="K61" i="2" s="1"/>
  <c r="E63" i="2"/>
  <c r="J63" i="2" s="1"/>
  <c r="K63" i="2" s="1"/>
  <c r="E64" i="2"/>
  <c r="J64" i="2" s="1"/>
  <c r="K64" i="2" s="1"/>
  <c r="E67" i="2"/>
  <c r="J67" i="2" s="1"/>
  <c r="K67" i="2" s="1"/>
  <c r="E68" i="2"/>
  <c r="J68" i="2" s="1"/>
  <c r="K68" i="2" s="1"/>
  <c r="E72" i="2"/>
  <c r="J72" i="2" s="1"/>
  <c r="K72" i="2" s="1"/>
  <c r="E73" i="2"/>
  <c r="J73" i="2" s="1"/>
  <c r="K73" i="2" s="1"/>
  <c r="E75" i="2"/>
  <c r="J75" i="2" s="1"/>
  <c r="K75" i="2" s="1"/>
  <c r="E76" i="2"/>
  <c r="J76" i="2" s="1"/>
  <c r="K76" i="2" s="1"/>
  <c r="E77" i="2"/>
  <c r="J77" i="2" s="1"/>
  <c r="K77" i="2" s="1"/>
  <c r="E79" i="2"/>
  <c r="J79" i="2" s="1"/>
  <c r="K79" i="2" s="1"/>
  <c r="E80" i="2"/>
  <c r="J80" i="2" s="1"/>
  <c r="K80" i="2" s="1"/>
  <c r="E83" i="2"/>
  <c r="J83" i="2" s="1"/>
  <c r="K83" i="2" s="1"/>
  <c r="E84" i="2"/>
  <c r="J84" i="2" s="1"/>
  <c r="K84" i="2" s="1"/>
  <c r="E88" i="2"/>
  <c r="J88" i="2" s="1"/>
  <c r="K88" i="2" s="1"/>
  <c r="E89" i="2"/>
  <c r="J89" i="2" s="1"/>
  <c r="K89" i="2" s="1"/>
  <c r="E91" i="2"/>
  <c r="J91" i="2" s="1"/>
  <c r="K91" i="2" s="1"/>
  <c r="E92" i="2"/>
  <c r="J92" i="2" s="1"/>
  <c r="K92" i="2" s="1"/>
  <c r="E93" i="2"/>
  <c r="J93" i="2" s="1"/>
  <c r="K93" i="2" s="1"/>
  <c r="E95" i="2"/>
  <c r="J95" i="2" s="1"/>
  <c r="K95" i="2" s="1"/>
  <c r="E96" i="2"/>
  <c r="J96" i="2" s="1"/>
  <c r="K96" i="2" s="1"/>
  <c r="E99" i="2"/>
  <c r="J99" i="2" s="1"/>
  <c r="K99" i="2" s="1"/>
  <c r="E100" i="2"/>
  <c r="J100" i="2" s="1"/>
  <c r="K10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6" i="2"/>
  <c r="C27" i="2"/>
  <c r="C28" i="2"/>
  <c r="C2" i="2"/>
  <c r="L59" i="6" l="1"/>
  <c r="L77" i="4"/>
  <c r="L68" i="2"/>
  <c r="L41" i="2"/>
  <c r="L92" i="2"/>
  <c r="L77" i="2"/>
  <c r="L89" i="8"/>
  <c r="L68" i="8"/>
  <c r="L92" i="8"/>
  <c r="L65" i="8"/>
  <c r="L44" i="8"/>
  <c r="L101" i="8"/>
  <c r="L80" i="8"/>
  <c r="L53" i="8"/>
  <c r="L89" i="4"/>
  <c r="L65" i="4"/>
  <c r="L86" i="4"/>
  <c r="L62" i="4"/>
  <c r="L62" i="6"/>
  <c r="L77" i="6"/>
  <c r="L50" i="6"/>
  <c r="L41" i="6"/>
  <c r="L44" i="2"/>
  <c r="L83" i="2"/>
  <c r="L47" i="2"/>
  <c r="L95" i="2"/>
  <c r="L89" i="2"/>
  <c r="L80" i="2"/>
  <c r="L59" i="2"/>
  <c r="L71" i="2"/>
  <c r="L65" i="6"/>
  <c r="L53" i="6"/>
  <c r="L89" i="6"/>
  <c r="L86" i="6"/>
  <c r="L98" i="2"/>
  <c r="L86" i="2"/>
  <c r="L74" i="2"/>
  <c r="L62" i="2"/>
  <c r="L50" i="2"/>
  <c r="L38" i="2"/>
  <c r="L74" i="6"/>
  <c r="L56" i="2"/>
  <c r="L101" i="2"/>
  <c r="L65" i="2"/>
  <c r="L53" i="2"/>
  <c r="L71" i="6"/>
  <c r="L47" i="6"/>
  <c r="L83" i="6"/>
  <c r="L68" i="6"/>
  <c r="L53" i="4"/>
  <c r="L41" i="4"/>
  <c r="L47" i="4"/>
  <c r="L80" i="4"/>
  <c r="L80" i="6"/>
  <c r="L44" i="6"/>
  <c r="L92" i="4"/>
  <c r="L71" i="4"/>
  <c r="L95" i="4"/>
  <c r="L56" i="4"/>
  <c r="L56" i="6"/>
  <c r="L98" i="4"/>
  <c r="L74" i="4"/>
  <c r="L50" i="4"/>
  <c r="L38" i="4"/>
  <c r="L86" i="8"/>
  <c r="L83" i="4"/>
  <c r="L98" i="8"/>
  <c r="L50" i="8"/>
  <c r="L95" i="8"/>
  <c r="L83" i="8"/>
  <c r="L71" i="8"/>
  <c r="L59" i="8"/>
  <c r="L47" i="8"/>
  <c r="L62" i="8"/>
  <c r="L74" i="8"/>
</calcChain>
</file>

<file path=xl/sharedStrings.xml><?xml version="1.0" encoding="utf-8"?>
<sst xmlns="http://schemas.openxmlformats.org/spreadsheetml/2006/main" count="1934" uniqueCount="256">
  <si>
    <t>Well</t>
  </si>
  <si>
    <t>Sample</t>
  </si>
  <si>
    <t>Cq</t>
  </si>
  <si>
    <t>A01</t>
  </si>
  <si>
    <t>Std 10^8</t>
  </si>
  <si>
    <t>A02</t>
  </si>
  <si>
    <t>A03</t>
  </si>
  <si>
    <t>A04</t>
  </si>
  <si>
    <t>Std 10^7</t>
  </si>
  <si>
    <t>A05</t>
  </si>
  <si>
    <t>A06</t>
  </si>
  <si>
    <t>A07</t>
  </si>
  <si>
    <t>Std 10^6</t>
  </si>
  <si>
    <t>A08</t>
  </si>
  <si>
    <t>A09</t>
  </si>
  <si>
    <t>A10</t>
  </si>
  <si>
    <t>Std 10^5</t>
  </si>
  <si>
    <t>A11</t>
  </si>
  <si>
    <t>A12</t>
  </si>
  <si>
    <t>B01</t>
  </si>
  <si>
    <t>Std 10^4</t>
  </si>
  <si>
    <t>B02</t>
  </si>
  <si>
    <t>B03</t>
  </si>
  <si>
    <t>B04</t>
  </si>
  <si>
    <t>Std 10^3</t>
  </si>
  <si>
    <t>B05</t>
  </si>
  <si>
    <t>B06</t>
  </si>
  <si>
    <t>B07</t>
  </si>
  <si>
    <t>Std 10^2</t>
  </si>
  <si>
    <t>B08</t>
  </si>
  <si>
    <t>B09</t>
  </si>
  <si>
    <t>B10</t>
  </si>
  <si>
    <t>Std 10^1</t>
  </si>
  <si>
    <t>B11</t>
  </si>
  <si>
    <t>B12</t>
  </si>
  <si>
    <t>C01</t>
  </si>
  <si>
    <t>Std 10^0</t>
  </si>
  <si>
    <t>C02</t>
  </si>
  <si>
    <t>C03</t>
  </si>
  <si>
    <t>C04</t>
  </si>
  <si>
    <t>NTC</t>
  </si>
  <si>
    <t>C05</t>
  </si>
  <si>
    <t>C06</t>
  </si>
  <si>
    <t>C07</t>
  </si>
  <si>
    <t>Holding Tank</t>
  </si>
  <si>
    <t>C08</t>
  </si>
  <si>
    <t>C09</t>
  </si>
  <si>
    <t>C10</t>
  </si>
  <si>
    <t>Source Water</t>
  </si>
  <si>
    <t>C11</t>
  </si>
  <si>
    <t>C12</t>
  </si>
  <si>
    <t>D01</t>
  </si>
  <si>
    <t>Pre-Upstream</t>
  </si>
  <si>
    <t>D02</t>
  </si>
  <si>
    <t>D03</t>
  </si>
  <si>
    <t>D04</t>
  </si>
  <si>
    <t>Pre-Downstream</t>
  </si>
  <si>
    <t>D05</t>
  </si>
  <si>
    <t>D06</t>
  </si>
  <si>
    <t>D07</t>
  </si>
  <si>
    <t>Manure_a</t>
  </si>
  <si>
    <t>D08</t>
  </si>
  <si>
    <t>D09</t>
  </si>
  <si>
    <t>D10</t>
  </si>
  <si>
    <t>Manure_b</t>
  </si>
  <si>
    <t>D11</t>
  </si>
  <si>
    <t>D12</t>
  </si>
  <si>
    <t>E01</t>
  </si>
  <si>
    <t>Manure_c</t>
  </si>
  <si>
    <t>E02</t>
  </si>
  <si>
    <t>E03</t>
  </si>
  <si>
    <t>E04</t>
  </si>
  <si>
    <t>Manure_d</t>
  </si>
  <si>
    <t>E05</t>
  </si>
  <si>
    <t>E06</t>
  </si>
  <si>
    <t>E07</t>
  </si>
  <si>
    <t>Manure_e</t>
  </si>
  <si>
    <t>E08</t>
  </si>
  <si>
    <t>E09</t>
  </si>
  <si>
    <t>E10</t>
  </si>
  <si>
    <t>Manure_f</t>
  </si>
  <si>
    <t>E11</t>
  </si>
  <si>
    <t>E12</t>
  </si>
  <si>
    <t>F01</t>
  </si>
  <si>
    <t>Pre-Soil Sample 1_a</t>
  </si>
  <si>
    <t>F02</t>
  </si>
  <si>
    <t>F03</t>
  </si>
  <si>
    <t>F04</t>
  </si>
  <si>
    <t>Pre-Soil Sample 1_b</t>
  </si>
  <si>
    <t>F05</t>
  </si>
  <si>
    <t>F06</t>
  </si>
  <si>
    <t>F07</t>
  </si>
  <si>
    <t>Pre-Soil Sample 1_c</t>
  </si>
  <si>
    <t>F08</t>
  </si>
  <si>
    <t>F09</t>
  </si>
  <si>
    <t>F10</t>
  </si>
  <si>
    <t>Pre-Soil Sample 2_a</t>
  </si>
  <si>
    <t>F11</t>
  </si>
  <si>
    <t>F12</t>
  </si>
  <si>
    <t>G01</t>
  </si>
  <si>
    <t>Pre-Soil Sample 2_b</t>
  </si>
  <si>
    <t>G02</t>
  </si>
  <si>
    <t>G03</t>
  </si>
  <si>
    <t>G04</t>
  </si>
  <si>
    <t>Pre-Soil Sample 2_c</t>
  </si>
  <si>
    <t>G05</t>
  </si>
  <si>
    <t>G06</t>
  </si>
  <si>
    <t>G07</t>
  </si>
  <si>
    <t>Pre-Soil Sample 3_a</t>
  </si>
  <si>
    <t>G08</t>
  </si>
  <si>
    <t>G09</t>
  </si>
  <si>
    <t>G10</t>
  </si>
  <si>
    <t>Pre-Soil Sample 3_b</t>
  </si>
  <si>
    <t>G11</t>
  </si>
  <si>
    <t>G12</t>
  </si>
  <si>
    <t>H01</t>
  </si>
  <si>
    <t>Pre-Soil Sample 3_c</t>
  </si>
  <si>
    <t>H02</t>
  </si>
  <si>
    <t>H03</t>
  </si>
  <si>
    <t>H04</t>
  </si>
  <si>
    <t>Pre-Soil Sample 4_a</t>
  </si>
  <si>
    <t>H05</t>
  </si>
  <si>
    <t>H06</t>
  </si>
  <si>
    <t>H07</t>
  </si>
  <si>
    <t>Pre-Soil Sample 4_b</t>
  </si>
  <si>
    <t>H08</t>
  </si>
  <si>
    <t>H09</t>
  </si>
  <si>
    <t>H10</t>
  </si>
  <si>
    <t>Pre-Soil Sample 4_c</t>
  </si>
  <si>
    <t>H11</t>
  </si>
  <si>
    <t>H12</t>
  </si>
  <si>
    <t>NA</t>
  </si>
  <si>
    <t>Pre-Infiltration</t>
  </si>
  <si>
    <t>Infiltration 1</t>
  </si>
  <si>
    <t>Infiltration 2</t>
  </si>
  <si>
    <t>Infiltration 3</t>
  </si>
  <si>
    <t>Infiltration 4</t>
  </si>
  <si>
    <t>Infiltration 5</t>
  </si>
  <si>
    <t>Infiltration 6</t>
  </si>
  <si>
    <t>Infiltration 7</t>
  </si>
  <si>
    <t>Infiltration 8</t>
  </si>
  <si>
    <t>Infiltration 9</t>
  </si>
  <si>
    <t>Infiltration 10</t>
  </si>
  <si>
    <t>Infiltration 11</t>
  </si>
  <si>
    <t>Infiltration 12</t>
  </si>
  <si>
    <t>Soil Sample 1_a</t>
  </si>
  <si>
    <t>Soil Sample 2_a</t>
  </si>
  <si>
    <t>Soil Sample 3_a</t>
  </si>
  <si>
    <t>Soil Sample 4_a</t>
  </si>
  <si>
    <t>Soil Sample 5_a</t>
  </si>
  <si>
    <t>Soil Sample 6_a</t>
  </si>
  <si>
    <t>Soil Sample 7_a</t>
  </si>
  <si>
    <t>Soil Sample 8_a</t>
  </si>
  <si>
    <t>Soil Sample 9_a</t>
  </si>
  <si>
    <t>log</t>
  </si>
  <si>
    <t>Upstream 1</t>
  </si>
  <si>
    <t>Upstream 2</t>
  </si>
  <si>
    <t>Upstream 3</t>
  </si>
  <si>
    <t>Upstream 4</t>
  </si>
  <si>
    <t>Upstream 5</t>
  </si>
  <si>
    <t>Upstream 6</t>
  </si>
  <si>
    <t>Upstream 7</t>
  </si>
  <si>
    <t>Upstream 8</t>
  </si>
  <si>
    <t>Upstream 9</t>
  </si>
  <si>
    <t>Downstream 1</t>
  </si>
  <si>
    <t>Downstream 2</t>
  </si>
  <si>
    <t>Downstream 3</t>
  </si>
  <si>
    <t>Downstream 4</t>
  </si>
  <si>
    <t>Downstream 5</t>
  </si>
  <si>
    <t>Downstream 6</t>
  </si>
  <si>
    <t>Downstream 7</t>
  </si>
  <si>
    <t>Downstream 8</t>
  </si>
  <si>
    <t>Downstream 9</t>
  </si>
  <si>
    <t>Soil Sample 10_a</t>
  </si>
  <si>
    <t>Soil Sample 1_b</t>
  </si>
  <si>
    <t>Soil Sample 2_b</t>
  </si>
  <si>
    <t>Soil Sample 3_b</t>
  </si>
  <si>
    <t>Soil Sample 4_b</t>
  </si>
  <si>
    <t>Soil Sample 5_b</t>
  </si>
  <si>
    <t>Soil Sample 6_b</t>
  </si>
  <si>
    <t>Soil Sample 7_b</t>
  </si>
  <si>
    <t>Soil Sample 8_b</t>
  </si>
  <si>
    <t>Soil Sample 9_b</t>
  </si>
  <si>
    <t>Soil Sample 10_b</t>
  </si>
  <si>
    <t>Soil Sample 1_c</t>
  </si>
  <si>
    <t>Soil Sample 2_c</t>
  </si>
  <si>
    <t>Soil Sample 3_c</t>
  </si>
  <si>
    <t>Soil Sample 4_c</t>
  </si>
  <si>
    <t>Soil Sample 5_c</t>
  </si>
  <si>
    <t>Soil Sample 6_c</t>
  </si>
  <si>
    <t>Soil Sample 7_c</t>
  </si>
  <si>
    <t>Soil Sample 8_c</t>
  </si>
  <si>
    <t>Soil Sample 9_c</t>
  </si>
  <si>
    <t>Soil Sample 10_c</t>
  </si>
  <si>
    <t>Copies/rxn</t>
  </si>
  <si>
    <t>10^</t>
  </si>
  <si>
    <t>Dil</t>
  </si>
  <si>
    <t>DNA used</t>
  </si>
  <si>
    <t>DNA extracted</t>
  </si>
  <si>
    <t>Sample Amount</t>
  </si>
  <si>
    <t>Avg</t>
  </si>
  <si>
    <t>x = (y - 38.052) / -3.7581</t>
  </si>
  <si>
    <t>2 uL</t>
  </si>
  <si>
    <t>100 uL</t>
  </si>
  <si>
    <t>75 mL</t>
  </si>
  <si>
    <t>500 mL</t>
  </si>
  <si>
    <t>250 uL</t>
  </si>
  <si>
    <t>234.4 mg</t>
  </si>
  <si>
    <t>250.2 mg</t>
  </si>
  <si>
    <t>251.9 mg</t>
  </si>
  <si>
    <t>256.4 mg</t>
  </si>
  <si>
    <t>250.8 mg</t>
  </si>
  <si>
    <t>246.7 mg</t>
  </si>
  <si>
    <t>236 mg</t>
  </si>
  <si>
    <t>246.8 mg</t>
  </si>
  <si>
    <t>249.9mg</t>
  </si>
  <si>
    <t>221.3 mg</t>
  </si>
  <si>
    <t>250.6 mg</t>
  </si>
  <si>
    <t>243.3 mg</t>
  </si>
  <si>
    <t>copies/100 mL</t>
  </si>
  <si>
    <t>copies/1 mL</t>
  </si>
  <si>
    <t>copies/1 g ww</t>
  </si>
  <si>
    <t>x = (y - 38.806) / -3.4162</t>
  </si>
  <si>
    <t>200 mL</t>
  </si>
  <si>
    <t>250 mL</t>
  </si>
  <si>
    <t>x = (y - 38.872) / -3.4317</t>
  </si>
  <si>
    <t>247.9 mg</t>
  </si>
  <si>
    <t>247.6 mg</t>
  </si>
  <si>
    <t>231.4 mg</t>
  </si>
  <si>
    <t>259.8 mg</t>
  </si>
  <si>
    <t>236.5 mg</t>
  </si>
  <si>
    <t>241.8 mg</t>
  </si>
  <si>
    <t>232.2 mg</t>
  </si>
  <si>
    <t>253.5 mg</t>
  </si>
  <si>
    <t>245.1 mg</t>
  </si>
  <si>
    <t>x = (y - 39.022) / -3.4331</t>
  </si>
  <si>
    <t>245.2 mg</t>
  </si>
  <si>
    <t>256.8 mg</t>
  </si>
  <si>
    <t>250.1 mg</t>
  </si>
  <si>
    <t>252.9 mg</t>
  </si>
  <si>
    <t>245.3 mg</t>
  </si>
  <si>
    <t>250.3 mg</t>
  </si>
  <si>
    <t>244.3 mg</t>
  </si>
  <si>
    <t>243.2 mg</t>
  </si>
  <si>
    <t>251 mg</t>
  </si>
  <si>
    <t>257.9 mg</t>
  </si>
  <si>
    <t>251.3 mg</t>
  </si>
  <si>
    <t>255.8 mg</t>
  </si>
  <si>
    <t>251.7 mg</t>
  </si>
  <si>
    <t>255.7 mg</t>
  </si>
  <si>
    <t>253.1 mg</t>
  </si>
  <si>
    <t>255.2 mg</t>
  </si>
  <si>
    <t>255.5 mg</t>
  </si>
  <si>
    <t>Manure</t>
  </si>
  <si>
    <t>Soil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</si>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</sst>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;\-###0.00"/>
    <numFmt numFmtId="165" formatCode="0.0000"/>
    <numFmt numFmtId="166" formatCode="0.00_);\(0.00\)"/>
    <numFmt numFmtId="167" formatCode="0.0000000000000_);\(0.0000000000000\)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7" fontId="0" fillId="0" borderId="0" xfId="0" applyNumberFormat="1"/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0" fillId="0" borderId="0" xfId="0" applyFill="1"/>
    <xf numFmtId="20" fontId="0" fillId="0" borderId="0" xfId="0" applyNumberFormat="1" applyAlignment="1">
      <alignment horizontal="center" vertical="center"/>
    </xf>
    <xf numFmtId="11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0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ermB 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76380759891644"/>
                  <c:y val="-0.608702085316258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'ermB - plate 1'!$C$2:$C$24</c:f>
              <c:numCache>
                <c:formatCode>0.0000</c:formatCode>
                <c:ptCount val="23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  <c:pt idx="18">
                  <c:v>2.0136044023579664</c:v>
                </c:pt>
                <c:pt idx="19">
                  <c:v>2.0136044023579664</c:v>
                </c:pt>
                <c:pt idx="20">
                  <c:v>2.0136044023579664</c:v>
                </c:pt>
                <c:pt idx="21">
                  <c:v>1.0136044023579664</c:v>
                </c:pt>
                <c:pt idx="22">
                  <c:v>1.0136044023579664</c:v>
                </c:pt>
              </c:numCache>
            </c:numRef>
          </c:xVal>
          <c:yVal>
            <c:numRef>
              <c:f>'ermB - plate 1'!$D$2:$D$24</c:f>
              <c:numCache>
                <c:formatCode>###0.00;\-###0.00</c:formatCode>
                <c:ptCount val="23"/>
                <c:pt idx="0">
                  <c:v>7.84505959954517</c:v>
                </c:pt>
                <c:pt idx="1">
                  <c:v>7.6407773967325001</c:v>
                </c:pt>
                <c:pt idx="2">
                  <c:v>7.4919750031675996</c:v>
                </c:pt>
                <c:pt idx="3">
                  <c:v>11.649433805627501</c:v>
                </c:pt>
                <c:pt idx="4">
                  <c:v>11.5014833661269</c:v>
                </c:pt>
                <c:pt idx="5">
                  <c:v>11.4925990616953</c:v>
                </c:pt>
                <c:pt idx="6">
                  <c:v>15.7935627279809</c:v>
                </c:pt>
                <c:pt idx="7">
                  <c:v>15.7733816542983</c:v>
                </c:pt>
                <c:pt idx="8">
                  <c:v>15.7976538813117</c:v>
                </c:pt>
                <c:pt idx="9">
                  <c:v>19.432540798580899</c:v>
                </c:pt>
                <c:pt idx="10">
                  <c:v>19.437636801755801</c:v>
                </c:pt>
                <c:pt idx="11">
                  <c:v>19.3210467908734</c:v>
                </c:pt>
                <c:pt idx="12">
                  <c:v>23.0464734854977</c:v>
                </c:pt>
                <c:pt idx="13">
                  <c:v>22.981275806702399</c:v>
                </c:pt>
                <c:pt idx="14">
                  <c:v>23.0603194359126</c:v>
                </c:pt>
                <c:pt idx="15">
                  <c:v>26.766372750828499</c:v>
                </c:pt>
                <c:pt idx="16">
                  <c:v>26.797877312703299</c:v>
                </c:pt>
                <c:pt idx="17">
                  <c:v>26.795523125748002</c:v>
                </c:pt>
                <c:pt idx="18">
                  <c:v>30.536244059795401</c:v>
                </c:pt>
                <c:pt idx="19">
                  <c:v>30.657388290908901</c:v>
                </c:pt>
                <c:pt idx="20">
                  <c:v>30.542364794214102</c:v>
                </c:pt>
                <c:pt idx="21">
                  <c:v>33.708190736152403</c:v>
                </c:pt>
                <c:pt idx="22">
                  <c:v>33.841364713943001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0-9E4B-9FCA-BB08CCC93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35391"/>
        <c:axId val="241365135"/>
      </c:scatterChart>
      <c:valAx>
        <c:axId val="25823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65135"/>
        <c:crosses val="autoZero"/>
        <c:crossBetween val="midCat"/>
      </c:valAx>
      <c:valAx>
        <c:axId val="2413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3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ermB 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2556721815323665"/>
                  <c:y val="-0.65420520059182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'ermB - plate 1'!$Q$2:$Q$24</c:f>
              <c:numCache>
                <c:formatCode>###0.00;\-###0.00</c:formatCode>
                <c:ptCount val="23"/>
                <c:pt idx="0">
                  <c:v>7.84505959954517</c:v>
                </c:pt>
                <c:pt idx="1">
                  <c:v>7.6407773967325001</c:v>
                </c:pt>
                <c:pt idx="2">
                  <c:v>7.4919750031675996</c:v>
                </c:pt>
                <c:pt idx="3">
                  <c:v>11.649433805627501</c:v>
                </c:pt>
                <c:pt idx="4">
                  <c:v>11.5014833661269</c:v>
                </c:pt>
                <c:pt idx="5">
                  <c:v>11.4925990616953</c:v>
                </c:pt>
                <c:pt idx="6">
                  <c:v>15.7935627279809</c:v>
                </c:pt>
                <c:pt idx="7">
                  <c:v>15.7733816542983</c:v>
                </c:pt>
                <c:pt idx="8">
                  <c:v>15.7976538813117</c:v>
                </c:pt>
                <c:pt idx="9">
                  <c:v>19.432540798580899</c:v>
                </c:pt>
                <c:pt idx="10">
                  <c:v>19.437636801755801</c:v>
                </c:pt>
                <c:pt idx="11">
                  <c:v>19.3210467908734</c:v>
                </c:pt>
                <c:pt idx="12">
                  <c:v>23.0464734854977</c:v>
                </c:pt>
                <c:pt idx="13">
                  <c:v>22.981275806702399</c:v>
                </c:pt>
                <c:pt idx="14">
                  <c:v>23.0603194359126</c:v>
                </c:pt>
                <c:pt idx="15">
                  <c:v>26.766372750828499</c:v>
                </c:pt>
                <c:pt idx="16">
                  <c:v>26.797877312703299</c:v>
                </c:pt>
                <c:pt idx="17">
                  <c:v>26.795523125748002</c:v>
                </c:pt>
                <c:pt idx="18">
                  <c:v>30.536244059795401</c:v>
                </c:pt>
                <c:pt idx="19">
                  <c:v>30.657388290908901</c:v>
                </c:pt>
                <c:pt idx="20">
                  <c:v>30.542364794214102</c:v>
                </c:pt>
                <c:pt idx="21">
                  <c:v>33.708190736152403</c:v>
                </c:pt>
                <c:pt idx="22">
                  <c:v>33.841364713943001</c:v>
                </c:pt>
              </c:numCache>
            </c:numRef>
          </c:xVal>
          <c:yVal>
            <c:numRef>
              <c:f>'ermB - plate 1'!$P$2:$P$24</c:f>
              <c:numCache>
                <c:formatCode>0.00E+00</c:formatCode>
                <c:ptCount val="23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  <c:pt idx="18">
                  <c:v>103.18210945826009</c:v>
                </c:pt>
                <c:pt idx="19">
                  <c:v>103.18210945826009</c:v>
                </c:pt>
                <c:pt idx="20">
                  <c:v>103.18210945826009</c:v>
                </c:pt>
                <c:pt idx="21">
                  <c:v>10.318210945826008</c:v>
                </c:pt>
                <c:pt idx="22">
                  <c:v>10.318210945826008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1-EB42-A309-0C58F4BB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283376"/>
        <c:axId val="1068265952"/>
      </c:scatterChart>
      <c:valAx>
        <c:axId val="106828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65952"/>
        <c:crosses val="autoZero"/>
        <c:crossBetween val="midCat"/>
      </c:valAx>
      <c:valAx>
        <c:axId val="1068265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8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13855504903993"/>
                  <c:y val="-0.59431966238033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'ermB - plate 2'!$C$2:$C$22</c:f>
              <c:numCache>
                <c:formatCode>0.0000</c:formatCode>
                <c:ptCount val="21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  <c:pt idx="18">
                  <c:v>2.0136044023579664</c:v>
                </c:pt>
                <c:pt idx="19">
                  <c:v>2.0136044023579664</c:v>
                </c:pt>
                <c:pt idx="20">
                  <c:v>2.0136044023579664</c:v>
                </c:pt>
              </c:numCache>
            </c:numRef>
          </c:xVal>
          <c:yVal>
            <c:numRef>
              <c:f>'ermB - plate 2'!$D$2:$D$22</c:f>
              <c:numCache>
                <c:formatCode>###0.00;\-###0.00</c:formatCode>
                <c:ptCount val="21"/>
                <c:pt idx="0">
                  <c:v>11.048041220469599</c:v>
                </c:pt>
                <c:pt idx="1">
                  <c:v>11.042134964445401</c:v>
                </c:pt>
                <c:pt idx="2">
                  <c:v>11.2220145378979</c:v>
                </c:pt>
                <c:pt idx="3">
                  <c:v>15.192937938843899</c:v>
                </c:pt>
                <c:pt idx="4">
                  <c:v>15.042131385154899</c:v>
                </c:pt>
                <c:pt idx="5">
                  <c:v>15.060953272865101</c:v>
                </c:pt>
                <c:pt idx="6">
                  <c:v>18.339050869426401</c:v>
                </c:pt>
                <c:pt idx="7">
                  <c:v>18.4972108558777</c:v>
                </c:pt>
                <c:pt idx="8">
                  <c:v>18.362450379445999</c:v>
                </c:pt>
                <c:pt idx="9">
                  <c:v>21.649144701211998</c:v>
                </c:pt>
                <c:pt idx="10">
                  <c:v>21.682560054601801</c:v>
                </c:pt>
                <c:pt idx="11">
                  <c:v>21.706061145370299</c:v>
                </c:pt>
                <c:pt idx="12">
                  <c:v>25.064726807459401</c:v>
                </c:pt>
                <c:pt idx="13">
                  <c:v>24.995533395562301</c:v>
                </c:pt>
                <c:pt idx="14">
                  <c:v>25.264746537581399</c:v>
                </c:pt>
                <c:pt idx="15">
                  <c:v>28.670115038311199</c:v>
                </c:pt>
                <c:pt idx="16">
                  <c:v>28.513145704467199</c:v>
                </c:pt>
                <c:pt idx="17">
                  <c:v>28.674269151119901</c:v>
                </c:pt>
                <c:pt idx="18">
                  <c:v>31.482698734303799</c:v>
                </c:pt>
                <c:pt idx="19">
                  <c:v>31.822164885019902</c:v>
                </c:pt>
                <c:pt idx="20">
                  <c:v>31.912134751479101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2-F741-B09C-6939CDF8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33039"/>
        <c:axId val="257161391"/>
      </c:scatterChart>
      <c:valAx>
        <c:axId val="166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61391"/>
        <c:crosses val="autoZero"/>
        <c:crossBetween val="midCat"/>
      </c:valAx>
      <c:valAx>
        <c:axId val="2571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546616655404939"/>
                  <c:y val="-0.65527851286630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'ermB - plate 2'!$Q$2:$Q$22</c:f>
              <c:numCache>
                <c:formatCode>###0.00;\-###0.00</c:formatCode>
                <c:ptCount val="21"/>
                <c:pt idx="0">
                  <c:v>11.048041220469599</c:v>
                </c:pt>
                <c:pt idx="1">
                  <c:v>11.042134964445401</c:v>
                </c:pt>
                <c:pt idx="2">
                  <c:v>11.2220145378979</c:v>
                </c:pt>
                <c:pt idx="3">
                  <c:v>15.192937938843899</c:v>
                </c:pt>
                <c:pt idx="4">
                  <c:v>15.042131385154899</c:v>
                </c:pt>
                <c:pt idx="5">
                  <c:v>15.060953272865101</c:v>
                </c:pt>
                <c:pt idx="6">
                  <c:v>18.339050869426401</c:v>
                </c:pt>
                <c:pt idx="7">
                  <c:v>18.4972108558777</c:v>
                </c:pt>
                <c:pt idx="8">
                  <c:v>18.362450379445999</c:v>
                </c:pt>
                <c:pt idx="9">
                  <c:v>21.649144701211998</c:v>
                </c:pt>
                <c:pt idx="10">
                  <c:v>21.682560054601801</c:v>
                </c:pt>
                <c:pt idx="11">
                  <c:v>21.706061145370299</c:v>
                </c:pt>
                <c:pt idx="12">
                  <c:v>25.064726807459401</c:v>
                </c:pt>
                <c:pt idx="13">
                  <c:v>24.995533395562301</c:v>
                </c:pt>
                <c:pt idx="14">
                  <c:v>25.264746537581399</c:v>
                </c:pt>
                <c:pt idx="15">
                  <c:v>28.670115038311199</c:v>
                </c:pt>
                <c:pt idx="16">
                  <c:v>28.513145704467199</c:v>
                </c:pt>
                <c:pt idx="17">
                  <c:v>28.674269151119901</c:v>
                </c:pt>
                <c:pt idx="18">
                  <c:v>31.482698734303799</c:v>
                </c:pt>
                <c:pt idx="19">
                  <c:v>31.822164885019902</c:v>
                </c:pt>
                <c:pt idx="20">
                  <c:v>31.912134751479101</c:v>
                </c:pt>
              </c:numCache>
            </c:numRef>
          </c:xVal>
          <c:yVal>
            <c:numRef>
              <c:f>'ermB - plate 2'!$P$2:$P$22</c:f>
              <c:numCache>
                <c:formatCode>0.00E+00</c:formatCode>
                <c:ptCount val="21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  <c:pt idx="18">
                  <c:v>103.18210945826009</c:v>
                </c:pt>
                <c:pt idx="19">
                  <c:v>103.18210945826009</c:v>
                </c:pt>
                <c:pt idx="20">
                  <c:v>103.18210945826009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3-8449-9067-31A5B106E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89728"/>
        <c:axId val="1070801232"/>
      </c:scatterChart>
      <c:valAx>
        <c:axId val="106838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01232"/>
        <c:crosses val="autoZero"/>
        <c:crossBetween val="midCat"/>
      </c:valAx>
      <c:valAx>
        <c:axId val="1070801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8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5489221634181"/>
                  <c:y val="-0.59963666306417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'ermB - plate 3'!$C$2:$C$22</c:f>
              <c:numCache>
                <c:formatCode>0.0000</c:formatCode>
                <c:ptCount val="21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  <c:pt idx="18">
                  <c:v>2.0136044023579664</c:v>
                </c:pt>
                <c:pt idx="19">
                  <c:v>2.0136044023579664</c:v>
                </c:pt>
                <c:pt idx="20">
                  <c:v>2.0136044023579664</c:v>
                </c:pt>
              </c:numCache>
            </c:numRef>
          </c:xVal>
          <c:yVal>
            <c:numRef>
              <c:f>'ermB - plate 3'!$D$2:$D$22</c:f>
              <c:numCache>
                <c:formatCode>###0.00;\-###0.00</c:formatCode>
                <c:ptCount val="21"/>
                <c:pt idx="0">
                  <c:v>11.021033362555499</c:v>
                </c:pt>
                <c:pt idx="1">
                  <c:v>11.1089217674403</c:v>
                </c:pt>
                <c:pt idx="2">
                  <c:v>11.005258890582599</c:v>
                </c:pt>
                <c:pt idx="3">
                  <c:v>15.078500795195501</c:v>
                </c:pt>
                <c:pt idx="4">
                  <c:v>14.962912985322401</c:v>
                </c:pt>
                <c:pt idx="5">
                  <c:v>14.816560335762</c:v>
                </c:pt>
                <c:pt idx="6">
                  <c:v>18.5214026357988</c:v>
                </c:pt>
                <c:pt idx="7">
                  <c:v>18.384412216561699</c:v>
                </c:pt>
                <c:pt idx="8">
                  <c:v>18.432294398395999</c:v>
                </c:pt>
                <c:pt idx="9">
                  <c:v>21.729305118593</c:v>
                </c:pt>
                <c:pt idx="10">
                  <c:v>21.845148541198199</c:v>
                </c:pt>
                <c:pt idx="11">
                  <c:v>21.732613700760801</c:v>
                </c:pt>
                <c:pt idx="12">
                  <c:v>25.003676669119798</c:v>
                </c:pt>
                <c:pt idx="13">
                  <c:v>25.043929421731601</c:v>
                </c:pt>
                <c:pt idx="14">
                  <c:v>25.305884642506701</c:v>
                </c:pt>
                <c:pt idx="15">
                  <c:v>28.6615475484389</c:v>
                </c:pt>
                <c:pt idx="16">
                  <c:v>28.567323144790901</c:v>
                </c:pt>
                <c:pt idx="17">
                  <c:v>28.3937279631199</c:v>
                </c:pt>
                <c:pt idx="18">
                  <c:v>31.922063793430901</c:v>
                </c:pt>
                <c:pt idx="19">
                  <c:v>31.361593009020702</c:v>
                </c:pt>
                <c:pt idx="20">
                  <c:v>32.092319190348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1-1042-A097-6488B3D6E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187007"/>
        <c:axId val="165784543"/>
      </c:scatterChart>
      <c:valAx>
        <c:axId val="24218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84543"/>
        <c:crosses val="autoZero"/>
        <c:crossBetween val="midCat"/>
      </c:valAx>
      <c:valAx>
        <c:axId val="1657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8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053586093149399"/>
                  <c:y val="-0.669734729760721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'ermB - plate 3'!$Q$2:$Q$22</c:f>
              <c:numCache>
                <c:formatCode>###0.00;\-###0.00</c:formatCode>
                <c:ptCount val="21"/>
                <c:pt idx="0">
                  <c:v>11.021033362555499</c:v>
                </c:pt>
                <c:pt idx="1">
                  <c:v>11.1089217674403</c:v>
                </c:pt>
                <c:pt idx="2">
                  <c:v>11.005258890582599</c:v>
                </c:pt>
                <c:pt idx="3">
                  <c:v>15.078500795195501</c:v>
                </c:pt>
                <c:pt idx="4">
                  <c:v>14.962912985322401</c:v>
                </c:pt>
                <c:pt idx="5">
                  <c:v>14.816560335762</c:v>
                </c:pt>
                <c:pt idx="6">
                  <c:v>18.5214026357988</c:v>
                </c:pt>
                <c:pt idx="7">
                  <c:v>18.384412216561699</c:v>
                </c:pt>
                <c:pt idx="8">
                  <c:v>18.432294398395999</c:v>
                </c:pt>
                <c:pt idx="9">
                  <c:v>21.729305118593</c:v>
                </c:pt>
                <c:pt idx="10">
                  <c:v>21.845148541198199</c:v>
                </c:pt>
                <c:pt idx="11">
                  <c:v>21.732613700760801</c:v>
                </c:pt>
                <c:pt idx="12">
                  <c:v>25.003676669119798</c:v>
                </c:pt>
                <c:pt idx="13">
                  <c:v>25.043929421731601</c:v>
                </c:pt>
                <c:pt idx="14">
                  <c:v>25.305884642506701</c:v>
                </c:pt>
                <c:pt idx="15">
                  <c:v>28.6615475484389</c:v>
                </c:pt>
                <c:pt idx="16">
                  <c:v>28.567323144790901</c:v>
                </c:pt>
                <c:pt idx="17">
                  <c:v>28.3937279631199</c:v>
                </c:pt>
                <c:pt idx="18">
                  <c:v>31.922063793430901</c:v>
                </c:pt>
                <c:pt idx="19">
                  <c:v>31.361593009020702</c:v>
                </c:pt>
                <c:pt idx="20">
                  <c:v>32.092319190348</c:v>
                </c:pt>
              </c:numCache>
            </c:numRef>
          </c:xVal>
          <c:yVal>
            <c:numRef>
              <c:f>'ermB - plate 3'!$P$2:$P$22</c:f>
              <c:numCache>
                <c:formatCode>0.00E+00</c:formatCode>
                <c:ptCount val="21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  <c:pt idx="18">
                  <c:v>103.18210945826009</c:v>
                </c:pt>
                <c:pt idx="19">
                  <c:v>103.18210945826009</c:v>
                </c:pt>
                <c:pt idx="20">
                  <c:v>103.18210945826009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6-194A-99BF-D836D664E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832128"/>
        <c:axId val="1074021712"/>
      </c:scatterChart>
      <c:valAx>
        <c:axId val="104983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21712"/>
        <c:crosses val="autoZero"/>
        <c:crossBetween val="midCat"/>
      </c:valAx>
      <c:valAx>
        <c:axId val="1074021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3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</a:t>
            </a:r>
            <a:r>
              <a:rPr lang="en-US" baseline="0"/>
              <a:t>Plate</a:t>
            </a:r>
            <a:r>
              <a:rPr lang="en-US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2685914260717"/>
                  <c:y val="-0.60163932633420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'ermB - plate 4'!$C$2:$C$21</c:f>
              <c:numCache>
                <c:formatCode>0.0000</c:formatCode>
                <c:ptCount val="20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  <c:pt idx="18">
                  <c:v>2.0136044023579664</c:v>
                </c:pt>
                <c:pt idx="19">
                  <c:v>2.0136044023579664</c:v>
                </c:pt>
              </c:numCache>
            </c:numRef>
          </c:xVal>
          <c:yVal>
            <c:numRef>
              <c:f>'ermB - plate 4'!$D$2:$D$21</c:f>
              <c:numCache>
                <c:formatCode>###0.00;\-###0.00</c:formatCode>
                <c:ptCount val="20"/>
                <c:pt idx="0">
                  <c:v>11.214303487675499</c:v>
                </c:pt>
                <c:pt idx="1">
                  <c:v>11.312113984795999</c:v>
                </c:pt>
                <c:pt idx="2">
                  <c:v>11.388184230755501</c:v>
                </c:pt>
                <c:pt idx="3">
                  <c:v>15.116691350460099</c:v>
                </c:pt>
                <c:pt idx="4">
                  <c:v>15.0967771269039</c:v>
                </c:pt>
                <c:pt idx="5">
                  <c:v>15.161402875319901</c:v>
                </c:pt>
                <c:pt idx="6">
                  <c:v>18.432768621189101</c:v>
                </c:pt>
                <c:pt idx="7">
                  <c:v>18.5148630121469</c:v>
                </c:pt>
                <c:pt idx="8">
                  <c:v>18.620993717779701</c:v>
                </c:pt>
                <c:pt idx="9">
                  <c:v>21.774894943942101</c:v>
                </c:pt>
                <c:pt idx="10">
                  <c:v>22.012610252327299</c:v>
                </c:pt>
                <c:pt idx="11">
                  <c:v>21.707065591662801</c:v>
                </c:pt>
                <c:pt idx="12">
                  <c:v>25.178725226475699</c:v>
                </c:pt>
                <c:pt idx="13">
                  <c:v>25.0451052922431</c:v>
                </c:pt>
                <c:pt idx="14">
                  <c:v>25.0508966030004</c:v>
                </c:pt>
                <c:pt idx="15">
                  <c:v>28.6282081316829</c:v>
                </c:pt>
                <c:pt idx="16">
                  <c:v>28.604604697882401</c:v>
                </c:pt>
                <c:pt idx="17">
                  <c:v>28.737035530112699</c:v>
                </c:pt>
                <c:pt idx="18">
                  <c:v>32.012748758647703</c:v>
                </c:pt>
                <c:pt idx="19">
                  <c:v>32.286814773702602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0-184A-A0D6-D6CA4FC2B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65615"/>
        <c:axId val="255289023"/>
      </c:scatterChart>
      <c:valAx>
        <c:axId val="25496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89023"/>
        <c:crosses val="autoZero"/>
        <c:crossBetween val="midCat"/>
      </c:valAx>
      <c:valAx>
        <c:axId val="2552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0266547953590603E-2"/>
                  <c:y val="-0.67183595067376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'ermB - plate 4'!$Q$2:$Q$21</c:f>
              <c:numCache>
                <c:formatCode>###0.00;\-###0.00</c:formatCode>
                <c:ptCount val="20"/>
                <c:pt idx="0">
                  <c:v>11.214303487675499</c:v>
                </c:pt>
                <c:pt idx="1">
                  <c:v>11.312113984795999</c:v>
                </c:pt>
                <c:pt idx="2">
                  <c:v>11.388184230755501</c:v>
                </c:pt>
                <c:pt idx="3">
                  <c:v>15.116691350460099</c:v>
                </c:pt>
                <c:pt idx="4">
                  <c:v>15.0967771269039</c:v>
                </c:pt>
                <c:pt idx="5">
                  <c:v>15.161402875319901</c:v>
                </c:pt>
                <c:pt idx="6">
                  <c:v>18.432768621189101</c:v>
                </c:pt>
                <c:pt idx="7">
                  <c:v>18.5148630121469</c:v>
                </c:pt>
                <c:pt idx="8">
                  <c:v>18.620993717779701</c:v>
                </c:pt>
                <c:pt idx="9">
                  <c:v>21.774894943942101</c:v>
                </c:pt>
                <c:pt idx="10">
                  <c:v>22.012610252327299</c:v>
                </c:pt>
                <c:pt idx="11">
                  <c:v>21.707065591662801</c:v>
                </c:pt>
                <c:pt idx="12">
                  <c:v>25.178725226475699</c:v>
                </c:pt>
                <c:pt idx="13">
                  <c:v>25.0451052922431</c:v>
                </c:pt>
                <c:pt idx="14">
                  <c:v>25.0508966030004</c:v>
                </c:pt>
                <c:pt idx="15">
                  <c:v>28.6282081316829</c:v>
                </c:pt>
                <c:pt idx="16">
                  <c:v>28.604604697882401</c:v>
                </c:pt>
                <c:pt idx="17">
                  <c:v>28.737035530112699</c:v>
                </c:pt>
                <c:pt idx="18">
                  <c:v>32.012748758647703</c:v>
                </c:pt>
                <c:pt idx="19">
                  <c:v>32.286814773702602</c:v>
                </c:pt>
              </c:numCache>
            </c:numRef>
          </c:xVal>
          <c:yVal>
            <c:numRef>
              <c:f>'ermB - plate 4'!$P$2:$P$21</c:f>
              <c:numCache>
                <c:formatCode>0.00E+00</c:formatCode>
                <c:ptCount val="20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  <c:pt idx="18">
                  <c:v>103.18210945826009</c:v>
                </c:pt>
                <c:pt idx="19">
                  <c:v>103.18210945826009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6-CA4B-B4F4-BDBE0AF29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1392"/>
        <c:axId val="1066035520"/>
      </c:scatterChart>
      <c:valAx>
        <c:axId val="10676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35520"/>
        <c:crosses val="autoZero"/>
        <c:crossBetween val="midCat"/>
      </c:valAx>
      <c:valAx>
        <c:axId val="1066035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Dil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7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0</xdr:row>
      <xdr:rowOff>76200</xdr:rowOff>
    </xdr:from>
    <xdr:to>
      <xdr:col>12</xdr:col>
      <xdr:colOff>736600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EE0A9-DE12-1449-B548-1C64E76F8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234950</xdr:colOff>
      <xdr:row>17</xdr:row>
      <xdr:rowOff>158750</xdr:rowOff>
    </xdr:from>
    <xdr:to>
      <xdr:col>12</xdr:col>
      <xdr:colOff>723900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311357-54AF-9347-9285-23C8EEA3A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0</xdr:row>
      <xdr:rowOff>38100</xdr:rowOff>
    </xdr:from>
    <xdr:to>
      <xdr:col>12</xdr:col>
      <xdr:colOff>774700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B6CAF-BA50-5047-81D1-7E410AA55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16</xdr:row>
      <xdr:rowOff>146050</xdr:rowOff>
    </xdr:from>
    <xdr:to>
      <xdr:col>12</xdr:col>
      <xdr:colOff>774700</xdr:colOff>
      <xdr:row>31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C10F8B-423C-C44A-B15F-B083BDB24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0</xdr:row>
      <xdr:rowOff>50800</xdr:rowOff>
    </xdr:from>
    <xdr:to>
      <xdr:col>12</xdr:col>
      <xdr:colOff>736600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781AA-DEEB-6245-A174-F1EF5C646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158750</xdr:colOff>
      <xdr:row>16</xdr:row>
      <xdr:rowOff>184150</xdr:rowOff>
    </xdr:from>
    <xdr:to>
      <xdr:col>12</xdr:col>
      <xdr:colOff>800100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FB1082-6891-0B4D-8B2C-4E2EDBC89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0</xdr:row>
      <xdr:rowOff>57150</xdr:rowOff>
    </xdr:from>
    <xdr:to>
      <xdr:col>12</xdr:col>
      <xdr:colOff>762000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812E2-E371-7F45-814C-4EC1310E1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165100</xdr:colOff>
      <xdr:row>17</xdr:row>
      <xdr:rowOff>95250</xdr:rowOff>
    </xdr:from>
    <xdr:to>
      <xdr:col>12</xdr:col>
      <xdr:colOff>749300</xdr:colOff>
      <xdr:row>34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9B454-B667-6846-A67B-33F725D41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B4D5-272B-4049-9EDC-7269D7D9575E}">
  <dimension ref="A1:U103"/>
  <sheetViews>
    <sheetView workbookViewId="0">
      <selection activeCell="D32" sqref="D32"/>
    </sheetView>
  </sheetViews>
  <sheetFormatPr baseColWidth="10" defaultRowHeight="16" x14ac:dyDescent="0.2"/>
  <cols>
    <col min="1" max="1" width="5" bestFit="1" customWidth="1"/>
    <col min="2" max="2" width="17.83203125" bestFit="1" customWidth="1"/>
    <col min="3" max="3" width="6.6640625" bestFit="1" customWidth="1"/>
    <col min="4" max="4" width="21.6640625" bestFit="1" customWidth="1"/>
    <col min="6" max="6" width="4.6640625" bestFit="1" customWidth="1"/>
    <col min="7" max="7" width="9.1640625" bestFit="1" customWidth="1"/>
    <col min="8" max="8" width="13" bestFit="1" customWidth="1"/>
    <col min="9" max="9" width="14.33203125" bestFit="1" customWidth="1"/>
    <col min="13" max="13" width="13.1640625" bestFit="1" customWidth="1"/>
    <col min="14" max="14" width="5" bestFit="1" customWidth="1"/>
    <col min="15" max="15" width="8.33203125" bestFit="1" customWidth="1"/>
    <col min="16" max="16" width="9.83203125" bestFit="1" customWidth="1"/>
    <col min="17" max="17" width="5.6640625" bestFit="1" customWidth="1"/>
    <col min="21" max="21" width="13.1640625" bestFit="1" customWidth="1"/>
  </cols>
  <sheetData>
    <row r="1" spans="1:21" x14ac:dyDescent="0.2">
      <c r="A1" s="1" t="s">
        <v>0</v>
      </c>
      <c r="B1" s="1" t="s">
        <v>1</v>
      </c>
      <c r="C1" s="1" t="s">
        <v>154</v>
      </c>
      <c r="D1" s="1" t="s">
        <v>2</v>
      </c>
      <c r="N1" s="1" t="s">
        <v>0</v>
      </c>
      <c r="O1" s="3" t="s">
        <v>1</v>
      </c>
      <c r="P1" s="1" t="s">
        <v>194</v>
      </c>
      <c r="Q1" s="3" t="s">
        <v>2</v>
      </c>
    </row>
    <row r="2" spans="1:21" x14ac:dyDescent="0.2">
      <c r="A2" s="2" t="s">
        <v>3</v>
      </c>
      <c r="B2" s="3" t="s">
        <v>4</v>
      </c>
      <c r="C2" s="13">
        <f>LOG(P2)</f>
        <v>8.0136044023579664</v>
      </c>
      <c r="D2" s="4">
        <v>7.84505959954517</v>
      </c>
      <c r="N2" s="1" t="s">
        <v>3</v>
      </c>
      <c r="O2" s="3" t="s">
        <v>4</v>
      </c>
      <c r="P2" s="12">
        <v>103182109.45826009</v>
      </c>
      <c r="Q2" s="4">
        <v>7.84505959954517</v>
      </c>
    </row>
    <row r="3" spans="1:21" x14ac:dyDescent="0.2">
      <c r="A3" s="2" t="s">
        <v>5</v>
      </c>
      <c r="B3" s="3" t="s">
        <v>4</v>
      </c>
      <c r="C3" s="13">
        <f t="shared" ref="C3:C28" si="0">LOG(P3)</f>
        <v>8.0136044023579664</v>
      </c>
      <c r="D3" s="4">
        <v>7.6407773967325001</v>
      </c>
      <c r="N3" s="1" t="s">
        <v>5</v>
      </c>
      <c r="O3" s="3" t="s">
        <v>4</v>
      </c>
      <c r="P3" s="12">
        <v>103182109.45826009</v>
      </c>
      <c r="Q3" s="4">
        <v>7.6407773967325001</v>
      </c>
    </row>
    <row r="4" spans="1:21" x14ac:dyDescent="0.2">
      <c r="A4" s="2" t="s">
        <v>6</v>
      </c>
      <c r="B4" s="3" t="s">
        <v>4</v>
      </c>
      <c r="C4" s="13">
        <f t="shared" si="0"/>
        <v>8.0136044023579664</v>
      </c>
      <c r="D4" s="4">
        <v>7.4919750031675996</v>
      </c>
      <c r="N4" s="1" t="s">
        <v>6</v>
      </c>
      <c r="O4" s="3" t="s">
        <v>4</v>
      </c>
      <c r="P4" s="12">
        <v>103182109.45826009</v>
      </c>
      <c r="Q4" s="4">
        <v>7.4919750031675996</v>
      </c>
    </row>
    <row r="5" spans="1:21" x14ac:dyDescent="0.2">
      <c r="A5" s="2" t="s">
        <v>7</v>
      </c>
      <c r="B5" s="3" t="s">
        <v>8</v>
      </c>
      <c r="C5" s="13">
        <f t="shared" si="0"/>
        <v>7.0136044023579664</v>
      </c>
      <c r="D5" s="4">
        <v>11.649433805627501</v>
      </c>
      <c r="N5" s="1" t="s">
        <v>7</v>
      </c>
      <c r="O5" s="3" t="s">
        <v>8</v>
      </c>
      <c r="P5" s="12">
        <v>10318210.945826009</v>
      </c>
      <c r="Q5" s="4">
        <v>11.649433805627501</v>
      </c>
    </row>
    <row r="6" spans="1:21" ht="17" thickBot="1" x14ac:dyDescent="0.25">
      <c r="A6" s="2" t="s">
        <v>9</v>
      </c>
      <c r="B6" s="3" t="s">
        <v>8</v>
      </c>
      <c r="C6" s="13">
        <f t="shared" si="0"/>
        <v>7.0136044023579664</v>
      </c>
      <c r="D6" s="4">
        <v>11.5014833661269</v>
      </c>
      <c r="N6" s="1" t="s">
        <v>9</v>
      </c>
      <c r="O6" s="3" t="s">
        <v>8</v>
      </c>
      <c r="P6" s="12">
        <v>10318210.945826009</v>
      </c>
      <c r="Q6" s="4">
        <v>11.5014833661269</v>
      </c>
    </row>
    <row r="7" spans="1:21" x14ac:dyDescent="0.2">
      <c r="A7" s="2" t="s">
        <v>10</v>
      </c>
      <c r="B7" s="3" t="s">
        <v>8</v>
      </c>
      <c r="C7" s="13">
        <f t="shared" si="0"/>
        <v>7.0136044023579664</v>
      </c>
      <c r="D7" s="4">
        <v>11.4925990616953</v>
      </c>
      <c r="N7" s="1" t="s">
        <v>10</v>
      </c>
      <c r="O7" s="3" t="s">
        <v>8</v>
      </c>
      <c r="P7" s="12">
        <v>10318210.945826009</v>
      </c>
      <c r="Q7" s="4">
        <v>11.4925990616953</v>
      </c>
      <c r="S7" s="38" t="s">
        <v>201</v>
      </c>
      <c r="T7" s="39"/>
      <c r="U7" s="40"/>
    </row>
    <row r="8" spans="1:21" ht="17" thickBot="1" x14ac:dyDescent="0.25">
      <c r="A8" s="2" t="s">
        <v>11</v>
      </c>
      <c r="B8" s="3" t="s">
        <v>12</v>
      </c>
      <c r="C8" s="13">
        <f t="shared" si="0"/>
        <v>6.0136044023579664</v>
      </c>
      <c r="D8" s="4">
        <v>15.7935627279809</v>
      </c>
      <c r="N8" s="1" t="s">
        <v>11</v>
      </c>
      <c r="O8" s="3" t="s">
        <v>12</v>
      </c>
      <c r="P8" s="12">
        <v>1031821.0945826009</v>
      </c>
      <c r="Q8" s="4">
        <v>15.7935627279809</v>
      </c>
      <c r="S8" s="41"/>
      <c r="T8" s="42"/>
      <c r="U8" s="43"/>
    </row>
    <row r="9" spans="1:21" x14ac:dyDescent="0.2">
      <c r="A9" s="2" t="s">
        <v>13</v>
      </c>
      <c r="B9" s="3" t="s">
        <v>12</v>
      </c>
      <c r="C9" s="13">
        <f t="shared" si="0"/>
        <v>6.0136044023579664</v>
      </c>
      <c r="D9" s="4">
        <v>15.7733816542983</v>
      </c>
      <c r="N9" s="1" t="s">
        <v>13</v>
      </c>
      <c r="O9" s="3" t="s">
        <v>12</v>
      </c>
      <c r="P9" s="12">
        <v>1031821.0945826009</v>
      </c>
      <c r="Q9" s="4">
        <v>15.7733816542983</v>
      </c>
    </row>
    <row r="10" spans="1:21" x14ac:dyDescent="0.2">
      <c r="A10" s="2" t="s">
        <v>14</v>
      </c>
      <c r="B10" s="3" t="s">
        <v>12</v>
      </c>
      <c r="C10" s="13">
        <f t="shared" si="0"/>
        <v>6.0136044023579664</v>
      </c>
      <c r="D10" s="4">
        <v>15.7976538813117</v>
      </c>
      <c r="N10" s="1" t="s">
        <v>14</v>
      </c>
      <c r="O10" s="3" t="s">
        <v>12</v>
      </c>
      <c r="P10" s="12">
        <v>1031821.0945826009</v>
      </c>
      <c r="Q10" s="4">
        <v>15.7976538813117</v>
      </c>
      <c r="S10">
        <f>SLOPE(D2:D28,C2:C28)</f>
        <v>-3.7206456580800973</v>
      </c>
    </row>
    <row r="11" spans="1:21" x14ac:dyDescent="0.2">
      <c r="A11" s="2" t="s">
        <v>15</v>
      </c>
      <c r="B11" s="3" t="s">
        <v>16</v>
      </c>
      <c r="C11" s="13">
        <f t="shared" si="0"/>
        <v>5.0136044023579664</v>
      </c>
      <c r="D11" s="4">
        <v>19.432540798580899</v>
      </c>
      <c r="N11" s="1" t="s">
        <v>15</v>
      </c>
      <c r="O11" s="3" t="s">
        <v>16</v>
      </c>
      <c r="P11" s="12">
        <v>103182.10945826009</v>
      </c>
      <c r="Q11" s="4">
        <v>19.432540798580899</v>
      </c>
      <c r="S11">
        <f>INTERCEPT(D2:D24,C2:C24)</f>
        <v>38.052463146906661</v>
      </c>
    </row>
    <row r="12" spans="1:21" x14ac:dyDescent="0.2">
      <c r="A12" s="2" t="s">
        <v>17</v>
      </c>
      <c r="B12" s="3" t="s">
        <v>16</v>
      </c>
      <c r="C12" s="13">
        <f t="shared" si="0"/>
        <v>5.0136044023579664</v>
      </c>
      <c r="D12" s="4">
        <v>19.437636801755801</v>
      </c>
      <c r="N12" s="1" t="s">
        <v>17</v>
      </c>
      <c r="O12" s="3" t="s">
        <v>16</v>
      </c>
      <c r="P12" s="12">
        <v>103182.10945826009</v>
      </c>
      <c r="Q12" s="4">
        <v>19.437636801755801</v>
      </c>
      <c r="S12" s="1">
        <f>-1+10^(-1/S10)</f>
        <v>0.85682320706458825</v>
      </c>
    </row>
    <row r="13" spans="1:21" x14ac:dyDescent="0.2">
      <c r="A13" s="2" t="s">
        <v>18</v>
      </c>
      <c r="B13" s="3" t="s">
        <v>16</v>
      </c>
      <c r="C13" s="13">
        <f t="shared" si="0"/>
        <v>5.0136044023579664</v>
      </c>
      <c r="D13" s="4">
        <v>19.3210467908734</v>
      </c>
      <c r="N13" s="1" t="s">
        <v>18</v>
      </c>
      <c r="O13" s="3" t="s">
        <v>16</v>
      </c>
      <c r="P13" s="12">
        <v>103182.10945826009</v>
      </c>
      <c r="Q13" s="4">
        <v>19.3210467908734</v>
      </c>
      <c r="S13" s="35">
        <f>RSQ(D2:D19,C2:C19)</f>
        <v>0.99918197446656054</v>
      </c>
    </row>
    <row r="14" spans="1:21" x14ac:dyDescent="0.2">
      <c r="A14" s="2" t="s">
        <v>19</v>
      </c>
      <c r="B14" s="3" t="s">
        <v>20</v>
      </c>
      <c r="C14" s="13">
        <f t="shared" si="0"/>
        <v>4.0136044023579664</v>
      </c>
      <c r="D14" s="4">
        <v>23.0464734854977</v>
      </c>
      <c r="N14" s="1" t="s">
        <v>19</v>
      </c>
      <c r="O14" s="3" t="s">
        <v>20</v>
      </c>
      <c r="P14" s="12">
        <v>10318.210945826009</v>
      </c>
      <c r="Q14" s="4">
        <v>23.0464734854977</v>
      </c>
    </row>
    <row r="15" spans="1:21" x14ac:dyDescent="0.2">
      <c r="A15" s="2" t="s">
        <v>21</v>
      </c>
      <c r="B15" s="3" t="s">
        <v>20</v>
      </c>
      <c r="C15" s="13">
        <f t="shared" si="0"/>
        <v>4.0136044023579664</v>
      </c>
      <c r="D15" s="4">
        <v>22.981275806702399</v>
      </c>
      <c r="N15" s="1" t="s">
        <v>21</v>
      </c>
      <c r="O15" s="3" t="s">
        <v>20</v>
      </c>
      <c r="P15" s="12">
        <v>10318.210945826009</v>
      </c>
      <c r="Q15" s="4">
        <v>22.981275806702399</v>
      </c>
    </row>
    <row r="16" spans="1:21" x14ac:dyDescent="0.2">
      <c r="A16" s="2" t="s">
        <v>22</v>
      </c>
      <c r="B16" s="3" t="s">
        <v>20</v>
      </c>
      <c r="C16" s="13">
        <f t="shared" si="0"/>
        <v>4.0136044023579664</v>
      </c>
      <c r="D16" s="4">
        <v>23.0603194359126</v>
      </c>
      <c r="N16" s="1" t="s">
        <v>22</v>
      </c>
      <c r="O16" s="3" t="s">
        <v>20</v>
      </c>
      <c r="P16" s="12">
        <v>10318.210945826009</v>
      </c>
      <c r="Q16" s="4">
        <v>23.0603194359126</v>
      </c>
    </row>
    <row r="17" spans="1:17" x14ac:dyDescent="0.2">
      <c r="A17" s="2" t="s">
        <v>23</v>
      </c>
      <c r="B17" s="3" t="s">
        <v>24</v>
      </c>
      <c r="C17" s="13">
        <f t="shared" si="0"/>
        <v>3.0136044023579664</v>
      </c>
      <c r="D17" s="4">
        <v>26.766372750828499</v>
      </c>
      <c r="N17" s="1" t="s">
        <v>23</v>
      </c>
      <c r="O17" s="3" t="s">
        <v>24</v>
      </c>
      <c r="P17" s="12">
        <v>1031.8210945826008</v>
      </c>
      <c r="Q17" s="4">
        <v>26.766372750828499</v>
      </c>
    </row>
    <row r="18" spans="1:17" x14ac:dyDescent="0.2">
      <c r="A18" s="2" t="s">
        <v>25</v>
      </c>
      <c r="B18" s="3" t="s">
        <v>24</v>
      </c>
      <c r="C18" s="13">
        <f t="shared" si="0"/>
        <v>3.0136044023579664</v>
      </c>
      <c r="D18" s="4">
        <v>26.797877312703299</v>
      </c>
      <c r="N18" s="1" t="s">
        <v>25</v>
      </c>
      <c r="O18" s="3" t="s">
        <v>24</v>
      </c>
      <c r="P18" s="12">
        <v>1031.8210945826008</v>
      </c>
      <c r="Q18" s="4">
        <v>26.797877312703299</v>
      </c>
    </row>
    <row r="19" spans="1:17" x14ac:dyDescent="0.2">
      <c r="A19" s="2" t="s">
        <v>26</v>
      </c>
      <c r="B19" s="3" t="s">
        <v>24</v>
      </c>
      <c r="C19" s="13">
        <f t="shared" si="0"/>
        <v>3.0136044023579664</v>
      </c>
      <c r="D19" s="4">
        <v>26.795523125748002</v>
      </c>
      <c r="N19" s="1" t="s">
        <v>26</v>
      </c>
      <c r="O19" s="3" t="s">
        <v>24</v>
      </c>
      <c r="P19" s="12">
        <v>1031.8210945826008</v>
      </c>
      <c r="Q19" s="4">
        <v>26.795523125748002</v>
      </c>
    </row>
    <row r="20" spans="1:17" x14ac:dyDescent="0.2">
      <c r="A20" s="2" t="s">
        <v>27</v>
      </c>
      <c r="B20" s="3" t="s">
        <v>28</v>
      </c>
      <c r="C20" s="13">
        <f t="shared" si="0"/>
        <v>2.0136044023579664</v>
      </c>
      <c r="D20" s="4">
        <v>30.536244059795401</v>
      </c>
      <c r="N20" s="1" t="s">
        <v>27</v>
      </c>
      <c r="O20" s="3" t="s">
        <v>28</v>
      </c>
      <c r="P20" s="12">
        <v>103.18210945826009</v>
      </c>
      <c r="Q20" s="4">
        <v>30.536244059795401</v>
      </c>
    </row>
    <row r="21" spans="1:17" x14ac:dyDescent="0.2">
      <c r="A21" s="2" t="s">
        <v>29</v>
      </c>
      <c r="B21" s="3" t="s">
        <v>28</v>
      </c>
      <c r="C21" s="13">
        <f t="shared" si="0"/>
        <v>2.0136044023579664</v>
      </c>
      <c r="D21" s="4">
        <v>30.657388290908901</v>
      </c>
      <c r="N21" s="1" t="s">
        <v>29</v>
      </c>
      <c r="O21" s="3" t="s">
        <v>28</v>
      </c>
      <c r="P21" s="12">
        <v>103.18210945826009</v>
      </c>
      <c r="Q21" s="4">
        <v>30.657388290908901</v>
      </c>
    </row>
    <row r="22" spans="1:17" x14ac:dyDescent="0.2">
      <c r="A22" s="2" t="s">
        <v>30</v>
      </c>
      <c r="B22" s="3" t="s">
        <v>28</v>
      </c>
      <c r="C22" s="13">
        <f t="shared" si="0"/>
        <v>2.0136044023579664</v>
      </c>
      <c r="D22" s="4">
        <v>30.542364794214102</v>
      </c>
      <c r="N22" s="1" t="s">
        <v>30</v>
      </c>
      <c r="O22" s="3" t="s">
        <v>28</v>
      </c>
      <c r="P22" s="12">
        <v>103.18210945826009</v>
      </c>
      <c r="Q22" s="4">
        <v>30.542364794214102</v>
      </c>
    </row>
    <row r="23" spans="1:17" x14ac:dyDescent="0.2">
      <c r="A23" s="2" t="s">
        <v>33</v>
      </c>
      <c r="B23" s="3" t="s">
        <v>32</v>
      </c>
      <c r="C23" s="13">
        <f t="shared" ref="C23:C25" si="1">LOG(P23)</f>
        <v>1.0136044023579664</v>
      </c>
      <c r="D23" s="4">
        <v>33.708190736152403</v>
      </c>
      <c r="N23" s="1" t="s">
        <v>33</v>
      </c>
      <c r="O23" s="3" t="s">
        <v>32</v>
      </c>
      <c r="P23" s="12">
        <v>10.318210945826008</v>
      </c>
      <c r="Q23" s="4">
        <v>33.708190736152403</v>
      </c>
    </row>
    <row r="24" spans="1:17" x14ac:dyDescent="0.2">
      <c r="A24" s="2" t="s">
        <v>34</v>
      </c>
      <c r="B24" s="3" t="s">
        <v>32</v>
      </c>
      <c r="C24" s="13">
        <f t="shared" si="1"/>
        <v>1.0136044023579664</v>
      </c>
      <c r="D24" s="4">
        <v>33.841364713943001</v>
      </c>
      <c r="N24" s="1" t="s">
        <v>34</v>
      </c>
      <c r="O24" s="3" t="s">
        <v>32</v>
      </c>
      <c r="P24" s="12">
        <v>10.318210945826008</v>
      </c>
      <c r="Q24" s="4">
        <v>33.841364713943001</v>
      </c>
    </row>
    <row r="25" spans="1:17" x14ac:dyDescent="0.2">
      <c r="A25" s="5" t="s">
        <v>31</v>
      </c>
      <c r="B25" s="15" t="s">
        <v>32</v>
      </c>
      <c r="C25" s="16">
        <f t="shared" si="1"/>
        <v>1.0136044023579664</v>
      </c>
      <c r="D25" s="17">
        <v>35.295882814611304</v>
      </c>
      <c r="N25" s="6" t="s">
        <v>31</v>
      </c>
      <c r="O25" s="15" t="s">
        <v>32</v>
      </c>
      <c r="P25" s="33">
        <v>10.318210945826008</v>
      </c>
      <c r="Q25" s="17">
        <v>35.295882814611304</v>
      </c>
    </row>
    <row r="26" spans="1:17" x14ac:dyDescent="0.2">
      <c r="A26" s="2" t="s">
        <v>35</v>
      </c>
      <c r="B26" s="3" t="s">
        <v>36</v>
      </c>
      <c r="C26" s="13">
        <f t="shared" si="0"/>
        <v>1.3604402357966342E-2</v>
      </c>
      <c r="D26" s="4">
        <v>36.108396135788198</v>
      </c>
      <c r="N26" s="1" t="s">
        <v>35</v>
      </c>
      <c r="O26" s="3" t="s">
        <v>36</v>
      </c>
      <c r="P26" s="12">
        <v>1.0318210945826007</v>
      </c>
      <c r="Q26" s="4">
        <v>36.108396135788198</v>
      </c>
    </row>
    <row r="27" spans="1:17" x14ac:dyDescent="0.2">
      <c r="A27" s="2" t="s">
        <v>37</v>
      </c>
      <c r="B27" s="3" t="s">
        <v>36</v>
      </c>
      <c r="C27" s="13">
        <f t="shared" si="0"/>
        <v>1.3604402357966342E-2</v>
      </c>
      <c r="D27" s="4"/>
      <c r="N27" s="1" t="s">
        <v>37</v>
      </c>
      <c r="O27" s="3" t="s">
        <v>36</v>
      </c>
      <c r="P27" s="12">
        <v>1.0318210945826007</v>
      </c>
      <c r="Q27" s="4"/>
    </row>
    <row r="28" spans="1:17" x14ac:dyDescent="0.2">
      <c r="A28" s="2" t="s">
        <v>38</v>
      </c>
      <c r="B28" s="3" t="s">
        <v>36</v>
      </c>
      <c r="C28" s="13">
        <f t="shared" si="0"/>
        <v>1.3604402357966342E-2</v>
      </c>
      <c r="D28" s="4">
        <v>37.620534990052697</v>
      </c>
      <c r="N28" s="1" t="s">
        <v>38</v>
      </c>
      <c r="O28" s="3" t="s">
        <v>36</v>
      </c>
      <c r="P28" s="12">
        <v>1.0318210945826007</v>
      </c>
      <c r="Q28" s="4">
        <v>37.620534990052697</v>
      </c>
    </row>
    <row r="29" spans="1:17" x14ac:dyDescent="0.2">
      <c r="A29" s="2" t="s">
        <v>39</v>
      </c>
      <c r="B29" s="3" t="s">
        <v>40</v>
      </c>
      <c r="C29" s="3" t="s">
        <v>131</v>
      </c>
      <c r="D29" s="4"/>
      <c r="N29" s="1" t="s">
        <v>39</v>
      </c>
      <c r="O29" s="3" t="s">
        <v>40</v>
      </c>
      <c r="P29" s="1" t="s">
        <v>131</v>
      </c>
      <c r="Q29" s="4"/>
    </row>
    <row r="30" spans="1:17" x14ac:dyDescent="0.2">
      <c r="A30" s="2" t="s">
        <v>41</v>
      </c>
      <c r="B30" s="3" t="s">
        <v>40</v>
      </c>
      <c r="C30" s="3" t="s">
        <v>131</v>
      </c>
      <c r="D30" s="4"/>
      <c r="N30" s="1" t="s">
        <v>41</v>
      </c>
      <c r="O30" s="3" t="s">
        <v>40</v>
      </c>
      <c r="P30" s="1" t="s">
        <v>131</v>
      </c>
      <c r="Q30" s="4"/>
    </row>
    <row r="31" spans="1:17" x14ac:dyDescent="0.2">
      <c r="A31" s="2" t="s">
        <v>42</v>
      </c>
      <c r="B31" s="3" t="s">
        <v>40</v>
      </c>
      <c r="C31" s="3" t="s">
        <v>131</v>
      </c>
      <c r="D31" s="4"/>
      <c r="N31" s="1" t="s">
        <v>42</v>
      </c>
      <c r="O31" s="3" t="s">
        <v>40</v>
      </c>
      <c r="P31" s="1" t="s">
        <v>131</v>
      </c>
      <c r="Q31" s="4"/>
    </row>
    <row r="32" spans="1:17" x14ac:dyDescent="0.2">
      <c r="A32" s="7"/>
      <c r="B32" s="18"/>
      <c r="C32" s="19"/>
      <c r="D32" s="20"/>
    </row>
    <row r="33" spans="1:20" x14ac:dyDescent="0.2">
      <c r="A33" s="21"/>
      <c r="B33" s="21"/>
      <c r="C33" s="21"/>
      <c r="D33" s="21"/>
    </row>
    <row r="34" spans="1:20" x14ac:dyDescent="0.2">
      <c r="N34" s="1"/>
      <c r="O34" s="3"/>
      <c r="P34" s="12"/>
      <c r="Q34" s="4"/>
    </row>
    <row r="35" spans="1:20" x14ac:dyDescent="0.2">
      <c r="N35" s="1"/>
      <c r="O35" s="3"/>
      <c r="P35" s="12"/>
      <c r="Q35" s="4"/>
    </row>
    <row r="36" spans="1:20" x14ac:dyDescent="0.2">
      <c r="D36" s="14"/>
    </row>
    <row r="37" spans="1:20" x14ac:dyDescent="0.2">
      <c r="A37" s="1" t="s">
        <v>0</v>
      </c>
      <c r="B37" s="1" t="s">
        <v>1</v>
      </c>
      <c r="C37" s="1" t="s">
        <v>2</v>
      </c>
      <c r="D37" s="3" t="s">
        <v>201</v>
      </c>
      <c r="E37" s="3" t="s">
        <v>195</v>
      </c>
      <c r="F37" s="3" t="s">
        <v>196</v>
      </c>
      <c r="G37" s="3" t="s">
        <v>197</v>
      </c>
      <c r="H37" s="3" t="s">
        <v>198</v>
      </c>
      <c r="I37" s="3" t="s">
        <v>199</v>
      </c>
      <c r="J37" s="3"/>
      <c r="K37" s="3"/>
      <c r="L37" s="3" t="s">
        <v>200</v>
      </c>
      <c r="M37" s="3"/>
      <c r="S37" s="1"/>
      <c r="T37" s="23"/>
    </row>
    <row r="38" spans="1:20" x14ac:dyDescent="0.2">
      <c r="A38" s="2" t="s">
        <v>43</v>
      </c>
      <c r="B38" s="1" t="s">
        <v>44</v>
      </c>
      <c r="C38" s="4">
        <v>20.905199853122301</v>
      </c>
      <c r="D38" s="1">
        <f>(C38-$S$11)/$S$10</f>
        <v>4.6086794792043095</v>
      </c>
      <c r="E38">
        <f>10^D38</f>
        <v>40614.347391984011</v>
      </c>
      <c r="F38" s="22">
        <v>7.6388888888888895E-2</v>
      </c>
      <c r="G38" s="3" t="s">
        <v>202</v>
      </c>
      <c r="H38" s="3" t="s">
        <v>203</v>
      </c>
      <c r="I38" s="3" t="s">
        <v>204</v>
      </c>
      <c r="J38" s="3">
        <f>((E38*50*50)/75)*100</f>
        <v>135381157.97328004</v>
      </c>
      <c r="K38" s="12">
        <f>J38</f>
        <v>135381157.97328004</v>
      </c>
      <c r="L38" s="36">
        <f>AVERAGE(K38:K40)</f>
        <v>131495870.13851939</v>
      </c>
      <c r="M38" s="37" t="s">
        <v>219</v>
      </c>
      <c r="S38" s="1"/>
      <c r="T38" s="23"/>
    </row>
    <row r="39" spans="1:20" x14ac:dyDescent="0.2">
      <c r="A39" s="2" t="s">
        <v>45</v>
      </c>
      <c r="B39" s="1" t="s">
        <v>44</v>
      </c>
      <c r="C39" s="4">
        <v>20.9840241806683</v>
      </c>
      <c r="D39" s="1">
        <f t="shared" ref="D39:D102" si="2">(C39-$S$11)/$S$10</f>
        <v>4.5874938209100788</v>
      </c>
      <c r="E39">
        <f t="shared" ref="E39:E102" si="3">10^D39</f>
        <v>38680.655115657632</v>
      </c>
      <c r="F39" s="22">
        <v>7.6388888888888895E-2</v>
      </c>
      <c r="G39" s="3" t="s">
        <v>202</v>
      </c>
      <c r="H39" s="3" t="s">
        <v>203</v>
      </c>
      <c r="I39" s="3" t="s">
        <v>204</v>
      </c>
      <c r="J39" s="3">
        <f t="shared" ref="J39:J40" si="4">((E39*50*50)/75)*100</f>
        <v>128935517.05219211</v>
      </c>
      <c r="K39" s="12">
        <f t="shared" ref="K39:K102" si="5">J39</f>
        <v>128935517.05219211</v>
      </c>
      <c r="L39" s="37"/>
      <c r="M39" s="37"/>
      <c r="S39" s="1"/>
      <c r="T39" s="23"/>
    </row>
    <row r="40" spans="1:20" x14ac:dyDescent="0.2">
      <c r="A40" s="2" t="s">
        <v>46</v>
      </c>
      <c r="B40" s="1" t="s">
        <v>44</v>
      </c>
      <c r="C40" s="4">
        <v>20.968615277551599</v>
      </c>
      <c r="D40" s="1">
        <f t="shared" si="2"/>
        <v>4.5916352803589886</v>
      </c>
      <c r="E40">
        <f t="shared" si="3"/>
        <v>39051.280617025805</v>
      </c>
      <c r="F40" s="22">
        <v>7.6388888888888895E-2</v>
      </c>
      <c r="G40" s="3" t="s">
        <v>202</v>
      </c>
      <c r="H40" s="3" t="s">
        <v>203</v>
      </c>
      <c r="I40" s="3" t="s">
        <v>204</v>
      </c>
      <c r="J40" s="3">
        <f t="shared" si="4"/>
        <v>130170935.39008601</v>
      </c>
      <c r="K40" s="12">
        <f t="shared" si="5"/>
        <v>130170935.39008601</v>
      </c>
      <c r="L40" s="37"/>
      <c r="M40" s="37"/>
    </row>
    <row r="41" spans="1:20" x14ac:dyDescent="0.2">
      <c r="A41" s="2" t="s">
        <v>47</v>
      </c>
      <c r="B41" s="1" t="s">
        <v>48</v>
      </c>
      <c r="C41" s="4">
        <v>36.8507572878883</v>
      </c>
      <c r="D41" s="1">
        <f t="shared" si="2"/>
        <v>0.3229831511658805</v>
      </c>
      <c r="E41">
        <f t="shared" si="3"/>
        <v>2.1036968234258167</v>
      </c>
      <c r="F41" s="22">
        <v>7.6388888888888895E-2</v>
      </c>
      <c r="G41" s="3" t="s">
        <v>202</v>
      </c>
      <c r="H41" s="3" t="s">
        <v>203</v>
      </c>
      <c r="I41" s="3" t="s">
        <v>205</v>
      </c>
      <c r="J41" s="3">
        <f>(E41*50*50)/5</f>
        <v>1051.8484117129083</v>
      </c>
      <c r="K41" s="12">
        <f t="shared" si="5"/>
        <v>1051.8484117129083</v>
      </c>
      <c r="L41" s="36">
        <f>AVERAGE(K41:K43)</f>
        <v>11179.073418454225</v>
      </c>
      <c r="M41" s="37" t="s">
        <v>219</v>
      </c>
    </row>
    <row r="42" spans="1:20" x14ac:dyDescent="0.2">
      <c r="A42" s="2" t="s">
        <v>49</v>
      </c>
      <c r="B42" s="1" t="s">
        <v>48</v>
      </c>
      <c r="C42" s="4">
        <v>32.529549214564703</v>
      </c>
      <c r="D42" s="1">
        <f t="shared" si="2"/>
        <v>1.4843966450682795</v>
      </c>
      <c r="E42">
        <f t="shared" si="3"/>
        <v>30.5067993118092</v>
      </c>
      <c r="F42" s="22">
        <v>7.6388888888888895E-2</v>
      </c>
      <c r="G42" s="3" t="s">
        <v>202</v>
      </c>
      <c r="H42" s="3" t="s">
        <v>203</v>
      </c>
      <c r="I42" s="3" t="s">
        <v>205</v>
      </c>
      <c r="J42" s="3">
        <f t="shared" ref="J42:J49" si="6">(E42*50*50)/5</f>
        <v>15253.399655904601</v>
      </c>
      <c r="K42" s="12">
        <f t="shared" si="5"/>
        <v>15253.399655904601</v>
      </c>
      <c r="L42" s="37"/>
      <c r="M42" s="37"/>
    </row>
    <row r="43" spans="1:20" x14ac:dyDescent="0.2">
      <c r="A43" s="2" t="s">
        <v>50</v>
      </c>
      <c r="B43" s="1" t="s">
        <v>48</v>
      </c>
      <c r="C43" s="4">
        <v>32.332472806689097</v>
      </c>
      <c r="D43" s="1">
        <f t="shared" si="2"/>
        <v>1.5373649806708964</v>
      </c>
      <c r="E43">
        <f t="shared" si="3"/>
        <v>34.463944375490343</v>
      </c>
      <c r="F43" s="22">
        <v>7.6388888888888895E-2</v>
      </c>
      <c r="G43" s="3" t="s">
        <v>202</v>
      </c>
      <c r="H43" s="3" t="s">
        <v>203</v>
      </c>
      <c r="I43" s="3" t="s">
        <v>205</v>
      </c>
      <c r="J43" s="3">
        <f t="shared" si="6"/>
        <v>17231.97218774517</v>
      </c>
      <c r="K43" s="12">
        <f t="shared" si="5"/>
        <v>17231.97218774517</v>
      </c>
      <c r="L43" s="37"/>
      <c r="M43" s="37"/>
    </row>
    <row r="44" spans="1:20" x14ac:dyDescent="0.2">
      <c r="A44" s="2" t="s">
        <v>51</v>
      </c>
      <c r="B44" s="1" t="s">
        <v>52</v>
      </c>
      <c r="C44" s="4">
        <v>32.183210192873503</v>
      </c>
      <c r="D44" s="1">
        <f t="shared" si="2"/>
        <v>1.5774823762878216</v>
      </c>
      <c r="E44">
        <f t="shared" si="3"/>
        <v>37.799179804676989</v>
      </c>
      <c r="F44" s="22">
        <v>7.6388888888888895E-2</v>
      </c>
      <c r="G44" s="3" t="s">
        <v>202</v>
      </c>
      <c r="H44" s="3" t="s">
        <v>203</v>
      </c>
      <c r="I44" s="3" t="s">
        <v>205</v>
      </c>
      <c r="J44" s="3">
        <f t="shared" si="6"/>
        <v>18899.589902338492</v>
      </c>
      <c r="K44" s="12">
        <f t="shared" si="5"/>
        <v>18899.589902338492</v>
      </c>
      <c r="L44" s="36">
        <f>AVERAGE(K44:K46)</f>
        <v>17876.654813245677</v>
      </c>
      <c r="M44" s="37" t="s">
        <v>219</v>
      </c>
    </row>
    <row r="45" spans="1:20" x14ac:dyDescent="0.2">
      <c r="A45" s="2" t="s">
        <v>53</v>
      </c>
      <c r="B45" s="1" t="s">
        <v>52</v>
      </c>
      <c r="C45" s="4">
        <v>32.231137994606001</v>
      </c>
      <c r="D45" s="1">
        <f t="shared" si="2"/>
        <v>1.5646007943966749</v>
      </c>
      <c r="E45">
        <f t="shared" si="3"/>
        <v>36.694484793612062</v>
      </c>
      <c r="F45" s="22">
        <v>7.6388888888888895E-2</v>
      </c>
      <c r="G45" s="3" t="s">
        <v>202</v>
      </c>
      <c r="H45" s="3" t="s">
        <v>203</v>
      </c>
      <c r="I45" s="3" t="s">
        <v>205</v>
      </c>
      <c r="J45" s="3">
        <f t="shared" si="6"/>
        <v>18347.242396806032</v>
      </c>
      <c r="K45" s="12">
        <f t="shared" si="5"/>
        <v>18347.242396806032</v>
      </c>
      <c r="L45" s="37"/>
      <c r="M45" s="37"/>
    </row>
    <row r="46" spans="1:20" x14ac:dyDescent="0.2">
      <c r="A46" s="2" t="s">
        <v>54</v>
      </c>
      <c r="B46" s="1" t="s">
        <v>52</v>
      </c>
      <c r="C46" s="4">
        <v>32.414096520408101</v>
      </c>
      <c r="D46" s="1">
        <f t="shared" si="2"/>
        <v>1.5154269298001444</v>
      </c>
      <c r="E46">
        <f t="shared" si="3"/>
        <v>32.766264281185023</v>
      </c>
      <c r="F46" s="22">
        <v>7.6388888888888895E-2</v>
      </c>
      <c r="G46" s="3" t="s">
        <v>202</v>
      </c>
      <c r="H46" s="3" t="s">
        <v>203</v>
      </c>
      <c r="I46" s="3" t="s">
        <v>205</v>
      </c>
      <c r="J46" s="3">
        <f t="shared" si="6"/>
        <v>16383.132140592512</v>
      </c>
      <c r="K46" s="12">
        <f t="shared" si="5"/>
        <v>16383.132140592512</v>
      </c>
      <c r="L46" s="37"/>
      <c r="M46" s="37"/>
    </row>
    <row r="47" spans="1:20" x14ac:dyDescent="0.2">
      <c r="A47" s="2" t="s">
        <v>55</v>
      </c>
      <c r="B47" s="1" t="s">
        <v>56</v>
      </c>
      <c r="C47" s="4">
        <v>32.260813303408398</v>
      </c>
      <c r="D47" s="1">
        <f t="shared" si="2"/>
        <v>1.5566249451679393</v>
      </c>
      <c r="E47">
        <f t="shared" si="3"/>
        <v>36.026738328913076</v>
      </c>
      <c r="F47" s="22">
        <v>7.6388888888888895E-2</v>
      </c>
      <c r="G47" s="3" t="s">
        <v>202</v>
      </c>
      <c r="H47" s="3" t="s">
        <v>203</v>
      </c>
      <c r="I47" s="3" t="s">
        <v>205</v>
      </c>
      <c r="J47" s="3">
        <f t="shared" si="6"/>
        <v>18013.369164456537</v>
      </c>
      <c r="K47" s="12">
        <f t="shared" si="5"/>
        <v>18013.369164456537</v>
      </c>
      <c r="L47" s="36">
        <f>AVERAGE(K47:K49)</f>
        <v>19507.696476989597</v>
      </c>
      <c r="M47" s="37" t="s">
        <v>219</v>
      </c>
    </row>
    <row r="48" spans="1:20" x14ac:dyDescent="0.2">
      <c r="A48" s="2" t="s">
        <v>57</v>
      </c>
      <c r="B48" s="1" t="s">
        <v>56</v>
      </c>
      <c r="C48" s="4">
        <v>32.067194115639602</v>
      </c>
      <c r="D48" s="1">
        <f t="shared" si="2"/>
        <v>1.6086640818022799</v>
      </c>
      <c r="E48">
        <f t="shared" si="3"/>
        <v>40.6129074834069</v>
      </c>
      <c r="F48" s="22">
        <v>7.6388888888888895E-2</v>
      </c>
      <c r="G48" s="3" t="s">
        <v>202</v>
      </c>
      <c r="H48" s="3" t="s">
        <v>203</v>
      </c>
      <c r="I48" s="3" t="s">
        <v>205</v>
      </c>
      <c r="J48" s="3">
        <f t="shared" si="6"/>
        <v>20306.453741703452</v>
      </c>
      <c r="K48" s="12">
        <f t="shared" si="5"/>
        <v>20306.453741703452</v>
      </c>
      <c r="L48" s="37"/>
      <c r="M48" s="37"/>
    </row>
    <row r="49" spans="1:13" x14ac:dyDescent="0.2">
      <c r="A49" s="2" t="s">
        <v>58</v>
      </c>
      <c r="B49" s="1" t="s">
        <v>56</v>
      </c>
      <c r="C49" s="4">
        <v>32.075426018033099</v>
      </c>
      <c r="D49" s="1">
        <f t="shared" si="2"/>
        <v>1.6064515888239119</v>
      </c>
      <c r="E49">
        <f t="shared" si="3"/>
        <v>40.406533049617607</v>
      </c>
      <c r="F49" s="22">
        <v>7.6388888888888895E-2</v>
      </c>
      <c r="G49" s="3" t="s">
        <v>202</v>
      </c>
      <c r="H49" s="3" t="s">
        <v>203</v>
      </c>
      <c r="I49" s="3" t="s">
        <v>205</v>
      </c>
      <c r="J49" s="3">
        <f t="shared" si="6"/>
        <v>20203.266524808801</v>
      </c>
      <c r="K49" s="12">
        <f t="shared" si="5"/>
        <v>20203.266524808801</v>
      </c>
      <c r="L49" s="37"/>
      <c r="M49" s="37"/>
    </row>
    <row r="50" spans="1:13" x14ac:dyDescent="0.2">
      <c r="A50" s="2" t="s">
        <v>59</v>
      </c>
      <c r="B50" s="1" t="s">
        <v>60</v>
      </c>
      <c r="C50" s="4">
        <v>21.4358584998011</v>
      </c>
      <c r="D50" s="1">
        <f t="shared" si="2"/>
        <v>4.4660540600041845</v>
      </c>
      <c r="E50">
        <f t="shared" si="3"/>
        <v>29245.163924359247</v>
      </c>
      <c r="F50" s="22">
        <v>7.6388888888888895E-2</v>
      </c>
      <c r="G50" s="3" t="s">
        <v>202</v>
      </c>
      <c r="H50" s="3" t="s">
        <v>203</v>
      </c>
      <c r="I50" s="3" t="s">
        <v>206</v>
      </c>
      <c r="J50" s="3">
        <f>(E50*50*50)*4</f>
        <v>292451639.24359244</v>
      </c>
      <c r="K50" s="12">
        <f t="shared" si="5"/>
        <v>292451639.24359244</v>
      </c>
      <c r="L50" s="36">
        <f t="shared" ref="L50" si="7">AVERAGE(K50:K52)</f>
        <v>273227722.66100341</v>
      </c>
      <c r="M50" s="37" t="s">
        <v>220</v>
      </c>
    </row>
    <row r="51" spans="1:13" x14ac:dyDescent="0.2">
      <c r="A51" s="2" t="s">
        <v>61</v>
      </c>
      <c r="B51" s="1" t="s">
        <v>60</v>
      </c>
      <c r="C51" s="4">
        <v>21.598102787974401</v>
      </c>
      <c r="D51" s="1">
        <f t="shared" si="2"/>
        <v>4.4224475725600083</v>
      </c>
      <c r="E51">
        <f t="shared" si="3"/>
        <v>26451.333585431301</v>
      </c>
      <c r="F51" s="22">
        <v>7.6388888888888895E-2</v>
      </c>
      <c r="G51" s="3" t="s">
        <v>202</v>
      </c>
      <c r="H51" s="3" t="s">
        <v>203</v>
      </c>
      <c r="I51" s="3" t="s">
        <v>206</v>
      </c>
      <c r="J51" s="3">
        <f t="shared" ref="J51:J67" si="8">(E51*50*50)*4</f>
        <v>264513335.85431302</v>
      </c>
      <c r="K51" s="12">
        <f t="shared" si="5"/>
        <v>264513335.85431302</v>
      </c>
      <c r="L51" s="37"/>
      <c r="M51" s="37"/>
    </row>
    <row r="52" spans="1:13" x14ac:dyDescent="0.2">
      <c r="A52" s="2" t="s">
        <v>62</v>
      </c>
      <c r="B52" s="1" t="s">
        <v>60</v>
      </c>
      <c r="C52" s="4">
        <v>21.6091063162939</v>
      </c>
      <c r="D52" s="1">
        <f t="shared" si="2"/>
        <v>4.419490148142124</v>
      </c>
      <c r="E52">
        <f t="shared" si="3"/>
        <v>26271.819288510495</v>
      </c>
      <c r="F52" s="22">
        <v>7.6388888888888895E-2</v>
      </c>
      <c r="G52" s="3" t="s">
        <v>202</v>
      </c>
      <c r="H52" s="3" t="s">
        <v>203</v>
      </c>
      <c r="I52" s="3" t="s">
        <v>206</v>
      </c>
      <c r="J52" s="3">
        <f t="shared" si="8"/>
        <v>262718192.88510495</v>
      </c>
      <c r="K52" s="12">
        <f t="shared" si="5"/>
        <v>262718192.88510495</v>
      </c>
      <c r="L52" s="37"/>
      <c r="M52" s="37"/>
    </row>
    <row r="53" spans="1:13" x14ac:dyDescent="0.2">
      <c r="A53" s="2" t="s">
        <v>63</v>
      </c>
      <c r="B53" s="1" t="s">
        <v>64</v>
      </c>
      <c r="C53" s="4">
        <v>21.0135861311037</v>
      </c>
      <c r="D53" s="1">
        <f t="shared" si="2"/>
        <v>4.5795484390726013</v>
      </c>
      <c r="E53">
        <f t="shared" si="3"/>
        <v>37979.429699885048</v>
      </c>
      <c r="F53" s="22">
        <v>7.6388888888888895E-2</v>
      </c>
      <c r="G53" s="3" t="s">
        <v>202</v>
      </c>
      <c r="H53" s="3" t="s">
        <v>203</v>
      </c>
      <c r="I53" s="3" t="s">
        <v>206</v>
      </c>
      <c r="J53" s="3">
        <f t="shared" si="8"/>
        <v>379794296.99885046</v>
      </c>
      <c r="K53" s="12">
        <f t="shared" si="5"/>
        <v>379794296.99885046</v>
      </c>
      <c r="L53" s="36">
        <f t="shared" ref="L53" si="9">AVERAGE(K53:K55)</f>
        <v>364632793.14296824</v>
      </c>
      <c r="M53" s="37" t="s">
        <v>220</v>
      </c>
    </row>
    <row r="54" spans="1:13" x14ac:dyDescent="0.2">
      <c r="A54" s="2" t="s">
        <v>65</v>
      </c>
      <c r="B54" s="1" t="s">
        <v>64</v>
      </c>
      <c r="C54" s="4">
        <v>21.090738334061399</v>
      </c>
      <c r="D54" s="1">
        <f t="shared" si="2"/>
        <v>4.5588121986326797</v>
      </c>
      <c r="E54">
        <f t="shared" si="3"/>
        <v>36208.63880374343</v>
      </c>
      <c r="F54" s="22">
        <v>7.6388888888888895E-2</v>
      </c>
      <c r="G54" s="3" t="s">
        <v>202</v>
      </c>
      <c r="H54" s="3" t="s">
        <v>203</v>
      </c>
      <c r="I54" s="3" t="s">
        <v>206</v>
      </c>
      <c r="J54" s="3">
        <f t="shared" si="8"/>
        <v>362086388.03743434</v>
      </c>
      <c r="K54" s="12">
        <f t="shared" si="5"/>
        <v>362086388.03743434</v>
      </c>
      <c r="L54" s="37"/>
      <c r="M54" s="37"/>
    </row>
    <row r="55" spans="1:13" x14ac:dyDescent="0.2">
      <c r="A55" s="2" t="s">
        <v>66</v>
      </c>
      <c r="B55" s="1" t="s">
        <v>64</v>
      </c>
      <c r="C55" s="4">
        <v>21.136307702699099</v>
      </c>
      <c r="D55" s="1">
        <f t="shared" si="2"/>
        <v>4.5465644941143157</v>
      </c>
      <c r="E55">
        <f t="shared" si="3"/>
        <v>35201.769439262003</v>
      </c>
      <c r="F55" s="22">
        <v>7.6388888888888895E-2</v>
      </c>
      <c r="G55" s="3" t="s">
        <v>202</v>
      </c>
      <c r="H55" s="3" t="s">
        <v>203</v>
      </c>
      <c r="I55" s="3" t="s">
        <v>206</v>
      </c>
      <c r="J55" s="3">
        <f t="shared" si="8"/>
        <v>352017694.39262003</v>
      </c>
      <c r="K55" s="12">
        <f t="shared" si="5"/>
        <v>352017694.39262003</v>
      </c>
      <c r="L55" s="37"/>
      <c r="M55" s="37"/>
    </row>
    <row r="56" spans="1:13" x14ac:dyDescent="0.2">
      <c r="A56" s="2" t="s">
        <v>67</v>
      </c>
      <c r="B56" s="1" t="s">
        <v>68</v>
      </c>
      <c r="C56" s="4">
        <v>21.005481289194702</v>
      </c>
      <c r="D56" s="1">
        <f t="shared" si="2"/>
        <v>4.5817267819339795</v>
      </c>
      <c r="E56">
        <f t="shared" si="3"/>
        <v>38170.406226901461</v>
      </c>
      <c r="F56" s="22">
        <v>7.6388888888888895E-2</v>
      </c>
      <c r="G56" s="3" t="s">
        <v>202</v>
      </c>
      <c r="H56" s="3" t="s">
        <v>203</v>
      </c>
      <c r="I56" s="3" t="s">
        <v>206</v>
      </c>
      <c r="J56" s="3">
        <f t="shared" si="8"/>
        <v>381704062.26901466</v>
      </c>
      <c r="K56" s="12">
        <f t="shared" si="5"/>
        <v>381704062.26901466</v>
      </c>
      <c r="L56" s="36">
        <f t="shared" ref="L56" si="10">AVERAGE(K56:K58)</f>
        <v>366999297.06042463</v>
      </c>
      <c r="M56" s="37" t="s">
        <v>220</v>
      </c>
    </row>
    <row r="57" spans="1:13" x14ac:dyDescent="0.2">
      <c r="A57" s="2" t="s">
        <v>69</v>
      </c>
      <c r="B57" s="1" t="s">
        <v>68</v>
      </c>
      <c r="C57" s="4">
        <v>21.130561878155198</v>
      </c>
      <c r="D57" s="1">
        <f t="shared" si="2"/>
        <v>4.548108802568259</v>
      </c>
      <c r="E57">
        <f t="shared" si="3"/>
        <v>35327.166285709187</v>
      </c>
      <c r="F57" s="22">
        <v>7.6388888888888895E-2</v>
      </c>
      <c r="G57" s="3" t="s">
        <v>202</v>
      </c>
      <c r="H57" s="3" t="s">
        <v>203</v>
      </c>
      <c r="I57" s="3" t="s">
        <v>206</v>
      </c>
      <c r="J57" s="3">
        <f t="shared" si="8"/>
        <v>353271662.8570919</v>
      </c>
      <c r="K57" s="12">
        <f t="shared" si="5"/>
        <v>353271662.8570919</v>
      </c>
      <c r="L57" s="37"/>
      <c r="M57" s="37"/>
    </row>
    <row r="58" spans="1:13" x14ac:dyDescent="0.2">
      <c r="A58" s="2" t="s">
        <v>70</v>
      </c>
      <c r="B58" s="1" t="s">
        <v>68</v>
      </c>
      <c r="C58" s="4">
        <v>21.0732692026995</v>
      </c>
      <c r="D58" s="1">
        <f t="shared" si="2"/>
        <v>4.5635073867713194</v>
      </c>
      <c r="E58">
        <f t="shared" si="3"/>
        <v>36602.21660551674</v>
      </c>
      <c r="F58" s="22">
        <v>7.6388888888888895E-2</v>
      </c>
      <c r="G58" s="3" t="s">
        <v>202</v>
      </c>
      <c r="H58" s="3" t="s">
        <v>203</v>
      </c>
      <c r="I58" s="3" t="s">
        <v>206</v>
      </c>
      <c r="J58" s="3">
        <f t="shared" si="8"/>
        <v>366022166.05516744</v>
      </c>
      <c r="K58" s="12">
        <f t="shared" si="5"/>
        <v>366022166.05516744</v>
      </c>
      <c r="L58" s="37"/>
      <c r="M58" s="37"/>
    </row>
    <row r="59" spans="1:13" x14ac:dyDescent="0.2">
      <c r="A59" s="2" t="s">
        <v>71</v>
      </c>
      <c r="B59" s="1" t="s">
        <v>72</v>
      </c>
      <c r="C59" s="4">
        <v>21.163049749134299</v>
      </c>
      <c r="D59" s="1">
        <f t="shared" si="2"/>
        <v>4.5393770194411696</v>
      </c>
      <c r="E59">
        <f t="shared" si="3"/>
        <v>34623.982488529597</v>
      </c>
      <c r="F59" s="22">
        <v>7.6388888888888895E-2</v>
      </c>
      <c r="G59" s="3" t="s">
        <v>202</v>
      </c>
      <c r="H59" s="3" t="s">
        <v>203</v>
      </c>
      <c r="I59" s="3" t="s">
        <v>206</v>
      </c>
      <c r="J59" s="3">
        <f t="shared" si="8"/>
        <v>346239824.88529599</v>
      </c>
      <c r="K59" s="12">
        <f t="shared" si="5"/>
        <v>346239824.88529599</v>
      </c>
      <c r="L59" s="36">
        <f t="shared" ref="L59" si="11">AVERAGE(K59:K61)</f>
        <v>353492287.93105787</v>
      </c>
      <c r="M59" s="37" t="s">
        <v>220</v>
      </c>
    </row>
    <row r="60" spans="1:13" x14ac:dyDescent="0.2">
      <c r="A60" s="2" t="s">
        <v>73</v>
      </c>
      <c r="B60" s="1" t="s">
        <v>72</v>
      </c>
      <c r="C60" s="4">
        <v>21.164585541059001</v>
      </c>
      <c r="D60" s="1">
        <f t="shared" si="2"/>
        <v>4.5389642437925755</v>
      </c>
      <c r="E60">
        <f t="shared" si="3"/>
        <v>34591.089721796554</v>
      </c>
      <c r="F60" s="22">
        <v>7.6388888888888895E-2</v>
      </c>
      <c r="G60" s="3" t="s">
        <v>202</v>
      </c>
      <c r="H60" s="3" t="s">
        <v>203</v>
      </c>
      <c r="I60" s="3" t="s">
        <v>206</v>
      </c>
      <c r="J60" s="3">
        <f t="shared" si="8"/>
        <v>345910897.21796554</v>
      </c>
      <c r="K60" s="12">
        <f t="shared" si="5"/>
        <v>345910897.21796554</v>
      </c>
      <c r="L60" s="37"/>
      <c r="M60" s="37"/>
    </row>
    <row r="61" spans="1:13" x14ac:dyDescent="0.2">
      <c r="A61" s="2" t="s">
        <v>74</v>
      </c>
      <c r="B61" s="1" t="s">
        <v>72</v>
      </c>
      <c r="C61" s="4">
        <v>21.063129859422101</v>
      </c>
      <c r="D61" s="1">
        <f t="shared" si="2"/>
        <v>4.5662325436954623</v>
      </c>
      <c r="E61">
        <f t="shared" si="3"/>
        <v>36832.614168991218</v>
      </c>
      <c r="F61" s="22">
        <v>7.6388888888888895E-2</v>
      </c>
      <c r="G61" s="3" t="s">
        <v>202</v>
      </c>
      <c r="H61" s="3" t="s">
        <v>203</v>
      </c>
      <c r="I61" s="3" t="s">
        <v>206</v>
      </c>
      <c r="J61" s="3">
        <f t="shared" si="8"/>
        <v>368326141.6899122</v>
      </c>
      <c r="K61" s="12">
        <f t="shared" si="5"/>
        <v>368326141.6899122</v>
      </c>
      <c r="L61" s="37"/>
      <c r="M61" s="37"/>
    </row>
    <row r="62" spans="1:13" x14ac:dyDescent="0.2">
      <c r="A62" s="2" t="s">
        <v>75</v>
      </c>
      <c r="B62" s="1" t="s">
        <v>76</v>
      </c>
      <c r="C62" s="4">
        <v>20.902096795408799</v>
      </c>
      <c r="D62" s="1">
        <f t="shared" si="2"/>
        <v>4.6095134897494319</v>
      </c>
      <c r="E62">
        <f t="shared" si="3"/>
        <v>40692.417320507106</v>
      </c>
      <c r="F62" s="22">
        <v>7.6388888888888895E-2</v>
      </c>
      <c r="G62" s="3" t="s">
        <v>202</v>
      </c>
      <c r="H62" s="3" t="s">
        <v>203</v>
      </c>
      <c r="I62" s="3" t="s">
        <v>206</v>
      </c>
      <c r="J62" s="3">
        <f t="shared" si="8"/>
        <v>406924173.20507103</v>
      </c>
      <c r="K62" s="12">
        <f t="shared" si="5"/>
        <v>406924173.20507103</v>
      </c>
      <c r="L62" s="36">
        <f t="shared" ref="L62" si="12">AVERAGE(K62:K64)</f>
        <v>386442801.2510891</v>
      </c>
      <c r="M62" s="37" t="s">
        <v>220</v>
      </c>
    </row>
    <row r="63" spans="1:13" x14ac:dyDescent="0.2">
      <c r="A63" s="2" t="s">
        <v>77</v>
      </c>
      <c r="B63" s="1" t="s">
        <v>76</v>
      </c>
      <c r="C63" s="4">
        <v>21.022172453206501</v>
      </c>
      <c r="D63" s="1">
        <f t="shared" si="2"/>
        <v>4.5772406885121164</v>
      </c>
      <c r="E63">
        <f t="shared" si="3"/>
        <v>37778.150161125377</v>
      </c>
      <c r="F63" s="22">
        <v>7.6388888888888895E-2</v>
      </c>
      <c r="G63" s="3" t="s">
        <v>202</v>
      </c>
      <c r="H63" s="3" t="s">
        <v>203</v>
      </c>
      <c r="I63" s="3" t="s">
        <v>206</v>
      </c>
      <c r="J63" s="3">
        <f t="shared" si="8"/>
        <v>377781501.61125374</v>
      </c>
      <c r="K63" s="12">
        <f t="shared" si="5"/>
        <v>377781501.61125374</v>
      </c>
      <c r="L63" s="37"/>
      <c r="M63" s="37"/>
    </row>
    <row r="64" spans="1:13" x14ac:dyDescent="0.2">
      <c r="A64" s="2" t="s">
        <v>78</v>
      </c>
      <c r="B64" s="1" t="s">
        <v>76</v>
      </c>
      <c r="C64" s="4">
        <v>21.035740030778602</v>
      </c>
      <c r="D64" s="1">
        <f t="shared" si="2"/>
        <v>4.5735941231525166</v>
      </c>
      <c r="E64">
        <f t="shared" si="3"/>
        <v>37462.272893694251</v>
      </c>
      <c r="F64" s="22">
        <v>7.6388888888888895E-2</v>
      </c>
      <c r="G64" s="3" t="s">
        <v>202</v>
      </c>
      <c r="H64" s="3" t="s">
        <v>203</v>
      </c>
      <c r="I64" s="3" t="s">
        <v>206</v>
      </c>
      <c r="J64" s="3">
        <f t="shared" si="8"/>
        <v>374622728.93694252</v>
      </c>
      <c r="K64" s="12">
        <f t="shared" si="5"/>
        <v>374622728.93694252</v>
      </c>
      <c r="L64" s="37"/>
      <c r="M64" s="37"/>
    </row>
    <row r="65" spans="1:13" x14ac:dyDescent="0.2">
      <c r="A65" s="2" t="s">
        <v>79</v>
      </c>
      <c r="B65" s="1" t="s">
        <v>80</v>
      </c>
      <c r="C65" s="4">
        <v>20.902208560782601</v>
      </c>
      <c r="D65" s="1">
        <f t="shared" si="2"/>
        <v>4.6094834505078399</v>
      </c>
      <c r="E65">
        <f t="shared" si="3"/>
        <v>40689.602808390533</v>
      </c>
      <c r="F65" s="22">
        <v>7.6388888888888895E-2</v>
      </c>
      <c r="G65" s="3" t="s">
        <v>202</v>
      </c>
      <c r="H65" s="3" t="s">
        <v>203</v>
      </c>
      <c r="I65" s="3" t="s">
        <v>206</v>
      </c>
      <c r="J65" s="3">
        <f t="shared" si="8"/>
        <v>406896028.08390534</v>
      </c>
      <c r="K65" s="12">
        <f t="shared" si="5"/>
        <v>406896028.08390534</v>
      </c>
      <c r="L65" s="36">
        <f t="shared" ref="L65" si="13">AVERAGE(K65:K67)</f>
        <v>409916431.45895177</v>
      </c>
      <c r="M65" s="37" t="s">
        <v>220</v>
      </c>
    </row>
    <row r="66" spans="1:13" x14ac:dyDescent="0.2">
      <c r="A66" s="2" t="s">
        <v>81</v>
      </c>
      <c r="B66" s="1" t="s">
        <v>80</v>
      </c>
      <c r="C66" s="4">
        <v>20.8913610972347</v>
      </c>
      <c r="D66" s="1">
        <f t="shared" si="2"/>
        <v>4.6123989293103813</v>
      </c>
      <c r="E66">
        <f t="shared" si="3"/>
        <v>40963.676646881264</v>
      </c>
      <c r="F66" s="22">
        <v>7.6388888888888895E-2</v>
      </c>
      <c r="G66" s="3" t="s">
        <v>202</v>
      </c>
      <c r="H66" s="3" t="s">
        <v>203</v>
      </c>
      <c r="I66" s="3" t="s">
        <v>206</v>
      </c>
      <c r="J66" s="3">
        <f t="shared" si="8"/>
        <v>409636766.46881264</v>
      </c>
      <c r="K66" s="12">
        <f t="shared" si="5"/>
        <v>409636766.46881264</v>
      </c>
      <c r="L66" s="37"/>
      <c r="M66" s="37"/>
    </row>
    <row r="67" spans="1:13" x14ac:dyDescent="0.2">
      <c r="A67" s="2" t="s">
        <v>82</v>
      </c>
      <c r="B67" s="1" t="s">
        <v>80</v>
      </c>
      <c r="C67" s="4">
        <v>20.877301799146</v>
      </c>
      <c r="D67" s="1">
        <f t="shared" si="2"/>
        <v>4.6161776546663331</v>
      </c>
      <c r="E67">
        <f t="shared" si="3"/>
        <v>41321.649982413757</v>
      </c>
      <c r="F67" s="22">
        <v>7.6388888888888895E-2</v>
      </c>
      <c r="G67" s="3" t="s">
        <v>202</v>
      </c>
      <c r="H67" s="3" t="s">
        <v>203</v>
      </c>
      <c r="I67" s="3" t="s">
        <v>206</v>
      </c>
      <c r="J67" s="3">
        <f t="shared" si="8"/>
        <v>413216499.82413757</v>
      </c>
      <c r="K67" s="12">
        <f t="shared" si="5"/>
        <v>413216499.82413757</v>
      </c>
      <c r="L67" s="37"/>
      <c r="M67" s="37"/>
    </row>
    <row r="68" spans="1:13" x14ac:dyDescent="0.2">
      <c r="A68" s="2" t="s">
        <v>83</v>
      </c>
      <c r="B68" s="1" t="s">
        <v>84</v>
      </c>
      <c r="C68" s="4">
        <v>30.128520193856499</v>
      </c>
      <c r="D68" s="1">
        <f t="shared" si="2"/>
        <v>2.1297225485156845</v>
      </c>
      <c r="E68">
        <f t="shared" si="3"/>
        <v>134.81013652519351</v>
      </c>
      <c r="F68" s="22">
        <v>7.6388888888888895E-2</v>
      </c>
      <c r="G68" s="3" t="s">
        <v>202</v>
      </c>
      <c r="H68" s="3" t="s">
        <v>203</v>
      </c>
      <c r="I68" s="1" t="s">
        <v>207</v>
      </c>
      <c r="J68" s="3">
        <f>(E68*50*50)/234.4*1000</f>
        <v>1437821.4219837191</v>
      </c>
      <c r="K68" s="12">
        <f t="shared" si="5"/>
        <v>1437821.4219837191</v>
      </c>
      <c r="L68" s="36">
        <f t="shared" ref="L68:L101" si="14">AVERAGE(K68:K70)</f>
        <v>1454142.7159852709</v>
      </c>
      <c r="M68" s="37" t="s">
        <v>221</v>
      </c>
    </row>
    <row r="69" spans="1:13" x14ac:dyDescent="0.2">
      <c r="A69" s="2" t="s">
        <v>85</v>
      </c>
      <c r="B69" s="1" t="s">
        <v>84</v>
      </c>
      <c r="C69" s="4">
        <v>30.038256561948401</v>
      </c>
      <c r="D69" s="1">
        <f t="shared" si="2"/>
        <v>2.1539827549968025</v>
      </c>
      <c r="E69">
        <f t="shared" si="3"/>
        <v>142.55509865753044</v>
      </c>
      <c r="F69" s="22">
        <v>7.6388888888888895E-2</v>
      </c>
      <c r="G69" s="3" t="s">
        <v>202</v>
      </c>
      <c r="H69" s="3" t="s">
        <v>203</v>
      </c>
      <c r="I69" s="1" t="s">
        <v>207</v>
      </c>
      <c r="J69" s="3">
        <f t="shared" ref="J69:J70" si="15">(E69*50*50)/234.4*1000</f>
        <v>1520425.5402893603</v>
      </c>
      <c r="K69" s="12">
        <f t="shared" si="5"/>
        <v>1520425.5402893603</v>
      </c>
      <c r="L69" s="37"/>
      <c r="M69" s="37"/>
    </row>
    <row r="70" spans="1:13" x14ac:dyDescent="0.2">
      <c r="A70" s="2" t="s">
        <v>86</v>
      </c>
      <c r="B70" s="1" t="s">
        <v>84</v>
      </c>
      <c r="C70" s="4">
        <v>30.166775128834001</v>
      </c>
      <c r="D70" s="1">
        <f t="shared" si="2"/>
        <v>2.1194407483946698</v>
      </c>
      <c r="E70">
        <f t="shared" si="3"/>
        <v>131.65602796961309</v>
      </c>
      <c r="F70" s="22">
        <v>7.6388888888888895E-2</v>
      </c>
      <c r="G70" s="3" t="s">
        <v>202</v>
      </c>
      <c r="H70" s="3" t="s">
        <v>203</v>
      </c>
      <c r="I70" s="1" t="s">
        <v>207</v>
      </c>
      <c r="J70" s="3">
        <f t="shared" si="15"/>
        <v>1404181.1856827335</v>
      </c>
      <c r="K70" s="12">
        <f t="shared" si="5"/>
        <v>1404181.1856827335</v>
      </c>
      <c r="L70" s="37"/>
      <c r="M70" s="37"/>
    </row>
    <row r="71" spans="1:13" x14ac:dyDescent="0.2">
      <c r="A71" s="2" t="s">
        <v>87</v>
      </c>
      <c r="B71" s="1" t="s">
        <v>88</v>
      </c>
      <c r="C71" s="4">
        <v>29.669224411401299</v>
      </c>
      <c r="D71" s="1">
        <f t="shared" si="2"/>
        <v>2.2531677310628995</v>
      </c>
      <c r="E71">
        <f t="shared" si="3"/>
        <v>179.12975465183285</v>
      </c>
      <c r="F71" s="22">
        <v>7.6388888888888895E-2</v>
      </c>
      <c r="G71" s="3" t="s">
        <v>202</v>
      </c>
      <c r="H71" s="3" t="s">
        <v>203</v>
      </c>
      <c r="I71" s="1" t="s">
        <v>208</v>
      </c>
      <c r="J71" s="3">
        <f>(E71*50*50)/250.2*1000</f>
        <v>1789865.6539951323</v>
      </c>
      <c r="K71" s="12">
        <f t="shared" si="5"/>
        <v>1789865.6539951323</v>
      </c>
      <c r="L71" s="36">
        <f t="shared" si="14"/>
        <v>1928864.8947980411</v>
      </c>
      <c r="M71" s="37" t="s">
        <v>221</v>
      </c>
    </row>
    <row r="72" spans="1:13" x14ac:dyDescent="0.2">
      <c r="A72" s="2" t="s">
        <v>89</v>
      </c>
      <c r="B72" s="1" t="s">
        <v>88</v>
      </c>
      <c r="C72" s="4">
        <v>29.454406268300701</v>
      </c>
      <c r="D72" s="1">
        <f t="shared" si="2"/>
        <v>2.310904522695846</v>
      </c>
      <c r="E72">
        <f t="shared" si="3"/>
        <v>204.5994786337167</v>
      </c>
      <c r="F72" s="22">
        <v>7.6388888888888895E-2</v>
      </c>
      <c r="G72" s="3" t="s">
        <v>202</v>
      </c>
      <c r="H72" s="3" t="s">
        <v>203</v>
      </c>
      <c r="I72" s="1" t="s">
        <v>208</v>
      </c>
      <c r="J72" s="3">
        <f t="shared" ref="J72:J73" si="16">(E72*50*50)/250.2*1000</f>
        <v>2044359.2988980489</v>
      </c>
      <c r="K72" s="12">
        <f t="shared" si="5"/>
        <v>2044359.2988980489</v>
      </c>
      <c r="L72" s="37"/>
      <c r="M72" s="37"/>
    </row>
    <row r="73" spans="1:13" x14ac:dyDescent="0.2">
      <c r="A73" s="2" t="s">
        <v>90</v>
      </c>
      <c r="B73" s="1" t="s">
        <v>88</v>
      </c>
      <c r="C73" s="4">
        <v>29.528801173700401</v>
      </c>
      <c r="D73" s="1">
        <f t="shared" si="2"/>
        <v>2.2909093626520143</v>
      </c>
      <c r="E73">
        <f t="shared" si="3"/>
        <v>195.39316272861419</v>
      </c>
      <c r="F73" s="22">
        <v>7.6388888888888895E-2</v>
      </c>
      <c r="G73" s="3" t="s">
        <v>202</v>
      </c>
      <c r="H73" s="3" t="s">
        <v>203</v>
      </c>
      <c r="I73" s="1" t="s">
        <v>208</v>
      </c>
      <c r="J73" s="3">
        <f t="shared" si="16"/>
        <v>1952369.7315009413</v>
      </c>
      <c r="K73" s="12">
        <f t="shared" si="5"/>
        <v>1952369.7315009413</v>
      </c>
      <c r="L73" s="37"/>
      <c r="M73" s="37"/>
    </row>
    <row r="74" spans="1:13" x14ac:dyDescent="0.2">
      <c r="A74" s="2" t="s">
        <v>91</v>
      </c>
      <c r="B74" s="1" t="s">
        <v>92</v>
      </c>
      <c r="C74" s="4">
        <v>30.0930874219918</v>
      </c>
      <c r="D74" s="1">
        <f t="shared" si="2"/>
        <v>2.1392458342894183</v>
      </c>
      <c r="E74">
        <f t="shared" si="3"/>
        <v>137.79892650151217</v>
      </c>
      <c r="F74" s="22">
        <v>7.6388888888888895E-2</v>
      </c>
      <c r="G74" s="3" t="s">
        <v>202</v>
      </c>
      <c r="H74" s="3" t="s">
        <v>203</v>
      </c>
      <c r="I74" s="1" t="s">
        <v>209</v>
      </c>
      <c r="J74" s="3">
        <f>(E74*50*50)/251.9*1000</f>
        <v>1367595.5389193348</v>
      </c>
      <c r="K74" s="12">
        <f t="shared" si="5"/>
        <v>1367595.5389193348</v>
      </c>
      <c r="L74" s="36">
        <f t="shared" si="14"/>
        <v>1257210.3236945418</v>
      </c>
      <c r="M74" s="37" t="s">
        <v>221</v>
      </c>
    </row>
    <row r="75" spans="1:13" x14ac:dyDescent="0.2">
      <c r="A75" s="2" t="s">
        <v>93</v>
      </c>
      <c r="B75" s="1" t="s">
        <v>92</v>
      </c>
      <c r="C75" s="4">
        <v>30.4942167728912</v>
      </c>
      <c r="D75" s="1">
        <f t="shared" si="2"/>
        <v>2.0314340758575802</v>
      </c>
      <c r="E75">
        <f t="shared" si="3"/>
        <v>107.50633977390942</v>
      </c>
      <c r="F75" s="22">
        <v>7.6388888888888895E-2</v>
      </c>
      <c r="G75" s="3" t="s">
        <v>202</v>
      </c>
      <c r="H75" s="3" t="s">
        <v>203</v>
      </c>
      <c r="I75" s="1" t="s">
        <v>209</v>
      </c>
      <c r="J75" s="3">
        <f t="shared" ref="J75:J76" si="17">(E75*50*50)/251.9*1000</f>
        <v>1066954.5432106929</v>
      </c>
      <c r="K75" s="12">
        <f t="shared" si="5"/>
        <v>1066954.5432106929</v>
      </c>
      <c r="L75" s="37"/>
      <c r="M75" s="37"/>
    </row>
    <row r="76" spans="1:13" x14ac:dyDescent="0.2">
      <c r="A76" s="2" t="s">
        <v>94</v>
      </c>
      <c r="B76" s="1" t="s">
        <v>92</v>
      </c>
      <c r="C76" s="4">
        <v>30.129549727238601</v>
      </c>
      <c r="D76" s="1">
        <f t="shared" si="2"/>
        <v>2.1294458402567655</v>
      </c>
      <c r="E76">
        <f t="shared" si="3"/>
        <v>134.72427037096443</v>
      </c>
      <c r="F76" s="22">
        <v>7.6388888888888895E-2</v>
      </c>
      <c r="G76" s="3" t="s">
        <v>202</v>
      </c>
      <c r="H76" s="3" t="s">
        <v>203</v>
      </c>
      <c r="I76" s="1" t="s">
        <v>209</v>
      </c>
      <c r="J76" s="3">
        <f t="shared" si="17"/>
        <v>1337080.8889535973</v>
      </c>
      <c r="K76" s="12">
        <f t="shared" si="5"/>
        <v>1337080.8889535973</v>
      </c>
      <c r="L76" s="37"/>
      <c r="M76" s="37"/>
    </row>
    <row r="77" spans="1:13" x14ac:dyDescent="0.2">
      <c r="A77" s="2" t="s">
        <v>95</v>
      </c>
      <c r="B77" s="1" t="s">
        <v>96</v>
      </c>
      <c r="C77" s="4">
        <v>31.038461538499799</v>
      </c>
      <c r="D77" s="1">
        <f t="shared" si="2"/>
        <v>1.8851571079268483</v>
      </c>
      <c r="E77">
        <f t="shared" si="3"/>
        <v>76.763913595114147</v>
      </c>
      <c r="F77" s="22">
        <v>7.6388888888888895E-2</v>
      </c>
      <c r="G77" s="3" t="s">
        <v>202</v>
      </c>
      <c r="H77" s="3" t="s">
        <v>203</v>
      </c>
      <c r="I77" s="1" t="s">
        <v>210</v>
      </c>
      <c r="J77" s="3">
        <f>(E77*50*50)/256.4*1000</f>
        <v>748478.09667623008</v>
      </c>
      <c r="K77" s="12">
        <f t="shared" si="5"/>
        <v>748478.09667623008</v>
      </c>
      <c r="L77" s="36">
        <f t="shared" si="14"/>
        <v>721250.34803772729</v>
      </c>
      <c r="M77" s="37" t="s">
        <v>221</v>
      </c>
    </row>
    <row r="78" spans="1:13" x14ac:dyDescent="0.2">
      <c r="A78" s="2" t="s">
        <v>97</v>
      </c>
      <c r="B78" s="1" t="s">
        <v>96</v>
      </c>
      <c r="C78" s="4">
        <v>31.2549332684695</v>
      </c>
      <c r="D78" s="1">
        <f t="shared" si="2"/>
        <v>1.8269758808326768</v>
      </c>
      <c r="E78">
        <f t="shared" si="3"/>
        <v>67.139156519643848</v>
      </c>
      <c r="F78" s="22">
        <v>7.6388888888888895E-2</v>
      </c>
      <c r="G78" s="3" t="s">
        <v>202</v>
      </c>
      <c r="H78" s="3" t="s">
        <v>203</v>
      </c>
      <c r="I78" s="1" t="s">
        <v>210</v>
      </c>
      <c r="J78" s="3">
        <f t="shared" ref="J78:J79" si="18">(E78*50*50)/256.4*1000</f>
        <v>654632.96138498303</v>
      </c>
      <c r="K78" s="12">
        <f t="shared" si="5"/>
        <v>654632.96138498303</v>
      </c>
      <c r="L78" s="37"/>
      <c r="M78" s="37"/>
    </row>
    <row r="79" spans="1:13" x14ac:dyDescent="0.2">
      <c r="A79" s="2" t="s">
        <v>98</v>
      </c>
      <c r="B79" s="1" t="s">
        <v>96</v>
      </c>
      <c r="C79" s="4">
        <v>31.012416809301001</v>
      </c>
      <c r="D79" s="1">
        <f t="shared" si="2"/>
        <v>1.8921571642590702</v>
      </c>
      <c r="E79">
        <f t="shared" si="3"/>
        <v>78.011236969489914</v>
      </c>
      <c r="F79" s="22">
        <v>7.6388888888888895E-2</v>
      </c>
      <c r="G79" s="3" t="s">
        <v>202</v>
      </c>
      <c r="H79" s="3" t="s">
        <v>203</v>
      </c>
      <c r="I79" s="1" t="s">
        <v>210</v>
      </c>
      <c r="J79" s="3">
        <f t="shared" si="18"/>
        <v>760639.98605196876</v>
      </c>
      <c r="K79" s="12">
        <f t="shared" si="5"/>
        <v>760639.98605196876</v>
      </c>
      <c r="L79" s="37"/>
      <c r="M79" s="37"/>
    </row>
    <row r="80" spans="1:13" x14ac:dyDescent="0.2">
      <c r="A80" s="2" t="s">
        <v>99</v>
      </c>
      <c r="B80" s="1" t="s">
        <v>100</v>
      </c>
      <c r="C80" s="4">
        <v>30.342388263229601</v>
      </c>
      <c r="D80" s="1">
        <f t="shared" si="2"/>
        <v>2.0722411087261561</v>
      </c>
      <c r="E80">
        <f t="shared" si="3"/>
        <v>118.09761001546738</v>
      </c>
      <c r="F80" s="22">
        <v>7.6388888888888895E-2</v>
      </c>
      <c r="G80" s="3" t="s">
        <v>202</v>
      </c>
      <c r="H80" s="3" t="s">
        <v>203</v>
      </c>
      <c r="I80" s="1" t="s">
        <v>211</v>
      </c>
      <c r="J80" s="3">
        <f>(E80*50*50)/250.8*1000</f>
        <v>1177209.0312546589</v>
      </c>
      <c r="K80" s="12">
        <f t="shared" si="5"/>
        <v>1177209.0312546589</v>
      </c>
      <c r="L80" s="36">
        <f t="shared" si="14"/>
        <v>1168187.4027269685</v>
      </c>
      <c r="M80" s="37" t="s">
        <v>221</v>
      </c>
    </row>
    <row r="81" spans="1:16" x14ac:dyDescent="0.2">
      <c r="A81" s="2" t="s">
        <v>101</v>
      </c>
      <c r="B81" s="1" t="s">
        <v>100</v>
      </c>
      <c r="C81" s="4">
        <v>30.409709216718099</v>
      </c>
      <c r="D81" s="1">
        <f t="shared" si="2"/>
        <v>2.0541472186664302</v>
      </c>
      <c r="E81">
        <f t="shared" si="3"/>
        <v>113.27842933510246</v>
      </c>
      <c r="F81" s="22">
        <v>7.6388888888888895E-2</v>
      </c>
      <c r="G81" s="3" t="s">
        <v>202</v>
      </c>
      <c r="H81" s="3" t="s">
        <v>203</v>
      </c>
      <c r="I81" s="1" t="s">
        <v>211</v>
      </c>
      <c r="J81" s="3">
        <f t="shared" ref="J81:J82" si="19">(E81*50*50)/250.8*1000</f>
        <v>1129170.9463227917</v>
      </c>
      <c r="K81" s="12">
        <f t="shared" si="5"/>
        <v>1129170.9463227917</v>
      </c>
      <c r="L81" s="37"/>
      <c r="M81" s="37"/>
    </row>
    <row r="82" spans="1:16" x14ac:dyDescent="0.2">
      <c r="A82" s="2" t="s">
        <v>102</v>
      </c>
      <c r="B82" s="1" t="s">
        <v>100</v>
      </c>
      <c r="C82" s="4">
        <v>30.313853555119799</v>
      </c>
      <c r="D82" s="1">
        <f t="shared" si="2"/>
        <v>2.0799103980732441</v>
      </c>
      <c r="E82">
        <f t="shared" si="3"/>
        <v>120.20164137413862</v>
      </c>
      <c r="F82" s="22">
        <v>7.6388888888888895E-2</v>
      </c>
      <c r="G82" s="3" t="s">
        <v>202</v>
      </c>
      <c r="H82" s="3" t="s">
        <v>203</v>
      </c>
      <c r="I82" s="1" t="s">
        <v>211</v>
      </c>
      <c r="J82" s="3">
        <f t="shared" si="19"/>
        <v>1198182.2306034551</v>
      </c>
      <c r="K82" s="12">
        <f t="shared" si="5"/>
        <v>1198182.2306034551</v>
      </c>
      <c r="L82" s="37"/>
      <c r="M82" s="37"/>
    </row>
    <row r="83" spans="1:16" x14ac:dyDescent="0.2">
      <c r="A83" s="2" t="s">
        <v>103</v>
      </c>
      <c r="B83" s="1" t="s">
        <v>104</v>
      </c>
      <c r="C83" s="4">
        <v>30.533802333934698</v>
      </c>
      <c r="D83" s="1">
        <f t="shared" si="2"/>
        <v>2.0207946426297663</v>
      </c>
      <c r="E83">
        <f t="shared" si="3"/>
        <v>104.90462668708091</v>
      </c>
      <c r="F83" s="22">
        <v>7.6388888888888895E-2</v>
      </c>
      <c r="G83" s="3" t="s">
        <v>202</v>
      </c>
      <c r="H83" s="3" t="s">
        <v>203</v>
      </c>
      <c r="I83" s="1" t="s">
        <v>212</v>
      </c>
      <c r="J83" s="3">
        <f>(E83*50*50)/246.7*1000</f>
        <v>1063078.9084625142</v>
      </c>
      <c r="K83" s="12">
        <f t="shared" si="5"/>
        <v>1063078.9084625142</v>
      </c>
      <c r="L83" s="36">
        <f t="shared" si="14"/>
        <v>988668.68058535364</v>
      </c>
      <c r="M83" s="37" t="s">
        <v>221</v>
      </c>
    </row>
    <row r="84" spans="1:16" x14ac:dyDescent="0.2">
      <c r="A84" s="2" t="s">
        <v>105</v>
      </c>
      <c r="B84" s="1" t="s">
        <v>104</v>
      </c>
      <c r="C84" s="4">
        <v>30.8078604602333</v>
      </c>
      <c r="D84" s="1">
        <f t="shared" si="2"/>
        <v>1.9471358878103087</v>
      </c>
      <c r="E84">
        <f t="shared" si="3"/>
        <v>88.539259985927387</v>
      </c>
      <c r="F84" s="22">
        <v>7.6388888888888895E-2</v>
      </c>
      <c r="G84" s="3" t="s">
        <v>202</v>
      </c>
      <c r="H84" s="3" t="s">
        <v>203</v>
      </c>
      <c r="I84" s="1" t="s">
        <v>212</v>
      </c>
      <c r="J84" s="3">
        <f t="shared" ref="J84:J85" si="20">(E84*50*50)/246.7*1000</f>
        <v>897236.11659837235</v>
      </c>
      <c r="K84" s="12">
        <f t="shared" si="5"/>
        <v>897236.11659837235</v>
      </c>
      <c r="L84" s="37"/>
      <c r="M84" s="37"/>
    </row>
    <row r="85" spans="1:16" x14ac:dyDescent="0.2">
      <c r="A85" s="2" t="s">
        <v>106</v>
      </c>
      <c r="B85" s="1" t="s">
        <v>104</v>
      </c>
      <c r="C85" s="4">
        <v>30.623473358174</v>
      </c>
      <c r="D85" s="1">
        <f t="shared" si="2"/>
        <v>1.9966937116409302</v>
      </c>
      <c r="E85">
        <f t="shared" si="3"/>
        <v>99.241589527479832</v>
      </c>
      <c r="F85" s="22">
        <v>7.6388888888888895E-2</v>
      </c>
      <c r="G85" s="3" t="s">
        <v>202</v>
      </c>
      <c r="H85" s="3" t="s">
        <v>203</v>
      </c>
      <c r="I85" s="1" t="s">
        <v>212</v>
      </c>
      <c r="J85" s="3">
        <f t="shared" si="20"/>
        <v>1005691.0166951746</v>
      </c>
      <c r="K85" s="12">
        <f t="shared" si="5"/>
        <v>1005691.0166951746</v>
      </c>
      <c r="L85" s="37"/>
      <c r="M85" s="37"/>
    </row>
    <row r="86" spans="1:16" x14ac:dyDescent="0.2">
      <c r="A86" s="2" t="s">
        <v>107</v>
      </c>
      <c r="B86" s="1" t="s">
        <v>108</v>
      </c>
      <c r="C86" s="4">
        <v>30.3816280388696</v>
      </c>
      <c r="D86" s="1">
        <f t="shared" si="2"/>
        <v>2.0616946124332931</v>
      </c>
      <c r="E86">
        <f t="shared" si="3"/>
        <v>115.26424566721383</v>
      </c>
      <c r="F86" s="22">
        <v>7.6388888888888895E-2</v>
      </c>
      <c r="G86" s="3" t="s">
        <v>202</v>
      </c>
      <c r="H86" s="3" t="s">
        <v>203</v>
      </c>
      <c r="I86" s="1" t="s">
        <v>213</v>
      </c>
      <c r="J86" s="3">
        <f>(E86*50*50)/236*1000</f>
        <v>1221019.5515594685</v>
      </c>
      <c r="K86" s="12">
        <f t="shared" si="5"/>
        <v>1221019.5515594685</v>
      </c>
      <c r="L86" s="36">
        <f t="shared" si="14"/>
        <v>1191589.5380027464</v>
      </c>
      <c r="M86" s="37" t="s">
        <v>221</v>
      </c>
    </row>
    <row r="87" spans="1:16" x14ac:dyDescent="0.2">
      <c r="A87" s="2" t="s">
        <v>109</v>
      </c>
      <c r="B87" s="1" t="s">
        <v>108</v>
      </c>
      <c r="C87" s="4">
        <v>30.7613476041941</v>
      </c>
      <c r="D87" s="1">
        <f t="shared" si="2"/>
        <v>1.959637173961595</v>
      </c>
      <c r="E87">
        <f t="shared" si="3"/>
        <v>91.124922918500118</v>
      </c>
      <c r="F87" s="22">
        <v>7.6388888888888895E-2</v>
      </c>
      <c r="G87" s="3" t="s">
        <v>202</v>
      </c>
      <c r="H87" s="3" t="s">
        <v>203</v>
      </c>
      <c r="I87" s="1" t="s">
        <v>213</v>
      </c>
      <c r="J87" s="3">
        <f t="shared" ref="J87:J88" si="21">(E87*50*50)/236*1000</f>
        <v>965306.38684851828</v>
      </c>
      <c r="K87" s="12">
        <f t="shared" si="5"/>
        <v>965306.38684851828</v>
      </c>
      <c r="L87" s="37"/>
      <c r="M87" s="37"/>
    </row>
    <row r="88" spans="1:16" x14ac:dyDescent="0.2">
      <c r="A88" s="2" t="s">
        <v>110</v>
      </c>
      <c r="B88" s="1" t="s">
        <v>108</v>
      </c>
      <c r="C88" s="4">
        <v>30.173996158982298</v>
      </c>
      <c r="D88" s="1">
        <f t="shared" si="2"/>
        <v>2.117499948111091</v>
      </c>
      <c r="E88">
        <f t="shared" si="3"/>
        <v>131.06898857666386</v>
      </c>
      <c r="F88" s="22">
        <v>7.6388888888888895E-2</v>
      </c>
      <c r="G88" s="3" t="s">
        <v>202</v>
      </c>
      <c r="H88" s="3" t="s">
        <v>203</v>
      </c>
      <c r="I88" s="1" t="s">
        <v>213</v>
      </c>
      <c r="J88" s="3">
        <f t="shared" si="21"/>
        <v>1388442.6756002526</v>
      </c>
      <c r="K88" s="12">
        <f t="shared" si="5"/>
        <v>1388442.6756002526</v>
      </c>
      <c r="L88" s="37"/>
      <c r="M88" s="37"/>
    </row>
    <row r="89" spans="1:16" x14ac:dyDescent="0.2">
      <c r="A89" s="2" t="s">
        <v>111</v>
      </c>
      <c r="B89" s="1" t="s">
        <v>112</v>
      </c>
      <c r="C89" s="4">
        <v>30.321677705414</v>
      </c>
      <c r="D89" s="1">
        <f t="shared" si="2"/>
        <v>2.0778074968530729</v>
      </c>
      <c r="E89">
        <f t="shared" si="3"/>
        <v>119.62101877782355</v>
      </c>
      <c r="F89" s="22">
        <v>7.6388888888888895E-2</v>
      </c>
      <c r="G89" s="3" t="s">
        <v>202</v>
      </c>
      <c r="H89" s="3" t="s">
        <v>203</v>
      </c>
      <c r="I89" s="1" t="s">
        <v>214</v>
      </c>
      <c r="J89" s="3">
        <f>(E89*50*50)/246.8*1000</f>
        <v>1211720.2064204169</v>
      </c>
      <c r="K89" s="12">
        <f t="shared" si="5"/>
        <v>1211720.2064204169</v>
      </c>
      <c r="L89" s="36">
        <f t="shared" si="14"/>
        <v>1166130.100795689</v>
      </c>
      <c r="M89" s="37" t="s">
        <v>221</v>
      </c>
    </row>
    <row r="90" spans="1:16" x14ac:dyDescent="0.2">
      <c r="A90" s="2" t="s">
        <v>113</v>
      </c>
      <c r="B90" s="1" t="s">
        <v>112</v>
      </c>
      <c r="C90" s="4">
        <v>30.381271003377002</v>
      </c>
      <c r="D90" s="1">
        <f t="shared" si="2"/>
        <v>2.0617905730609389</v>
      </c>
      <c r="E90">
        <f t="shared" si="3"/>
        <v>115.28971698194835</v>
      </c>
      <c r="F90" s="22">
        <v>7.6388888888888895E-2</v>
      </c>
      <c r="G90" s="3" t="s">
        <v>202</v>
      </c>
      <c r="H90" s="3" t="s">
        <v>203</v>
      </c>
      <c r="I90" s="1" t="s">
        <v>214</v>
      </c>
      <c r="J90" s="3">
        <f t="shared" ref="J90:J91" si="22">(E90*50*50)/246.8*1000</f>
        <v>1167845.5934151979</v>
      </c>
      <c r="K90" s="12">
        <f t="shared" si="5"/>
        <v>1167845.5934151979</v>
      </c>
      <c r="L90" s="37"/>
      <c r="M90" s="37"/>
    </row>
    <row r="91" spans="1:16" x14ac:dyDescent="0.2">
      <c r="A91" s="2" t="s">
        <v>114</v>
      </c>
      <c r="B91" s="1" t="s">
        <v>112</v>
      </c>
      <c r="C91" s="4">
        <v>30.450562289307602</v>
      </c>
      <c r="D91" s="1">
        <f t="shared" si="2"/>
        <v>2.0431671156564102</v>
      </c>
      <c r="E91">
        <f t="shared" si="3"/>
        <v>110.4503548918794</v>
      </c>
      <c r="F91" s="22">
        <v>7.6388888888888895E-2</v>
      </c>
      <c r="G91" s="3" t="s">
        <v>202</v>
      </c>
      <c r="H91" s="3" t="s">
        <v>203</v>
      </c>
      <c r="I91" s="1" t="s">
        <v>214</v>
      </c>
      <c r="J91" s="3">
        <f t="shared" si="22"/>
        <v>1118824.5025514525</v>
      </c>
      <c r="K91" s="12">
        <f t="shared" si="5"/>
        <v>1118824.5025514525</v>
      </c>
      <c r="L91" s="37"/>
      <c r="M91" s="37"/>
    </row>
    <row r="92" spans="1:16" x14ac:dyDescent="0.2">
      <c r="A92" s="2" t="s">
        <v>115</v>
      </c>
      <c r="B92" s="1" t="s">
        <v>116</v>
      </c>
      <c r="C92" s="4">
        <v>30.649476513908599</v>
      </c>
      <c r="D92" s="1">
        <f t="shared" si="2"/>
        <v>1.9897048290317711</v>
      </c>
      <c r="E92">
        <f t="shared" si="3"/>
        <v>97.657326120777483</v>
      </c>
      <c r="F92" s="22">
        <v>7.6388888888888895E-2</v>
      </c>
      <c r="G92" s="3" t="s">
        <v>202</v>
      </c>
      <c r="H92" s="3" t="s">
        <v>203</v>
      </c>
      <c r="I92" s="1" t="s">
        <v>215</v>
      </c>
      <c r="J92" s="3">
        <f>(E92*50*50)/249.9*1000</f>
        <v>976964.04682650545</v>
      </c>
      <c r="K92" s="12">
        <f t="shared" si="5"/>
        <v>976964.04682650545</v>
      </c>
      <c r="L92" s="36">
        <f t="shared" si="14"/>
        <v>927899.82368085661</v>
      </c>
      <c r="M92" s="37" t="s">
        <v>221</v>
      </c>
    </row>
    <row r="93" spans="1:16" x14ac:dyDescent="0.2">
      <c r="A93" s="2" t="s">
        <v>117</v>
      </c>
      <c r="B93" s="1" t="s">
        <v>116</v>
      </c>
      <c r="C93" s="4">
        <v>30.735189109497799</v>
      </c>
      <c r="D93" s="1">
        <f t="shared" si="2"/>
        <v>1.9666678071097672</v>
      </c>
      <c r="E93">
        <f t="shared" si="3"/>
        <v>92.612116008946671</v>
      </c>
      <c r="F93" s="22">
        <v>7.6388888888888895E-2</v>
      </c>
      <c r="G93" s="3" t="s">
        <v>202</v>
      </c>
      <c r="H93" s="3" t="s">
        <v>203</v>
      </c>
      <c r="I93" s="1" t="s">
        <v>215</v>
      </c>
      <c r="J93" s="3">
        <f t="shared" ref="J93:J94" si="23">(E93*50*50)/249.9*1000</f>
        <v>926491.7567921835</v>
      </c>
      <c r="K93" s="12">
        <f t="shared" si="5"/>
        <v>926491.7567921835</v>
      </c>
      <c r="L93" s="37"/>
      <c r="M93" s="37"/>
      <c r="P93" s="4"/>
    </row>
    <row r="94" spans="1:16" x14ac:dyDescent="0.2">
      <c r="A94" s="2" t="s">
        <v>118</v>
      </c>
      <c r="B94" s="1" t="s">
        <v>116</v>
      </c>
      <c r="C94" s="4">
        <v>30.8179312470564</v>
      </c>
      <c r="D94" s="1">
        <f t="shared" si="2"/>
        <v>1.9444291568424648</v>
      </c>
      <c r="E94">
        <f t="shared" si="3"/>
        <v>87.989156995691118</v>
      </c>
      <c r="F94" s="22">
        <v>7.6388888888888895E-2</v>
      </c>
      <c r="G94" s="3" t="s">
        <v>202</v>
      </c>
      <c r="H94" s="3" t="s">
        <v>203</v>
      </c>
      <c r="I94" s="1" t="s">
        <v>215</v>
      </c>
      <c r="J94" s="3">
        <f t="shared" si="23"/>
        <v>880243.66742388066</v>
      </c>
      <c r="K94" s="12">
        <f t="shared" si="5"/>
        <v>880243.66742388066</v>
      </c>
      <c r="L94" s="37"/>
      <c r="M94" s="37"/>
      <c r="P94" s="4"/>
    </row>
    <row r="95" spans="1:16" x14ac:dyDescent="0.2">
      <c r="A95" s="2" t="s">
        <v>119</v>
      </c>
      <c r="B95" s="1" t="s">
        <v>120</v>
      </c>
      <c r="C95" s="4">
        <v>30.224799106467401</v>
      </c>
      <c r="D95" s="1">
        <f t="shared" si="2"/>
        <v>2.1038456116991369</v>
      </c>
      <c r="E95">
        <f t="shared" si="3"/>
        <v>127.01225062991922</v>
      </c>
      <c r="F95" s="22">
        <v>7.6388888888888895E-2</v>
      </c>
      <c r="G95" s="3" t="s">
        <v>202</v>
      </c>
      <c r="H95" s="3" t="s">
        <v>203</v>
      </c>
      <c r="I95" s="1" t="s">
        <v>216</v>
      </c>
      <c r="J95" s="3">
        <f>(E95*50*50)/221.3*1000</f>
        <v>1434842.4156113784</v>
      </c>
      <c r="K95" s="12">
        <f t="shared" si="5"/>
        <v>1434842.4156113784</v>
      </c>
      <c r="L95" s="36">
        <f t="shared" si="14"/>
        <v>1637996.4356611893</v>
      </c>
      <c r="M95" s="37" t="s">
        <v>221</v>
      </c>
      <c r="P95" s="4"/>
    </row>
    <row r="96" spans="1:16" x14ac:dyDescent="0.2">
      <c r="A96" s="2" t="s">
        <v>121</v>
      </c>
      <c r="B96" s="1" t="s">
        <v>120</v>
      </c>
      <c r="C96" s="4">
        <v>29.698806533014899</v>
      </c>
      <c r="D96" s="1">
        <f t="shared" si="2"/>
        <v>2.2452169278066538</v>
      </c>
      <c r="E96">
        <f t="shared" si="3"/>
        <v>175.88019068794728</v>
      </c>
      <c r="F96" s="22">
        <v>7.6388888888888895E-2</v>
      </c>
      <c r="G96" s="3" t="s">
        <v>202</v>
      </c>
      <c r="H96" s="3" t="s">
        <v>203</v>
      </c>
      <c r="I96" s="1" t="s">
        <v>216</v>
      </c>
      <c r="J96" s="3">
        <f t="shared" ref="J96:J97" si="24">(E96*50*50)/221.3*1000</f>
        <v>1986897.7709890113</v>
      </c>
      <c r="K96" s="12">
        <f t="shared" si="5"/>
        <v>1986897.7709890113</v>
      </c>
      <c r="L96" s="37"/>
      <c r="M96" s="37"/>
    </row>
    <row r="97" spans="1:13" x14ac:dyDescent="0.2">
      <c r="A97" s="2" t="s">
        <v>122</v>
      </c>
      <c r="B97" s="1" t="s">
        <v>120</v>
      </c>
      <c r="C97" s="4">
        <v>30.161410000856399</v>
      </c>
      <c r="D97" s="1">
        <f t="shared" si="2"/>
        <v>2.1208827368210468</v>
      </c>
      <c r="E97">
        <f t="shared" si="3"/>
        <v>132.09389213631894</v>
      </c>
      <c r="F97" s="22">
        <v>7.6388888888888895E-2</v>
      </c>
      <c r="G97" s="3" t="s">
        <v>202</v>
      </c>
      <c r="H97" s="3" t="s">
        <v>203</v>
      </c>
      <c r="I97" s="1" t="s">
        <v>216</v>
      </c>
      <c r="J97" s="3">
        <f t="shared" si="24"/>
        <v>1492249.1203831781</v>
      </c>
      <c r="K97" s="12">
        <f t="shared" si="5"/>
        <v>1492249.1203831781</v>
      </c>
      <c r="L97" s="37"/>
      <c r="M97" s="37"/>
    </row>
    <row r="98" spans="1:13" x14ac:dyDescent="0.2">
      <c r="A98" s="2" t="s">
        <v>123</v>
      </c>
      <c r="B98" s="1" t="s">
        <v>124</v>
      </c>
      <c r="C98" s="4">
        <v>29.2165924534401</v>
      </c>
      <c r="D98" s="1">
        <f t="shared" si="2"/>
        <v>2.3748218737997178</v>
      </c>
      <c r="E98">
        <f t="shared" si="3"/>
        <v>237.04012844302883</v>
      </c>
      <c r="F98" s="22">
        <v>7.6388888888888895E-2</v>
      </c>
      <c r="G98" s="3" t="s">
        <v>202</v>
      </c>
      <c r="H98" s="3" t="s">
        <v>203</v>
      </c>
      <c r="I98" s="1" t="s">
        <v>217</v>
      </c>
      <c r="J98" s="3">
        <f>(E98*50*50)/250.6*1000</f>
        <v>2364725.9421690824</v>
      </c>
      <c r="K98" s="12">
        <f t="shared" si="5"/>
        <v>2364725.9421690824</v>
      </c>
      <c r="L98" s="36">
        <f t="shared" si="14"/>
        <v>2330272.6960987076</v>
      </c>
      <c r="M98" s="37" t="s">
        <v>221</v>
      </c>
    </row>
    <row r="99" spans="1:13" x14ac:dyDescent="0.2">
      <c r="A99" s="2" t="s">
        <v>125</v>
      </c>
      <c r="B99" s="1" t="s">
        <v>124</v>
      </c>
      <c r="C99" s="4">
        <v>29.254481936240801</v>
      </c>
      <c r="D99" s="1">
        <f t="shared" si="2"/>
        <v>2.3646382964632369</v>
      </c>
      <c r="E99">
        <f t="shared" si="3"/>
        <v>231.54654039846994</v>
      </c>
      <c r="F99" s="22">
        <v>7.6388888888888895E-2</v>
      </c>
      <c r="G99" s="3" t="s">
        <v>202</v>
      </c>
      <c r="H99" s="3" t="s">
        <v>203</v>
      </c>
      <c r="I99" s="1" t="s">
        <v>217</v>
      </c>
      <c r="J99" s="3">
        <f t="shared" ref="J99:J100" si="25">(E99*50*50)/250.6*1000</f>
        <v>2309921.5921635069</v>
      </c>
      <c r="K99" s="12">
        <f t="shared" si="5"/>
        <v>2309921.5921635069</v>
      </c>
      <c r="L99" s="37"/>
      <c r="M99" s="37"/>
    </row>
    <row r="100" spans="1:13" x14ac:dyDescent="0.2">
      <c r="A100" s="2" t="s">
        <v>126</v>
      </c>
      <c r="B100" s="1" t="s">
        <v>124</v>
      </c>
      <c r="C100" s="4">
        <v>29.250116511825901</v>
      </c>
      <c r="D100" s="1">
        <f t="shared" si="2"/>
        <v>2.3658115940078228</v>
      </c>
      <c r="E100">
        <f t="shared" si="3"/>
        <v>232.17293632930463</v>
      </c>
      <c r="F100" s="22">
        <v>7.6388888888888895E-2</v>
      </c>
      <c r="G100" s="3" t="s">
        <v>202</v>
      </c>
      <c r="H100" s="3" t="s">
        <v>203</v>
      </c>
      <c r="I100" s="1" t="s">
        <v>217</v>
      </c>
      <c r="J100" s="3">
        <f t="shared" si="25"/>
        <v>2316170.5539635341</v>
      </c>
      <c r="K100" s="12">
        <f t="shared" si="5"/>
        <v>2316170.5539635341</v>
      </c>
      <c r="L100" s="37"/>
      <c r="M100" s="37"/>
    </row>
    <row r="101" spans="1:13" x14ac:dyDescent="0.2">
      <c r="A101" s="2" t="s">
        <v>127</v>
      </c>
      <c r="B101" s="1" t="s">
        <v>128</v>
      </c>
      <c r="C101" s="4">
        <v>28.786716186637701</v>
      </c>
      <c r="D101" s="1">
        <f t="shared" si="2"/>
        <v>2.4903599567850834</v>
      </c>
      <c r="E101">
        <f t="shared" si="3"/>
        <v>309.28578273106865</v>
      </c>
      <c r="F101" s="22">
        <v>7.6388888888888895E-2</v>
      </c>
      <c r="G101" s="3" t="s">
        <v>202</v>
      </c>
      <c r="H101" s="3" t="s">
        <v>203</v>
      </c>
      <c r="I101" s="1" t="s">
        <v>218</v>
      </c>
      <c r="J101" s="3">
        <f>(E101*50*50)/243.3*1000</f>
        <v>3178029.0046349019</v>
      </c>
      <c r="K101" s="12">
        <f t="shared" si="5"/>
        <v>3178029.0046349019</v>
      </c>
      <c r="L101" s="36">
        <f t="shared" si="14"/>
        <v>2979272.2315682098</v>
      </c>
      <c r="M101" s="37" t="s">
        <v>221</v>
      </c>
    </row>
    <row r="102" spans="1:13" x14ac:dyDescent="0.2">
      <c r="A102" s="2" t="s">
        <v>129</v>
      </c>
      <c r="B102" s="1" t="s">
        <v>128</v>
      </c>
      <c r="C102" s="4">
        <v>28.987889412331501</v>
      </c>
      <c r="D102" s="1">
        <f t="shared" si="2"/>
        <v>2.4362905171820635</v>
      </c>
      <c r="E102">
        <f t="shared" si="3"/>
        <v>273.08039173793588</v>
      </c>
      <c r="F102" s="22">
        <v>7.6388888888888895E-2</v>
      </c>
      <c r="G102" s="3" t="s">
        <v>202</v>
      </c>
      <c r="H102" s="3" t="s">
        <v>203</v>
      </c>
      <c r="I102" s="1" t="s">
        <v>218</v>
      </c>
      <c r="J102" s="3">
        <f t="shared" ref="J102:J103" si="26">(E102*50*50)/243.3*1000</f>
        <v>2806004.8472866407</v>
      </c>
      <c r="K102" s="12">
        <f t="shared" si="5"/>
        <v>2806004.8472866407</v>
      </c>
      <c r="L102" s="37"/>
      <c r="M102" s="37"/>
    </row>
    <row r="103" spans="1:13" x14ac:dyDescent="0.2">
      <c r="A103" s="2" t="s">
        <v>130</v>
      </c>
      <c r="B103" s="1" t="s">
        <v>128</v>
      </c>
      <c r="C103" s="4">
        <v>28.9049556751065</v>
      </c>
      <c r="D103" s="1">
        <f t="shared" ref="D103" si="27">(C103-$S$11)/$S$10</f>
        <v>2.4585806637981205</v>
      </c>
      <c r="E103">
        <f t="shared" ref="E103" si="28">10^D103</f>
        <v>287.46214625965007</v>
      </c>
      <c r="F103" s="22">
        <v>7.6388888888888895E-2</v>
      </c>
      <c r="G103" s="3" t="s">
        <v>202</v>
      </c>
      <c r="H103" s="3" t="s">
        <v>203</v>
      </c>
      <c r="I103" s="1" t="s">
        <v>218</v>
      </c>
      <c r="J103" s="3">
        <f t="shared" si="26"/>
        <v>2953782.8427830874</v>
      </c>
      <c r="K103" s="12">
        <f t="shared" ref="K103" si="29">J103</f>
        <v>2953782.8427830874</v>
      </c>
      <c r="L103" s="37"/>
      <c r="M103" s="37"/>
    </row>
  </sheetData>
  <mergeCells count="45">
    <mergeCell ref="L101:L103"/>
    <mergeCell ref="M101:M103"/>
    <mergeCell ref="L92:L94"/>
    <mergeCell ref="M92:M94"/>
    <mergeCell ref="L95:L97"/>
    <mergeCell ref="M95:M97"/>
    <mergeCell ref="L98:L100"/>
    <mergeCell ref="M98:M100"/>
    <mergeCell ref="L83:L85"/>
    <mergeCell ref="M83:M85"/>
    <mergeCell ref="L86:L88"/>
    <mergeCell ref="M86:M88"/>
    <mergeCell ref="L89:L91"/>
    <mergeCell ref="M89:M91"/>
    <mergeCell ref="L74:L76"/>
    <mergeCell ref="M74:M76"/>
    <mergeCell ref="L77:L79"/>
    <mergeCell ref="M77:M79"/>
    <mergeCell ref="L80:L82"/>
    <mergeCell ref="M80:M82"/>
    <mergeCell ref="L65:L67"/>
    <mergeCell ref="M65:M67"/>
    <mergeCell ref="L68:L70"/>
    <mergeCell ref="M68:M70"/>
    <mergeCell ref="L71:L73"/>
    <mergeCell ref="M71:M73"/>
    <mergeCell ref="L56:L58"/>
    <mergeCell ref="M56:M58"/>
    <mergeCell ref="L59:L61"/>
    <mergeCell ref="M59:M61"/>
    <mergeCell ref="L62:L64"/>
    <mergeCell ref="M62:M64"/>
    <mergeCell ref="L47:L49"/>
    <mergeCell ref="M47:M49"/>
    <mergeCell ref="L50:L52"/>
    <mergeCell ref="M50:M52"/>
    <mergeCell ref="L53:L55"/>
    <mergeCell ref="M53:M55"/>
    <mergeCell ref="L44:L46"/>
    <mergeCell ref="M44:M46"/>
    <mergeCell ref="S7:U8"/>
    <mergeCell ref="L38:L40"/>
    <mergeCell ref="M38:M40"/>
    <mergeCell ref="L41:L43"/>
    <mergeCell ref="M41:M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C873-23A8-964D-AFC7-5CE38160E06B}">
  <dimension ref="A1:U91"/>
  <sheetViews>
    <sheetView workbookViewId="0">
      <selection activeCell="D2" sqref="D2:D22"/>
    </sheetView>
  </sheetViews>
  <sheetFormatPr baseColWidth="10" defaultRowHeight="16" x14ac:dyDescent="0.2"/>
  <cols>
    <col min="1" max="1" width="5" bestFit="1" customWidth="1"/>
    <col min="2" max="2" width="13.1640625" bestFit="1" customWidth="1"/>
    <col min="3" max="3" width="6.6640625" bestFit="1" customWidth="1"/>
    <col min="4" max="4" width="21.6640625" bestFit="1" customWidth="1"/>
    <col min="6" max="6" width="4.6640625" bestFit="1" customWidth="1"/>
    <col min="7" max="7" width="9.1640625" bestFit="1" customWidth="1"/>
    <col min="8" max="8" width="13" bestFit="1" customWidth="1"/>
    <col min="9" max="9" width="14.33203125" bestFit="1" customWidth="1"/>
    <col min="12" max="12" width="8.6640625" bestFit="1" customWidth="1"/>
    <col min="13" max="13" width="13.1640625" bestFit="1" customWidth="1"/>
    <col min="14" max="14" width="5" bestFit="1" customWidth="1"/>
    <col min="15" max="15" width="8.33203125" bestFit="1" customWidth="1"/>
    <col min="16" max="16" width="9.83203125" bestFit="1" customWidth="1"/>
    <col min="17" max="17" width="5.6640625" bestFit="1" customWidth="1"/>
    <col min="21" max="21" width="13.1640625" bestFit="1" customWidth="1"/>
  </cols>
  <sheetData>
    <row r="1" spans="1:21" x14ac:dyDescent="0.2">
      <c r="A1" s="1" t="s">
        <v>0</v>
      </c>
      <c r="B1" s="1" t="s">
        <v>1</v>
      </c>
      <c r="C1" s="1" t="s">
        <v>154</v>
      </c>
      <c r="D1" s="1" t="s">
        <v>2</v>
      </c>
      <c r="N1" s="1" t="s">
        <v>0</v>
      </c>
      <c r="O1" s="3" t="s">
        <v>1</v>
      </c>
      <c r="P1" s="1" t="s">
        <v>194</v>
      </c>
      <c r="Q1" s="3" t="s">
        <v>2</v>
      </c>
    </row>
    <row r="2" spans="1:21" x14ac:dyDescent="0.2">
      <c r="A2" s="2" t="s">
        <v>3</v>
      </c>
      <c r="B2" s="1" t="s">
        <v>4</v>
      </c>
      <c r="C2" s="25">
        <f>LOG(P2)</f>
        <v>8.0136044023579664</v>
      </c>
      <c r="D2" s="4">
        <v>11.048041220469599</v>
      </c>
      <c r="N2" s="1" t="s">
        <v>3</v>
      </c>
      <c r="O2" s="3" t="s">
        <v>4</v>
      </c>
      <c r="P2" s="12">
        <v>103182109.45826009</v>
      </c>
      <c r="Q2" s="4">
        <v>11.048041220469599</v>
      </c>
    </row>
    <row r="3" spans="1:21" x14ac:dyDescent="0.2">
      <c r="A3" s="2" t="s">
        <v>5</v>
      </c>
      <c r="B3" s="1" t="s">
        <v>4</v>
      </c>
      <c r="C3" s="25">
        <f t="shared" ref="C3:C28" si="0">LOG(P3)</f>
        <v>8.0136044023579664</v>
      </c>
      <c r="D3" s="4">
        <v>11.042134964445401</v>
      </c>
      <c r="N3" s="1" t="s">
        <v>5</v>
      </c>
      <c r="O3" s="3" t="s">
        <v>4</v>
      </c>
      <c r="P3" s="12">
        <v>103182109.45826009</v>
      </c>
      <c r="Q3" s="4">
        <v>11.042134964445401</v>
      </c>
    </row>
    <row r="4" spans="1:21" x14ac:dyDescent="0.2">
      <c r="A4" s="2" t="s">
        <v>6</v>
      </c>
      <c r="B4" s="1" t="s">
        <v>4</v>
      </c>
      <c r="C4" s="25">
        <f t="shared" si="0"/>
        <v>8.0136044023579664</v>
      </c>
      <c r="D4" s="4">
        <v>11.2220145378979</v>
      </c>
      <c r="N4" s="1" t="s">
        <v>6</v>
      </c>
      <c r="O4" s="3" t="s">
        <v>4</v>
      </c>
      <c r="P4" s="12">
        <v>103182109.45826009</v>
      </c>
      <c r="Q4" s="4">
        <v>11.2220145378979</v>
      </c>
    </row>
    <row r="5" spans="1:21" x14ac:dyDescent="0.2">
      <c r="A5" s="2" t="s">
        <v>7</v>
      </c>
      <c r="B5" s="1" t="s">
        <v>8</v>
      </c>
      <c r="C5" s="25">
        <f t="shared" si="0"/>
        <v>7.0136044023579664</v>
      </c>
      <c r="D5" s="4">
        <v>15.192937938843899</v>
      </c>
      <c r="N5" s="1" t="s">
        <v>7</v>
      </c>
      <c r="O5" s="3" t="s">
        <v>8</v>
      </c>
      <c r="P5" s="12">
        <v>10318210.945826009</v>
      </c>
      <c r="Q5" s="4">
        <v>15.192937938843899</v>
      </c>
    </row>
    <row r="6" spans="1:21" ht="17" thickBot="1" x14ac:dyDescent="0.25">
      <c r="A6" s="2" t="s">
        <v>9</v>
      </c>
      <c r="B6" s="1" t="s">
        <v>8</v>
      </c>
      <c r="C6" s="25">
        <f t="shared" si="0"/>
        <v>7.0136044023579664</v>
      </c>
      <c r="D6" s="4">
        <v>15.042131385154899</v>
      </c>
      <c r="N6" s="1" t="s">
        <v>9</v>
      </c>
      <c r="O6" s="3" t="s">
        <v>8</v>
      </c>
      <c r="P6" s="12">
        <v>10318210.945826009</v>
      </c>
      <c r="Q6" s="4">
        <v>15.042131385154899</v>
      </c>
    </row>
    <row r="7" spans="1:21" x14ac:dyDescent="0.2">
      <c r="A7" s="2" t="s">
        <v>10</v>
      </c>
      <c r="B7" s="1" t="s">
        <v>8</v>
      </c>
      <c r="C7" s="25">
        <f t="shared" si="0"/>
        <v>7.0136044023579664</v>
      </c>
      <c r="D7" s="4">
        <v>15.060953272865101</v>
      </c>
      <c r="N7" s="1" t="s">
        <v>10</v>
      </c>
      <c r="O7" s="3" t="s">
        <v>8</v>
      </c>
      <c r="P7" s="12">
        <v>10318210.945826009</v>
      </c>
      <c r="Q7" s="4">
        <v>15.060953272865101</v>
      </c>
      <c r="S7" s="38" t="s">
        <v>222</v>
      </c>
      <c r="T7" s="39"/>
      <c r="U7" s="40"/>
    </row>
    <row r="8" spans="1:21" ht="17" thickBot="1" x14ac:dyDescent="0.25">
      <c r="A8" s="2" t="s">
        <v>11</v>
      </c>
      <c r="B8" s="1" t="s">
        <v>12</v>
      </c>
      <c r="C8" s="25">
        <f t="shared" si="0"/>
        <v>6.0136044023579664</v>
      </c>
      <c r="D8" s="4">
        <v>18.339050869426401</v>
      </c>
      <c r="N8" s="1" t="s">
        <v>11</v>
      </c>
      <c r="O8" s="3" t="s">
        <v>12</v>
      </c>
      <c r="P8" s="12">
        <v>1031821.0945826009</v>
      </c>
      <c r="Q8" s="4">
        <v>18.339050869426401</v>
      </c>
      <c r="S8" s="41"/>
      <c r="T8" s="42"/>
      <c r="U8" s="43"/>
    </row>
    <row r="9" spans="1:21" x14ac:dyDescent="0.2">
      <c r="A9" s="2" t="s">
        <v>13</v>
      </c>
      <c r="B9" s="1" t="s">
        <v>12</v>
      </c>
      <c r="C9" s="25">
        <f t="shared" si="0"/>
        <v>6.0136044023579664</v>
      </c>
      <c r="D9" s="4">
        <v>18.4972108558777</v>
      </c>
      <c r="N9" s="1" t="s">
        <v>13</v>
      </c>
      <c r="O9" s="3" t="s">
        <v>12</v>
      </c>
      <c r="P9" s="12">
        <v>1031821.0945826009</v>
      </c>
      <c r="Q9" s="4">
        <v>18.4972108558777</v>
      </c>
    </row>
    <row r="10" spans="1:21" x14ac:dyDescent="0.2">
      <c r="A10" s="2" t="s">
        <v>14</v>
      </c>
      <c r="B10" s="1" t="s">
        <v>12</v>
      </c>
      <c r="C10" s="25">
        <f t="shared" si="0"/>
        <v>6.0136044023579664</v>
      </c>
      <c r="D10" s="4">
        <v>18.362450379445999</v>
      </c>
      <c r="N10" s="1" t="s">
        <v>14</v>
      </c>
      <c r="O10" s="3" t="s">
        <v>12</v>
      </c>
      <c r="P10" s="12">
        <v>1031821.0945826009</v>
      </c>
      <c r="Q10" s="4">
        <v>18.362450379445999</v>
      </c>
      <c r="S10">
        <f>SLOPE(D2:D22,C2:C22)</f>
        <v>-3.4162349068320417</v>
      </c>
    </row>
    <row r="11" spans="1:21" x14ac:dyDescent="0.2">
      <c r="A11" s="2" t="s">
        <v>15</v>
      </c>
      <c r="B11" s="1" t="s">
        <v>16</v>
      </c>
      <c r="C11" s="25">
        <f t="shared" si="0"/>
        <v>5.0136044023579664</v>
      </c>
      <c r="D11" s="4">
        <v>21.649144701211998</v>
      </c>
      <c r="N11" s="1" t="s">
        <v>15</v>
      </c>
      <c r="O11" s="3" t="s">
        <v>16</v>
      </c>
      <c r="P11" s="12">
        <v>103182.10945826009</v>
      </c>
      <c r="Q11" s="4">
        <v>21.649144701211998</v>
      </c>
      <c r="S11">
        <f>INTERCEPT(D2:D22,C2:C22)</f>
        <v>38.805946860330437</v>
      </c>
    </row>
    <row r="12" spans="1:21" x14ac:dyDescent="0.2">
      <c r="A12" s="2" t="s">
        <v>17</v>
      </c>
      <c r="B12" s="1" t="s">
        <v>16</v>
      </c>
      <c r="C12" s="25">
        <f t="shared" si="0"/>
        <v>5.0136044023579664</v>
      </c>
      <c r="D12" s="4">
        <v>21.682560054601801</v>
      </c>
      <c r="N12" s="1" t="s">
        <v>17</v>
      </c>
      <c r="O12" s="3" t="s">
        <v>16</v>
      </c>
      <c r="P12" s="12">
        <v>103182.10945826009</v>
      </c>
      <c r="Q12" s="4">
        <v>21.682560054601801</v>
      </c>
      <c r="S12" s="1">
        <f>-1+10^(-1/S10)</f>
        <v>0.96209448680965681</v>
      </c>
    </row>
    <row r="13" spans="1:21" x14ac:dyDescent="0.2">
      <c r="A13" s="2" t="s">
        <v>18</v>
      </c>
      <c r="B13" s="1" t="s">
        <v>16</v>
      </c>
      <c r="C13" s="25">
        <f t="shared" si="0"/>
        <v>5.0136044023579664</v>
      </c>
      <c r="D13" s="4">
        <v>21.706061145370299</v>
      </c>
      <c r="N13" s="1" t="s">
        <v>18</v>
      </c>
      <c r="O13" s="3" t="s">
        <v>16</v>
      </c>
      <c r="P13" s="12">
        <v>103182.10945826009</v>
      </c>
      <c r="Q13" s="4">
        <v>21.706061145370299</v>
      </c>
      <c r="S13" s="35">
        <f>RSQ(D2:D19,C2:C19)</f>
        <v>0.99901588635904093</v>
      </c>
    </row>
    <row r="14" spans="1:21" x14ac:dyDescent="0.2">
      <c r="A14" s="2" t="s">
        <v>19</v>
      </c>
      <c r="B14" s="1" t="s">
        <v>20</v>
      </c>
      <c r="C14" s="25">
        <f t="shared" si="0"/>
        <v>4.0136044023579664</v>
      </c>
      <c r="D14" s="4">
        <v>25.064726807459401</v>
      </c>
      <c r="N14" s="1" t="s">
        <v>19</v>
      </c>
      <c r="O14" s="3" t="s">
        <v>20</v>
      </c>
      <c r="P14" s="12">
        <v>10318.210945826009</v>
      </c>
      <c r="Q14" s="4">
        <v>25.064726807459401</v>
      </c>
    </row>
    <row r="15" spans="1:21" x14ac:dyDescent="0.2">
      <c r="A15" s="2" t="s">
        <v>21</v>
      </c>
      <c r="B15" s="1" t="s">
        <v>20</v>
      </c>
      <c r="C15" s="25">
        <f t="shared" si="0"/>
        <v>4.0136044023579664</v>
      </c>
      <c r="D15" s="4">
        <v>24.995533395562301</v>
      </c>
      <c r="N15" s="1" t="s">
        <v>21</v>
      </c>
      <c r="O15" s="3" t="s">
        <v>20</v>
      </c>
      <c r="P15" s="12">
        <v>10318.210945826009</v>
      </c>
      <c r="Q15" s="4">
        <v>24.995533395562301</v>
      </c>
    </row>
    <row r="16" spans="1:21" x14ac:dyDescent="0.2">
      <c r="A16" s="2" t="s">
        <v>22</v>
      </c>
      <c r="B16" s="1" t="s">
        <v>20</v>
      </c>
      <c r="C16" s="25">
        <f t="shared" si="0"/>
        <v>4.0136044023579664</v>
      </c>
      <c r="D16" s="4">
        <v>25.264746537581399</v>
      </c>
      <c r="N16" s="1" t="s">
        <v>22</v>
      </c>
      <c r="O16" s="3" t="s">
        <v>20</v>
      </c>
      <c r="P16" s="12">
        <v>10318.210945826009</v>
      </c>
      <c r="Q16" s="4">
        <v>25.264746537581399</v>
      </c>
    </row>
    <row r="17" spans="1:17" x14ac:dyDescent="0.2">
      <c r="A17" s="2" t="s">
        <v>23</v>
      </c>
      <c r="B17" s="1" t="s">
        <v>24</v>
      </c>
      <c r="C17" s="25">
        <f t="shared" si="0"/>
        <v>3.0136044023579664</v>
      </c>
      <c r="D17" s="4">
        <v>28.670115038311199</v>
      </c>
      <c r="N17" s="1" t="s">
        <v>23</v>
      </c>
      <c r="O17" s="3" t="s">
        <v>24</v>
      </c>
      <c r="P17" s="12">
        <v>1031.8210945826008</v>
      </c>
      <c r="Q17" s="4">
        <v>28.670115038311199</v>
      </c>
    </row>
    <row r="18" spans="1:17" x14ac:dyDescent="0.2">
      <c r="A18" s="2" t="s">
        <v>25</v>
      </c>
      <c r="B18" s="1" t="s">
        <v>24</v>
      </c>
      <c r="C18" s="25">
        <f t="shared" si="0"/>
        <v>3.0136044023579664</v>
      </c>
      <c r="D18" s="4">
        <v>28.513145704467199</v>
      </c>
      <c r="N18" s="1" t="s">
        <v>25</v>
      </c>
      <c r="O18" s="3" t="s">
        <v>24</v>
      </c>
      <c r="P18" s="12">
        <v>1031.8210945826008</v>
      </c>
      <c r="Q18" s="4">
        <v>28.513145704467199</v>
      </c>
    </row>
    <row r="19" spans="1:17" x14ac:dyDescent="0.2">
      <c r="A19" s="2" t="s">
        <v>26</v>
      </c>
      <c r="B19" s="1" t="s">
        <v>24</v>
      </c>
      <c r="C19" s="25">
        <f t="shared" si="0"/>
        <v>3.0136044023579664</v>
      </c>
      <c r="D19" s="4">
        <v>28.674269151119901</v>
      </c>
      <c r="N19" s="1" t="s">
        <v>26</v>
      </c>
      <c r="O19" s="3" t="s">
        <v>24</v>
      </c>
      <c r="P19" s="12">
        <v>1031.8210945826008</v>
      </c>
      <c r="Q19" s="4">
        <v>28.674269151119901</v>
      </c>
    </row>
    <row r="20" spans="1:17" x14ac:dyDescent="0.2">
      <c r="A20" s="2" t="s">
        <v>27</v>
      </c>
      <c r="B20" s="1" t="s">
        <v>28</v>
      </c>
      <c r="C20" s="25">
        <f t="shared" si="0"/>
        <v>2.0136044023579664</v>
      </c>
      <c r="D20" s="4">
        <v>31.482698734303799</v>
      </c>
      <c r="N20" s="1" t="s">
        <v>27</v>
      </c>
      <c r="O20" s="3" t="s">
        <v>28</v>
      </c>
      <c r="P20" s="12">
        <v>103.18210945826009</v>
      </c>
      <c r="Q20" s="4">
        <v>31.482698734303799</v>
      </c>
    </row>
    <row r="21" spans="1:17" x14ac:dyDescent="0.2">
      <c r="A21" s="2" t="s">
        <v>29</v>
      </c>
      <c r="B21" s="1" t="s">
        <v>28</v>
      </c>
      <c r="C21" s="25">
        <f t="shared" si="0"/>
        <v>2.0136044023579664</v>
      </c>
      <c r="D21" s="4">
        <v>31.822164885019902</v>
      </c>
      <c r="N21" s="1" t="s">
        <v>29</v>
      </c>
      <c r="O21" s="3" t="s">
        <v>28</v>
      </c>
      <c r="P21" s="12">
        <v>103.18210945826009</v>
      </c>
      <c r="Q21" s="4">
        <v>31.822164885019902</v>
      </c>
    </row>
    <row r="22" spans="1:17" x14ac:dyDescent="0.2">
      <c r="A22" s="2" t="s">
        <v>30</v>
      </c>
      <c r="B22" s="1" t="s">
        <v>28</v>
      </c>
      <c r="C22" s="25">
        <f t="shared" si="0"/>
        <v>2.0136044023579664</v>
      </c>
      <c r="D22" s="4">
        <v>31.912134751479101</v>
      </c>
      <c r="N22" s="1" t="s">
        <v>30</v>
      </c>
      <c r="O22" s="3" t="s">
        <v>28</v>
      </c>
      <c r="P22" s="12">
        <v>103.18210945826009</v>
      </c>
      <c r="Q22" s="4">
        <v>31.912134751479101</v>
      </c>
    </row>
    <row r="23" spans="1:17" x14ac:dyDescent="0.2">
      <c r="A23" s="2" t="s">
        <v>31</v>
      </c>
      <c r="B23" s="1" t="s">
        <v>32</v>
      </c>
      <c r="C23" s="25">
        <f t="shared" si="0"/>
        <v>1.0136044023579664</v>
      </c>
      <c r="D23" s="4"/>
      <c r="N23" s="1" t="s">
        <v>31</v>
      </c>
      <c r="O23" s="3" t="s">
        <v>32</v>
      </c>
      <c r="P23" s="12">
        <v>10.318210945826008</v>
      </c>
      <c r="Q23" s="4"/>
    </row>
    <row r="24" spans="1:17" x14ac:dyDescent="0.2">
      <c r="A24" s="2" t="s">
        <v>33</v>
      </c>
      <c r="B24" s="1" t="s">
        <v>32</v>
      </c>
      <c r="C24" s="25">
        <f t="shared" si="0"/>
        <v>1.0136044023579664</v>
      </c>
      <c r="D24" s="4">
        <v>36.907582185536398</v>
      </c>
      <c r="N24" s="1" t="s">
        <v>33</v>
      </c>
      <c r="O24" s="3" t="s">
        <v>32</v>
      </c>
      <c r="P24" s="12">
        <v>10.318210945826008</v>
      </c>
      <c r="Q24" s="4">
        <v>36.907582185536398</v>
      </c>
    </row>
    <row r="25" spans="1:17" x14ac:dyDescent="0.2">
      <c r="A25" s="2" t="s">
        <v>34</v>
      </c>
      <c r="B25" s="1" t="s">
        <v>32</v>
      </c>
      <c r="C25" s="25">
        <f t="shared" si="0"/>
        <v>1.0136044023579664</v>
      </c>
      <c r="D25" s="4"/>
      <c r="N25" s="1" t="s">
        <v>34</v>
      </c>
      <c r="O25" s="3" t="s">
        <v>32</v>
      </c>
      <c r="P25" s="12">
        <v>10.318210945826008</v>
      </c>
      <c r="Q25" s="4"/>
    </row>
    <row r="26" spans="1:17" x14ac:dyDescent="0.2">
      <c r="A26" s="2" t="s">
        <v>35</v>
      </c>
      <c r="B26" s="1" t="s">
        <v>36</v>
      </c>
      <c r="C26" s="25">
        <f t="shared" si="0"/>
        <v>1.3604402357966342E-2</v>
      </c>
      <c r="D26" s="4"/>
      <c r="N26" s="1" t="s">
        <v>35</v>
      </c>
      <c r="O26" s="3" t="s">
        <v>36</v>
      </c>
      <c r="P26" s="12">
        <v>1.0318210945826007</v>
      </c>
      <c r="Q26" s="4"/>
    </row>
    <row r="27" spans="1:17" x14ac:dyDescent="0.2">
      <c r="A27" s="2" t="s">
        <v>37</v>
      </c>
      <c r="B27" s="1" t="s">
        <v>36</v>
      </c>
      <c r="C27" s="25">
        <f t="shared" si="0"/>
        <v>1.3604402357966342E-2</v>
      </c>
      <c r="D27" s="4"/>
      <c r="N27" s="1" t="s">
        <v>37</v>
      </c>
      <c r="O27" s="3" t="s">
        <v>36</v>
      </c>
      <c r="P27" s="12">
        <v>1.0318210945826007</v>
      </c>
      <c r="Q27" s="4"/>
    </row>
    <row r="28" spans="1:17" x14ac:dyDescent="0.2">
      <c r="A28" s="2" t="s">
        <v>38</v>
      </c>
      <c r="B28" s="1" t="s">
        <v>36</v>
      </c>
      <c r="C28" s="25">
        <f t="shared" si="0"/>
        <v>1.3604402357966342E-2</v>
      </c>
      <c r="D28" s="4"/>
      <c r="N28" s="1" t="s">
        <v>38</v>
      </c>
      <c r="O28" s="3" t="s">
        <v>36</v>
      </c>
      <c r="P28" s="12">
        <v>1.0318210945826007</v>
      </c>
      <c r="Q28" s="4"/>
    </row>
    <row r="29" spans="1:17" x14ac:dyDescent="0.2">
      <c r="A29" s="2" t="s">
        <v>39</v>
      </c>
      <c r="B29" s="1" t="s">
        <v>40</v>
      </c>
      <c r="C29" s="1" t="s">
        <v>131</v>
      </c>
      <c r="D29" s="4"/>
      <c r="N29" s="1" t="s">
        <v>39</v>
      </c>
      <c r="O29" s="3" t="s">
        <v>40</v>
      </c>
      <c r="P29" s="1" t="s">
        <v>131</v>
      </c>
      <c r="Q29" s="4"/>
    </row>
    <row r="30" spans="1:17" x14ac:dyDescent="0.2">
      <c r="A30" s="2" t="s">
        <v>41</v>
      </c>
      <c r="B30" s="1" t="s">
        <v>40</v>
      </c>
      <c r="C30" s="1" t="s">
        <v>131</v>
      </c>
      <c r="D30" s="4"/>
      <c r="N30" s="1" t="s">
        <v>41</v>
      </c>
      <c r="O30" s="3" t="s">
        <v>40</v>
      </c>
      <c r="P30" s="1" t="s">
        <v>131</v>
      </c>
      <c r="Q30" s="4"/>
    </row>
    <row r="31" spans="1:17" x14ac:dyDescent="0.2">
      <c r="A31" s="2" t="s">
        <v>42</v>
      </c>
      <c r="B31" s="1" t="s">
        <v>40</v>
      </c>
      <c r="C31" s="1" t="s">
        <v>131</v>
      </c>
      <c r="D31" s="4"/>
      <c r="N31" s="1" t="s">
        <v>42</v>
      </c>
      <c r="O31" s="3" t="s">
        <v>40</v>
      </c>
      <c r="P31" s="1" t="s">
        <v>131</v>
      </c>
      <c r="Q31" s="4"/>
    </row>
    <row r="37" spans="1:20" x14ac:dyDescent="0.2">
      <c r="A37" s="1" t="s">
        <v>0</v>
      </c>
      <c r="B37" s="1" t="s">
        <v>1</v>
      </c>
      <c r="C37" s="1" t="s">
        <v>2</v>
      </c>
      <c r="D37" t="s">
        <v>222</v>
      </c>
      <c r="E37" s="3" t="s">
        <v>195</v>
      </c>
      <c r="F37" s="3" t="s">
        <v>196</v>
      </c>
      <c r="G37" s="3" t="s">
        <v>197</v>
      </c>
      <c r="H37" s="3" t="s">
        <v>198</v>
      </c>
      <c r="I37" s="3" t="s">
        <v>199</v>
      </c>
      <c r="J37" s="3"/>
      <c r="K37" s="3"/>
      <c r="L37" s="3" t="s">
        <v>200</v>
      </c>
      <c r="M37" s="3"/>
      <c r="S37" s="1"/>
      <c r="T37" s="12"/>
    </row>
    <row r="38" spans="1:20" x14ac:dyDescent="0.2">
      <c r="A38" s="2" t="s">
        <v>43</v>
      </c>
      <c r="B38" s="1" t="s">
        <v>155</v>
      </c>
      <c r="C38" s="4">
        <v>21.207509117109201</v>
      </c>
      <c r="D38" s="1">
        <f>(C38-$S$11)/$S$10</f>
        <v>5.1514132438687303</v>
      </c>
      <c r="E38" s="1">
        <f>10^D38</f>
        <v>141714.15901787984</v>
      </c>
      <c r="F38" s="26">
        <v>7.6388888888888895E-2</v>
      </c>
      <c r="G38" s="3" t="s">
        <v>202</v>
      </c>
      <c r="H38" s="3" t="s">
        <v>203</v>
      </c>
      <c r="I38" s="1" t="s">
        <v>223</v>
      </c>
      <c r="J38" s="1">
        <f>(E38*50*50)/2</f>
        <v>177142698.7723498</v>
      </c>
      <c r="K38" s="12">
        <f>J38</f>
        <v>177142698.7723498</v>
      </c>
      <c r="L38" s="36">
        <f>AVERAGE(K38:K40)</f>
        <v>152379096.43067634</v>
      </c>
      <c r="M38" s="37" t="s">
        <v>219</v>
      </c>
      <c r="S38" s="1"/>
      <c r="T38" s="12"/>
    </row>
    <row r="39" spans="1:20" x14ac:dyDescent="0.2">
      <c r="A39" s="2" t="s">
        <v>45</v>
      </c>
      <c r="B39" s="1" t="s">
        <v>155</v>
      </c>
      <c r="C39" s="4">
        <v>21.564562200149101</v>
      </c>
      <c r="D39" s="1">
        <f t="shared" ref="D39:D91" si="1">(C39-$S$11)/$S$10</f>
        <v>5.046896694867419</v>
      </c>
      <c r="E39" s="1">
        <f t="shared" ref="E39:E91" si="2">10^D39</f>
        <v>111402.95091449856</v>
      </c>
      <c r="F39" s="26">
        <v>7.6388888888888895E-2</v>
      </c>
      <c r="G39" s="3" t="s">
        <v>202</v>
      </c>
      <c r="H39" s="3" t="s">
        <v>203</v>
      </c>
      <c r="I39" s="1" t="s">
        <v>223</v>
      </c>
      <c r="J39" s="1">
        <f t="shared" ref="J39:J91" si="3">(E39*50*50)/2</f>
        <v>139253688.64312321</v>
      </c>
      <c r="K39" s="12">
        <f t="shared" ref="K39:K91" si="4">J39</f>
        <v>139253688.64312321</v>
      </c>
      <c r="L39" s="37"/>
      <c r="M39" s="37"/>
      <c r="S39" s="1"/>
      <c r="T39" s="23"/>
    </row>
    <row r="40" spans="1:20" x14ac:dyDescent="0.2">
      <c r="A40" s="2" t="s">
        <v>46</v>
      </c>
      <c r="B40" s="1" t="s">
        <v>155</v>
      </c>
      <c r="C40" s="4">
        <v>21.548800984270802</v>
      </c>
      <c r="D40" s="1">
        <f t="shared" si="1"/>
        <v>5.0515103166786064</v>
      </c>
      <c r="E40" s="1">
        <f t="shared" si="2"/>
        <v>112592.72150124486</v>
      </c>
      <c r="F40" s="26">
        <v>7.6388888888888895E-2</v>
      </c>
      <c r="G40" s="3" t="s">
        <v>202</v>
      </c>
      <c r="H40" s="3" t="s">
        <v>203</v>
      </c>
      <c r="I40" s="1" t="s">
        <v>223</v>
      </c>
      <c r="J40" s="1">
        <f t="shared" si="3"/>
        <v>140740901.87655607</v>
      </c>
      <c r="K40" s="12">
        <f t="shared" si="4"/>
        <v>140740901.87655607</v>
      </c>
      <c r="L40" s="37"/>
      <c r="M40" s="37"/>
    </row>
    <row r="41" spans="1:20" x14ac:dyDescent="0.2">
      <c r="A41" s="2" t="s">
        <v>47</v>
      </c>
      <c r="B41" s="1" t="s">
        <v>156</v>
      </c>
      <c r="C41" s="4">
        <v>21.682219995709598</v>
      </c>
      <c r="D41" s="1">
        <f t="shared" si="1"/>
        <v>5.0124559146607659</v>
      </c>
      <c r="E41" s="1">
        <f t="shared" si="2"/>
        <v>102909.60580992531</v>
      </c>
      <c r="F41" s="26">
        <v>7.6388888888888895E-2</v>
      </c>
      <c r="G41" s="3" t="s">
        <v>202</v>
      </c>
      <c r="H41" s="3" t="s">
        <v>203</v>
      </c>
      <c r="I41" s="1" t="s">
        <v>223</v>
      </c>
      <c r="J41" s="1">
        <f t="shared" si="3"/>
        <v>128637007.26240663</v>
      </c>
      <c r="K41" s="12">
        <f t="shared" si="4"/>
        <v>128637007.26240663</v>
      </c>
      <c r="L41" s="36">
        <f t="shared" ref="L41" si="5">AVERAGE(K41:K43)</f>
        <v>118805705.53534238</v>
      </c>
      <c r="M41" s="37" t="s">
        <v>219</v>
      </c>
    </row>
    <row r="42" spans="1:20" x14ac:dyDescent="0.2">
      <c r="A42" s="2" t="s">
        <v>49</v>
      </c>
      <c r="B42" s="1" t="s">
        <v>156</v>
      </c>
      <c r="C42" s="4">
        <v>21.914479789536198</v>
      </c>
      <c r="D42" s="1">
        <f t="shared" si="1"/>
        <v>4.9444688469792935</v>
      </c>
      <c r="E42" s="1">
        <f t="shared" si="2"/>
        <v>87997.198684940158</v>
      </c>
      <c r="F42" s="26">
        <v>7.6388888888888895E-2</v>
      </c>
      <c r="G42" s="3" t="s">
        <v>202</v>
      </c>
      <c r="H42" s="3" t="s">
        <v>203</v>
      </c>
      <c r="I42" s="1" t="s">
        <v>223</v>
      </c>
      <c r="J42" s="1">
        <f t="shared" si="3"/>
        <v>109996498.35617518</v>
      </c>
      <c r="K42" s="12">
        <f t="shared" si="4"/>
        <v>109996498.35617518</v>
      </c>
      <c r="L42" s="37"/>
      <c r="M42" s="37"/>
    </row>
    <row r="43" spans="1:20" x14ac:dyDescent="0.2">
      <c r="A43" s="2" t="s">
        <v>50</v>
      </c>
      <c r="B43" s="1" t="s">
        <v>156</v>
      </c>
      <c r="C43" s="4">
        <v>21.812997099277201</v>
      </c>
      <c r="D43" s="1">
        <f t="shared" si="1"/>
        <v>4.9741748516969562</v>
      </c>
      <c r="E43" s="1">
        <f t="shared" si="2"/>
        <v>94226.888789956254</v>
      </c>
      <c r="F43" s="26">
        <v>7.6388888888888895E-2</v>
      </c>
      <c r="G43" s="3" t="s">
        <v>202</v>
      </c>
      <c r="H43" s="3" t="s">
        <v>203</v>
      </c>
      <c r="I43" s="1" t="s">
        <v>223</v>
      </c>
      <c r="J43" s="1">
        <f t="shared" si="3"/>
        <v>117783610.98744531</v>
      </c>
      <c r="K43" s="12">
        <f t="shared" si="4"/>
        <v>117783610.98744531</v>
      </c>
      <c r="L43" s="37"/>
      <c r="M43" s="37"/>
    </row>
    <row r="44" spans="1:20" x14ac:dyDescent="0.2">
      <c r="A44" s="2" t="s">
        <v>51</v>
      </c>
      <c r="B44" s="1" t="s">
        <v>157</v>
      </c>
      <c r="C44" s="4">
        <v>23.061252177676199</v>
      </c>
      <c r="D44" s="1">
        <f t="shared" si="1"/>
        <v>4.6087857281613811</v>
      </c>
      <c r="E44" s="1">
        <f t="shared" si="2"/>
        <v>40624.284796510852</v>
      </c>
      <c r="F44" s="26">
        <v>7.6388888888888895E-2</v>
      </c>
      <c r="G44" s="3" t="s">
        <v>202</v>
      </c>
      <c r="H44" s="3" t="s">
        <v>203</v>
      </c>
      <c r="I44" s="1" t="s">
        <v>223</v>
      </c>
      <c r="J44" s="1">
        <f t="shared" si="3"/>
        <v>50780355.995638564</v>
      </c>
      <c r="K44" s="12">
        <f t="shared" si="4"/>
        <v>50780355.995638564</v>
      </c>
      <c r="L44" s="36">
        <f t="shared" ref="L44" si="6">AVERAGE(K44:K46)</f>
        <v>52566103.135850228</v>
      </c>
      <c r="M44" s="37" t="s">
        <v>219</v>
      </c>
    </row>
    <row r="45" spans="1:20" x14ac:dyDescent="0.2">
      <c r="A45" s="2" t="s">
        <v>53</v>
      </c>
      <c r="B45" s="1" t="s">
        <v>157</v>
      </c>
      <c r="C45" s="4">
        <v>22.986591972296502</v>
      </c>
      <c r="D45" s="1">
        <f t="shared" si="1"/>
        <v>4.6306402573187251</v>
      </c>
      <c r="E45" s="1">
        <f t="shared" si="2"/>
        <v>42720.886615215888</v>
      </c>
      <c r="F45" s="26">
        <v>7.6388888888888895E-2</v>
      </c>
      <c r="G45" s="3" t="s">
        <v>202</v>
      </c>
      <c r="H45" s="3" t="s">
        <v>203</v>
      </c>
      <c r="I45" s="1" t="s">
        <v>223</v>
      </c>
      <c r="J45" s="1">
        <f t="shared" si="3"/>
        <v>53401108.269019857</v>
      </c>
      <c r="K45" s="12">
        <f t="shared" si="4"/>
        <v>53401108.269019857</v>
      </c>
      <c r="L45" s="37"/>
      <c r="M45" s="37"/>
    </row>
    <row r="46" spans="1:20" x14ac:dyDescent="0.2">
      <c r="A46" s="2" t="s">
        <v>54</v>
      </c>
      <c r="B46" s="1" t="s">
        <v>157</v>
      </c>
      <c r="C46" s="4">
        <v>22.983379914781601</v>
      </c>
      <c r="D46" s="1">
        <f t="shared" si="1"/>
        <v>4.6315804905294087</v>
      </c>
      <c r="E46" s="1">
        <f t="shared" si="2"/>
        <v>42813.476114313824</v>
      </c>
      <c r="F46" s="26">
        <v>7.6388888888888895E-2</v>
      </c>
      <c r="G46" s="3" t="s">
        <v>202</v>
      </c>
      <c r="H46" s="3" t="s">
        <v>203</v>
      </c>
      <c r="I46" s="1" t="s">
        <v>223</v>
      </c>
      <c r="J46" s="1">
        <f t="shared" si="3"/>
        <v>53516845.142892286</v>
      </c>
      <c r="K46" s="12">
        <f t="shared" si="4"/>
        <v>53516845.142892286</v>
      </c>
      <c r="L46" s="37"/>
      <c r="M46" s="37"/>
    </row>
    <row r="47" spans="1:20" x14ac:dyDescent="0.2">
      <c r="A47" s="2" t="s">
        <v>55</v>
      </c>
      <c r="B47" s="1" t="s">
        <v>158</v>
      </c>
      <c r="C47" s="4">
        <v>22.1267335368292</v>
      </c>
      <c r="D47" s="1">
        <f t="shared" si="1"/>
        <v>4.8823379475881188</v>
      </c>
      <c r="E47" s="1">
        <f t="shared" si="2"/>
        <v>76267.225494095546</v>
      </c>
      <c r="F47" s="26">
        <v>7.6388888888888895E-2</v>
      </c>
      <c r="G47" s="3" t="s">
        <v>202</v>
      </c>
      <c r="H47" s="3" t="s">
        <v>203</v>
      </c>
      <c r="I47" s="1" t="s">
        <v>223</v>
      </c>
      <c r="J47" s="1">
        <f t="shared" si="3"/>
        <v>95334031.867619425</v>
      </c>
      <c r="K47" s="12">
        <f t="shared" si="4"/>
        <v>95334031.867619425</v>
      </c>
      <c r="L47" s="36">
        <f t="shared" ref="L47" si="7">AVERAGE(K47:K49)</f>
        <v>103147747.5159055</v>
      </c>
      <c r="M47" s="37" t="s">
        <v>219</v>
      </c>
    </row>
    <row r="48" spans="1:20" x14ac:dyDescent="0.2">
      <c r="A48" s="2" t="s">
        <v>57</v>
      </c>
      <c r="B48" s="1" t="s">
        <v>158</v>
      </c>
      <c r="C48" s="4">
        <v>21.997700990560698</v>
      </c>
      <c r="D48" s="1">
        <f t="shared" si="1"/>
        <v>4.9201083438833066</v>
      </c>
      <c r="E48" s="1">
        <f t="shared" si="2"/>
        <v>83197.129793613334</v>
      </c>
      <c r="F48" s="26">
        <v>7.6388888888888895E-2</v>
      </c>
      <c r="G48" s="3" t="s">
        <v>202</v>
      </c>
      <c r="H48" s="3" t="s">
        <v>203</v>
      </c>
      <c r="I48" s="1" t="s">
        <v>223</v>
      </c>
      <c r="J48" s="1">
        <f t="shared" si="3"/>
        <v>103996412.24201666</v>
      </c>
      <c r="K48" s="12">
        <f t="shared" si="4"/>
        <v>103996412.24201666</v>
      </c>
      <c r="L48" s="37"/>
      <c r="M48" s="37"/>
    </row>
    <row r="49" spans="1:13" x14ac:dyDescent="0.2">
      <c r="A49" s="2" t="s">
        <v>58</v>
      </c>
      <c r="B49" s="1" t="s">
        <v>158</v>
      </c>
      <c r="C49" s="4">
        <v>21.9129119424341</v>
      </c>
      <c r="D49" s="1">
        <f t="shared" si="1"/>
        <v>4.9449277870536319</v>
      </c>
      <c r="E49" s="1">
        <f t="shared" si="2"/>
        <v>88090.238750464356</v>
      </c>
      <c r="F49" s="26">
        <v>7.6388888888888895E-2</v>
      </c>
      <c r="G49" s="3" t="s">
        <v>202</v>
      </c>
      <c r="H49" s="3" t="s">
        <v>203</v>
      </c>
      <c r="I49" s="1" t="s">
        <v>223</v>
      </c>
      <c r="J49" s="1">
        <f t="shared" si="3"/>
        <v>110112798.43808044</v>
      </c>
      <c r="K49" s="12">
        <f t="shared" si="4"/>
        <v>110112798.43808044</v>
      </c>
      <c r="L49" s="37"/>
      <c r="M49" s="37"/>
    </row>
    <row r="50" spans="1:13" x14ac:dyDescent="0.2">
      <c r="A50" s="2" t="s">
        <v>59</v>
      </c>
      <c r="B50" s="1" t="s">
        <v>159</v>
      </c>
      <c r="C50" s="4">
        <v>21.3293997346331</v>
      </c>
      <c r="D50" s="1">
        <f t="shared" si="1"/>
        <v>5.1157334323662678</v>
      </c>
      <c r="E50" s="1">
        <f t="shared" si="2"/>
        <v>130536.94134116583</v>
      </c>
      <c r="F50" s="26">
        <v>7.6388888888888895E-2</v>
      </c>
      <c r="G50" s="3" t="s">
        <v>202</v>
      </c>
      <c r="H50" s="3" t="s">
        <v>203</v>
      </c>
      <c r="I50" s="1" t="s">
        <v>223</v>
      </c>
      <c r="J50" s="1">
        <f t="shared" si="3"/>
        <v>163171176.67645729</v>
      </c>
      <c r="K50" s="12">
        <f t="shared" si="4"/>
        <v>163171176.67645729</v>
      </c>
      <c r="L50" s="36">
        <f t="shared" ref="L50" si="8">AVERAGE(K50:K52)</f>
        <v>160866393.49815282</v>
      </c>
      <c r="M50" s="37" t="s">
        <v>219</v>
      </c>
    </row>
    <row r="51" spans="1:13" x14ac:dyDescent="0.2">
      <c r="A51" s="2" t="s">
        <v>61</v>
      </c>
      <c r="B51" s="1" t="s">
        <v>159</v>
      </c>
      <c r="C51" s="4">
        <v>21.346708625422998</v>
      </c>
      <c r="D51" s="1">
        <f t="shared" si="1"/>
        <v>5.11066677528268</v>
      </c>
      <c r="E51" s="1">
        <f t="shared" si="2"/>
        <v>129022.89291108181</v>
      </c>
      <c r="F51" s="26">
        <v>7.6388888888888895E-2</v>
      </c>
      <c r="G51" s="3" t="s">
        <v>202</v>
      </c>
      <c r="H51" s="3" t="s">
        <v>203</v>
      </c>
      <c r="I51" s="1" t="s">
        <v>223</v>
      </c>
      <c r="J51" s="1">
        <f t="shared" si="3"/>
        <v>161278616.13885227</v>
      </c>
      <c r="K51" s="12">
        <f t="shared" si="4"/>
        <v>161278616.13885227</v>
      </c>
      <c r="L51" s="37"/>
      <c r="M51" s="37"/>
    </row>
    <row r="52" spans="1:13" x14ac:dyDescent="0.2">
      <c r="A52" s="2" t="s">
        <v>62</v>
      </c>
      <c r="B52" s="1" t="s">
        <v>159</v>
      </c>
      <c r="C52" s="4">
        <v>21.375778302693998</v>
      </c>
      <c r="D52" s="1">
        <f t="shared" si="1"/>
        <v>5.1021575017509146</v>
      </c>
      <c r="E52" s="1">
        <f t="shared" si="2"/>
        <v>126519.51014331913</v>
      </c>
      <c r="F52" s="26">
        <v>7.6388888888888895E-2</v>
      </c>
      <c r="G52" s="3" t="s">
        <v>202</v>
      </c>
      <c r="H52" s="3" t="s">
        <v>203</v>
      </c>
      <c r="I52" s="1" t="s">
        <v>223</v>
      </c>
      <c r="J52" s="1">
        <f t="shared" si="3"/>
        <v>158149387.67914891</v>
      </c>
      <c r="K52" s="12">
        <f t="shared" si="4"/>
        <v>158149387.67914891</v>
      </c>
      <c r="L52" s="37"/>
      <c r="M52" s="37"/>
    </row>
    <row r="53" spans="1:13" x14ac:dyDescent="0.2">
      <c r="A53" s="2" t="s">
        <v>63</v>
      </c>
      <c r="B53" s="1" t="s">
        <v>160</v>
      </c>
      <c r="C53" s="4">
        <v>22.0920984960641</v>
      </c>
      <c r="D53" s="1">
        <f t="shared" si="1"/>
        <v>4.8924763138625904</v>
      </c>
      <c r="E53" s="1">
        <f t="shared" si="2"/>
        <v>78068.586087980104</v>
      </c>
      <c r="F53" s="26">
        <v>7.6388888888888895E-2</v>
      </c>
      <c r="G53" s="3" t="s">
        <v>202</v>
      </c>
      <c r="H53" s="3" t="s">
        <v>203</v>
      </c>
      <c r="I53" s="1" t="s">
        <v>223</v>
      </c>
      <c r="J53" s="1">
        <f t="shared" si="3"/>
        <v>97585732.609975129</v>
      </c>
      <c r="K53" s="12">
        <f t="shared" si="4"/>
        <v>97585732.609975129</v>
      </c>
      <c r="L53" s="36">
        <f t="shared" ref="L53" si="9">AVERAGE(K53:K55)</f>
        <v>96547580.620106414</v>
      </c>
      <c r="M53" s="37" t="s">
        <v>219</v>
      </c>
    </row>
    <row r="54" spans="1:13" x14ac:dyDescent="0.2">
      <c r="A54" s="2" t="s">
        <v>65</v>
      </c>
      <c r="B54" s="1" t="s">
        <v>160</v>
      </c>
      <c r="C54" s="4">
        <v>22.050348256751398</v>
      </c>
      <c r="D54" s="1">
        <f t="shared" si="1"/>
        <v>4.9046974404687278</v>
      </c>
      <c r="E54" s="1">
        <f t="shared" si="2"/>
        <v>80296.652534174573</v>
      </c>
      <c r="F54" s="26">
        <v>7.6388888888888895E-2</v>
      </c>
      <c r="G54" s="3" t="s">
        <v>202</v>
      </c>
      <c r="H54" s="3" t="s">
        <v>203</v>
      </c>
      <c r="I54" s="1" t="s">
        <v>223</v>
      </c>
      <c r="J54" s="1">
        <f t="shared" si="3"/>
        <v>100370815.66771822</v>
      </c>
      <c r="K54" s="12">
        <f t="shared" si="4"/>
        <v>100370815.66771822</v>
      </c>
      <c r="L54" s="37"/>
      <c r="M54" s="37"/>
    </row>
    <row r="55" spans="1:13" x14ac:dyDescent="0.2">
      <c r="A55" s="2" t="s">
        <v>66</v>
      </c>
      <c r="B55" s="1" t="s">
        <v>160</v>
      </c>
      <c r="C55" s="4">
        <v>22.184618280997199</v>
      </c>
      <c r="D55" s="1">
        <f t="shared" si="1"/>
        <v>4.8653939300522522</v>
      </c>
      <c r="E55" s="1">
        <f t="shared" si="2"/>
        <v>73348.954866100714</v>
      </c>
      <c r="F55" s="26">
        <v>7.6388888888888895E-2</v>
      </c>
      <c r="G55" s="3" t="s">
        <v>202</v>
      </c>
      <c r="H55" s="3" t="s">
        <v>203</v>
      </c>
      <c r="I55" s="1" t="s">
        <v>223</v>
      </c>
      <c r="J55" s="1">
        <f t="shared" si="3"/>
        <v>91686193.582625896</v>
      </c>
      <c r="K55" s="12">
        <f t="shared" si="4"/>
        <v>91686193.582625896</v>
      </c>
      <c r="L55" s="37"/>
      <c r="M55" s="37"/>
    </row>
    <row r="56" spans="1:13" x14ac:dyDescent="0.2">
      <c r="A56" s="2" t="s">
        <v>67</v>
      </c>
      <c r="B56" s="1" t="s">
        <v>161</v>
      </c>
      <c r="C56" s="4">
        <v>21.947056532055701</v>
      </c>
      <c r="D56" s="1">
        <f t="shared" si="1"/>
        <v>4.9349329855974098</v>
      </c>
      <c r="E56" s="1">
        <f t="shared" si="2"/>
        <v>86086.090561871213</v>
      </c>
      <c r="F56" s="26">
        <v>7.6388888888888895E-2</v>
      </c>
      <c r="G56" s="3" t="s">
        <v>202</v>
      </c>
      <c r="H56" s="3" t="s">
        <v>203</v>
      </c>
      <c r="I56" s="1" t="s">
        <v>223</v>
      </c>
      <c r="J56" s="1">
        <f t="shared" si="3"/>
        <v>107607613.20233901</v>
      </c>
      <c r="K56" s="12">
        <f t="shared" si="4"/>
        <v>107607613.20233901</v>
      </c>
      <c r="L56" s="36">
        <f t="shared" ref="L56" si="10">AVERAGE(K56:K58)</f>
        <v>110959577.48156714</v>
      </c>
      <c r="M56" s="37" t="s">
        <v>219</v>
      </c>
    </row>
    <row r="57" spans="1:13" x14ac:dyDescent="0.2">
      <c r="A57" s="2" t="s">
        <v>69</v>
      </c>
      <c r="B57" s="1" t="s">
        <v>161</v>
      </c>
      <c r="C57" s="4">
        <v>21.8658931728224</v>
      </c>
      <c r="D57" s="1">
        <f t="shared" si="1"/>
        <v>4.9586911174141015</v>
      </c>
      <c r="E57" s="1">
        <f t="shared" si="2"/>
        <v>90926.63465202415</v>
      </c>
      <c r="F57" s="26">
        <v>7.6388888888888895E-2</v>
      </c>
      <c r="G57" s="3" t="s">
        <v>202</v>
      </c>
      <c r="H57" s="3" t="s">
        <v>203</v>
      </c>
      <c r="I57" s="1" t="s">
        <v>223</v>
      </c>
      <c r="J57" s="1">
        <f t="shared" si="3"/>
        <v>113658293.31503019</v>
      </c>
      <c r="K57" s="12">
        <f t="shared" si="4"/>
        <v>113658293.31503019</v>
      </c>
      <c r="L57" s="37"/>
      <c r="M57" s="37"/>
    </row>
    <row r="58" spans="1:13" x14ac:dyDescent="0.2">
      <c r="A58" s="2" t="s">
        <v>70</v>
      </c>
      <c r="B58" s="1" t="s">
        <v>161</v>
      </c>
      <c r="C58" s="4">
        <v>21.892837107168202</v>
      </c>
      <c r="D58" s="1">
        <f t="shared" si="1"/>
        <v>4.9508040911759714</v>
      </c>
      <c r="E58" s="1">
        <f t="shared" si="2"/>
        <v>89290.260741865772</v>
      </c>
      <c r="F58" s="26">
        <v>7.6388888888888895E-2</v>
      </c>
      <c r="G58" s="3" t="s">
        <v>202</v>
      </c>
      <c r="H58" s="3" t="s">
        <v>203</v>
      </c>
      <c r="I58" s="1" t="s">
        <v>223</v>
      </c>
      <c r="J58" s="1">
        <f t="shared" si="3"/>
        <v>111612825.92733221</v>
      </c>
      <c r="K58" s="12">
        <f t="shared" si="4"/>
        <v>111612825.92733221</v>
      </c>
      <c r="L58" s="37"/>
      <c r="M58" s="37"/>
    </row>
    <row r="59" spans="1:13" x14ac:dyDescent="0.2">
      <c r="A59" s="2" t="s">
        <v>71</v>
      </c>
      <c r="B59" s="1" t="s">
        <v>162</v>
      </c>
      <c r="C59" s="4">
        <v>22.046499957735598</v>
      </c>
      <c r="D59" s="1">
        <f t="shared" si="1"/>
        <v>4.9058239142390487</v>
      </c>
      <c r="E59" s="1">
        <f t="shared" si="2"/>
        <v>80505.196472812648</v>
      </c>
      <c r="F59" s="26">
        <v>7.6388888888888895E-2</v>
      </c>
      <c r="G59" s="3" t="s">
        <v>202</v>
      </c>
      <c r="H59" s="3" t="s">
        <v>203</v>
      </c>
      <c r="I59" s="1" t="s">
        <v>223</v>
      </c>
      <c r="J59" s="1">
        <f t="shared" si="3"/>
        <v>100631495.59101582</v>
      </c>
      <c r="K59" s="12">
        <f t="shared" si="4"/>
        <v>100631495.59101582</v>
      </c>
      <c r="L59" s="36">
        <f t="shared" ref="L59" si="11">AVERAGE(K59:K61)</f>
        <v>93863054.493000373</v>
      </c>
      <c r="M59" s="37" t="s">
        <v>219</v>
      </c>
    </row>
    <row r="60" spans="1:13" x14ac:dyDescent="0.2">
      <c r="A60" s="2" t="s">
        <v>73</v>
      </c>
      <c r="B60" s="1" t="s">
        <v>162</v>
      </c>
      <c r="C60" s="4">
        <v>22.188386150854299</v>
      </c>
      <c r="D60" s="1">
        <f t="shared" si="1"/>
        <v>4.8642909994986292</v>
      </c>
      <c r="E60" s="1">
        <f t="shared" si="2"/>
        <v>73162.914820199279</v>
      </c>
      <c r="F60" s="26">
        <v>7.6388888888888895E-2</v>
      </c>
      <c r="G60" s="3" t="s">
        <v>202</v>
      </c>
      <c r="H60" s="3" t="s">
        <v>203</v>
      </c>
      <c r="I60" s="1" t="s">
        <v>223</v>
      </c>
      <c r="J60" s="1">
        <f t="shared" si="3"/>
        <v>91453643.525249109</v>
      </c>
      <c r="K60" s="12">
        <f t="shared" si="4"/>
        <v>91453643.525249109</v>
      </c>
      <c r="L60" s="37"/>
      <c r="M60" s="37"/>
    </row>
    <row r="61" spans="1:13" x14ac:dyDescent="0.2">
      <c r="A61" s="2" t="s">
        <v>74</v>
      </c>
      <c r="B61" s="1" t="s">
        <v>162</v>
      </c>
      <c r="C61" s="4">
        <v>22.220356813056899</v>
      </c>
      <c r="D61" s="1">
        <f t="shared" si="1"/>
        <v>4.8549325498970921</v>
      </c>
      <c r="E61" s="1">
        <f t="shared" si="2"/>
        <v>71603.219490188945</v>
      </c>
      <c r="F61" s="26">
        <v>7.6388888888888895E-2</v>
      </c>
      <c r="G61" s="3" t="s">
        <v>202</v>
      </c>
      <c r="H61" s="3" t="s">
        <v>203</v>
      </c>
      <c r="I61" s="1" t="s">
        <v>223</v>
      </c>
      <c r="J61" s="1">
        <f t="shared" si="3"/>
        <v>89504024.36273618</v>
      </c>
      <c r="K61" s="12">
        <f t="shared" si="4"/>
        <v>89504024.36273618</v>
      </c>
      <c r="L61" s="37"/>
      <c r="M61" s="37"/>
    </row>
    <row r="62" spans="1:13" x14ac:dyDescent="0.2">
      <c r="A62" s="2" t="s">
        <v>75</v>
      </c>
      <c r="B62" s="1" t="s">
        <v>163</v>
      </c>
      <c r="C62" s="4">
        <v>21.754138294996</v>
      </c>
      <c r="D62" s="1">
        <f t="shared" si="1"/>
        <v>4.9914039960287733</v>
      </c>
      <c r="E62" s="1">
        <f t="shared" si="2"/>
        <v>98040.15654301623</v>
      </c>
      <c r="F62" s="26">
        <v>7.6388888888888895E-2</v>
      </c>
      <c r="G62" s="3" t="s">
        <v>202</v>
      </c>
      <c r="H62" s="3" t="s">
        <v>203</v>
      </c>
      <c r="I62" s="1" t="s">
        <v>223</v>
      </c>
      <c r="J62" s="1">
        <f t="shared" si="3"/>
        <v>122550195.67877029</v>
      </c>
      <c r="K62" s="12">
        <f t="shared" si="4"/>
        <v>122550195.67877029</v>
      </c>
      <c r="L62" s="36">
        <f t="shared" ref="L62" si="12">AVERAGE(K62:K64)</f>
        <v>121430100.982289</v>
      </c>
      <c r="M62" s="37" t="s">
        <v>219</v>
      </c>
    </row>
    <row r="63" spans="1:13" x14ac:dyDescent="0.2">
      <c r="A63" s="2" t="s">
        <v>77</v>
      </c>
      <c r="B63" s="1" t="s">
        <v>163</v>
      </c>
      <c r="C63" s="4">
        <v>21.783146530270699</v>
      </c>
      <c r="D63" s="1">
        <f t="shared" si="1"/>
        <v>4.9829127077930941</v>
      </c>
      <c r="E63" s="1">
        <f t="shared" si="2"/>
        <v>96141.901591769172</v>
      </c>
      <c r="F63" s="26">
        <v>7.6388888888888895E-2</v>
      </c>
      <c r="G63" s="3" t="s">
        <v>202</v>
      </c>
      <c r="H63" s="3" t="s">
        <v>203</v>
      </c>
      <c r="I63" s="1" t="s">
        <v>223</v>
      </c>
      <c r="J63" s="1">
        <f t="shared" si="3"/>
        <v>120177376.98971148</v>
      </c>
      <c r="K63" s="12">
        <f t="shared" si="4"/>
        <v>120177376.98971148</v>
      </c>
      <c r="L63" s="37"/>
      <c r="M63" s="37"/>
    </row>
    <row r="64" spans="1:13" x14ac:dyDescent="0.2">
      <c r="A64" s="2" t="s">
        <v>78</v>
      </c>
      <c r="B64" s="1" t="s">
        <v>163</v>
      </c>
      <c r="C64" s="4">
        <v>21.766141452721001</v>
      </c>
      <c r="D64" s="1">
        <f t="shared" si="1"/>
        <v>4.9878904326900821</v>
      </c>
      <c r="E64" s="1">
        <f t="shared" si="2"/>
        <v>97250.184222708165</v>
      </c>
      <c r="F64" s="26">
        <v>7.6388888888888895E-2</v>
      </c>
      <c r="G64" s="3" t="s">
        <v>202</v>
      </c>
      <c r="H64" s="3" t="s">
        <v>203</v>
      </c>
      <c r="I64" s="1" t="s">
        <v>223</v>
      </c>
      <c r="J64" s="1">
        <f t="shared" si="3"/>
        <v>121562730.27838519</v>
      </c>
      <c r="K64" s="12">
        <f t="shared" si="4"/>
        <v>121562730.27838519</v>
      </c>
      <c r="L64" s="37"/>
      <c r="M64" s="37"/>
    </row>
    <row r="65" spans="1:13" x14ac:dyDescent="0.2">
      <c r="A65" s="2" t="s">
        <v>79</v>
      </c>
      <c r="B65" s="1" t="s">
        <v>164</v>
      </c>
      <c r="C65" s="4">
        <v>22.199543928423999</v>
      </c>
      <c r="D65" s="1">
        <f t="shared" si="1"/>
        <v>4.8610248957692317</v>
      </c>
      <c r="E65" s="1">
        <f t="shared" si="2"/>
        <v>72614.758238146518</v>
      </c>
      <c r="F65" s="26">
        <v>7.6388888888888895E-2</v>
      </c>
      <c r="G65" s="3" t="s">
        <v>202</v>
      </c>
      <c r="H65" s="3" t="s">
        <v>203</v>
      </c>
      <c r="I65" s="1" t="s">
        <v>223</v>
      </c>
      <c r="J65" s="1">
        <f t="shared" si="3"/>
        <v>90768447.79768315</v>
      </c>
      <c r="K65" s="12">
        <f t="shared" si="4"/>
        <v>90768447.79768315</v>
      </c>
      <c r="L65" s="36">
        <f t="shared" ref="L65" si="13">AVERAGE(K65:K67)</f>
        <v>85723560.764274135</v>
      </c>
      <c r="M65" s="37" t="s">
        <v>219</v>
      </c>
    </row>
    <row r="66" spans="1:13" x14ac:dyDescent="0.2">
      <c r="A66" s="2" t="s">
        <v>81</v>
      </c>
      <c r="B66" s="1" t="s">
        <v>164</v>
      </c>
      <c r="C66" s="4">
        <v>22.3400963124963</v>
      </c>
      <c r="D66" s="1">
        <f t="shared" si="1"/>
        <v>4.8198824135028007</v>
      </c>
      <c r="E66" s="1">
        <f t="shared" si="2"/>
        <v>66051.458754482665</v>
      </c>
      <c r="F66" s="26">
        <v>7.6388888888888895E-2</v>
      </c>
      <c r="G66" s="3" t="s">
        <v>202</v>
      </c>
      <c r="H66" s="3" t="s">
        <v>203</v>
      </c>
      <c r="I66" s="1" t="s">
        <v>223</v>
      </c>
      <c r="J66" s="1">
        <f t="shared" si="3"/>
        <v>82564323.443103328</v>
      </c>
      <c r="K66" s="12">
        <f t="shared" si="4"/>
        <v>82564323.443103328</v>
      </c>
      <c r="L66" s="37"/>
      <c r="M66" s="37"/>
    </row>
    <row r="67" spans="1:13" x14ac:dyDescent="0.2">
      <c r="A67" s="2" t="s">
        <v>82</v>
      </c>
      <c r="B67" s="1" t="s">
        <v>164</v>
      </c>
      <c r="C67" s="4">
        <v>22.317385107125901</v>
      </c>
      <c r="D67" s="1">
        <f t="shared" si="1"/>
        <v>4.8265304356645613</v>
      </c>
      <c r="E67" s="1">
        <f t="shared" si="2"/>
        <v>67070.328841628725</v>
      </c>
      <c r="F67" s="26">
        <v>7.6388888888888895E-2</v>
      </c>
      <c r="G67" s="3" t="s">
        <v>202</v>
      </c>
      <c r="H67" s="3" t="s">
        <v>203</v>
      </c>
      <c r="I67" s="1" t="s">
        <v>223</v>
      </c>
      <c r="J67" s="1">
        <f t="shared" si="3"/>
        <v>83837911.052035898</v>
      </c>
      <c r="K67" s="12">
        <f t="shared" si="4"/>
        <v>83837911.052035898</v>
      </c>
      <c r="L67" s="37"/>
      <c r="M67" s="37"/>
    </row>
    <row r="68" spans="1:13" x14ac:dyDescent="0.2">
      <c r="A68" s="2" t="s">
        <v>83</v>
      </c>
      <c r="B68" s="1" t="s">
        <v>165</v>
      </c>
      <c r="C68" s="4">
        <v>21.817641187627402</v>
      </c>
      <c r="D68" s="1">
        <f t="shared" si="1"/>
        <v>4.9728154345383428</v>
      </c>
      <c r="E68" s="1">
        <f t="shared" si="2"/>
        <v>93932.403397944989</v>
      </c>
      <c r="F68" s="26">
        <v>7.6388888888888895E-2</v>
      </c>
      <c r="G68" s="3" t="s">
        <v>202</v>
      </c>
      <c r="H68" s="3" t="s">
        <v>203</v>
      </c>
      <c r="I68" s="1" t="s">
        <v>223</v>
      </c>
      <c r="J68" s="1">
        <f t="shared" si="3"/>
        <v>117415504.24743122</v>
      </c>
      <c r="K68" s="12">
        <f t="shared" si="4"/>
        <v>117415504.24743122</v>
      </c>
      <c r="L68" s="36">
        <f t="shared" ref="L68" si="14">AVERAGE(K68:K70)</f>
        <v>121348028.97328895</v>
      </c>
      <c r="M68" s="37" t="s">
        <v>219</v>
      </c>
    </row>
    <row r="69" spans="1:13" x14ac:dyDescent="0.2">
      <c r="A69" s="2" t="s">
        <v>85</v>
      </c>
      <c r="B69" s="1" t="s">
        <v>165</v>
      </c>
      <c r="C69" s="4">
        <v>21.770039349533501</v>
      </c>
      <c r="D69" s="1">
        <f t="shared" si="1"/>
        <v>4.9867494406568049</v>
      </c>
      <c r="E69" s="1">
        <f t="shared" si="2"/>
        <v>96995.020833320479</v>
      </c>
      <c r="F69" s="26">
        <v>7.6388888888888895E-2</v>
      </c>
      <c r="G69" s="3" t="s">
        <v>202</v>
      </c>
      <c r="H69" s="3" t="s">
        <v>203</v>
      </c>
      <c r="I69" s="1" t="s">
        <v>223</v>
      </c>
      <c r="J69" s="1">
        <f t="shared" si="3"/>
        <v>121243776.04165061</v>
      </c>
      <c r="K69" s="12">
        <f t="shared" si="4"/>
        <v>121243776.04165061</v>
      </c>
      <c r="L69" s="37"/>
      <c r="M69" s="37"/>
    </row>
    <row r="70" spans="1:13" x14ac:dyDescent="0.2">
      <c r="A70" s="2" t="s">
        <v>86</v>
      </c>
      <c r="B70" s="1" t="s">
        <v>165</v>
      </c>
      <c r="C70" s="4">
        <v>21.720211989042799</v>
      </c>
      <c r="D70" s="1">
        <f t="shared" si="1"/>
        <v>5.0013349015075956</v>
      </c>
      <c r="E70" s="1">
        <f t="shared" si="2"/>
        <v>100307.84530462803</v>
      </c>
      <c r="F70" s="26">
        <v>7.6388888888888895E-2</v>
      </c>
      <c r="G70" s="3" t="s">
        <v>202</v>
      </c>
      <c r="H70" s="3" t="s">
        <v>203</v>
      </c>
      <c r="I70" s="1" t="s">
        <v>223</v>
      </c>
      <c r="J70" s="1">
        <f t="shared" si="3"/>
        <v>125384806.63078505</v>
      </c>
      <c r="K70" s="12">
        <f t="shared" si="4"/>
        <v>125384806.63078505</v>
      </c>
      <c r="L70" s="37"/>
      <c r="M70" s="37"/>
    </row>
    <row r="71" spans="1:13" x14ac:dyDescent="0.2">
      <c r="A71" s="2" t="s">
        <v>87</v>
      </c>
      <c r="B71" s="1" t="s">
        <v>166</v>
      </c>
      <c r="C71" s="4">
        <v>22.0457468035044</v>
      </c>
      <c r="D71" s="1">
        <f t="shared" si="1"/>
        <v>4.9060443774834503</v>
      </c>
      <c r="E71" s="1">
        <f t="shared" si="2"/>
        <v>80546.074133420669</v>
      </c>
      <c r="F71" s="26">
        <v>7.6388888888888895E-2</v>
      </c>
      <c r="G71" s="3" t="s">
        <v>202</v>
      </c>
      <c r="H71" s="3" t="s">
        <v>203</v>
      </c>
      <c r="I71" s="1" t="s">
        <v>223</v>
      </c>
      <c r="J71" s="1">
        <f t="shared" si="3"/>
        <v>100682592.66677584</v>
      </c>
      <c r="K71" s="12">
        <f t="shared" si="4"/>
        <v>100682592.66677584</v>
      </c>
      <c r="L71" s="36">
        <f t="shared" ref="L71" si="15">AVERAGE(K71:K73)</f>
        <v>97555353.416741788</v>
      </c>
      <c r="M71" s="37" t="s">
        <v>219</v>
      </c>
    </row>
    <row r="72" spans="1:13" x14ac:dyDescent="0.2">
      <c r="A72" s="2" t="s">
        <v>89</v>
      </c>
      <c r="B72" s="1" t="s">
        <v>166</v>
      </c>
      <c r="C72" s="4">
        <v>22.143456706508999</v>
      </c>
      <c r="D72" s="1">
        <f t="shared" si="1"/>
        <v>4.8774427427395421</v>
      </c>
      <c r="E72" s="1">
        <f t="shared" si="2"/>
        <v>75412.396580503118</v>
      </c>
      <c r="F72" s="26">
        <v>7.6388888888888895E-2</v>
      </c>
      <c r="G72" s="3" t="s">
        <v>202</v>
      </c>
      <c r="H72" s="3" t="s">
        <v>203</v>
      </c>
      <c r="I72" s="1" t="s">
        <v>223</v>
      </c>
      <c r="J72" s="1">
        <f t="shared" si="3"/>
        <v>94265495.725628898</v>
      </c>
      <c r="K72" s="12">
        <f t="shared" si="4"/>
        <v>94265495.725628898</v>
      </c>
      <c r="L72" s="37"/>
      <c r="M72" s="37"/>
    </row>
    <row r="73" spans="1:13" x14ac:dyDescent="0.2">
      <c r="A73" s="2" t="s">
        <v>90</v>
      </c>
      <c r="B73" s="1" t="s">
        <v>166</v>
      </c>
      <c r="C73" s="4">
        <v>22.090089347789601</v>
      </c>
      <c r="D73" s="1">
        <f t="shared" si="1"/>
        <v>4.8930644315796954</v>
      </c>
      <c r="E73" s="1">
        <f t="shared" si="2"/>
        <v>78174.377486256519</v>
      </c>
      <c r="F73" s="26">
        <v>7.6388888888888895E-2</v>
      </c>
      <c r="G73" s="3" t="s">
        <v>202</v>
      </c>
      <c r="H73" s="3" t="s">
        <v>203</v>
      </c>
      <c r="I73" s="1" t="s">
        <v>223</v>
      </c>
      <c r="J73" s="1">
        <f t="shared" si="3"/>
        <v>97717971.857820645</v>
      </c>
      <c r="K73" s="12">
        <f t="shared" si="4"/>
        <v>97717971.857820645</v>
      </c>
      <c r="L73" s="37"/>
      <c r="M73" s="37"/>
    </row>
    <row r="74" spans="1:13" x14ac:dyDescent="0.2">
      <c r="A74" s="2" t="s">
        <v>91</v>
      </c>
      <c r="B74" s="1" t="s">
        <v>167</v>
      </c>
      <c r="C74" s="4">
        <v>22.024442121642601</v>
      </c>
      <c r="D74" s="1">
        <f t="shared" si="1"/>
        <v>4.9122806821998477</v>
      </c>
      <c r="E74" s="1">
        <f t="shared" si="2"/>
        <v>81711.029475452116</v>
      </c>
      <c r="F74" s="26">
        <v>7.6388888888888895E-2</v>
      </c>
      <c r="G74" s="3" t="s">
        <v>202</v>
      </c>
      <c r="H74" s="3" t="s">
        <v>203</v>
      </c>
      <c r="I74" s="1" t="s">
        <v>223</v>
      </c>
      <c r="J74" s="1">
        <f t="shared" si="3"/>
        <v>102138786.84431514</v>
      </c>
      <c r="K74" s="12">
        <f t="shared" si="4"/>
        <v>102138786.84431514</v>
      </c>
      <c r="L74" s="36">
        <f t="shared" ref="L74" si="16">AVERAGE(K74:K76)</f>
        <v>102374702.42280756</v>
      </c>
      <c r="M74" s="37" t="s">
        <v>219</v>
      </c>
    </row>
    <row r="75" spans="1:13" x14ac:dyDescent="0.2">
      <c r="A75" s="2" t="s">
        <v>93</v>
      </c>
      <c r="B75" s="1" t="s">
        <v>167</v>
      </c>
      <c r="C75" s="4">
        <v>22.049615197106402</v>
      </c>
      <c r="D75" s="1">
        <f t="shared" si="1"/>
        <v>4.9049120216275153</v>
      </c>
      <c r="E75" s="1">
        <f t="shared" si="2"/>
        <v>80336.336220706959</v>
      </c>
      <c r="F75" s="26">
        <v>7.6388888888888895E-2</v>
      </c>
      <c r="G75" s="3" t="s">
        <v>202</v>
      </c>
      <c r="H75" s="3" t="s">
        <v>203</v>
      </c>
      <c r="I75" s="1" t="s">
        <v>223</v>
      </c>
      <c r="J75" s="1">
        <f t="shared" si="3"/>
        <v>100420420.2758837</v>
      </c>
      <c r="K75" s="12">
        <f t="shared" si="4"/>
        <v>100420420.2758837</v>
      </c>
      <c r="L75" s="37"/>
      <c r="M75" s="37"/>
    </row>
    <row r="76" spans="1:13" x14ac:dyDescent="0.2">
      <c r="A76" s="2" t="s">
        <v>94</v>
      </c>
      <c r="B76" s="1" t="s">
        <v>167</v>
      </c>
      <c r="C76" s="4">
        <v>21.989612814661299</v>
      </c>
      <c r="D76" s="1">
        <f t="shared" si="1"/>
        <v>4.9224759140650942</v>
      </c>
      <c r="E76" s="1">
        <f t="shared" si="2"/>
        <v>83651.920118579059</v>
      </c>
      <c r="F76" s="26">
        <v>7.6388888888888895E-2</v>
      </c>
      <c r="G76" s="3" t="s">
        <v>202</v>
      </c>
      <c r="H76" s="3" t="s">
        <v>203</v>
      </c>
      <c r="I76" s="1" t="s">
        <v>223</v>
      </c>
      <c r="J76" s="1">
        <f t="shared" si="3"/>
        <v>104564900.14822383</v>
      </c>
      <c r="K76" s="12">
        <f t="shared" si="4"/>
        <v>104564900.14822383</v>
      </c>
      <c r="L76" s="37"/>
      <c r="M76" s="37"/>
    </row>
    <row r="77" spans="1:13" x14ac:dyDescent="0.2">
      <c r="A77" s="2" t="s">
        <v>95</v>
      </c>
      <c r="B77" s="1" t="s">
        <v>168</v>
      </c>
      <c r="C77" s="4">
        <v>21.872530489502701</v>
      </c>
      <c r="D77" s="1">
        <f t="shared" si="1"/>
        <v>4.9567482426231946</v>
      </c>
      <c r="E77" s="1">
        <f t="shared" si="2"/>
        <v>90520.770639971408</v>
      </c>
      <c r="F77" s="26">
        <v>7.6388888888888895E-2</v>
      </c>
      <c r="G77" s="3" t="s">
        <v>202</v>
      </c>
      <c r="H77" s="3" t="s">
        <v>203</v>
      </c>
      <c r="I77" s="1" t="s">
        <v>223</v>
      </c>
      <c r="J77" s="1">
        <f t="shared" si="3"/>
        <v>113150963.29996425</v>
      </c>
      <c r="K77" s="12">
        <f t="shared" si="4"/>
        <v>113150963.29996425</v>
      </c>
      <c r="L77" s="36">
        <f t="shared" ref="L77" si="17">AVERAGE(K77:K79)</f>
        <v>115673406.40128531</v>
      </c>
      <c r="M77" s="37" t="s">
        <v>219</v>
      </c>
    </row>
    <row r="78" spans="1:13" x14ac:dyDescent="0.2">
      <c r="A78" s="2" t="s">
        <v>97</v>
      </c>
      <c r="B78" s="1" t="s">
        <v>168</v>
      </c>
      <c r="C78" s="4">
        <v>21.794352131829601</v>
      </c>
      <c r="D78" s="1">
        <f t="shared" si="1"/>
        <v>4.9796326050295248</v>
      </c>
      <c r="E78" s="1">
        <f t="shared" si="2"/>
        <v>95418.504385090942</v>
      </c>
      <c r="F78" s="26">
        <v>7.6388888888888895E-2</v>
      </c>
      <c r="G78" s="3" t="s">
        <v>202</v>
      </c>
      <c r="H78" s="3" t="s">
        <v>203</v>
      </c>
      <c r="I78" s="1" t="s">
        <v>223</v>
      </c>
      <c r="J78" s="1">
        <f t="shared" si="3"/>
        <v>119273130.48136367</v>
      </c>
      <c r="K78" s="12">
        <f t="shared" si="4"/>
        <v>119273130.48136367</v>
      </c>
      <c r="L78" s="37"/>
      <c r="M78" s="37"/>
    </row>
    <row r="79" spans="1:13" x14ac:dyDescent="0.2">
      <c r="A79" s="2" t="s">
        <v>98</v>
      </c>
      <c r="B79" s="1" t="s">
        <v>168</v>
      </c>
      <c r="C79" s="4">
        <v>21.853701301222902</v>
      </c>
      <c r="D79" s="1">
        <f t="shared" si="1"/>
        <v>4.9622599210625618</v>
      </c>
      <c r="E79" s="1">
        <f t="shared" si="2"/>
        <v>91676.900338022431</v>
      </c>
      <c r="F79" s="26">
        <v>7.6388888888888895E-2</v>
      </c>
      <c r="G79" s="3" t="s">
        <v>202</v>
      </c>
      <c r="H79" s="3" t="s">
        <v>203</v>
      </c>
      <c r="I79" s="1" t="s">
        <v>223</v>
      </c>
      <c r="J79" s="1">
        <f t="shared" si="3"/>
        <v>114596125.42252804</v>
      </c>
      <c r="K79" s="12">
        <f t="shared" si="4"/>
        <v>114596125.42252804</v>
      </c>
      <c r="L79" s="37"/>
      <c r="M79" s="37"/>
    </row>
    <row r="80" spans="1:13" x14ac:dyDescent="0.2">
      <c r="A80" s="2" t="s">
        <v>99</v>
      </c>
      <c r="B80" s="1" t="s">
        <v>169</v>
      </c>
      <c r="C80" s="4">
        <v>21.221265718978</v>
      </c>
      <c r="D80" s="1">
        <f t="shared" si="1"/>
        <v>5.1473864125049706</v>
      </c>
      <c r="E80" s="1">
        <f t="shared" si="2"/>
        <v>140406.24102263185</v>
      </c>
      <c r="F80" s="26">
        <v>7.6388888888888895E-2</v>
      </c>
      <c r="G80" s="3" t="s">
        <v>202</v>
      </c>
      <c r="H80" s="3" t="s">
        <v>203</v>
      </c>
      <c r="I80" s="1" t="s">
        <v>224</v>
      </c>
      <c r="J80" s="1">
        <f>(E80*50*50)/2.5</f>
        <v>140406241.02263182</v>
      </c>
      <c r="K80" s="12">
        <f t="shared" si="4"/>
        <v>140406241.02263182</v>
      </c>
      <c r="L80" s="36">
        <f t="shared" ref="L80" si="18">AVERAGE(K80:K82)</f>
        <v>116865138.4831906</v>
      </c>
      <c r="M80" s="37" t="s">
        <v>219</v>
      </c>
    </row>
    <row r="81" spans="1:13" x14ac:dyDescent="0.2">
      <c r="A81" s="2" t="s">
        <v>101</v>
      </c>
      <c r="B81" s="1" t="s">
        <v>169</v>
      </c>
      <c r="C81" s="4">
        <v>21.8102814429988</v>
      </c>
      <c r="D81" s="1">
        <f t="shared" si="1"/>
        <v>4.9749697783786573</v>
      </c>
      <c r="E81" s="1">
        <f t="shared" si="2"/>
        <v>94399.518340049312</v>
      </c>
      <c r="F81" s="26">
        <v>7.6388888888888895E-2</v>
      </c>
      <c r="G81" s="3" t="s">
        <v>202</v>
      </c>
      <c r="H81" s="3" t="s">
        <v>203</v>
      </c>
      <c r="I81" s="1" t="s">
        <v>224</v>
      </c>
      <c r="J81" s="1">
        <f t="shared" ref="J81:J82" si="19">(E81*50*50)/2.5</f>
        <v>94399518.340049312</v>
      </c>
      <c r="K81" s="12">
        <f t="shared" si="4"/>
        <v>94399518.340049312</v>
      </c>
      <c r="L81" s="37"/>
      <c r="M81" s="37"/>
    </row>
    <row r="82" spans="1:13" x14ac:dyDescent="0.2">
      <c r="A82" s="2" t="s">
        <v>102</v>
      </c>
      <c r="B82" s="1" t="s">
        <v>169</v>
      </c>
      <c r="C82" s="4">
        <v>21.507261455845601</v>
      </c>
      <c r="D82" s="1">
        <f t="shared" si="1"/>
        <v>5.0636697640111432</v>
      </c>
      <c r="E82" s="1">
        <f t="shared" si="2"/>
        <v>115789.65608689067</v>
      </c>
      <c r="F82" s="26">
        <v>7.6388888888888895E-2</v>
      </c>
      <c r="G82" s="3" t="s">
        <v>202</v>
      </c>
      <c r="H82" s="3" t="s">
        <v>203</v>
      </c>
      <c r="I82" s="1" t="s">
        <v>224</v>
      </c>
      <c r="J82" s="1">
        <f t="shared" si="19"/>
        <v>115789656.08689065</v>
      </c>
      <c r="K82" s="12">
        <f t="shared" si="4"/>
        <v>115789656.08689065</v>
      </c>
      <c r="L82" s="37"/>
      <c r="M82" s="37"/>
    </row>
    <row r="83" spans="1:13" x14ac:dyDescent="0.2">
      <c r="A83" s="2" t="s">
        <v>103</v>
      </c>
      <c r="B83" s="1" t="s">
        <v>170</v>
      </c>
      <c r="C83" s="4">
        <v>21.0842105951475</v>
      </c>
      <c r="D83" s="1">
        <f t="shared" si="1"/>
        <v>5.1875051770420368</v>
      </c>
      <c r="E83" s="1">
        <f t="shared" si="2"/>
        <v>153994.48829859772</v>
      </c>
      <c r="F83" s="26">
        <v>7.6388888888888895E-2</v>
      </c>
      <c r="G83" s="3" t="s">
        <v>202</v>
      </c>
      <c r="H83" s="3" t="s">
        <v>203</v>
      </c>
      <c r="I83" s="1" t="s">
        <v>223</v>
      </c>
      <c r="J83" s="1">
        <f t="shared" si="3"/>
        <v>192493110.37324715</v>
      </c>
      <c r="K83" s="12">
        <f t="shared" si="4"/>
        <v>192493110.37324715</v>
      </c>
      <c r="L83" s="36">
        <f t="shared" ref="L83" si="20">AVERAGE(K83:K85)</f>
        <v>197154148.66810182</v>
      </c>
      <c r="M83" s="37" t="s">
        <v>219</v>
      </c>
    </row>
    <row r="84" spans="1:13" x14ac:dyDescent="0.2">
      <c r="A84" s="2" t="s">
        <v>105</v>
      </c>
      <c r="B84" s="1" t="s">
        <v>170</v>
      </c>
      <c r="C84" s="4">
        <v>21.032153810616599</v>
      </c>
      <c r="D84" s="1">
        <f t="shared" si="1"/>
        <v>5.2027432347138891</v>
      </c>
      <c r="E84" s="1">
        <f t="shared" si="2"/>
        <v>159493.59041725512</v>
      </c>
      <c r="F84" s="26">
        <v>7.6388888888888895E-2</v>
      </c>
      <c r="G84" s="3" t="s">
        <v>202</v>
      </c>
      <c r="H84" s="3" t="s">
        <v>203</v>
      </c>
      <c r="I84" s="1" t="s">
        <v>223</v>
      </c>
      <c r="J84" s="1">
        <f t="shared" si="3"/>
        <v>199366988.02156889</v>
      </c>
      <c r="K84" s="12">
        <f t="shared" si="4"/>
        <v>199366988.02156889</v>
      </c>
      <c r="L84" s="37"/>
      <c r="M84" s="37"/>
    </row>
    <row r="85" spans="1:13" x14ac:dyDescent="0.2">
      <c r="A85" s="2" t="s">
        <v>106</v>
      </c>
      <c r="B85" s="1" t="s">
        <v>170</v>
      </c>
      <c r="C85" s="4">
        <v>21.030403341468499</v>
      </c>
      <c r="D85" s="1">
        <f t="shared" si="1"/>
        <v>5.203255631898462</v>
      </c>
      <c r="E85" s="1">
        <f t="shared" si="2"/>
        <v>159681.87808759153</v>
      </c>
      <c r="F85" s="26">
        <v>7.6388888888888895E-2</v>
      </c>
      <c r="G85" s="3" t="s">
        <v>202</v>
      </c>
      <c r="H85" s="3" t="s">
        <v>203</v>
      </c>
      <c r="I85" s="1" t="s">
        <v>223</v>
      </c>
      <c r="J85" s="1">
        <f t="shared" si="3"/>
        <v>199602347.60948941</v>
      </c>
      <c r="K85" s="12">
        <f t="shared" si="4"/>
        <v>199602347.60948941</v>
      </c>
      <c r="L85" s="37"/>
      <c r="M85" s="37"/>
    </row>
    <row r="86" spans="1:13" x14ac:dyDescent="0.2">
      <c r="A86" s="2" t="s">
        <v>107</v>
      </c>
      <c r="B86" s="1" t="s">
        <v>171</v>
      </c>
      <c r="C86" s="4">
        <v>22.175760579149699</v>
      </c>
      <c r="D86" s="1">
        <f t="shared" si="1"/>
        <v>4.8679867558060623</v>
      </c>
      <c r="E86" s="1">
        <f t="shared" si="2"/>
        <v>73788.172743076531</v>
      </c>
      <c r="F86" s="26">
        <v>7.6388888888888895E-2</v>
      </c>
      <c r="G86" s="3" t="s">
        <v>202</v>
      </c>
      <c r="H86" s="3" t="s">
        <v>203</v>
      </c>
      <c r="I86" s="1" t="s">
        <v>223</v>
      </c>
      <c r="J86" s="1">
        <f t="shared" si="3"/>
        <v>92235215.928845674</v>
      </c>
      <c r="K86" s="12">
        <f t="shared" si="4"/>
        <v>92235215.928845674</v>
      </c>
      <c r="L86" s="36">
        <f t="shared" ref="L86" si="21">AVERAGE(K86:K88)</f>
        <v>78315213.807379872</v>
      </c>
      <c r="M86" s="37" t="s">
        <v>219</v>
      </c>
    </row>
    <row r="87" spans="1:13" x14ac:dyDescent="0.2">
      <c r="A87" s="2" t="s">
        <v>109</v>
      </c>
      <c r="B87" s="1" t="s">
        <v>171</v>
      </c>
      <c r="C87" s="4">
        <v>22.584258628685699</v>
      </c>
      <c r="D87" s="1">
        <f t="shared" si="1"/>
        <v>4.748411240457556</v>
      </c>
      <c r="E87" s="1">
        <f t="shared" si="2"/>
        <v>56028.789603909652</v>
      </c>
      <c r="F87" s="26">
        <v>7.6388888888888895E-2</v>
      </c>
      <c r="G87" s="3" t="s">
        <v>202</v>
      </c>
      <c r="H87" s="3" t="s">
        <v>203</v>
      </c>
      <c r="I87" s="1" t="s">
        <v>223</v>
      </c>
      <c r="J87" s="1">
        <f t="shared" si="3"/>
        <v>70035987.004887074</v>
      </c>
      <c r="K87" s="12">
        <f t="shared" si="4"/>
        <v>70035987.004887074</v>
      </c>
      <c r="L87" s="37"/>
      <c r="M87" s="37"/>
    </row>
    <row r="88" spans="1:13" x14ac:dyDescent="0.2">
      <c r="A88" s="2" t="s">
        <v>110</v>
      </c>
      <c r="B88" s="1" t="s">
        <v>171</v>
      </c>
      <c r="C88" s="4">
        <v>22.529392422119901</v>
      </c>
      <c r="D88" s="1">
        <f t="shared" si="1"/>
        <v>4.7644716719156124</v>
      </c>
      <c r="E88" s="1">
        <f t="shared" si="2"/>
        <v>58139.550790725494</v>
      </c>
      <c r="F88" s="26">
        <v>7.6388888888888895E-2</v>
      </c>
      <c r="G88" s="3" t="s">
        <v>202</v>
      </c>
      <c r="H88" s="3" t="s">
        <v>203</v>
      </c>
      <c r="I88" s="1" t="s">
        <v>223</v>
      </c>
      <c r="J88" s="1">
        <f t="shared" si="3"/>
        <v>72674438.488406867</v>
      </c>
      <c r="K88" s="12">
        <f t="shared" si="4"/>
        <v>72674438.488406867</v>
      </c>
      <c r="L88" s="37"/>
      <c r="M88" s="37"/>
    </row>
    <row r="89" spans="1:13" x14ac:dyDescent="0.2">
      <c r="A89" s="2" t="s">
        <v>111</v>
      </c>
      <c r="B89" s="1" t="s">
        <v>172</v>
      </c>
      <c r="C89" s="4">
        <v>22.343710186338502</v>
      </c>
      <c r="D89" s="1">
        <f t="shared" si="1"/>
        <v>4.8188245606499498</v>
      </c>
      <c r="E89" s="1">
        <f t="shared" si="2"/>
        <v>65890.766647675453</v>
      </c>
      <c r="F89" s="26">
        <v>7.6388888888888895E-2</v>
      </c>
      <c r="G89" s="3" t="s">
        <v>202</v>
      </c>
      <c r="H89" s="3" t="s">
        <v>203</v>
      </c>
      <c r="I89" s="1" t="s">
        <v>223</v>
      </c>
      <c r="J89" s="1">
        <f t="shared" si="3"/>
        <v>82363458.309594318</v>
      </c>
      <c r="K89" s="12">
        <f t="shared" si="4"/>
        <v>82363458.309594318</v>
      </c>
      <c r="L89" s="36">
        <f t="shared" ref="L89" si="22">AVERAGE(K89:K91)</f>
        <v>87233130.295478523</v>
      </c>
      <c r="M89" s="37" t="s">
        <v>219</v>
      </c>
    </row>
    <row r="90" spans="1:13" x14ac:dyDescent="0.2">
      <c r="A90" s="2" t="s">
        <v>113</v>
      </c>
      <c r="B90" s="1" t="s">
        <v>172</v>
      </c>
      <c r="C90" s="4">
        <v>22.1751049333431</v>
      </c>
      <c r="D90" s="1">
        <f t="shared" si="1"/>
        <v>4.8681786763924624</v>
      </c>
      <c r="E90" s="1">
        <f t="shared" si="2"/>
        <v>73820.787937387242</v>
      </c>
      <c r="F90" s="26">
        <v>7.6388888888888895E-2</v>
      </c>
      <c r="G90" s="3" t="s">
        <v>202</v>
      </c>
      <c r="H90" s="3" t="s">
        <v>203</v>
      </c>
      <c r="I90" s="1" t="s">
        <v>223</v>
      </c>
      <c r="J90" s="1">
        <f t="shared" si="3"/>
        <v>92275984.921734065</v>
      </c>
      <c r="K90" s="12">
        <f t="shared" si="4"/>
        <v>92275984.921734065</v>
      </c>
      <c r="L90" s="37"/>
      <c r="M90" s="37"/>
    </row>
    <row r="91" spans="1:13" x14ac:dyDescent="0.2">
      <c r="A91" s="2" t="s">
        <v>114</v>
      </c>
      <c r="B91" s="1" t="s">
        <v>172</v>
      </c>
      <c r="C91" s="4">
        <v>22.261434172286499</v>
      </c>
      <c r="D91" s="1">
        <f t="shared" si="1"/>
        <v>4.8429083886933491</v>
      </c>
      <c r="E91" s="1">
        <f t="shared" si="2"/>
        <v>69647.958124085766</v>
      </c>
      <c r="F91" s="26">
        <v>7.6388888888888895E-2</v>
      </c>
      <c r="G91" s="3" t="s">
        <v>202</v>
      </c>
      <c r="H91" s="3" t="s">
        <v>203</v>
      </c>
      <c r="I91" s="1" t="s">
        <v>223</v>
      </c>
      <c r="J91" s="1">
        <f t="shared" si="3"/>
        <v>87059947.655107215</v>
      </c>
      <c r="K91" s="12">
        <f t="shared" si="4"/>
        <v>87059947.655107215</v>
      </c>
      <c r="L91" s="37"/>
      <c r="M91" s="37"/>
    </row>
  </sheetData>
  <mergeCells count="37">
    <mergeCell ref="L83:L85"/>
    <mergeCell ref="M83:M85"/>
    <mergeCell ref="L86:L88"/>
    <mergeCell ref="M86:M88"/>
    <mergeCell ref="L89:L91"/>
    <mergeCell ref="M89:M91"/>
    <mergeCell ref="L74:L76"/>
    <mergeCell ref="M74:M76"/>
    <mergeCell ref="L77:L79"/>
    <mergeCell ref="M77:M79"/>
    <mergeCell ref="L80:L82"/>
    <mergeCell ref="M80:M82"/>
    <mergeCell ref="L65:L67"/>
    <mergeCell ref="M65:M67"/>
    <mergeCell ref="L68:L70"/>
    <mergeCell ref="M68:M70"/>
    <mergeCell ref="L71:L73"/>
    <mergeCell ref="M71:M73"/>
    <mergeCell ref="L56:L58"/>
    <mergeCell ref="M56:M58"/>
    <mergeCell ref="L59:L61"/>
    <mergeCell ref="M59:M61"/>
    <mergeCell ref="L62:L64"/>
    <mergeCell ref="M62:M64"/>
    <mergeCell ref="L47:L49"/>
    <mergeCell ref="M47:M49"/>
    <mergeCell ref="L50:L52"/>
    <mergeCell ref="M50:M52"/>
    <mergeCell ref="L53:L55"/>
    <mergeCell ref="M53:M55"/>
    <mergeCell ref="L44:L46"/>
    <mergeCell ref="M44:M46"/>
    <mergeCell ref="S7:U8"/>
    <mergeCell ref="L38:L40"/>
    <mergeCell ref="M38:M40"/>
    <mergeCell ref="L41:L43"/>
    <mergeCell ref="M41:M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65BB-41E5-4A47-AE4D-26BAE89BED24}">
  <dimension ref="A1:U103"/>
  <sheetViews>
    <sheetView workbookViewId="0">
      <selection activeCell="D2" sqref="D2:D22"/>
    </sheetView>
  </sheetViews>
  <sheetFormatPr baseColWidth="10" defaultRowHeight="16" x14ac:dyDescent="0.2"/>
  <cols>
    <col min="1" max="1" width="5" bestFit="1" customWidth="1"/>
    <col min="2" max="2" width="14.33203125" bestFit="1" customWidth="1"/>
    <col min="3" max="3" width="6.6640625" bestFit="1" customWidth="1"/>
    <col min="4" max="4" width="21.6640625" bestFit="1" customWidth="1"/>
    <col min="5" max="5" width="10.33203125" bestFit="1" customWidth="1"/>
    <col min="6" max="6" width="4.6640625" bestFit="1" customWidth="1"/>
    <col min="7" max="7" width="9.1640625" bestFit="1" customWidth="1"/>
    <col min="8" max="8" width="13" bestFit="1" customWidth="1"/>
    <col min="9" max="9" width="14.33203125" bestFit="1" customWidth="1"/>
    <col min="10" max="10" width="12.6640625" bestFit="1" customWidth="1"/>
    <col min="13" max="13" width="13.1640625" bestFit="1" customWidth="1"/>
    <col min="14" max="14" width="5" bestFit="1" customWidth="1"/>
    <col min="15" max="15" width="8.33203125" bestFit="1" customWidth="1"/>
    <col min="16" max="16" width="9.83203125" bestFit="1" customWidth="1"/>
    <col min="17" max="17" width="5.6640625" bestFit="1" customWidth="1"/>
    <col min="21" max="21" width="13.1640625" bestFit="1" customWidth="1"/>
  </cols>
  <sheetData>
    <row r="1" spans="1:21" x14ac:dyDescent="0.2">
      <c r="A1" s="1" t="s">
        <v>0</v>
      </c>
      <c r="B1" s="1" t="s">
        <v>1</v>
      </c>
      <c r="C1" s="1" t="s">
        <v>154</v>
      </c>
      <c r="D1" s="1" t="s">
        <v>2</v>
      </c>
      <c r="N1" s="1" t="s">
        <v>0</v>
      </c>
      <c r="O1" s="3" t="s">
        <v>1</v>
      </c>
      <c r="P1" s="1" t="s">
        <v>194</v>
      </c>
      <c r="Q1" s="1" t="s">
        <v>2</v>
      </c>
    </row>
    <row r="2" spans="1:21" x14ac:dyDescent="0.2">
      <c r="A2" s="2" t="s">
        <v>3</v>
      </c>
      <c r="B2" s="1" t="s">
        <v>4</v>
      </c>
      <c r="C2" s="25">
        <f>LOG(P2)</f>
        <v>8.0136044023579664</v>
      </c>
      <c r="D2" s="4">
        <v>11.021033362555499</v>
      </c>
      <c r="N2" s="1" t="s">
        <v>3</v>
      </c>
      <c r="O2" s="3" t="s">
        <v>4</v>
      </c>
      <c r="P2" s="12">
        <v>103182109.45826009</v>
      </c>
      <c r="Q2" s="4">
        <v>11.021033362555499</v>
      </c>
    </row>
    <row r="3" spans="1:21" x14ac:dyDescent="0.2">
      <c r="A3" s="2" t="s">
        <v>5</v>
      </c>
      <c r="B3" s="1" t="s">
        <v>4</v>
      </c>
      <c r="C3" s="25">
        <f t="shared" ref="C3:C28" si="0">LOG(P3)</f>
        <v>8.0136044023579664</v>
      </c>
      <c r="D3" s="4">
        <v>11.1089217674403</v>
      </c>
      <c r="N3" s="1" t="s">
        <v>5</v>
      </c>
      <c r="O3" s="3" t="s">
        <v>4</v>
      </c>
      <c r="P3" s="12">
        <v>103182109.45826009</v>
      </c>
      <c r="Q3" s="4">
        <v>11.1089217674403</v>
      </c>
    </row>
    <row r="4" spans="1:21" x14ac:dyDescent="0.2">
      <c r="A4" s="2" t="s">
        <v>6</v>
      </c>
      <c r="B4" s="1" t="s">
        <v>4</v>
      </c>
      <c r="C4" s="25">
        <f t="shared" si="0"/>
        <v>8.0136044023579664</v>
      </c>
      <c r="D4" s="4">
        <v>11.005258890582599</v>
      </c>
      <c r="N4" s="1" t="s">
        <v>6</v>
      </c>
      <c r="O4" s="3" t="s">
        <v>4</v>
      </c>
      <c r="P4" s="12">
        <v>103182109.45826009</v>
      </c>
      <c r="Q4" s="4">
        <v>11.005258890582599</v>
      </c>
    </row>
    <row r="5" spans="1:21" x14ac:dyDescent="0.2">
      <c r="A5" s="2" t="s">
        <v>7</v>
      </c>
      <c r="B5" s="1" t="s">
        <v>8</v>
      </c>
      <c r="C5" s="25">
        <f t="shared" si="0"/>
        <v>7.0136044023579664</v>
      </c>
      <c r="D5" s="4">
        <v>15.078500795195501</v>
      </c>
      <c r="N5" s="1" t="s">
        <v>7</v>
      </c>
      <c r="O5" s="3" t="s">
        <v>8</v>
      </c>
      <c r="P5" s="12">
        <v>10318210.945826009</v>
      </c>
      <c r="Q5" s="4">
        <v>15.078500795195501</v>
      </c>
    </row>
    <row r="6" spans="1:21" ht="17" thickBot="1" x14ac:dyDescent="0.25">
      <c r="A6" s="2" t="s">
        <v>9</v>
      </c>
      <c r="B6" s="1" t="s">
        <v>8</v>
      </c>
      <c r="C6" s="25">
        <f t="shared" si="0"/>
        <v>7.0136044023579664</v>
      </c>
      <c r="D6" s="4">
        <v>14.962912985322401</v>
      </c>
      <c r="N6" s="1" t="s">
        <v>9</v>
      </c>
      <c r="O6" s="3" t="s">
        <v>8</v>
      </c>
      <c r="P6" s="12">
        <v>10318210.945826009</v>
      </c>
      <c r="Q6" s="4">
        <v>14.962912985322401</v>
      </c>
    </row>
    <row r="7" spans="1:21" x14ac:dyDescent="0.2">
      <c r="A7" s="2" t="s">
        <v>10</v>
      </c>
      <c r="B7" s="1" t="s">
        <v>8</v>
      </c>
      <c r="C7" s="25">
        <f t="shared" si="0"/>
        <v>7.0136044023579664</v>
      </c>
      <c r="D7" s="4">
        <v>14.816560335762</v>
      </c>
      <c r="N7" s="1" t="s">
        <v>10</v>
      </c>
      <c r="O7" s="3" t="s">
        <v>8</v>
      </c>
      <c r="P7" s="12">
        <v>10318210.945826009</v>
      </c>
      <c r="Q7" s="4">
        <v>14.816560335762</v>
      </c>
      <c r="S7" s="38" t="s">
        <v>225</v>
      </c>
      <c r="T7" s="39"/>
      <c r="U7" s="40"/>
    </row>
    <row r="8" spans="1:21" ht="17" thickBot="1" x14ac:dyDescent="0.25">
      <c r="A8" s="2" t="s">
        <v>11</v>
      </c>
      <c r="B8" s="1" t="s">
        <v>12</v>
      </c>
      <c r="C8" s="25">
        <f t="shared" si="0"/>
        <v>6.0136044023579664</v>
      </c>
      <c r="D8" s="4">
        <v>18.5214026357988</v>
      </c>
      <c r="N8" s="1" t="s">
        <v>11</v>
      </c>
      <c r="O8" s="3" t="s">
        <v>12</v>
      </c>
      <c r="P8" s="12">
        <v>1031821.0945826009</v>
      </c>
      <c r="Q8" s="4">
        <v>18.5214026357988</v>
      </c>
      <c r="S8" s="41"/>
      <c r="T8" s="42"/>
      <c r="U8" s="43"/>
    </row>
    <row r="9" spans="1:21" x14ac:dyDescent="0.2">
      <c r="A9" s="2" t="s">
        <v>13</v>
      </c>
      <c r="B9" s="1" t="s">
        <v>12</v>
      </c>
      <c r="C9" s="25">
        <f t="shared" si="0"/>
        <v>6.0136044023579664</v>
      </c>
      <c r="D9" s="4">
        <v>18.384412216561699</v>
      </c>
      <c r="N9" s="1" t="s">
        <v>13</v>
      </c>
      <c r="O9" s="3" t="s">
        <v>12</v>
      </c>
      <c r="P9" s="12">
        <v>1031821.0945826009</v>
      </c>
      <c r="Q9" s="4">
        <v>18.384412216561699</v>
      </c>
    </row>
    <row r="10" spans="1:21" x14ac:dyDescent="0.2">
      <c r="A10" s="2" t="s">
        <v>14</v>
      </c>
      <c r="B10" s="1" t="s">
        <v>12</v>
      </c>
      <c r="C10" s="25">
        <f t="shared" si="0"/>
        <v>6.0136044023579664</v>
      </c>
      <c r="D10" s="4">
        <v>18.432294398395999</v>
      </c>
      <c r="N10" s="1" t="s">
        <v>14</v>
      </c>
      <c r="O10" s="3" t="s">
        <v>12</v>
      </c>
      <c r="P10" s="12">
        <v>1031821.0945826009</v>
      </c>
      <c r="Q10" s="4">
        <v>18.432294398395999</v>
      </c>
      <c r="S10">
        <f>SLOPE(D2:D24,C2:C24)</f>
        <v>-3.3664263236912602</v>
      </c>
    </row>
    <row r="11" spans="1:21" x14ac:dyDescent="0.2">
      <c r="A11" s="2" t="s">
        <v>15</v>
      </c>
      <c r="B11" s="1" t="s">
        <v>16</v>
      </c>
      <c r="C11" s="25">
        <f t="shared" si="0"/>
        <v>5.0136044023579664</v>
      </c>
      <c r="D11" s="4">
        <v>21.729305118593</v>
      </c>
      <c r="N11" s="1" t="s">
        <v>15</v>
      </c>
      <c r="O11" s="3" t="s">
        <v>16</v>
      </c>
      <c r="P11" s="12">
        <v>103182.10945826009</v>
      </c>
      <c r="Q11" s="4">
        <v>21.729305118593</v>
      </c>
      <c r="S11">
        <f>INTERCEPT(D2:D22,C2:C22)</f>
        <v>38.871642881404732</v>
      </c>
    </row>
    <row r="12" spans="1:21" x14ac:dyDescent="0.2">
      <c r="A12" s="2" t="s">
        <v>17</v>
      </c>
      <c r="B12" s="1" t="s">
        <v>16</v>
      </c>
      <c r="C12" s="25">
        <f t="shared" si="0"/>
        <v>5.0136044023579664</v>
      </c>
      <c r="D12" s="4">
        <v>21.845148541198199</v>
      </c>
      <c r="N12" s="1" t="s">
        <v>17</v>
      </c>
      <c r="O12" s="3" t="s">
        <v>16</v>
      </c>
      <c r="P12" s="12">
        <v>103182.10945826009</v>
      </c>
      <c r="Q12" s="4">
        <v>21.845148541198199</v>
      </c>
      <c r="S12" s="1">
        <f>-1+10^(-1/S10)</f>
        <v>0.98175931921580895</v>
      </c>
    </row>
    <row r="13" spans="1:21" x14ac:dyDescent="0.2">
      <c r="A13" s="2" t="s">
        <v>18</v>
      </c>
      <c r="B13" s="1" t="s">
        <v>16</v>
      </c>
      <c r="C13" s="25">
        <f t="shared" si="0"/>
        <v>5.0136044023579664</v>
      </c>
      <c r="D13" s="4">
        <v>21.732613700760801</v>
      </c>
      <c r="N13" s="1" t="s">
        <v>18</v>
      </c>
      <c r="O13" s="3" t="s">
        <v>16</v>
      </c>
      <c r="P13" s="12">
        <v>103182.10945826009</v>
      </c>
      <c r="Q13" s="4">
        <v>21.732613700760801</v>
      </c>
      <c r="S13" s="35">
        <f>RSQ(D2:D19,C2:C19)</f>
        <v>0.9990037873926626</v>
      </c>
    </row>
    <row r="14" spans="1:21" x14ac:dyDescent="0.2">
      <c r="A14" s="2" t="s">
        <v>19</v>
      </c>
      <c r="B14" s="1" t="s">
        <v>20</v>
      </c>
      <c r="C14" s="25">
        <f t="shared" si="0"/>
        <v>4.0136044023579664</v>
      </c>
      <c r="D14" s="4">
        <v>25.003676669119798</v>
      </c>
      <c r="N14" s="1" t="s">
        <v>19</v>
      </c>
      <c r="O14" s="3" t="s">
        <v>20</v>
      </c>
      <c r="P14" s="12">
        <v>10318.210945826009</v>
      </c>
      <c r="Q14" s="4">
        <v>25.003676669119798</v>
      </c>
    </row>
    <row r="15" spans="1:21" x14ac:dyDescent="0.2">
      <c r="A15" s="2" t="s">
        <v>21</v>
      </c>
      <c r="B15" s="1" t="s">
        <v>20</v>
      </c>
      <c r="C15" s="25">
        <f t="shared" si="0"/>
        <v>4.0136044023579664</v>
      </c>
      <c r="D15" s="4">
        <v>25.043929421731601</v>
      </c>
      <c r="N15" s="1" t="s">
        <v>21</v>
      </c>
      <c r="O15" s="3" t="s">
        <v>20</v>
      </c>
      <c r="P15" s="12">
        <v>10318.210945826009</v>
      </c>
      <c r="Q15" s="4">
        <v>25.043929421731601</v>
      </c>
    </row>
    <row r="16" spans="1:21" x14ac:dyDescent="0.2">
      <c r="A16" s="2" t="s">
        <v>22</v>
      </c>
      <c r="B16" s="1" t="s">
        <v>20</v>
      </c>
      <c r="C16" s="25">
        <f t="shared" si="0"/>
        <v>4.0136044023579664</v>
      </c>
      <c r="D16" s="4">
        <v>25.305884642506701</v>
      </c>
      <c r="N16" s="1" t="s">
        <v>22</v>
      </c>
      <c r="O16" s="3" t="s">
        <v>20</v>
      </c>
      <c r="P16" s="12">
        <v>10318.210945826009</v>
      </c>
      <c r="Q16" s="4">
        <v>25.305884642506701</v>
      </c>
    </row>
    <row r="17" spans="1:17" x14ac:dyDescent="0.2">
      <c r="A17" s="2" t="s">
        <v>23</v>
      </c>
      <c r="B17" s="1" t="s">
        <v>24</v>
      </c>
      <c r="C17" s="25">
        <f t="shared" si="0"/>
        <v>3.0136044023579664</v>
      </c>
      <c r="D17" s="4">
        <v>28.6615475484389</v>
      </c>
      <c r="N17" s="1" t="s">
        <v>23</v>
      </c>
      <c r="O17" s="3" t="s">
        <v>24</v>
      </c>
      <c r="P17" s="12">
        <v>1031.8210945826008</v>
      </c>
      <c r="Q17" s="4">
        <v>28.6615475484389</v>
      </c>
    </row>
    <row r="18" spans="1:17" x14ac:dyDescent="0.2">
      <c r="A18" s="2" t="s">
        <v>25</v>
      </c>
      <c r="B18" s="1" t="s">
        <v>24</v>
      </c>
      <c r="C18" s="25">
        <f t="shared" si="0"/>
        <v>3.0136044023579664</v>
      </c>
      <c r="D18" s="4">
        <v>28.567323144790901</v>
      </c>
      <c r="N18" s="1" t="s">
        <v>25</v>
      </c>
      <c r="O18" s="3" t="s">
        <v>24</v>
      </c>
      <c r="P18" s="12">
        <v>1031.8210945826008</v>
      </c>
      <c r="Q18" s="4">
        <v>28.567323144790901</v>
      </c>
    </row>
    <row r="19" spans="1:17" x14ac:dyDescent="0.2">
      <c r="A19" s="2" t="s">
        <v>26</v>
      </c>
      <c r="B19" s="1" t="s">
        <v>24</v>
      </c>
      <c r="C19" s="25">
        <f t="shared" si="0"/>
        <v>3.0136044023579664</v>
      </c>
      <c r="D19" s="4">
        <v>28.3937279631199</v>
      </c>
      <c r="N19" s="1" t="s">
        <v>26</v>
      </c>
      <c r="O19" s="3" t="s">
        <v>24</v>
      </c>
      <c r="P19" s="12">
        <v>1031.8210945826008</v>
      </c>
      <c r="Q19" s="4">
        <v>28.3937279631199</v>
      </c>
    </row>
    <row r="20" spans="1:17" x14ac:dyDescent="0.2">
      <c r="A20" s="2" t="s">
        <v>27</v>
      </c>
      <c r="B20" s="1" t="s">
        <v>28</v>
      </c>
      <c r="C20" s="25">
        <f t="shared" si="0"/>
        <v>2.0136044023579664</v>
      </c>
      <c r="D20" s="4">
        <v>31.922063793430901</v>
      </c>
      <c r="N20" s="1" t="s">
        <v>27</v>
      </c>
      <c r="O20" s="3" t="s">
        <v>28</v>
      </c>
      <c r="P20" s="12">
        <v>103.18210945826009</v>
      </c>
      <c r="Q20" s="4">
        <v>31.922063793430901</v>
      </c>
    </row>
    <row r="21" spans="1:17" x14ac:dyDescent="0.2">
      <c r="A21" s="2" t="s">
        <v>29</v>
      </c>
      <c r="B21" s="1" t="s">
        <v>28</v>
      </c>
      <c r="C21" s="25">
        <f t="shared" si="0"/>
        <v>2.0136044023579664</v>
      </c>
      <c r="D21" s="4">
        <v>31.361593009020702</v>
      </c>
      <c r="N21" s="1" t="s">
        <v>29</v>
      </c>
      <c r="O21" s="3" t="s">
        <v>28</v>
      </c>
      <c r="P21" s="12">
        <v>103.18210945826009</v>
      </c>
      <c r="Q21" s="4">
        <v>31.361593009020702</v>
      </c>
    </row>
    <row r="22" spans="1:17" x14ac:dyDescent="0.2">
      <c r="A22" s="2" t="s">
        <v>30</v>
      </c>
      <c r="B22" s="1" t="s">
        <v>28</v>
      </c>
      <c r="C22" s="25">
        <f t="shared" si="0"/>
        <v>2.0136044023579664</v>
      </c>
      <c r="D22" s="4">
        <v>32.092319190348</v>
      </c>
      <c r="N22" s="1" t="s">
        <v>30</v>
      </c>
      <c r="O22" s="3" t="s">
        <v>28</v>
      </c>
      <c r="P22" s="12">
        <v>103.18210945826009</v>
      </c>
      <c r="Q22" s="4">
        <v>32.092319190348</v>
      </c>
    </row>
    <row r="23" spans="1:17" x14ac:dyDescent="0.2">
      <c r="A23" s="2" t="s">
        <v>31</v>
      </c>
      <c r="B23" s="1" t="s">
        <v>32</v>
      </c>
      <c r="C23" s="25">
        <f t="shared" si="0"/>
        <v>1.0136044023579664</v>
      </c>
      <c r="D23" s="4"/>
      <c r="N23" s="1" t="s">
        <v>31</v>
      </c>
      <c r="O23" s="3" t="s">
        <v>32</v>
      </c>
      <c r="P23" s="12">
        <v>10.318210945826008</v>
      </c>
      <c r="Q23" s="4"/>
    </row>
    <row r="24" spans="1:17" x14ac:dyDescent="0.2">
      <c r="A24" s="2" t="s">
        <v>33</v>
      </c>
      <c r="B24" s="1" t="s">
        <v>32</v>
      </c>
      <c r="C24" s="25">
        <f t="shared" si="0"/>
        <v>1.0136044023579664</v>
      </c>
      <c r="D24" s="4">
        <v>33.694817249017902</v>
      </c>
      <c r="N24" s="1" t="s">
        <v>33</v>
      </c>
      <c r="O24" s="3" t="s">
        <v>32</v>
      </c>
      <c r="P24" s="12">
        <v>10.318210945826008</v>
      </c>
      <c r="Q24" s="4">
        <v>33.694817249017902</v>
      </c>
    </row>
    <row r="25" spans="1:17" x14ac:dyDescent="0.2">
      <c r="A25" s="2" t="s">
        <v>34</v>
      </c>
      <c r="B25" s="1" t="s">
        <v>32</v>
      </c>
      <c r="C25" s="25">
        <f t="shared" si="0"/>
        <v>1.0136044023579664</v>
      </c>
      <c r="D25" s="4">
        <v>38.116476938816</v>
      </c>
      <c r="N25" s="1" t="s">
        <v>34</v>
      </c>
      <c r="O25" s="3" t="s">
        <v>32</v>
      </c>
      <c r="P25" s="12">
        <v>10.318210945826008</v>
      </c>
      <c r="Q25" s="4">
        <v>38.116476938816</v>
      </c>
    </row>
    <row r="26" spans="1:17" x14ac:dyDescent="0.2">
      <c r="A26" s="2" t="s">
        <v>35</v>
      </c>
      <c r="B26" s="1" t="s">
        <v>36</v>
      </c>
      <c r="C26" s="25">
        <f t="shared" si="0"/>
        <v>1.3604402357966342E-2</v>
      </c>
      <c r="D26" s="4"/>
      <c r="N26" s="1" t="s">
        <v>35</v>
      </c>
      <c r="O26" s="3" t="s">
        <v>36</v>
      </c>
      <c r="P26" s="12">
        <v>1.0318210945826007</v>
      </c>
    </row>
    <row r="27" spans="1:17" x14ac:dyDescent="0.2">
      <c r="A27" s="2" t="s">
        <v>37</v>
      </c>
      <c r="B27" s="1" t="s">
        <v>36</v>
      </c>
      <c r="C27" s="25">
        <f t="shared" si="0"/>
        <v>1.3604402357966342E-2</v>
      </c>
      <c r="D27" s="4"/>
      <c r="N27" s="1" t="s">
        <v>37</v>
      </c>
      <c r="O27" s="3" t="s">
        <v>36</v>
      </c>
      <c r="P27" s="12">
        <v>1.0318210945826007</v>
      </c>
    </row>
    <row r="28" spans="1:17" x14ac:dyDescent="0.2">
      <c r="A28" s="2" t="s">
        <v>38</v>
      </c>
      <c r="B28" s="1" t="s">
        <v>36</v>
      </c>
      <c r="C28" s="25">
        <f t="shared" si="0"/>
        <v>1.3604402357966342E-2</v>
      </c>
      <c r="D28" s="4"/>
      <c r="N28" s="1" t="s">
        <v>38</v>
      </c>
      <c r="O28" s="3" t="s">
        <v>36</v>
      </c>
      <c r="P28" s="12">
        <v>1.0318210945826007</v>
      </c>
    </row>
    <row r="29" spans="1:17" x14ac:dyDescent="0.2">
      <c r="A29" s="2" t="s">
        <v>39</v>
      </c>
      <c r="B29" s="1" t="s">
        <v>40</v>
      </c>
      <c r="C29" s="1" t="s">
        <v>131</v>
      </c>
      <c r="D29" s="4"/>
      <c r="N29" s="1" t="s">
        <v>39</v>
      </c>
      <c r="O29" s="3" t="s">
        <v>40</v>
      </c>
      <c r="P29" s="1" t="s">
        <v>131</v>
      </c>
    </row>
    <row r="30" spans="1:17" x14ac:dyDescent="0.2">
      <c r="A30" s="2" t="s">
        <v>41</v>
      </c>
      <c r="B30" s="1" t="s">
        <v>40</v>
      </c>
      <c r="C30" s="1" t="s">
        <v>131</v>
      </c>
      <c r="D30" s="4"/>
      <c r="N30" s="1" t="s">
        <v>41</v>
      </c>
      <c r="O30" s="3" t="s">
        <v>40</v>
      </c>
      <c r="P30" s="1" t="s">
        <v>131</v>
      </c>
    </row>
    <row r="31" spans="1:17" x14ac:dyDescent="0.2">
      <c r="A31" s="2" t="s">
        <v>42</v>
      </c>
      <c r="B31" s="1" t="s">
        <v>40</v>
      </c>
      <c r="C31" s="1" t="s">
        <v>131</v>
      </c>
      <c r="D31" s="4"/>
      <c r="N31" s="1" t="s">
        <v>42</v>
      </c>
      <c r="O31" s="3" t="s">
        <v>40</v>
      </c>
      <c r="P31" s="1" t="s">
        <v>131</v>
      </c>
    </row>
    <row r="36" spans="1:21" x14ac:dyDescent="0.2">
      <c r="T36" s="12"/>
    </row>
    <row r="37" spans="1:21" x14ac:dyDescent="0.2">
      <c r="A37" s="1" t="s">
        <v>0</v>
      </c>
      <c r="B37" s="1" t="s">
        <v>1</v>
      </c>
      <c r="C37" s="1" t="s">
        <v>2</v>
      </c>
      <c r="D37" s="3" t="s">
        <v>225</v>
      </c>
      <c r="E37" s="3" t="s">
        <v>195</v>
      </c>
      <c r="F37" s="3" t="s">
        <v>196</v>
      </c>
      <c r="G37" s="3" t="s">
        <v>197</v>
      </c>
      <c r="H37" s="3" t="s">
        <v>198</v>
      </c>
      <c r="I37" s="3" t="s">
        <v>199</v>
      </c>
      <c r="J37" s="3"/>
      <c r="K37" s="3"/>
      <c r="L37" s="3" t="s">
        <v>200</v>
      </c>
      <c r="S37" s="1"/>
      <c r="T37" s="12"/>
      <c r="U37" s="1"/>
    </row>
    <row r="38" spans="1:21" x14ac:dyDescent="0.2">
      <c r="A38" s="2" t="s">
        <v>43</v>
      </c>
      <c r="B38" s="1" t="s">
        <v>132</v>
      </c>
      <c r="C38" s="4">
        <v>35.543007730003097</v>
      </c>
      <c r="D38" s="27">
        <f>(C38-$S$11)/$S$10</f>
        <v>0.98877409791395998</v>
      </c>
      <c r="E38" s="28">
        <f>10^D38</f>
        <v>9.7448262017726535</v>
      </c>
      <c r="F38" s="26">
        <v>7.6388888888888895E-2</v>
      </c>
      <c r="G38" s="3" t="s">
        <v>202</v>
      </c>
      <c r="H38" s="3" t="s">
        <v>203</v>
      </c>
      <c r="I38" s="12" t="s">
        <v>205</v>
      </c>
      <c r="J38" s="24">
        <f>(E38*50*50)/5</f>
        <v>4872.4131008863269</v>
      </c>
      <c r="K38" s="12">
        <f>J38</f>
        <v>4872.4131008863269</v>
      </c>
      <c r="L38" s="36">
        <f>AVERAGE(K38:K40)</f>
        <v>3582.1440816027753</v>
      </c>
      <c r="M38" s="37" t="s">
        <v>219</v>
      </c>
      <c r="S38" s="1"/>
      <c r="T38" s="12"/>
      <c r="U38" s="1"/>
    </row>
    <row r="39" spans="1:21" x14ac:dyDescent="0.2">
      <c r="A39" s="2" t="s">
        <v>45</v>
      </c>
      <c r="B39" s="1" t="s">
        <v>132</v>
      </c>
      <c r="C39" s="4">
        <v>36.942889420819199</v>
      </c>
      <c r="D39" s="27">
        <f t="shared" ref="D39:D102" si="1">(C39-$S$11)/$S$10</f>
        <v>0.57293796897080751</v>
      </c>
      <c r="E39" s="28">
        <f t="shared" ref="E39:E102" si="2">10^D39</f>
        <v>3.7405715722800728</v>
      </c>
      <c r="F39" s="26">
        <v>7.6388888888888895E-2</v>
      </c>
      <c r="G39" s="3" t="s">
        <v>202</v>
      </c>
      <c r="H39" s="3" t="s">
        <v>203</v>
      </c>
      <c r="I39" s="12" t="s">
        <v>205</v>
      </c>
      <c r="J39" s="24">
        <f t="shared" ref="J39:J40" si="3">(E39*50*50)/5</f>
        <v>1870.2857861400364</v>
      </c>
      <c r="K39" s="12">
        <f t="shared" ref="K39:K76" si="4">J39</f>
        <v>1870.2857861400364</v>
      </c>
      <c r="L39" s="37"/>
      <c r="M39" s="37"/>
      <c r="S39" s="1"/>
      <c r="T39" s="12"/>
      <c r="U39" s="1"/>
    </row>
    <row r="40" spans="1:21" x14ac:dyDescent="0.2">
      <c r="A40" s="2" t="s">
        <v>46</v>
      </c>
      <c r="B40" s="1" t="s">
        <v>132</v>
      </c>
      <c r="C40" s="4">
        <v>35.830093051649399</v>
      </c>
      <c r="D40" s="27">
        <f t="shared" si="1"/>
        <v>0.90349514211863013</v>
      </c>
      <c r="E40" s="28">
        <f t="shared" si="2"/>
        <v>8.0074667155639272</v>
      </c>
      <c r="F40" s="26">
        <v>7.6388888888888895E-2</v>
      </c>
      <c r="G40" s="3" t="s">
        <v>202</v>
      </c>
      <c r="H40" s="3" t="s">
        <v>203</v>
      </c>
      <c r="I40" s="12" t="s">
        <v>205</v>
      </c>
      <c r="J40" s="24">
        <f t="shared" si="3"/>
        <v>4003.7333577819636</v>
      </c>
      <c r="K40" s="12">
        <f t="shared" si="4"/>
        <v>4003.7333577819636</v>
      </c>
      <c r="L40" s="37"/>
      <c r="M40" s="37"/>
    </row>
    <row r="41" spans="1:21" x14ac:dyDescent="0.2">
      <c r="A41" s="2" t="s">
        <v>47</v>
      </c>
      <c r="B41" s="1" t="s">
        <v>133</v>
      </c>
      <c r="C41" s="4">
        <v>22.413842856148499</v>
      </c>
      <c r="D41" s="27">
        <f t="shared" si="1"/>
        <v>4.8888044599206868</v>
      </c>
      <c r="E41" s="28">
        <f t="shared" si="2"/>
        <v>77411.317667004652</v>
      </c>
      <c r="F41" s="26">
        <v>7.6388888888888895E-2</v>
      </c>
      <c r="G41" s="3" t="s">
        <v>202</v>
      </c>
      <c r="H41" s="3" t="s">
        <v>203</v>
      </c>
      <c r="I41" s="1" t="s">
        <v>223</v>
      </c>
      <c r="J41" s="24">
        <f>(E41*50*50)/2</f>
        <v>96764147.083755821</v>
      </c>
      <c r="K41" s="12">
        <f t="shared" si="4"/>
        <v>96764147.083755821</v>
      </c>
      <c r="L41" s="36">
        <f t="shared" ref="L41" si="5">AVERAGE(K41:K43)</f>
        <v>95315796.183217958</v>
      </c>
      <c r="M41" s="37" t="s">
        <v>219</v>
      </c>
    </row>
    <row r="42" spans="1:21" x14ac:dyDescent="0.2">
      <c r="A42" s="2" t="s">
        <v>49</v>
      </c>
      <c r="B42" s="1" t="s">
        <v>133</v>
      </c>
      <c r="C42" s="4">
        <v>22.3864318950571</v>
      </c>
      <c r="D42" s="27">
        <f t="shared" si="1"/>
        <v>4.8969469108332442</v>
      </c>
      <c r="E42" s="28">
        <f t="shared" si="2"/>
        <v>78876.369141829025</v>
      </c>
      <c r="F42" s="26">
        <v>7.6388888888888895E-2</v>
      </c>
      <c r="G42" s="3" t="s">
        <v>202</v>
      </c>
      <c r="H42" s="3" t="s">
        <v>203</v>
      </c>
      <c r="I42" s="1" t="s">
        <v>223</v>
      </c>
      <c r="J42" s="24">
        <f t="shared" ref="J42:J76" si="6">(E42*50*50)/2</f>
        <v>98595461.427286282</v>
      </c>
      <c r="K42" s="12">
        <f t="shared" si="4"/>
        <v>98595461.427286282</v>
      </c>
      <c r="L42" s="37"/>
      <c r="M42" s="37"/>
    </row>
    <row r="43" spans="1:21" x14ac:dyDescent="0.2">
      <c r="A43" s="2" t="s">
        <v>50</v>
      </c>
      <c r="B43" s="1" t="s">
        <v>133</v>
      </c>
      <c r="C43" s="4">
        <v>22.510273653572401</v>
      </c>
      <c r="D43" s="27">
        <f t="shared" si="1"/>
        <v>4.8601596038769737</v>
      </c>
      <c r="E43" s="28">
        <f t="shared" si="2"/>
        <v>72470.22403088944</v>
      </c>
      <c r="F43" s="26">
        <v>7.6388888888888895E-2</v>
      </c>
      <c r="G43" s="3" t="s">
        <v>202</v>
      </c>
      <c r="H43" s="3" t="s">
        <v>203</v>
      </c>
      <c r="I43" s="1" t="s">
        <v>223</v>
      </c>
      <c r="J43" s="24">
        <f t="shared" si="6"/>
        <v>90587780.038611799</v>
      </c>
      <c r="K43" s="12">
        <f t="shared" si="4"/>
        <v>90587780.038611799</v>
      </c>
      <c r="L43" s="37"/>
      <c r="M43" s="37"/>
    </row>
    <row r="44" spans="1:21" x14ac:dyDescent="0.2">
      <c r="A44" s="5" t="s">
        <v>51</v>
      </c>
      <c r="B44" s="6" t="s">
        <v>134</v>
      </c>
      <c r="C44" s="17">
        <v>32.971264867298501</v>
      </c>
      <c r="D44" s="30">
        <f t="shared" si="1"/>
        <v>1.7527126533506048</v>
      </c>
      <c r="E44" s="31">
        <f t="shared" si="2"/>
        <v>56.586476632525212</v>
      </c>
      <c r="F44" s="29">
        <v>7.6388888888888895E-2</v>
      </c>
      <c r="G44" s="15" t="s">
        <v>202</v>
      </c>
      <c r="H44" s="15" t="s">
        <v>203</v>
      </c>
      <c r="I44" s="6" t="s">
        <v>223</v>
      </c>
      <c r="J44" s="32">
        <f t="shared" si="6"/>
        <v>70733.095790656516</v>
      </c>
      <c r="K44" s="33">
        <f t="shared" si="4"/>
        <v>70733.095790656516</v>
      </c>
      <c r="L44" s="44">
        <f t="shared" ref="L44" si="7">AVERAGE(K44:K46)</f>
        <v>72977.150229904728</v>
      </c>
      <c r="M44" s="45" t="s">
        <v>219</v>
      </c>
    </row>
    <row r="45" spans="1:21" x14ac:dyDescent="0.2">
      <c r="A45" s="5" t="s">
        <v>53</v>
      </c>
      <c r="B45" s="6" t="s">
        <v>134</v>
      </c>
      <c r="C45" s="17">
        <v>32.781771877388003</v>
      </c>
      <c r="D45" s="30">
        <f t="shared" si="1"/>
        <v>1.8090017182788758</v>
      </c>
      <c r="E45" s="31">
        <f t="shared" si="2"/>
        <v>64.417181416517707</v>
      </c>
      <c r="F45" s="29">
        <v>7.6388888888888895E-2</v>
      </c>
      <c r="G45" s="15" t="s">
        <v>202</v>
      </c>
      <c r="H45" s="15" t="s">
        <v>203</v>
      </c>
      <c r="I45" s="6" t="s">
        <v>223</v>
      </c>
      <c r="J45" s="32">
        <f t="shared" si="6"/>
        <v>80521.476770647132</v>
      </c>
      <c r="K45" s="33">
        <f t="shared" si="4"/>
        <v>80521.476770647132</v>
      </c>
      <c r="L45" s="45"/>
      <c r="M45" s="45"/>
    </row>
    <row r="46" spans="1:21" x14ac:dyDescent="0.2">
      <c r="A46" s="5" t="s">
        <v>54</v>
      </c>
      <c r="B46" s="6" t="s">
        <v>134</v>
      </c>
      <c r="C46" s="17">
        <v>33.035840833494802</v>
      </c>
      <c r="D46" s="30">
        <f t="shared" si="1"/>
        <v>1.7335303038835017</v>
      </c>
      <c r="E46" s="31">
        <f t="shared" si="2"/>
        <v>54.141502502728443</v>
      </c>
      <c r="F46" s="29">
        <v>7.6388888888888895E-2</v>
      </c>
      <c r="G46" s="15" t="s">
        <v>202</v>
      </c>
      <c r="H46" s="15" t="s">
        <v>203</v>
      </c>
      <c r="I46" s="6" t="s">
        <v>223</v>
      </c>
      <c r="J46" s="32">
        <f t="shared" si="6"/>
        <v>67676.87812841055</v>
      </c>
      <c r="K46" s="33">
        <f t="shared" si="4"/>
        <v>67676.87812841055</v>
      </c>
      <c r="L46" s="45"/>
      <c r="M46" s="45"/>
    </row>
    <row r="47" spans="1:21" x14ac:dyDescent="0.2">
      <c r="A47" s="7" t="s">
        <v>55</v>
      </c>
      <c r="B47" s="8" t="s">
        <v>135</v>
      </c>
      <c r="C47" s="4">
        <v>22.101516836950299</v>
      </c>
      <c r="D47" s="27">
        <f t="shared" si="1"/>
        <v>4.9815811878710958</v>
      </c>
      <c r="E47" s="28">
        <f t="shared" si="2"/>
        <v>95847.587893958247</v>
      </c>
      <c r="F47" s="26">
        <v>7.6388888888888895E-2</v>
      </c>
      <c r="G47" s="3" t="s">
        <v>202</v>
      </c>
      <c r="H47" s="3" t="s">
        <v>203</v>
      </c>
      <c r="I47" s="1" t="s">
        <v>223</v>
      </c>
      <c r="J47" s="24">
        <f t="shared" si="6"/>
        <v>119809484.86744779</v>
      </c>
      <c r="K47" s="12">
        <f t="shared" si="4"/>
        <v>119809484.86744779</v>
      </c>
      <c r="L47" s="36">
        <f t="shared" ref="L47" si="8">AVERAGE(K47:K49)</f>
        <v>114782893.29869103</v>
      </c>
      <c r="M47" s="37" t="s">
        <v>219</v>
      </c>
    </row>
    <row r="48" spans="1:21" x14ac:dyDescent="0.2">
      <c r="A48" s="7" t="s">
        <v>57</v>
      </c>
      <c r="B48" s="8" t="s">
        <v>135</v>
      </c>
      <c r="C48" s="4">
        <v>22.2532305201131</v>
      </c>
      <c r="D48" s="27">
        <f t="shared" si="1"/>
        <v>4.9365145003588475</v>
      </c>
      <c r="E48" s="28">
        <f t="shared" si="2"/>
        <v>86400.150775310118</v>
      </c>
      <c r="F48" s="26">
        <v>7.6388888888888895E-2</v>
      </c>
      <c r="G48" s="3" t="s">
        <v>202</v>
      </c>
      <c r="H48" s="3" t="s">
        <v>203</v>
      </c>
      <c r="I48" s="1" t="s">
        <v>223</v>
      </c>
      <c r="J48" s="24">
        <f t="shared" si="6"/>
        <v>108000188.46913765</v>
      </c>
      <c r="K48" s="12">
        <f t="shared" si="4"/>
        <v>108000188.46913765</v>
      </c>
      <c r="L48" s="37"/>
      <c r="M48" s="37"/>
    </row>
    <row r="49" spans="1:13" x14ac:dyDescent="0.2">
      <c r="A49" s="7" t="s">
        <v>58</v>
      </c>
      <c r="B49" s="8" t="s">
        <v>135</v>
      </c>
      <c r="C49" s="4">
        <v>22.141980908585001</v>
      </c>
      <c r="D49" s="27">
        <f t="shared" si="1"/>
        <v>4.9695612986045647</v>
      </c>
      <c r="E49" s="28">
        <f t="shared" si="2"/>
        <v>93231.205247590085</v>
      </c>
      <c r="F49" s="26">
        <v>7.6388888888888895E-2</v>
      </c>
      <c r="G49" s="3" t="s">
        <v>202</v>
      </c>
      <c r="H49" s="3" t="s">
        <v>203</v>
      </c>
      <c r="I49" s="1" t="s">
        <v>223</v>
      </c>
      <c r="J49" s="24">
        <f t="shared" si="6"/>
        <v>116539006.55948761</v>
      </c>
      <c r="K49" s="12">
        <f t="shared" si="4"/>
        <v>116539006.55948761</v>
      </c>
      <c r="L49" s="37"/>
      <c r="M49" s="37"/>
    </row>
    <row r="50" spans="1:13" x14ac:dyDescent="0.2">
      <c r="A50" s="7" t="s">
        <v>59</v>
      </c>
      <c r="B50" s="8" t="s">
        <v>136</v>
      </c>
      <c r="C50" s="4">
        <v>22.2417941136422</v>
      </c>
      <c r="D50" s="27">
        <f t="shared" si="1"/>
        <v>4.9399116952983047</v>
      </c>
      <c r="E50" s="28">
        <f t="shared" si="2"/>
        <v>87078.651572489893</v>
      </c>
      <c r="F50" s="26">
        <v>7.6388888888888895E-2</v>
      </c>
      <c r="G50" s="3" t="s">
        <v>202</v>
      </c>
      <c r="H50" s="3" t="s">
        <v>203</v>
      </c>
      <c r="I50" s="1" t="s">
        <v>223</v>
      </c>
      <c r="J50" s="24">
        <f t="shared" si="6"/>
        <v>108848314.46561235</v>
      </c>
      <c r="K50" s="12">
        <f t="shared" si="4"/>
        <v>108848314.46561235</v>
      </c>
      <c r="L50" s="36">
        <f t="shared" ref="L50" si="9">AVERAGE(K50:K52)</f>
        <v>110343051.69046581</v>
      </c>
      <c r="M50" s="37" t="s">
        <v>219</v>
      </c>
    </row>
    <row r="51" spans="1:13" x14ac:dyDescent="0.2">
      <c r="A51" s="7" t="s">
        <v>61</v>
      </c>
      <c r="B51" s="8" t="s">
        <v>136</v>
      </c>
      <c r="C51" s="4">
        <v>22.143970734640899</v>
      </c>
      <c r="D51" s="27">
        <f t="shared" si="1"/>
        <v>4.9689702189656337</v>
      </c>
      <c r="E51" s="28">
        <f t="shared" si="2"/>
        <v>93104.402845602861</v>
      </c>
      <c r="F51" s="26">
        <v>7.6388888888888895E-2</v>
      </c>
      <c r="G51" s="3" t="s">
        <v>202</v>
      </c>
      <c r="H51" s="3" t="s">
        <v>203</v>
      </c>
      <c r="I51" s="1" t="s">
        <v>223</v>
      </c>
      <c r="J51" s="24">
        <f t="shared" si="6"/>
        <v>116380503.55700357</v>
      </c>
      <c r="K51" s="12">
        <f t="shared" si="4"/>
        <v>116380503.55700357</v>
      </c>
      <c r="L51" s="37"/>
      <c r="M51" s="37"/>
    </row>
    <row r="52" spans="1:13" x14ac:dyDescent="0.2">
      <c r="A52" s="7" t="s">
        <v>62</v>
      </c>
      <c r="B52" s="8" t="s">
        <v>136</v>
      </c>
      <c r="C52" s="4">
        <v>22.283317827897701</v>
      </c>
      <c r="D52" s="27">
        <f t="shared" si="1"/>
        <v>4.9275770382279038</v>
      </c>
      <c r="E52" s="28">
        <f t="shared" si="2"/>
        <v>84640.26963902518</v>
      </c>
      <c r="F52" s="26">
        <v>7.6388888888888895E-2</v>
      </c>
      <c r="G52" s="3" t="s">
        <v>202</v>
      </c>
      <c r="H52" s="3" t="s">
        <v>203</v>
      </c>
      <c r="I52" s="1" t="s">
        <v>223</v>
      </c>
      <c r="J52" s="24">
        <f t="shared" si="6"/>
        <v>105800337.04878148</v>
      </c>
      <c r="K52" s="12">
        <f t="shared" si="4"/>
        <v>105800337.04878148</v>
      </c>
      <c r="L52" s="37"/>
      <c r="M52" s="37"/>
    </row>
    <row r="53" spans="1:13" x14ac:dyDescent="0.2">
      <c r="A53" s="2" t="s">
        <v>63</v>
      </c>
      <c r="B53" s="1" t="s">
        <v>137</v>
      </c>
      <c r="C53" s="4">
        <v>21.477992448099801</v>
      </c>
      <c r="D53" s="27">
        <f t="shared" si="1"/>
        <v>5.1667996744491136</v>
      </c>
      <c r="E53" s="28">
        <f t="shared" si="2"/>
        <v>146824.8867219571</v>
      </c>
      <c r="F53" s="26">
        <v>7.6388888888888895E-2</v>
      </c>
      <c r="G53" s="3" t="s">
        <v>202</v>
      </c>
      <c r="H53" s="3" t="s">
        <v>203</v>
      </c>
      <c r="I53" s="1" t="s">
        <v>223</v>
      </c>
      <c r="J53" s="24">
        <f t="shared" si="6"/>
        <v>183531108.40244639</v>
      </c>
      <c r="K53" s="12">
        <f t="shared" si="4"/>
        <v>183531108.40244639</v>
      </c>
      <c r="L53" s="36">
        <f t="shared" ref="L53" si="10">AVERAGE(K53:K55)</f>
        <v>180805953.04457054</v>
      </c>
      <c r="M53" s="37" t="s">
        <v>219</v>
      </c>
    </row>
    <row r="54" spans="1:13" x14ac:dyDescent="0.2">
      <c r="A54" s="2" t="s">
        <v>65</v>
      </c>
      <c r="B54" s="1" t="s">
        <v>137</v>
      </c>
      <c r="C54" s="4">
        <v>21.534453163103802</v>
      </c>
      <c r="D54" s="27">
        <f t="shared" si="1"/>
        <v>5.1500279677265706</v>
      </c>
      <c r="E54" s="28">
        <f t="shared" si="2"/>
        <v>141262.85122438736</v>
      </c>
      <c r="F54" s="26">
        <v>7.6388888888888895E-2</v>
      </c>
      <c r="G54" s="3" t="s">
        <v>202</v>
      </c>
      <c r="H54" s="3" t="s">
        <v>203</v>
      </c>
      <c r="I54" s="1" t="s">
        <v>223</v>
      </c>
      <c r="J54" s="24">
        <f t="shared" si="6"/>
        <v>176578564.0304842</v>
      </c>
      <c r="K54" s="12">
        <f t="shared" si="4"/>
        <v>176578564.0304842</v>
      </c>
      <c r="L54" s="37"/>
      <c r="M54" s="37"/>
    </row>
    <row r="55" spans="1:13" x14ac:dyDescent="0.2">
      <c r="A55" s="2" t="s">
        <v>66</v>
      </c>
      <c r="B55" s="1" t="s">
        <v>137</v>
      </c>
      <c r="C55" s="4">
        <v>21.4877669208248</v>
      </c>
      <c r="D55" s="27">
        <f t="shared" si="1"/>
        <v>5.1638961584398047</v>
      </c>
      <c r="E55" s="28">
        <f t="shared" si="2"/>
        <v>145846.54936062478</v>
      </c>
      <c r="F55" s="26">
        <v>7.6388888888888895E-2</v>
      </c>
      <c r="G55" s="3" t="s">
        <v>202</v>
      </c>
      <c r="H55" s="3" t="s">
        <v>203</v>
      </c>
      <c r="I55" s="1" t="s">
        <v>223</v>
      </c>
      <c r="J55" s="24">
        <f t="shared" si="6"/>
        <v>182308186.70078096</v>
      </c>
      <c r="K55" s="12">
        <f t="shared" si="4"/>
        <v>182308186.70078096</v>
      </c>
      <c r="L55" s="37"/>
      <c r="M55" s="37"/>
    </row>
    <row r="56" spans="1:13" x14ac:dyDescent="0.2">
      <c r="A56" s="2" t="s">
        <v>67</v>
      </c>
      <c r="B56" s="1" t="s">
        <v>138</v>
      </c>
      <c r="C56" s="4">
        <v>22.2733803678349</v>
      </c>
      <c r="D56" s="27">
        <f t="shared" si="1"/>
        <v>4.9305289697740857</v>
      </c>
      <c r="E56" s="28">
        <f t="shared" si="2"/>
        <v>85217.535415561739</v>
      </c>
      <c r="F56" s="26">
        <v>7.6388888888888895E-2</v>
      </c>
      <c r="G56" s="3" t="s">
        <v>202</v>
      </c>
      <c r="H56" s="3" t="s">
        <v>203</v>
      </c>
      <c r="I56" s="1" t="s">
        <v>223</v>
      </c>
      <c r="J56" s="24">
        <f t="shared" si="6"/>
        <v>106521919.26945217</v>
      </c>
      <c r="K56" s="12">
        <f t="shared" si="4"/>
        <v>106521919.26945217</v>
      </c>
      <c r="L56" s="36">
        <f t="shared" ref="L56" si="11">AVERAGE(K56:K58)</f>
        <v>111362454.18498744</v>
      </c>
      <c r="M56" s="37" t="s">
        <v>219</v>
      </c>
    </row>
    <row r="57" spans="1:13" x14ac:dyDescent="0.2">
      <c r="A57" s="2" t="s">
        <v>69</v>
      </c>
      <c r="B57" s="1" t="s">
        <v>138</v>
      </c>
      <c r="C57" s="4">
        <v>22.169212768998602</v>
      </c>
      <c r="D57" s="27">
        <f t="shared" si="1"/>
        <v>4.9614720497111744</v>
      </c>
      <c r="E57" s="28">
        <f t="shared" si="2"/>
        <v>91510.736298108575</v>
      </c>
      <c r="F57" s="26">
        <v>7.6388888888888895E-2</v>
      </c>
      <c r="G57" s="3" t="s">
        <v>202</v>
      </c>
      <c r="H57" s="3" t="s">
        <v>203</v>
      </c>
      <c r="I57" s="1" t="s">
        <v>223</v>
      </c>
      <c r="J57" s="24">
        <f t="shared" si="6"/>
        <v>114388420.37263571</v>
      </c>
      <c r="K57" s="12">
        <f t="shared" si="4"/>
        <v>114388420.37263571</v>
      </c>
      <c r="L57" s="37"/>
      <c r="M57" s="37"/>
    </row>
    <row r="58" spans="1:13" x14ac:dyDescent="0.2">
      <c r="A58" s="2" t="s">
        <v>70</v>
      </c>
      <c r="B58" s="1" t="s">
        <v>138</v>
      </c>
      <c r="C58" s="4">
        <v>22.184778440779201</v>
      </c>
      <c r="D58" s="27">
        <f t="shared" si="1"/>
        <v>4.9568482527573972</v>
      </c>
      <c r="E58" s="28">
        <f t="shared" si="2"/>
        <v>90541.618330299549</v>
      </c>
      <c r="F58" s="26">
        <v>7.6388888888888895E-2</v>
      </c>
      <c r="G58" s="3" t="s">
        <v>202</v>
      </c>
      <c r="H58" s="3" t="s">
        <v>203</v>
      </c>
      <c r="I58" s="1" t="s">
        <v>223</v>
      </c>
      <c r="J58" s="24">
        <f t="shared" si="6"/>
        <v>113177022.91287445</v>
      </c>
      <c r="K58" s="12">
        <f t="shared" si="4"/>
        <v>113177022.91287445</v>
      </c>
      <c r="L58" s="37"/>
      <c r="M58" s="37"/>
    </row>
    <row r="59" spans="1:13" x14ac:dyDescent="0.2">
      <c r="A59" s="2" t="s">
        <v>71</v>
      </c>
      <c r="B59" s="1" t="s">
        <v>139</v>
      </c>
      <c r="C59" s="4">
        <v>21.741438049388702</v>
      </c>
      <c r="D59" s="27">
        <f t="shared" si="1"/>
        <v>5.088542919077728</v>
      </c>
      <c r="E59" s="28">
        <f t="shared" si="2"/>
        <v>122614.80705635165</v>
      </c>
      <c r="F59" s="26">
        <v>7.6388888888888895E-2</v>
      </c>
      <c r="G59" s="3" t="s">
        <v>202</v>
      </c>
      <c r="H59" s="3" t="s">
        <v>203</v>
      </c>
      <c r="I59" s="1" t="s">
        <v>223</v>
      </c>
      <c r="J59" s="24">
        <f t="shared" si="6"/>
        <v>153268508.82043958</v>
      </c>
      <c r="K59" s="12">
        <f t="shared" si="4"/>
        <v>153268508.82043958</v>
      </c>
      <c r="L59" s="36">
        <f t="shared" ref="L59" si="12">AVERAGE(K59:K61)</f>
        <v>149957868.97953537</v>
      </c>
      <c r="M59" s="37" t="s">
        <v>219</v>
      </c>
    </row>
    <row r="60" spans="1:13" x14ac:dyDescent="0.2">
      <c r="A60" s="2" t="s">
        <v>73</v>
      </c>
      <c r="B60" s="1" t="s">
        <v>139</v>
      </c>
      <c r="C60" s="4">
        <v>21.747357457647599</v>
      </c>
      <c r="D60" s="27">
        <f t="shared" si="1"/>
        <v>5.0867845534728611</v>
      </c>
      <c r="E60" s="28">
        <f t="shared" si="2"/>
        <v>122119.36952661832</v>
      </c>
      <c r="F60" s="26">
        <v>7.6388888888888895E-2</v>
      </c>
      <c r="G60" s="3" t="s">
        <v>202</v>
      </c>
      <c r="H60" s="3" t="s">
        <v>203</v>
      </c>
      <c r="I60" s="1" t="s">
        <v>223</v>
      </c>
      <c r="J60" s="24">
        <f t="shared" si="6"/>
        <v>152649211.90827292</v>
      </c>
      <c r="K60" s="12">
        <f t="shared" si="4"/>
        <v>152649211.90827292</v>
      </c>
      <c r="L60" s="37"/>
      <c r="M60" s="37"/>
    </row>
    <row r="61" spans="1:13" x14ac:dyDescent="0.2">
      <c r="A61" s="2" t="s">
        <v>74</v>
      </c>
      <c r="B61" s="1" t="s">
        <v>139</v>
      </c>
      <c r="C61" s="4">
        <v>21.833083972060901</v>
      </c>
      <c r="D61" s="27">
        <f t="shared" si="1"/>
        <v>5.0613194144291223</v>
      </c>
      <c r="E61" s="28">
        <f t="shared" si="2"/>
        <v>115164.70896791489</v>
      </c>
      <c r="F61" s="26">
        <v>7.6388888888888895E-2</v>
      </c>
      <c r="G61" s="3" t="s">
        <v>202</v>
      </c>
      <c r="H61" s="3" t="s">
        <v>203</v>
      </c>
      <c r="I61" s="1" t="s">
        <v>223</v>
      </c>
      <c r="J61" s="24">
        <f t="shared" si="6"/>
        <v>143955886.20989361</v>
      </c>
      <c r="K61" s="12">
        <f t="shared" si="4"/>
        <v>143955886.20989361</v>
      </c>
      <c r="L61" s="37"/>
      <c r="M61" s="37"/>
    </row>
    <row r="62" spans="1:13" x14ac:dyDescent="0.2">
      <c r="A62" s="2" t="s">
        <v>75</v>
      </c>
      <c r="B62" s="1" t="s">
        <v>140</v>
      </c>
      <c r="C62" s="4">
        <v>22.037970292073702</v>
      </c>
      <c r="D62" s="27">
        <f t="shared" si="1"/>
        <v>5.0004577467992943</v>
      </c>
      <c r="E62" s="28">
        <f t="shared" si="2"/>
        <v>100105.45566106336</v>
      </c>
      <c r="F62" s="26">
        <v>7.6388888888888895E-2</v>
      </c>
      <c r="G62" s="3" t="s">
        <v>202</v>
      </c>
      <c r="H62" s="3" t="s">
        <v>203</v>
      </c>
      <c r="I62" s="1" t="s">
        <v>223</v>
      </c>
      <c r="J62" s="24">
        <f t="shared" si="6"/>
        <v>125131819.5763292</v>
      </c>
      <c r="K62" s="12">
        <f t="shared" si="4"/>
        <v>125131819.5763292</v>
      </c>
      <c r="L62" s="36">
        <f t="shared" ref="L62" si="13">AVERAGE(K62:K64)</f>
        <v>127534761.37940727</v>
      </c>
      <c r="M62" s="37" t="s">
        <v>219</v>
      </c>
    </row>
    <row r="63" spans="1:13" x14ac:dyDescent="0.2">
      <c r="A63" s="2" t="s">
        <v>77</v>
      </c>
      <c r="B63" s="1" t="s">
        <v>140</v>
      </c>
      <c r="C63" s="4">
        <v>22.009894233914402</v>
      </c>
      <c r="D63" s="27">
        <f t="shared" si="1"/>
        <v>5.0087977654005371</v>
      </c>
      <c r="E63" s="28">
        <f t="shared" si="2"/>
        <v>102046.41812777931</v>
      </c>
      <c r="F63" s="26">
        <v>7.6388888888888895E-2</v>
      </c>
      <c r="G63" s="3" t="s">
        <v>202</v>
      </c>
      <c r="H63" s="3" t="s">
        <v>203</v>
      </c>
      <c r="I63" s="1" t="s">
        <v>223</v>
      </c>
      <c r="J63" s="24">
        <f t="shared" si="6"/>
        <v>127558022.65972413</v>
      </c>
      <c r="K63" s="12">
        <f t="shared" si="4"/>
        <v>127558022.65972413</v>
      </c>
      <c r="L63" s="37"/>
      <c r="M63" s="37"/>
    </row>
    <row r="64" spans="1:13" x14ac:dyDescent="0.2">
      <c r="A64" s="2" t="s">
        <v>78</v>
      </c>
      <c r="B64" s="1" t="s">
        <v>140</v>
      </c>
      <c r="C64" s="4">
        <v>21.983132310868001</v>
      </c>
      <c r="D64" s="27">
        <f t="shared" si="1"/>
        <v>5.0167474189717636</v>
      </c>
      <c r="E64" s="28">
        <f t="shared" si="2"/>
        <v>103931.55352173475</v>
      </c>
      <c r="F64" s="26">
        <v>7.6388888888888895E-2</v>
      </c>
      <c r="G64" s="3" t="s">
        <v>202</v>
      </c>
      <c r="H64" s="3" t="s">
        <v>203</v>
      </c>
      <c r="I64" s="1" t="s">
        <v>223</v>
      </c>
      <c r="J64" s="24">
        <f t="shared" si="6"/>
        <v>129914441.90216844</v>
      </c>
      <c r="K64" s="12">
        <f t="shared" si="4"/>
        <v>129914441.90216844</v>
      </c>
      <c r="L64" s="37"/>
      <c r="M64" s="37"/>
    </row>
    <row r="65" spans="1:13" x14ac:dyDescent="0.2">
      <c r="A65" s="2" t="s">
        <v>79</v>
      </c>
      <c r="B65" s="1" t="s">
        <v>141</v>
      </c>
      <c r="C65" s="4">
        <v>21.2873018941102</v>
      </c>
      <c r="D65" s="27">
        <f t="shared" si="1"/>
        <v>5.2234444768758337</v>
      </c>
      <c r="E65" s="28">
        <f t="shared" si="2"/>
        <v>167280.17605122906</v>
      </c>
      <c r="F65" s="26">
        <v>7.6388888888888895E-2</v>
      </c>
      <c r="G65" s="3" t="s">
        <v>202</v>
      </c>
      <c r="H65" s="3" t="s">
        <v>203</v>
      </c>
      <c r="I65" s="1" t="s">
        <v>224</v>
      </c>
      <c r="J65" s="24">
        <f>(E65*50*50)/2.5</f>
        <v>167280176.05122906</v>
      </c>
      <c r="K65" s="12">
        <f t="shared" si="4"/>
        <v>167280176.05122906</v>
      </c>
      <c r="L65" s="36">
        <f t="shared" ref="L65" si="14">AVERAGE(K65:K67)</f>
        <v>162365613.46030146</v>
      </c>
      <c r="M65" s="37" t="s">
        <v>219</v>
      </c>
    </row>
    <row r="66" spans="1:13" x14ac:dyDescent="0.2">
      <c r="A66" s="2" t="s">
        <v>81</v>
      </c>
      <c r="B66" s="1" t="s">
        <v>141</v>
      </c>
      <c r="C66" s="4">
        <v>21.3472583888564</v>
      </c>
      <c r="D66" s="27">
        <f t="shared" si="1"/>
        <v>5.2056343456027223</v>
      </c>
      <c r="E66" s="28">
        <f t="shared" si="2"/>
        <v>160558.88576441779</v>
      </c>
      <c r="F66" s="26">
        <v>7.6388888888888895E-2</v>
      </c>
      <c r="G66" s="3" t="s">
        <v>202</v>
      </c>
      <c r="H66" s="3" t="s">
        <v>203</v>
      </c>
      <c r="I66" s="1" t="s">
        <v>224</v>
      </c>
      <c r="J66" s="24">
        <f>(E66*50*50)/2.5</f>
        <v>160558885.7644178</v>
      </c>
      <c r="K66" s="12">
        <f t="shared" si="4"/>
        <v>160558885.7644178</v>
      </c>
      <c r="L66" s="37"/>
      <c r="M66" s="37"/>
    </row>
    <row r="67" spans="1:13" x14ac:dyDescent="0.2">
      <c r="A67" s="2" t="s">
        <v>82</v>
      </c>
      <c r="B67" s="1" t="s">
        <v>141</v>
      </c>
      <c r="C67" s="4">
        <v>21.359154302632199</v>
      </c>
      <c r="D67" s="27">
        <f t="shared" si="1"/>
        <v>5.2021006536005894</v>
      </c>
      <c r="E67" s="28">
        <f t="shared" si="2"/>
        <v>159257.77856525747</v>
      </c>
      <c r="F67" s="26">
        <v>7.6388888888888895E-2</v>
      </c>
      <c r="G67" s="3" t="s">
        <v>202</v>
      </c>
      <c r="H67" s="3" t="s">
        <v>203</v>
      </c>
      <c r="I67" s="1" t="s">
        <v>224</v>
      </c>
      <c r="J67" s="24">
        <f>(E67*50*50)/2.5</f>
        <v>159257778.56525749</v>
      </c>
      <c r="K67" s="12">
        <f t="shared" si="4"/>
        <v>159257778.56525749</v>
      </c>
      <c r="L67" s="37"/>
      <c r="M67" s="37"/>
    </row>
    <row r="68" spans="1:13" x14ac:dyDescent="0.2">
      <c r="A68" s="2" t="s">
        <v>83</v>
      </c>
      <c r="B68" s="1" t="s">
        <v>142</v>
      </c>
      <c r="C68" s="4">
        <v>22.2637353012509</v>
      </c>
      <c r="D68" s="27">
        <f t="shared" si="1"/>
        <v>4.9333940455715632</v>
      </c>
      <c r="E68" s="28">
        <f t="shared" si="2"/>
        <v>85781.580865149575</v>
      </c>
      <c r="F68" s="26">
        <v>7.6388888888888895E-2</v>
      </c>
      <c r="G68" s="3" t="s">
        <v>202</v>
      </c>
      <c r="H68" s="3" t="s">
        <v>203</v>
      </c>
      <c r="I68" s="1" t="s">
        <v>223</v>
      </c>
      <c r="J68" s="24">
        <f>(E68*50*50)/2</f>
        <v>107226976.08143696</v>
      </c>
      <c r="K68" s="12">
        <f t="shared" si="4"/>
        <v>107226976.08143696</v>
      </c>
      <c r="L68" s="36">
        <f t="shared" ref="L68" si="15">AVERAGE(K68:K70)</f>
        <v>111254845.8151107</v>
      </c>
      <c r="M68" s="37" t="s">
        <v>219</v>
      </c>
    </row>
    <row r="69" spans="1:13" x14ac:dyDescent="0.2">
      <c r="A69" s="2" t="s">
        <v>85</v>
      </c>
      <c r="B69" s="1" t="s">
        <v>142</v>
      </c>
      <c r="C69" s="4">
        <v>22.231633264574199</v>
      </c>
      <c r="D69" s="27">
        <f t="shared" si="1"/>
        <v>4.9429299847515722</v>
      </c>
      <c r="E69" s="28">
        <f t="shared" si="2"/>
        <v>87685.944591650696</v>
      </c>
      <c r="F69" s="26">
        <v>7.6388888888888895E-2</v>
      </c>
      <c r="G69" s="3" t="s">
        <v>202</v>
      </c>
      <c r="H69" s="3" t="s">
        <v>203</v>
      </c>
      <c r="I69" s="1" t="s">
        <v>223</v>
      </c>
      <c r="J69" s="24">
        <f t="shared" si="6"/>
        <v>109607430.73956338</v>
      </c>
      <c r="K69" s="12">
        <f t="shared" si="4"/>
        <v>109607430.73956338</v>
      </c>
      <c r="L69" s="37"/>
      <c r="M69" s="37"/>
    </row>
    <row r="70" spans="1:13" x14ac:dyDescent="0.2">
      <c r="A70" s="2" t="s">
        <v>86</v>
      </c>
      <c r="B70" s="1" t="s">
        <v>142</v>
      </c>
      <c r="C70" s="4">
        <v>22.1370823434535</v>
      </c>
      <c r="D70" s="27">
        <f t="shared" si="1"/>
        <v>4.9710164218303516</v>
      </c>
      <c r="E70" s="28">
        <f t="shared" si="2"/>
        <v>93544.104499465408</v>
      </c>
      <c r="F70" s="26">
        <v>7.6388888888888895E-2</v>
      </c>
      <c r="G70" s="3" t="s">
        <v>202</v>
      </c>
      <c r="H70" s="3" t="s">
        <v>203</v>
      </c>
      <c r="I70" s="1" t="s">
        <v>223</v>
      </c>
      <c r="J70" s="24">
        <f t="shared" si="6"/>
        <v>116930130.62433177</v>
      </c>
      <c r="K70" s="12">
        <f t="shared" si="4"/>
        <v>116930130.62433177</v>
      </c>
      <c r="L70" s="37"/>
      <c r="M70" s="37"/>
    </row>
    <row r="71" spans="1:13" x14ac:dyDescent="0.2">
      <c r="A71" s="2" t="s">
        <v>87</v>
      </c>
      <c r="B71" s="1" t="s">
        <v>143</v>
      </c>
      <c r="C71" s="4">
        <v>21.8487464551602</v>
      </c>
      <c r="D71" s="27">
        <f t="shared" si="1"/>
        <v>5.0566668595851105</v>
      </c>
      <c r="E71" s="28">
        <f t="shared" si="2"/>
        <v>113937.54554044882</v>
      </c>
      <c r="F71" s="26">
        <v>7.6388888888888895E-2</v>
      </c>
      <c r="G71" s="3" t="s">
        <v>202</v>
      </c>
      <c r="H71" s="3" t="s">
        <v>203</v>
      </c>
      <c r="I71" s="1" t="s">
        <v>223</v>
      </c>
      <c r="J71" s="24">
        <f t="shared" si="6"/>
        <v>142421931.92556101</v>
      </c>
      <c r="K71" s="12">
        <f t="shared" si="4"/>
        <v>142421931.92556101</v>
      </c>
      <c r="L71" s="36">
        <f t="shared" ref="L71" si="16">AVERAGE(K71:K73)</f>
        <v>109321494.7363764</v>
      </c>
      <c r="M71" s="37" t="s">
        <v>219</v>
      </c>
    </row>
    <row r="72" spans="1:13" x14ac:dyDescent="0.2">
      <c r="A72" s="2" t="s">
        <v>89</v>
      </c>
      <c r="B72" s="1" t="s">
        <v>143</v>
      </c>
      <c r="C72" s="4">
        <v>22.673269941507399</v>
      </c>
      <c r="D72" s="27">
        <f t="shared" si="1"/>
        <v>4.8117414083596941</v>
      </c>
      <c r="E72" s="28">
        <f t="shared" si="2"/>
        <v>64824.833258927414</v>
      </c>
      <c r="F72" s="26">
        <v>7.6388888888888895E-2</v>
      </c>
      <c r="G72" s="3" t="s">
        <v>202</v>
      </c>
      <c r="H72" s="3" t="s">
        <v>203</v>
      </c>
      <c r="I72" s="1" t="s">
        <v>223</v>
      </c>
      <c r="J72" s="24">
        <f t="shared" si="6"/>
        <v>81031041.573659271</v>
      </c>
      <c r="K72" s="12">
        <f t="shared" si="4"/>
        <v>81031041.573659271</v>
      </c>
      <c r="L72" s="37"/>
      <c r="M72" s="37"/>
    </row>
    <row r="73" spans="1:13" x14ac:dyDescent="0.2">
      <c r="A73" s="2" t="s">
        <v>90</v>
      </c>
      <c r="B73" s="1" t="s">
        <v>143</v>
      </c>
      <c r="C73" s="4">
        <v>22.3012370652316</v>
      </c>
      <c r="D73" s="27">
        <f t="shared" si="1"/>
        <v>4.9222541124868018</v>
      </c>
      <c r="E73" s="28">
        <f t="shared" si="2"/>
        <v>83609.208567927126</v>
      </c>
      <c r="F73" s="26">
        <v>7.6388888888888895E-2</v>
      </c>
      <c r="G73" s="3" t="s">
        <v>202</v>
      </c>
      <c r="H73" s="3" t="s">
        <v>203</v>
      </c>
      <c r="I73" s="1" t="s">
        <v>223</v>
      </c>
      <c r="J73" s="24">
        <f t="shared" si="6"/>
        <v>104511510.7099089</v>
      </c>
      <c r="K73" s="12">
        <f t="shared" si="4"/>
        <v>104511510.7099089</v>
      </c>
      <c r="L73" s="37"/>
      <c r="M73" s="37"/>
    </row>
    <row r="74" spans="1:13" x14ac:dyDescent="0.2">
      <c r="A74" s="2" t="s">
        <v>91</v>
      </c>
      <c r="B74" s="1" t="s">
        <v>144</v>
      </c>
      <c r="C74" s="4">
        <v>23.017133694518702</v>
      </c>
      <c r="D74" s="27">
        <f t="shared" si="1"/>
        <v>4.7095963679079373</v>
      </c>
      <c r="E74" s="28">
        <f t="shared" si="2"/>
        <v>51238.495346838536</v>
      </c>
      <c r="F74" s="26">
        <v>7.6388888888888895E-2</v>
      </c>
      <c r="G74" s="3" t="s">
        <v>202</v>
      </c>
      <c r="H74" s="3" t="s">
        <v>203</v>
      </c>
      <c r="I74" s="1" t="s">
        <v>223</v>
      </c>
      <c r="J74" s="24">
        <f t="shared" si="6"/>
        <v>64048119.183548167</v>
      </c>
      <c r="K74" s="12">
        <f t="shared" si="4"/>
        <v>64048119.183548167</v>
      </c>
      <c r="L74" s="36">
        <f t="shared" ref="L74" si="17">AVERAGE(K74:K76)</f>
        <v>54732769.364646077</v>
      </c>
      <c r="M74" s="37" t="s">
        <v>219</v>
      </c>
    </row>
    <row r="75" spans="1:13" x14ac:dyDescent="0.2">
      <c r="A75" s="2" t="s">
        <v>93</v>
      </c>
      <c r="B75" s="1" t="s">
        <v>144</v>
      </c>
      <c r="C75" s="4">
        <v>23.478199073650998</v>
      </c>
      <c r="D75" s="27">
        <f t="shared" si="1"/>
        <v>4.5726364778644388</v>
      </c>
      <c r="E75" s="28">
        <f t="shared" si="2"/>
        <v>37379.757352326676</v>
      </c>
      <c r="F75" s="26">
        <v>7.6388888888888895E-2</v>
      </c>
      <c r="G75" s="3" t="s">
        <v>202</v>
      </c>
      <c r="H75" s="3" t="s">
        <v>203</v>
      </c>
      <c r="I75" s="1" t="s">
        <v>223</v>
      </c>
      <c r="J75" s="24">
        <f t="shared" si="6"/>
        <v>46724696.690408342</v>
      </c>
      <c r="K75" s="12">
        <f t="shared" si="4"/>
        <v>46724696.690408342</v>
      </c>
      <c r="L75" s="37"/>
      <c r="M75" s="37"/>
    </row>
    <row r="76" spans="1:13" x14ac:dyDescent="0.2">
      <c r="A76" s="2" t="s">
        <v>94</v>
      </c>
      <c r="B76" s="1" t="s">
        <v>144</v>
      </c>
      <c r="C76" s="4">
        <v>23.282266189975601</v>
      </c>
      <c r="D76" s="27">
        <f t="shared" si="1"/>
        <v>4.6308385190903278</v>
      </c>
      <c r="E76" s="28">
        <f t="shared" si="2"/>
        <v>42740.39377598538</v>
      </c>
      <c r="F76" s="26">
        <v>7.6388888888888895E-2</v>
      </c>
      <c r="G76" s="3" t="s">
        <v>202</v>
      </c>
      <c r="H76" s="3" t="s">
        <v>203</v>
      </c>
      <c r="I76" s="1" t="s">
        <v>223</v>
      </c>
      <c r="J76" s="24">
        <f t="shared" si="6"/>
        <v>53425492.219981723</v>
      </c>
      <c r="K76" s="12">
        <f t="shared" si="4"/>
        <v>53425492.219981723</v>
      </c>
      <c r="L76" s="37"/>
      <c r="M76" s="37"/>
    </row>
    <row r="77" spans="1:13" x14ac:dyDescent="0.2">
      <c r="A77" s="2" t="s">
        <v>95</v>
      </c>
      <c r="B77" s="1" t="s">
        <v>145</v>
      </c>
      <c r="C77" s="4">
        <v>32.816402256110599</v>
      </c>
      <c r="D77" s="27">
        <f t="shared" si="1"/>
        <v>1.7987147327955209</v>
      </c>
      <c r="E77" s="28">
        <f t="shared" si="2"/>
        <v>62.909282622600266</v>
      </c>
      <c r="F77" s="26">
        <v>7.6388888888888895E-2</v>
      </c>
      <c r="G77" s="3" t="s">
        <v>202</v>
      </c>
      <c r="H77" s="3" t="s">
        <v>203</v>
      </c>
      <c r="I77" s="1" t="s">
        <v>226</v>
      </c>
      <c r="J77" s="3">
        <f>(E77*50*50)/247.9*1000</f>
        <v>634421.97078055935</v>
      </c>
      <c r="K77" s="12">
        <f>J77</f>
        <v>634421.97078055935</v>
      </c>
      <c r="L77" s="36">
        <f t="shared" ref="L77:L101" si="18">AVERAGE(K77:K79)</f>
        <v>375215.64756790455</v>
      </c>
      <c r="M77" s="37" t="s">
        <v>221</v>
      </c>
    </row>
    <row r="78" spans="1:13" x14ac:dyDescent="0.2">
      <c r="A78" s="2" t="s">
        <v>97</v>
      </c>
      <c r="B78" s="1" t="s">
        <v>145</v>
      </c>
      <c r="C78" s="4">
        <v>34.258457107627002</v>
      </c>
      <c r="D78" s="27">
        <f t="shared" si="1"/>
        <v>1.370351028125103</v>
      </c>
      <c r="E78" s="28">
        <f t="shared" si="2"/>
        <v>23.461243560863842</v>
      </c>
      <c r="F78" s="26">
        <v>7.6388888888888895E-2</v>
      </c>
      <c r="G78" s="3" t="s">
        <v>202</v>
      </c>
      <c r="H78" s="3" t="s">
        <v>203</v>
      </c>
      <c r="I78" s="1" t="s">
        <v>226</v>
      </c>
      <c r="J78" s="3">
        <f t="shared" ref="J78:J79" si="19">(E78*50*50)/247.9*1000</f>
        <v>236599.87455489955</v>
      </c>
      <c r="K78" s="12">
        <f t="shared" ref="K78:K103" si="20">J78</f>
        <v>236599.87455489955</v>
      </c>
      <c r="L78" s="37"/>
      <c r="M78" s="37"/>
    </row>
    <row r="79" spans="1:13" x14ac:dyDescent="0.2">
      <c r="A79" s="2" t="s">
        <v>98</v>
      </c>
      <c r="B79" s="1" t="s">
        <v>145</v>
      </c>
      <c r="C79" s="4">
        <v>34.151112887927503</v>
      </c>
      <c r="D79" s="27">
        <f t="shared" si="1"/>
        <v>1.4022377261775936</v>
      </c>
      <c r="E79" s="28">
        <f t="shared" si="2"/>
        <v>25.248624655036146</v>
      </c>
      <c r="F79" s="26">
        <v>7.6388888888888895E-2</v>
      </c>
      <c r="G79" s="3" t="s">
        <v>202</v>
      </c>
      <c r="H79" s="3" t="s">
        <v>203</v>
      </c>
      <c r="I79" s="1" t="s">
        <v>226</v>
      </c>
      <c r="J79" s="3">
        <f t="shared" si="19"/>
        <v>254625.09736825479</v>
      </c>
      <c r="K79" s="12">
        <f t="shared" si="20"/>
        <v>254625.09736825479</v>
      </c>
      <c r="L79" s="37"/>
      <c r="M79" s="37"/>
    </row>
    <row r="80" spans="1:13" x14ac:dyDescent="0.2">
      <c r="A80" s="2" t="s">
        <v>99</v>
      </c>
      <c r="B80" s="1" t="s">
        <v>146</v>
      </c>
      <c r="C80" s="4">
        <v>31.1902024720541</v>
      </c>
      <c r="D80" s="27">
        <f t="shared" si="1"/>
        <v>2.2817788570902073</v>
      </c>
      <c r="E80" s="28">
        <f t="shared" si="2"/>
        <v>191.32814333273785</v>
      </c>
      <c r="F80" s="26">
        <v>7.6388888888888895E-2</v>
      </c>
      <c r="G80" s="3" t="s">
        <v>202</v>
      </c>
      <c r="H80" s="3" t="s">
        <v>203</v>
      </c>
      <c r="I80" s="1" t="s">
        <v>227</v>
      </c>
      <c r="J80" s="3">
        <f>(E80*50*50)/247.6*1000</f>
        <v>1931826.9722610849</v>
      </c>
      <c r="K80" s="12">
        <f t="shared" si="20"/>
        <v>1931826.9722610849</v>
      </c>
      <c r="L80" s="36">
        <f t="shared" si="18"/>
        <v>1890388.8183316905</v>
      </c>
      <c r="M80" s="37" t="s">
        <v>221</v>
      </c>
    </row>
    <row r="81" spans="1:13" x14ac:dyDescent="0.2">
      <c r="A81" s="2" t="s">
        <v>101</v>
      </c>
      <c r="B81" s="1" t="s">
        <v>146</v>
      </c>
      <c r="C81" s="4">
        <v>31.312305837202199</v>
      </c>
      <c r="D81" s="27">
        <f t="shared" si="1"/>
        <v>2.2455079414641039</v>
      </c>
      <c r="E81" s="28">
        <f t="shared" si="2"/>
        <v>175.99808463354626</v>
      </c>
      <c r="F81" s="26">
        <v>7.6388888888888895E-2</v>
      </c>
      <c r="G81" s="3" t="s">
        <v>202</v>
      </c>
      <c r="H81" s="3" t="s">
        <v>203</v>
      </c>
      <c r="I81" s="1" t="s">
        <v>227</v>
      </c>
      <c r="J81" s="3">
        <f t="shared" ref="J81:J82" si="21">(E81*50*50)/247.6*1000</f>
        <v>1777040.4345067269</v>
      </c>
      <c r="K81" s="12">
        <f t="shared" si="20"/>
        <v>1777040.4345067269</v>
      </c>
      <c r="L81" s="37"/>
      <c r="M81" s="37"/>
    </row>
    <row r="82" spans="1:13" x14ac:dyDescent="0.2">
      <c r="A82" s="2" t="s">
        <v>102</v>
      </c>
      <c r="B82" s="1" t="s">
        <v>146</v>
      </c>
      <c r="C82" s="4">
        <v>31.167320980758099</v>
      </c>
      <c r="D82" s="27">
        <f t="shared" si="1"/>
        <v>2.2885758248821273</v>
      </c>
      <c r="E82" s="28">
        <f t="shared" si="2"/>
        <v>194.34609773642785</v>
      </c>
      <c r="F82" s="26">
        <v>7.6388888888888895E-2</v>
      </c>
      <c r="G82" s="3" t="s">
        <v>202</v>
      </c>
      <c r="H82" s="3" t="s">
        <v>203</v>
      </c>
      <c r="I82" s="1" t="s">
        <v>227</v>
      </c>
      <c r="J82" s="3">
        <f t="shared" si="21"/>
        <v>1962299.0482272601</v>
      </c>
      <c r="K82" s="12">
        <f t="shared" si="20"/>
        <v>1962299.0482272601</v>
      </c>
      <c r="L82" s="37"/>
      <c r="M82" s="37"/>
    </row>
    <row r="83" spans="1:13" x14ac:dyDescent="0.2">
      <c r="A83" s="2" t="s">
        <v>103</v>
      </c>
      <c r="B83" s="1" t="s">
        <v>147</v>
      </c>
      <c r="C83" s="4">
        <v>32.8569623404765</v>
      </c>
      <c r="D83" s="27">
        <f t="shared" si="1"/>
        <v>1.7866663228598991</v>
      </c>
      <c r="E83" s="28">
        <f t="shared" si="2"/>
        <v>61.188009136022067</v>
      </c>
      <c r="F83" s="26">
        <v>7.6388888888888895E-2</v>
      </c>
      <c r="G83" s="3" t="s">
        <v>202</v>
      </c>
      <c r="H83" s="3" t="s">
        <v>203</v>
      </c>
      <c r="I83" s="1" t="s">
        <v>228</v>
      </c>
      <c r="J83" s="3">
        <f>(E83*50*50)/231.4*1000</f>
        <v>661063.19291294366</v>
      </c>
      <c r="K83" s="12">
        <f t="shared" si="20"/>
        <v>661063.19291294366</v>
      </c>
      <c r="L83" s="36">
        <f t="shared" si="18"/>
        <v>475781.16718330799</v>
      </c>
      <c r="M83" s="37" t="s">
        <v>221</v>
      </c>
    </row>
    <row r="84" spans="1:13" x14ac:dyDescent="0.2">
      <c r="A84" s="2" t="s">
        <v>105</v>
      </c>
      <c r="B84" s="1" t="s">
        <v>147</v>
      </c>
      <c r="C84" s="4">
        <v>33.161393683077897</v>
      </c>
      <c r="D84" s="27">
        <f t="shared" si="1"/>
        <v>1.696234715769924</v>
      </c>
      <c r="E84" s="28">
        <f t="shared" si="2"/>
        <v>49.686077881435146</v>
      </c>
      <c r="F84" s="26">
        <v>7.6388888888888895E-2</v>
      </c>
      <c r="G84" s="3" t="s">
        <v>202</v>
      </c>
      <c r="H84" s="3" t="s">
        <v>203</v>
      </c>
      <c r="I84" s="1" t="s">
        <v>228</v>
      </c>
      <c r="J84" s="3">
        <f t="shared" ref="J84:J85" si="22">(E84*50*50)/231.4*1000</f>
        <v>536798.59422466671</v>
      </c>
      <c r="K84" s="12">
        <f t="shared" si="20"/>
        <v>536798.59422466671</v>
      </c>
      <c r="L84" s="37"/>
      <c r="M84" s="37"/>
    </row>
    <row r="85" spans="1:13" x14ac:dyDescent="0.2">
      <c r="A85" s="2" t="s">
        <v>106</v>
      </c>
      <c r="B85" s="1" t="s">
        <v>147</v>
      </c>
      <c r="C85" s="4">
        <v>34.403818037698898</v>
      </c>
      <c r="D85" s="27">
        <f t="shared" si="1"/>
        <v>1.3271714316940402</v>
      </c>
      <c r="E85" s="28">
        <f t="shared" si="2"/>
        <v>21.240827486003756</v>
      </c>
      <c r="F85" s="26">
        <v>7.6388888888888895E-2</v>
      </c>
      <c r="G85" s="3" t="s">
        <v>202</v>
      </c>
      <c r="H85" s="3" t="s">
        <v>203</v>
      </c>
      <c r="I85" s="1" t="s">
        <v>228</v>
      </c>
      <c r="J85" s="3">
        <f t="shared" si="22"/>
        <v>229481.71441231368</v>
      </c>
      <c r="K85" s="12">
        <f t="shared" si="20"/>
        <v>229481.71441231368</v>
      </c>
      <c r="L85" s="37"/>
      <c r="M85" s="37"/>
    </row>
    <row r="86" spans="1:13" x14ac:dyDescent="0.2">
      <c r="A86" s="2" t="s">
        <v>107</v>
      </c>
      <c r="B86" s="1" t="s">
        <v>148</v>
      </c>
      <c r="C86" s="4">
        <v>32.691617468822798</v>
      </c>
      <c r="D86" s="27">
        <f t="shared" si="1"/>
        <v>1.8357821673060066</v>
      </c>
      <c r="E86" s="28">
        <f t="shared" si="2"/>
        <v>68.514448663722604</v>
      </c>
      <c r="F86" s="26">
        <v>7.6388888888888895E-2</v>
      </c>
      <c r="G86" s="3" t="s">
        <v>202</v>
      </c>
      <c r="H86" s="3" t="s">
        <v>203</v>
      </c>
      <c r="I86" s="1" t="s">
        <v>229</v>
      </c>
      <c r="J86" s="3">
        <f>(E86*50*50)/259.8*1000</f>
        <v>659299.929404567</v>
      </c>
      <c r="K86" s="12">
        <f t="shared" si="20"/>
        <v>659299.929404567</v>
      </c>
      <c r="L86" s="36">
        <f t="shared" si="18"/>
        <v>479310.5824076978</v>
      </c>
      <c r="M86" s="37" t="s">
        <v>221</v>
      </c>
    </row>
    <row r="87" spans="1:13" x14ac:dyDescent="0.2">
      <c r="A87" s="2" t="s">
        <v>109</v>
      </c>
      <c r="B87" s="1" t="s">
        <v>148</v>
      </c>
      <c r="C87" s="4">
        <v>33.298198763193902</v>
      </c>
      <c r="D87" s="27">
        <f t="shared" si="1"/>
        <v>1.6555966423467103</v>
      </c>
      <c r="E87" s="28">
        <f t="shared" si="2"/>
        <v>45.247713961347422</v>
      </c>
      <c r="F87" s="26">
        <v>7.6388888888888895E-2</v>
      </c>
      <c r="G87" s="3" t="s">
        <v>202</v>
      </c>
      <c r="H87" s="3" t="s">
        <v>203</v>
      </c>
      <c r="I87" s="1" t="s">
        <v>229</v>
      </c>
      <c r="J87" s="3">
        <f t="shared" ref="J87:J88" si="23">(E87*50*50)/259.8*1000</f>
        <v>435409.10278432857</v>
      </c>
      <c r="K87" s="12">
        <f t="shared" si="20"/>
        <v>435409.10278432857</v>
      </c>
      <c r="L87" s="37"/>
      <c r="M87" s="37"/>
    </row>
    <row r="88" spans="1:13" x14ac:dyDescent="0.2">
      <c r="A88" s="2" t="s">
        <v>110</v>
      </c>
      <c r="B88" s="1" t="s">
        <v>148</v>
      </c>
      <c r="C88" s="4">
        <v>33.646022919472799</v>
      </c>
      <c r="D88" s="27">
        <f t="shared" si="1"/>
        <v>1.5522751605037599</v>
      </c>
      <c r="E88" s="28">
        <f t="shared" si="2"/>
        <v>35.667704546353832</v>
      </c>
      <c r="F88" s="26">
        <v>7.6388888888888895E-2</v>
      </c>
      <c r="G88" s="3" t="s">
        <v>202</v>
      </c>
      <c r="H88" s="3" t="s">
        <v>203</v>
      </c>
      <c r="I88" s="1" t="s">
        <v>229</v>
      </c>
      <c r="J88" s="3">
        <f t="shared" si="23"/>
        <v>343222.71503419772</v>
      </c>
      <c r="K88" s="12">
        <f t="shared" si="20"/>
        <v>343222.71503419772</v>
      </c>
      <c r="L88" s="37"/>
      <c r="M88" s="37"/>
    </row>
    <row r="89" spans="1:13" x14ac:dyDescent="0.2">
      <c r="A89" s="2" t="s">
        <v>111</v>
      </c>
      <c r="B89" s="1" t="s">
        <v>149</v>
      </c>
      <c r="C89" s="4">
        <v>32.069051158754803</v>
      </c>
      <c r="D89" s="27">
        <f t="shared" si="1"/>
        <v>2.0207160557106563</v>
      </c>
      <c r="E89" s="28">
        <f t="shared" si="2"/>
        <v>104.88564559038326</v>
      </c>
      <c r="F89" s="26">
        <v>7.6388888888888895E-2</v>
      </c>
      <c r="G89" s="3" t="s">
        <v>202</v>
      </c>
      <c r="H89" s="3" t="s">
        <v>203</v>
      </c>
      <c r="I89" s="1" t="s">
        <v>230</v>
      </c>
      <c r="J89" s="3">
        <f>(E89*50*50)/236.5*1000</f>
        <v>1108727.754655214</v>
      </c>
      <c r="K89" s="12">
        <f t="shared" si="20"/>
        <v>1108727.754655214</v>
      </c>
      <c r="L89" s="36">
        <f t="shared" si="18"/>
        <v>1301660.1131881864</v>
      </c>
      <c r="M89" s="37" t="s">
        <v>221</v>
      </c>
    </row>
    <row r="90" spans="1:13" x14ac:dyDescent="0.2">
      <c r="A90" s="2" t="s">
        <v>113</v>
      </c>
      <c r="B90" s="1" t="s">
        <v>149</v>
      </c>
      <c r="C90" s="4">
        <v>31.917441412635</v>
      </c>
      <c r="D90" s="27">
        <f t="shared" si="1"/>
        <v>2.0657518686297891</v>
      </c>
      <c r="E90" s="28">
        <f t="shared" si="2"/>
        <v>116.34611034294902</v>
      </c>
      <c r="F90" s="26">
        <v>7.6388888888888895E-2</v>
      </c>
      <c r="G90" s="3" t="s">
        <v>202</v>
      </c>
      <c r="H90" s="3" t="s">
        <v>203</v>
      </c>
      <c r="I90" s="1" t="s">
        <v>230</v>
      </c>
      <c r="J90" s="3">
        <f t="shared" ref="J90:J91" si="24">(E90*50*50)/236.5*1000</f>
        <v>1229874.31652166</v>
      </c>
      <c r="K90" s="12">
        <f t="shared" si="20"/>
        <v>1229874.31652166</v>
      </c>
      <c r="L90" s="37"/>
      <c r="M90" s="37"/>
    </row>
    <row r="91" spans="1:13" x14ac:dyDescent="0.2">
      <c r="A91" s="2" t="s">
        <v>114</v>
      </c>
      <c r="B91" s="1" t="s">
        <v>149</v>
      </c>
      <c r="C91" s="4">
        <v>31.563845736848201</v>
      </c>
      <c r="D91" s="27">
        <f t="shared" si="1"/>
        <v>2.1707877855896722</v>
      </c>
      <c r="E91" s="28">
        <f t="shared" si="2"/>
        <v>148.17938418947497</v>
      </c>
      <c r="F91" s="26">
        <v>7.6388888888888895E-2</v>
      </c>
      <c r="G91" s="3" t="s">
        <v>202</v>
      </c>
      <c r="H91" s="3" t="s">
        <v>203</v>
      </c>
      <c r="I91" s="1" t="s">
        <v>230</v>
      </c>
      <c r="J91" s="3">
        <f t="shared" si="24"/>
        <v>1566378.2683876848</v>
      </c>
      <c r="K91" s="12">
        <f t="shared" si="20"/>
        <v>1566378.2683876848</v>
      </c>
      <c r="L91" s="37"/>
      <c r="M91" s="37"/>
    </row>
    <row r="92" spans="1:13" x14ac:dyDescent="0.2">
      <c r="A92" s="2" t="s">
        <v>115</v>
      </c>
      <c r="B92" s="1" t="s">
        <v>150</v>
      </c>
      <c r="C92" s="4">
        <v>33.133081497455301</v>
      </c>
      <c r="D92" s="27">
        <f t="shared" si="1"/>
        <v>1.704644876248812</v>
      </c>
      <c r="E92" s="28">
        <f t="shared" si="2"/>
        <v>50.657631007650046</v>
      </c>
      <c r="F92" s="26">
        <v>7.6388888888888895E-2</v>
      </c>
      <c r="G92" s="3" t="s">
        <v>202</v>
      </c>
      <c r="H92" s="3" t="s">
        <v>203</v>
      </c>
      <c r="I92" s="1" t="s">
        <v>231</v>
      </c>
      <c r="J92" s="3">
        <f>(E92*50*50)/241.8*1000</f>
        <v>523755.49015353638</v>
      </c>
      <c r="K92" s="12">
        <f t="shared" si="20"/>
        <v>523755.49015353638</v>
      </c>
      <c r="L92" s="36">
        <f t="shared" si="18"/>
        <v>444888.06036174373</v>
      </c>
      <c r="M92" s="37" t="s">
        <v>221</v>
      </c>
    </row>
    <row r="93" spans="1:13" x14ac:dyDescent="0.2">
      <c r="A93" s="2" t="s">
        <v>117</v>
      </c>
      <c r="B93" s="1" t="s">
        <v>150</v>
      </c>
      <c r="C93" s="4">
        <v>33.164609509616703</v>
      </c>
      <c r="D93" s="27">
        <f t="shared" si="1"/>
        <v>1.6952794515729401</v>
      </c>
      <c r="E93" s="28">
        <f t="shared" si="2"/>
        <v>49.576909628355011</v>
      </c>
      <c r="F93" s="26">
        <v>7.6388888888888895E-2</v>
      </c>
      <c r="G93" s="3" t="s">
        <v>202</v>
      </c>
      <c r="H93" s="3" t="s">
        <v>203</v>
      </c>
      <c r="I93" s="1" t="s">
        <v>231</v>
      </c>
      <c r="J93" s="3">
        <f t="shared" ref="J93:J94" si="25">(E93*50*50)/241.8*1000</f>
        <v>512581.77862236369</v>
      </c>
      <c r="K93" s="12">
        <f t="shared" si="20"/>
        <v>512581.77862236369</v>
      </c>
      <c r="L93" s="37"/>
      <c r="M93" s="37"/>
    </row>
    <row r="94" spans="1:13" x14ac:dyDescent="0.2">
      <c r="A94" s="2" t="s">
        <v>118</v>
      </c>
      <c r="B94" s="1" t="s">
        <v>150</v>
      </c>
      <c r="C94" s="4">
        <v>33.955957804830497</v>
      </c>
      <c r="D94" s="27">
        <f t="shared" si="1"/>
        <v>1.4602087210345434</v>
      </c>
      <c r="E94" s="28">
        <f t="shared" si="2"/>
        <v>28.85417895855851</v>
      </c>
      <c r="F94" s="26">
        <v>7.6388888888888895E-2</v>
      </c>
      <c r="G94" s="3" t="s">
        <v>202</v>
      </c>
      <c r="H94" s="3" t="s">
        <v>203</v>
      </c>
      <c r="I94" s="1" t="s">
        <v>231</v>
      </c>
      <c r="J94" s="3">
        <f t="shared" si="25"/>
        <v>298326.91230933112</v>
      </c>
      <c r="K94" s="12">
        <f t="shared" si="20"/>
        <v>298326.91230933112</v>
      </c>
      <c r="L94" s="37"/>
      <c r="M94" s="37"/>
    </row>
    <row r="95" spans="1:13" x14ac:dyDescent="0.2">
      <c r="A95" s="2" t="s">
        <v>119</v>
      </c>
      <c r="B95" s="1" t="s">
        <v>151</v>
      </c>
      <c r="C95" s="4">
        <v>33.632101943640301</v>
      </c>
      <c r="D95" s="27">
        <f t="shared" si="1"/>
        <v>1.5564103990308975</v>
      </c>
      <c r="E95" s="28">
        <f t="shared" si="2"/>
        <v>36.008945128740514</v>
      </c>
      <c r="F95" s="26">
        <v>7.6388888888888895E-2</v>
      </c>
      <c r="G95" s="3" t="s">
        <v>202</v>
      </c>
      <c r="H95" s="3" t="s">
        <v>203</v>
      </c>
      <c r="I95" s="1" t="s">
        <v>232</v>
      </c>
      <c r="J95" s="3">
        <f>(E95*50*50)/232.2*1000</f>
        <v>387693.20767377818</v>
      </c>
      <c r="K95" s="12">
        <f t="shared" si="20"/>
        <v>387693.20767377818</v>
      </c>
      <c r="L95" s="36">
        <f t="shared" si="18"/>
        <v>498648.97241468285</v>
      </c>
      <c r="M95" s="37" t="s">
        <v>221</v>
      </c>
    </row>
    <row r="96" spans="1:13" x14ac:dyDescent="0.2">
      <c r="A96" s="2" t="s">
        <v>121</v>
      </c>
      <c r="B96" s="1" t="s">
        <v>151</v>
      </c>
      <c r="C96" s="4">
        <v>33.976750232959503</v>
      </c>
      <c r="D96" s="27">
        <f t="shared" si="1"/>
        <v>1.4540323113556268</v>
      </c>
      <c r="E96" s="28">
        <f t="shared" si="2"/>
        <v>28.446727422194833</v>
      </c>
      <c r="F96" s="26">
        <v>7.6388888888888895E-2</v>
      </c>
      <c r="G96" s="3" t="s">
        <v>202</v>
      </c>
      <c r="H96" s="3" t="s">
        <v>203</v>
      </c>
      <c r="I96" s="1" t="s">
        <v>232</v>
      </c>
      <c r="J96" s="3">
        <f t="shared" ref="J96:J97" si="26">(E96*50*50)/232.2*1000</f>
        <v>306273.98172044387</v>
      </c>
      <c r="K96" s="12">
        <f t="shared" si="20"/>
        <v>306273.98172044387</v>
      </c>
      <c r="L96" s="37"/>
      <c r="M96" s="37"/>
    </row>
    <row r="97" spans="1:13" x14ac:dyDescent="0.2">
      <c r="A97" s="2" t="s">
        <v>122</v>
      </c>
      <c r="B97" s="1" t="s">
        <v>151</v>
      </c>
      <c r="C97" s="4">
        <v>32.569404646732202</v>
      </c>
      <c r="D97" s="27">
        <f t="shared" si="1"/>
        <v>1.8720855972163901</v>
      </c>
      <c r="E97" s="28">
        <f t="shared" si="2"/>
        <v>74.487877122691884</v>
      </c>
      <c r="F97" s="26">
        <v>7.6388888888888895E-2</v>
      </c>
      <c r="G97" s="3" t="s">
        <v>202</v>
      </c>
      <c r="H97" s="3" t="s">
        <v>203</v>
      </c>
      <c r="I97" s="1" t="s">
        <v>232</v>
      </c>
      <c r="J97" s="3">
        <f t="shared" si="26"/>
        <v>801979.72784982645</v>
      </c>
      <c r="K97" s="12">
        <f t="shared" si="20"/>
        <v>801979.72784982645</v>
      </c>
      <c r="L97" s="37"/>
      <c r="M97" s="37"/>
    </row>
    <row r="98" spans="1:13" x14ac:dyDescent="0.2">
      <c r="A98" s="2" t="s">
        <v>123</v>
      </c>
      <c r="B98" s="1" t="s">
        <v>152</v>
      </c>
      <c r="C98" s="4">
        <v>33.523465844980798</v>
      </c>
      <c r="D98" s="27">
        <f t="shared" si="1"/>
        <v>1.5886808509029537</v>
      </c>
      <c r="E98" s="28">
        <f t="shared" si="2"/>
        <v>38.786523150654894</v>
      </c>
      <c r="F98" s="26">
        <v>7.6388888888888895E-2</v>
      </c>
      <c r="G98" s="3" t="s">
        <v>202</v>
      </c>
      <c r="H98" s="3" t="s">
        <v>203</v>
      </c>
      <c r="I98" s="1" t="s">
        <v>233</v>
      </c>
      <c r="J98" s="3">
        <f>(E98*50*50)/253.5*1000</f>
        <v>382510.09024314495</v>
      </c>
      <c r="K98" s="12">
        <f t="shared" si="20"/>
        <v>382510.09024314495</v>
      </c>
      <c r="L98" s="36">
        <f t="shared" si="18"/>
        <v>542282.43336348946</v>
      </c>
      <c r="M98" s="37" t="s">
        <v>221</v>
      </c>
    </row>
    <row r="99" spans="1:13" x14ac:dyDescent="0.2">
      <c r="A99" s="2" t="s">
        <v>125</v>
      </c>
      <c r="B99" s="1" t="s">
        <v>152</v>
      </c>
      <c r="C99" s="4">
        <v>32.623268949896797</v>
      </c>
      <c r="D99" s="27">
        <f t="shared" si="1"/>
        <v>1.8560851569912398</v>
      </c>
      <c r="E99" s="28">
        <f t="shared" si="2"/>
        <v>71.793505105041703</v>
      </c>
      <c r="F99" s="26">
        <v>7.6388888888888895E-2</v>
      </c>
      <c r="G99" s="3" t="s">
        <v>202</v>
      </c>
      <c r="H99" s="3" t="s">
        <v>203</v>
      </c>
      <c r="I99" s="1" t="s">
        <v>233</v>
      </c>
      <c r="J99" s="3">
        <f t="shared" ref="J99:J100" si="27">(E99*50*50)/253.5*1000</f>
        <v>708022.73279133823</v>
      </c>
      <c r="K99" s="12">
        <f t="shared" si="20"/>
        <v>708022.73279133823</v>
      </c>
      <c r="L99" s="37"/>
      <c r="M99" s="37"/>
    </row>
    <row r="100" spans="1:13" x14ac:dyDescent="0.2">
      <c r="A100" s="2" t="s">
        <v>126</v>
      </c>
      <c r="B100" s="1" t="s">
        <v>152</v>
      </c>
      <c r="C100" s="4">
        <v>33.029353152947998</v>
      </c>
      <c r="D100" s="27">
        <f t="shared" si="1"/>
        <v>1.7354574752881295</v>
      </c>
      <c r="E100" s="28">
        <f t="shared" si="2"/>
        <v>54.382287973476899</v>
      </c>
      <c r="F100" s="26">
        <v>7.6388888888888895E-2</v>
      </c>
      <c r="G100" s="3" t="s">
        <v>202</v>
      </c>
      <c r="H100" s="3" t="s">
        <v>203</v>
      </c>
      <c r="I100" s="1" t="s">
        <v>233</v>
      </c>
      <c r="J100" s="3">
        <f t="shared" si="27"/>
        <v>536314.47705598525</v>
      </c>
      <c r="K100" s="12">
        <f t="shared" si="20"/>
        <v>536314.47705598525</v>
      </c>
      <c r="L100" s="37"/>
      <c r="M100" s="37"/>
    </row>
    <row r="101" spans="1:13" x14ac:dyDescent="0.2">
      <c r="A101" s="2" t="s">
        <v>127</v>
      </c>
      <c r="B101" s="1" t="s">
        <v>153</v>
      </c>
      <c r="C101" s="4">
        <v>33.3919685093514</v>
      </c>
      <c r="D101" s="27">
        <f t="shared" si="1"/>
        <v>1.6277422540009463</v>
      </c>
      <c r="E101" s="28">
        <f t="shared" si="2"/>
        <v>42.436763460301108</v>
      </c>
      <c r="F101" s="26">
        <v>7.6388888888888895E-2</v>
      </c>
      <c r="G101" s="3" t="s">
        <v>202</v>
      </c>
      <c r="H101" s="3" t="s">
        <v>203</v>
      </c>
      <c r="I101" s="1" t="s">
        <v>234</v>
      </c>
      <c r="J101" s="3">
        <f>(E101*50*50)/245.1*1000</f>
        <v>432851.52448287542</v>
      </c>
      <c r="K101" s="12">
        <f t="shared" si="20"/>
        <v>432851.52448287542</v>
      </c>
      <c r="L101" s="36">
        <f t="shared" si="18"/>
        <v>389889.56923033466</v>
      </c>
      <c r="M101" s="37" t="s">
        <v>221</v>
      </c>
    </row>
    <row r="102" spans="1:13" x14ac:dyDescent="0.2">
      <c r="A102" s="2" t="s">
        <v>129</v>
      </c>
      <c r="B102" s="1" t="s">
        <v>153</v>
      </c>
      <c r="C102" s="4">
        <v>33.262545278954903</v>
      </c>
      <c r="D102" s="27">
        <f t="shared" si="1"/>
        <v>1.6661875422538572</v>
      </c>
      <c r="E102" s="28">
        <f t="shared" si="2"/>
        <v>46.364709416337334</v>
      </c>
      <c r="F102" s="26">
        <v>7.6388888888888895E-2</v>
      </c>
      <c r="G102" s="3" t="s">
        <v>202</v>
      </c>
      <c r="H102" s="3" t="s">
        <v>203</v>
      </c>
      <c r="I102" s="1" t="s">
        <v>234</v>
      </c>
      <c r="J102" s="3">
        <f t="shared" ref="J102:J103" si="28">(E102*50*50)/245.1*1000</f>
        <v>472916.25271661911</v>
      </c>
      <c r="K102" s="12">
        <f t="shared" si="20"/>
        <v>472916.25271661911</v>
      </c>
      <c r="L102" s="37"/>
      <c r="M102" s="37"/>
    </row>
    <row r="103" spans="1:13" x14ac:dyDescent="0.2">
      <c r="A103" s="2" t="s">
        <v>130</v>
      </c>
      <c r="B103" s="1" t="s">
        <v>153</v>
      </c>
      <c r="C103" s="4">
        <v>34.115406894163101</v>
      </c>
      <c r="D103" s="27">
        <f t="shared" ref="D103" si="29">(C103-$S$11)/$S$10</f>
        <v>1.4128442240870001</v>
      </c>
      <c r="E103" s="28">
        <f t="shared" ref="E103" si="30">10^D103</f>
        <v>25.872847225387588</v>
      </c>
      <c r="F103" s="26">
        <v>7.6388888888888895E-2</v>
      </c>
      <c r="G103" s="3" t="s">
        <v>202</v>
      </c>
      <c r="H103" s="3" t="s">
        <v>203</v>
      </c>
      <c r="I103" s="1" t="s">
        <v>234</v>
      </c>
      <c r="J103" s="3">
        <f t="shared" si="28"/>
        <v>263900.9304915095</v>
      </c>
      <c r="K103" s="12">
        <f t="shared" si="20"/>
        <v>263900.9304915095</v>
      </c>
      <c r="L103" s="37"/>
      <c r="M103" s="37"/>
    </row>
  </sheetData>
  <mergeCells count="45">
    <mergeCell ref="L89:L91"/>
    <mergeCell ref="L92:L94"/>
    <mergeCell ref="L95:L97"/>
    <mergeCell ref="L98:L100"/>
    <mergeCell ref="L101:L103"/>
    <mergeCell ref="M89:M91"/>
    <mergeCell ref="M92:M94"/>
    <mergeCell ref="M95:M97"/>
    <mergeCell ref="M98:M100"/>
    <mergeCell ref="M101:M103"/>
    <mergeCell ref="L86:L88"/>
    <mergeCell ref="L65:L67"/>
    <mergeCell ref="M65:M67"/>
    <mergeCell ref="L68:L70"/>
    <mergeCell ref="M68:M70"/>
    <mergeCell ref="L71:L73"/>
    <mergeCell ref="M71:M73"/>
    <mergeCell ref="L74:L76"/>
    <mergeCell ref="M74:M76"/>
    <mergeCell ref="L77:L79"/>
    <mergeCell ref="L80:L82"/>
    <mergeCell ref="L83:L85"/>
    <mergeCell ref="M77:M79"/>
    <mergeCell ref="M80:M82"/>
    <mergeCell ref="M83:M85"/>
    <mergeCell ref="M86:M88"/>
    <mergeCell ref="L56:L58"/>
    <mergeCell ref="M56:M58"/>
    <mergeCell ref="L59:L61"/>
    <mergeCell ref="M59:M61"/>
    <mergeCell ref="L62:L64"/>
    <mergeCell ref="M62:M64"/>
    <mergeCell ref="L47:L49"/>
    <mergeCell ref="M47:M49"/>
    <mergeCell ref="L50:L52"/>
    <mergeCell ref="M50:M52"/>
    <mergeCell ref="L53:L55"/>
    <mergeCell ref="M53:M55"/>
    <mergeCell ref="L44:L46"/>
    <mergeCell ref="M44:M46"/>
    <mergeCell ref="S7:U8"/>
    <mergeCell ref="L38:L40"/>
    <mergeCell ref="M38:M40"/>
    <mergeCell ref="L41:L43"/>
    <mergeCell ref="M41:M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7A06-4104-F340-8330-B1DDC3245E4E}">
  <dimension ref="A1:U103"/>
  <sheetViews>
    <sheetView tabSelected="1" workbookViewId="0">
      <selection activeCell="D2" sqref="D2:D22"/>
    </sheetView>
  </sheetViews>
  <sheetFormatPr baseColWidth="10" defaultRowHeight="16" x14ac:dyDescent="0.2"/>
  <cols>
    <col min="1" max="1" width="5" bestFit="1" customWidth="1"/>
    <col min="2" max="2" width="15.33203125" bestFit="1" customWidth="1"/>
    <col min="3" max="3" width="6.6640625" bestFit="1" customWidth="1"/>
    <col min="4" max="4" width="21.6640625" bestFit="1" customWidth="1"/>
    <col min="6" max="6" width="4.6640625" bestFit="1" customWidth="1"/>
    <col min="7" max="7" width="9.1640625" bestFit="1" customWidth="1"/>
    <col min="8" max="8" width="13" bestFit="1" customWidth="1"/>
    <col min="9" max="9" width="14.33203125" bestFit="1" customWidth="1"/>
    <col min="13" max="13" width="13.1640625" bestFit="1" customWidth="1"/>
    <col min="14" max="14" width="5" bestFit="1" customWidth="1"/>
    <col min="15" max="15" width="8.33203125" bestFit="1" customWidth="1"/>
    <col min="16" max="16" width="9.83203125" bestFit="1" customWidth="1"/>
    <col min="17" max="17" width="5.6640625" bestFit="1" customWidth="1"/>
    <col min="21" max="21" width="13.1640625" bestFit="1" customWidth="1"/>
  </cols>
  <sheetData>
    <row r="1" spans="1:21" x14ac:dyDescent="0.2">
      <c r="A1" s="9" t="s">
        <v>0</v>
      </c>
      <c r="B1" s="9" t="s">
        <v>1</v>
      </c>
      <c r="C1" s="9" t="s">
        <v>154</v>
      </c>
      <c r="D1" s="9" t="s">
        <v>2</v>
      </c>
      <c r="N1" s="1" t="s">
        <v>0</v>
      </c>
      <c r="O1" s="3" t="s">
        <v>1</v>
      </c>
      <c r="P1" s="1" t="s">
        <v>194</v>
      </c>
      <c r="Q1" s="9" t="s">
        <v>2</v>
      </c>
    </row>
    <row r="2" spans="1:21" x14ac:dyDescent="0.2">
      <c r="A2" s="10" t="s">
        <v>3</v>
      </c>
      <c r="B2" s="9" t="s">
        <v>4</v>
      </c>
      <c r="C2" s="34">
        <f>LOG(P2)</f>
        <v>8.0136044023579664</v>
      </c>
      <c r="D2" s="11">
        <v>11.214303487675499</v>
      </c>
      <c r="N2" s="1" t="s">
        <v>3</v>
      </c>
      <c r="O2" s="3" t="s">
        <v>4</v>
      </c>
      <c r="P2" s="12">
        <v>103182109.45826009</v>
      </c>
      <c r="Q2" s="11">
        <v>11.214303487675499</v>
      </c>
    </row>
    <row r="3" spans="1:21" x14ac:dyDescent="0.2">
      <c r="A3" s="10" t="s">
        <v>5</v>
      </c>
      <c r="B3" s="9" t="s">
        <v>4</v>
      </c>
      <c r="C3" s="34">
        <f t="shared" ref="C3:C28" si="0">LOG(P3)</f>
        <v>8.0136044023579664</v>
      </c>
      <c r="D3" s="11">
        <v>11.312113984795999</v>
      </c>
      <c r="N3" s="1" t="s">
        <v>5</v>
      </c>
      <c r="O3" s="3" t="s">
        <v>4</v>
      </c>
      <c r="P3" s="12">
        <v>103182109.45826009</v>
      </c>
      <c r="Q3" s="11">
        <v>11.312113984795999</v>
      </c>
    </row>
    <row r="4" spans="1:21" x14ac:dyDescent="0.2">
      <c r="A4" s="10" t="s">
        <v>6</v>
      </c>
      <c r="B4" s="9" t="s">
        <v>4</v>
      </c>
      <c r="C4" s="34">
        <f t="shared" si="0"/>
        <v>8.0136044023579664</v>
      </c>
      <c r="D4" s="11">
        <v>11.388184230755501</v>
      </c>
      <c r="N4" s="1" t="s">
        <v>6</v>
      </c>
      <c r="O4" s="3" t="s">
        <v>4</v>
      </c>
      <c r="P4" s="12">
        <v>103182109.45826009</v>
      </c>
      <c r="Q4" s="11">
        <v>11.388184230755501</v>
      </c>
    </row>
    <row r="5" spans="1:21" x14ac:dyDescent="0.2">
      <c r="A5" s="10" t="s">
        <v>7</v>
      </c>
      <c r="B5" s="9" t="s">
        <v>8</v>
      </c>
      <c r="C5" s="34">
        <f t="shared" si="0"/>
        <v>7.0136044023579664</v>
      </c>
      <c r="D5" s="11">
        <v>15.116691350460099</v>
      </c>
      <c r="N5" s="1" t="s">
        <v>7</v>
      </c>
      <c r="O5" s="3" t="s">
        <v>8</v>
      </c>
      <c r="P5" s="12">
        <v>10318210.945826009</v>
      </c>
      <c r="Q5" s="11">
        <v>15.116691350460099</v>
      </c>
    </row>
    <row r="6" spans="1:21" ht="17" thickBot="1" x14ac:dyDescent="0.25">
      <c r="A6" s="10" t="s">
        <v>9</v>
      </c>
      <c r="B6" s="9" t="s">
        <v>8</v>
      </c>
      <c r="C6" s="34">
        <f t="shared" si="0"/>
        <v>7.0136044023579664</v>
      </c>
      <c r="D6" s="11">
        <v>15.0967771269039</v>
      </c>
      <c r="N6" s="1" t="s">
        <v>9</v>
      </c>
      <c r="O6" s="3" t="s">
        <v>8</v>
      </c>
      <c r="P6" s="12">
        <v>10318210.945826009</v>
      </c>
      <c r="Q6" s="11">
        <v>15.0967771269039</v>
      </c>
    </row>
    <row r="7" spans="1:21" x14ac:dyDescent="0.2">
      <c r="A7" s="10" t="s">
        <v>10</v>
      </c>
      <c r="B7" s="9" t="s">
        <v>8</v>
      </c>
      <c r="C7" s="34">
        <f t="shared" si="0"/>
        <v>7.0136044023579664</v>
      </c>
      <c r="D7" s="11">
        <v>15.161402875319901</v>
      </c>
      <c r="N7" s="1" t="s">
        <v>10</v>
      </c>
      <c r="O7" s="3" t="s">
        <v>8</v>
      </c>
      <c r="P7" s="12">
        <v>10318210.945826009</v>
      </c>
      <c r="Q7" s="11">
        <v>15.161402875319901</v>
      </c>
      <c r="S7" s="38" t="s">
        <v>235</v>
      </c>
      <c r="T7" s="39"/>
      <c r="U7" s="40"/>
    </row>
    <row r="8" spans="1:21" ht="17" thickBot="1" x14ac:dyDescent="0.25">
      <c r="A8" s="10" t="s">
        <v>11</v>
      </c>
      <c r="B8" s="9" t="s">
        <v>12</v>
      </c>
      <c r="C8" s="34">
        <f t="shared" si="0"/>
        <v>6.0136044023579664</v>
      </c>
      <c r="D8" s="11">
        <v>18.432768621189101</v>
      </c>
      <c r="N8" s="1" t="s">
        <v>11</v>
      </c>
      <c r="O8" s="3" t="s">
        <v>12</v>
      </c>
      <c r="P8" s="12">
        <v>1031821.0945826009</v>
      </c>
      <c r="Q8" s="11">
        <v>18.432768621189101</v>
      </c>
      <c r="S8" s="41"/>
      <c r="T8" s="42"/>
      <c r="U8" s="43"/>
    </row>
    <row r="9" spans="1:21" x14ac:dyDescent="0.2">
      <c r="A9" s="10" t="s">
        <v>13</v>
      </c>
      <c r="B9" s="9" t="s">
        <v>12</v>
      </c>
      <c r="C9" s="34">
        <f t="shared" si="0"/>
        <v>6.0136044023579664</v>
      </c>
      <c r="D9" s="11">
        <v>18.5148630121469</v>
      </c>
      <c r="N9" s="1" t="s">
        <v>13</v>
      </c>
      <c r="O9" s="3" t="s">
        <v>12</v>
      </c>
      <c r="P9" s="12">
        <v>1031821.0945826009</v>
      </c>
      <c r="Q9" s="11">
        <v>18.5148630121469</v>
      </c>
    </row>
    <row r="10" spans="1:21" x14ac:dyDescent="0.2">
      <c r="A10" s="10" t="s">
        <v>14</v>
      </c>
      <c r="B10" s="9" t="s">
        <v>12</v>
      </c>
      <c r="C10" s="34">
        <f t="shared" si="0"/>
        <v>6.0136044023579664</v>
      </c>
      <c r="D10" s="11">
        <v>18.620993717779701</v>
      </c>
      <c r="N10" s="1" t="s">
        <v>14</v>
      </c>
      <c r="O10" s="3" t="s">
        <v>12</v>
      </c>
      <c r="P10" s="12">
        <v>1031821.0945826009</v>
      </c>
      <c r="Q10" s="11">
        <v>18.620993717779701</v>
      </c>
      <c r="S10">
        <f>SLOPE(D2:D21,C2:C21)</f>
        <v>-3.4330712609425564</v>
      </c>
    </row>
    <row r="11" spans="1:21" x14ac:dyDescent="0.2">
      <c r="A11" s="10" t="s">
        <v>15</v>
      </c>
      <c r="B11" s="9" t="s">
        <v>16</v>
      </c>
      <c r="C11" s="34">
        <f t="shared" si="0"/>
        <v>5.0136044023579664</v>
      </c>
      <c r="D11" s="11">
        <v>21.774894943942101</v>
      </c>
      <c r="N11" s="1" t="s">
        <v>15</v>
      </c>
      <c r="O11" s="3" t="s">
        <v>16</v>
      </c>
      <c r="P11" s="12">
        <v>103182.10945826009</v>
      </c>
      <c r="Q11" s="11">
        <v>21.774894943942101</v>
      </c>
      <c r="S11">
        <f>INTERCEPT(D2:D22,C2:C22)</f>
        <v>39.457849391041364</v>
      </c>
    </row>
    <row r="12" spans="1:21" x14ac:dyDescent="0.2">
      <c r="A12" s="10" t="s">
        <v>17</v>
      </c>
      <c r="B12" s="9" t="s">
        <v>16</v>
      </c>
      <c r="C12" s="34">
        <f t="shared" si="0"/>
        <v>5.0136044023579664</v>
      </c>
      <c r="D12" s="11">
        <v>22.012610252327299</v>
      </c>
      <c r="N12" s="1" t="s">
        <v>17</v>
      </c>
      <c r="O12" s="3" t="s">
        <v>16</v>
      </c>
      <c r="P12" s="12">
        <v>103182.10945826009</v>
      </c>
      <c r="Q12" s="11">
        <v>22.012610252327299</v>
      </c>
      <c r="S12" s="1">
        <f>-1+10^(-1/S10)</f>
        <v>0.95561954995392528</v>
      </c>
    </row>
    <row r="13" spans="1:21" x14ac:dyDescent="0.2">
      <c r="A13" s="10" t="s">
        <v>18</v>
      </c>
      <c r="B13" s="9" t="s">
        <v>16</v>
      </c>
      <c r="C13" s="34">
        <f t="shared" si="0"/>
        <v>5.0136044023579664</v>
      </c>
      <c r="D13" s="11">
        <v>21.707065591662801</v>
      </c>
      <c r="N13" s="1" t="s">
        <v>18</v>
      </c>
      <c r="O13" s="3" t="s">
        <v>16</v>
      </c>
      <c r="P13" s="12">
        <v>103182.10945826009</v>
      </c>
      <c r="Q13" s="11">
        <v>21.707065591662801</v>
      </c>
      <c r="S13" s="35">
        <f>RSQ(D2:D19,C2:C19)</f>
        <v>0.99924343355229672</v>
      </c>
    </row>
    <row r="14" spans="1:21" x14ac:dyDescent="0.2">
      <c r="A14" s="10" t="s">
        <v>19</v>
      </c>
      <c r="B14" s="9" t="s">
        <v>20</v>
      </c>
      <c r="C14" s="34">
        <f t="shared" si="0"/>
        <v>4.0136044023579664</v>
      </c>
      <c r="D14" s="11">
        <v>25.178725226475699</v>
      </c>
      <c r="N14" s="1" t="s">
        <v>19</v>
      </c>
      <c r="O14" s="3" t="s">
        <v>20</v>
      </c>
      <c r="P14" s="12">
        <v>10318.210945826009</v>
      </c>
      <c r="Q14" s="11">
        <v>25.178725226475699</v>
      </c>
    </row>
    <row r="15" spans="1:21" x14ac:dyDescent="0.2">
      <c r="A15" s="10" t="s">
        <v>21</v>
      </c>
      <c r="B15" s="9" t="s">
        <v>20</v>
      </c>
      <c r="C15" s="34">
        <f t="shared" si="0"/>
        <v>4.0136044023579664</v>
      </c>
      <c r="D15" s="11">
        <v>25.0451052922431</v>
      </c>
      <c r="N15" s="1" t="s">
        <v>21</v>
      </c>
      <c r="O15" s="3" t="s">
        <v>20</v>
      </c>
      <c r="P15" s="12">
        <v>10318.210945826009</v>
      </c>
      <c r="Q15" s="11">
        <v>25.0451052922431</v>
      </c>
    </row>
    <row r="16" spans="1:21" x14ac:dyDescent="0.2">
      <c r="A16" s="10" t="s">
        <v>22</v>
      </c>
      <c r="B16" s="9" t="s">
        <v>20</v>
      </c>
      <c r="C16" s="34">
        <f t="shared" si="0"/>
        <v>4.0136044023579664</v>
      </c>
      <c r="D16" s="11">
        <v>25.0508966030004</v>
      </c>
      <c r="N16" s="1" t="s">
        <v>22</v>
      </c>
      <c r="O16" s="3" t="s">
        <v>20</v>
      </c>
      <c r="P16" s="12">
        <v>10318.210945826009</v>
      </c>
      <c r="Q16" s="11">
        <v>25.0508966030004</v>
      </c>
    </row>
    <row r="17" spans="1:17" x14ac:dyDescent="0.2">
      <c r="A17" s="10" t="s">
        <v>23</v>
      </c>
      <c r="B17" s="9" t="s">
        <v>24</v>
      </c>
      <c r="C17" s="34">
        <f t="shared" si="0"/>
        <v>3.0136044023579664</v>
      </c>
      <c r="D17" s="11">
        <v>28.6282081316829</v>
      </c>
      <c r="N17" s="1" t="s">
        <v>23</v>
      </c>
      <c r="O17" s="3" t="s">
        <v>24</v>
      </c>
      <c r="P17" s="12">
        <v>1031.8210945826008</v>
      </c>
      <c r="Q17" s="11">
        <v>28.6282081316829</v>
      </c>
    </row>
    <row r="18" spans="1:17" x14ac:dyDescent="0.2">
      <c r="A18" s="10" t="s">
        <v>25</v>
      </c>
      <c r="B18" s="9" t="s">
        <v>24</v>
      </c>
      <c r="C18" s="34">
        <f t="shared" si="0"/>
        <v>3.0136044023579664</v>
      </c>
      <c r="D18" s="11">
        <v>28.604604697882401</v>
      </c>
      <c r="N18" s="1" t="s">
        <v>25</v>
      </c>
      <c r="O18" s="3" t="s">
        <v>24</v>
      </c>
      <c r="P18" s="12">
        <v>1031.8210945826008</v>
      </c>
      <c r="Q18" s="11">
        <v>28.604604697882401</v>
      </c>
    </row>
    <row r="19" spans="1:17" x14ac:dyDescent="0.2">
      <c r="A19" s="10" t="s">
        <v>26</v>
      </c>
      <c r="B19" s="9" t="s">
        <v>24</v>
      </c>
      <c r="C19" s="34">
        <f t="shared" si="0"/>
        <v>3.0136044023579664</v>
      </c>
      <c r="D19" s="11">
        <v>28.737035530112699</v>
      </c>
      <c r="N19" s="1" t="s">
        <v>26</v>
      </c>
      <c r="O19" s="3" t="s">
        <v>24</v>
      </c>
      <c r="P19" s="12">
        <v>1031.8210945826008</v>
      </c>
      <c r="Q19" s="11">
        <v>28.737035530112699</v>
      </c>
    </row>
    <row r="20" spans="1:17" x14ac:dyDescent="0.2">
      <c r="A20" s="10" t="s">
        <v>29</v>
      </c>
      <c r="B20" s="9" t="s">
        <v>28</v>
      </c>
      <c r="C20" s="34">
        <f t="shared" si="0"/>
        <v>2.0136044023579664</v>
      </c>
      <c r="D20" s="11">
        <v>32.012748758647703</v>
      </c>
      <c r="N20" s="1" t="s">
        <v>29</v>
      </c>
      <c r="O20" s="3" t="s">
        <v>28</v>
      </c>
      <c r="P20" s="12">
        <v>103.18210945826009</v>
      </c>
      <c r="Q20" s="11">
        <v>32.012748758647703</v>
      </c>
    </row>
    <row r="21" spans="1:17" x14ac:dyDescent="0.2">
      <c r="A21" s="10" t="s">
        <v>30</v>
      </c>
      <c r="B21" s="9" t="s">
        <v>28</v>
      </c>
      <c r="C21" s="34">
        <f t="shared" si="0"/>
        <v>2.0136044023579664</v>
      </c>
      <c r="D21" s="11">
        <v>32.286814773702602</v>
      </c>
      <c r="N21" s="1" t="s">
        <v>30</v>
      </c>
      <c r="O21" s="3" t="s">
        <v>28</v>
      </c>
      <c r="P21" s="12">
        <v>103.18210945826009</v>
      </c>
      <c r="Q21" s="11">
        <v>32.286814773702602</v>
      </c>
    </row>
    <row r="22" spans="1:17" x14ac:dyDescent="0.2">
      <c r="A22" s="10" t="s">
        <v>27</v>
      </c>
      <c r="B22" s="9" t="s">
        <v>28</v>
      </c>
      <c r="C22" s="34">
        <f t="shared" si="0"/>
        <v>2.0136044023579664</v>
      </c>
      <c r="D22" s="11">
        <v>34.032405251147999</v>
      </c>
      <c r="N22" s="1" t="s">
        <v>27</v>
      </c>
      <c r="O22" s="3" t="s">
        <v>28</v>
      </c>
      <c r="P22" s="12">
        <v>103.18210945826009</v>
      </c>
      <c r="Q22" s="11">
        <v>34.032405251147999</v>
      </c>
    </row>
    <row r="23" spans="1:17" x14ac:dyDescent="0.2">
      <c r="A23" s="10" t="s">
        <v>31</v>
      </c>
      <c r="B23" s="9" t="s">
        <v>32</v>
      </c>
      <c r="C23" s="34">
        <f t="shared" si="0"/>
        <v>1.0136044023579664</v>
      </c>
      <c r="D23" s="11"/>
      <c r="N23" s="1" t="s">
        <v>31</v>
      </c>
      <c r="O23" s="3" t="s">
        <v>32</v>
      </c>
      <c r="P23" s="12">
        <v>10.318210945826008</v>
      </c>
      <c r="Q23" s="11"/>
    </row>
    <row r="24" spans="1:17" x14ac:dyDescent="0.2">
      <c r="A24" s="10" t="s">
        <v>33</v>
      </c>
      <c r="B24" s="9" t="s">
        <v>32</v>
      </c>
      <c r="C24" s="34">
        <f t="shared" si="0"/>
        <v>1.0136044023579664</v>
      </c>
      <c r="D24" s="11">
        <v>33.570655230211599</v>
      </c>
      <c r="M24" s="1"/>
      <c r="N24" s="1" t="s">
        <v>33</v>
      </c>
      <c r="O24" s="3" t="s">
        <v>32</v>
      </c>
      <c r="P24" s="12">
        <v>10.318210945826008</v>
      </c>
      <c r="Q24" s="11">
        <v>33.570655230211599</v>
      </c>
    </row>
    <row r="25" spans="1:17" x14ac:dyDescent="0.2">
      <c r="A25" s="10" t="s">
        <v>34</v>
      </c>
      <c r="B25" s="9" t="s">
        <v>32</v>
      </c>
      <c r="C25" s="34">
        <f t="shared" si="0"/>
        <v>1.0136044023579664</v>
      </c>
      <c r="D25" s="11"/>
      <c r="N25" s="1" t="s">
        <v>34</v>
      </c>
      <c r="O25" s="3" t="s">
        <v>32</v>
      </c>
      <c r="P25" s="12">
        <v>10.318210945826008</v>
      </c>
      <c r="Q25" s="11"/>
    </row>
    <row r="26" spans="1:17" x14ac:dyDescent="0.2">
      <c r="A26" s="10" t="s">
        <v>35</v>
      </c>
      <c r="B26" s="9" t="s">
        <v>36</v>
      </c>
      <c r="C26" s="34">
        <f t="shared" si="0"/>
        <v>1.3604402357966342E-2</v>
      </c>
      <c r="D26" s="11"/>
      <c r="N26" s="1" t="s">
        <v>35</v>
      </c>
      <c r="O26" s="3" t="s">
        <v>36</v>
      </c>
      <c r="P26" s="12">
        <v>1.0318210945826007</v>
      </c>
      <c r="Q26" s="11"/>
    </row>
    <row r="27" spans="1:17" x14ac:dyDescent="0.2">
      <c r="A27" s="10" t="s">
        <v>37</v>
      </c>
      <c r="B27" s="9" t="s">
        <v>36</v>
      </c>
      <c r="C27" s="34">
        <f t="shared" si="0"/>
        <v>1.3604402357966342E-2</v>
      </c>
      <c r="D27" s="11"/>
      <c r="N27" s="1" t="s">
        <v>37</v>
      </c>
      <c r="O27" s="3" t="s">
        <v>36</v>
      </c>
      <c r="P27" s="12">
        <v>1.0318210945826007</v>
      </c>
    </row>
    <row r="28" spans="1:17" x14ac:dyDescent="0.2">
      <c r="A28" s="10" t="s">
        <v>38</v>
      </c>
      <c r="B28" s="9" t="s">
        <v>36</v>
      </c>
      <c r="C28" s="34">
        <f t="shared" si="0"/>
        <v>1.3604402357966342E-2</v>
      </c>
      <c r="D28" s="11"/>
      <c r="N28" s="1" t="s">
        <v>38</v>
      </c>
      <c r="O28" s="3" t="s">
        <v>36</v>
      </c>
      <c r="P28" s="12">
        <v>1.0318210945826007</v>
      </c>
    </row>
    <row r="29" spans="1:17" x14ac:dyDescent="0.2">
      <c r="A29" s="10" t="s">
        <v>39</v>
      </c>
      <c r="B29" s="9" t="s">
        <v>40</v>
      </c>
      <c r="C29" s="9" t="s">
        <v>131</v>
      </c>
      <c r="D29" s="11"/>
      <c r="N29" s="1" t="s">
        <v>39</v>
      </c>
      <c r="O29" s="3" t="s">
        <v>40</v>
      </c>
      <c r="P29" s="1" t="s">
        <v>131</v>
      </c>
    </row>
    <row r="30" spans="1:17" x14ac:dyDescent="0.2">
      <c r="A30" s="10" t="s">
        <v>41</v>
      </c>
      <c r="B30" s="9" t="s">
        <v>40</v>
      </c>
      <c r="C30" s="9" t="s">
        <v>131</v>
      </c>
      <c r="D30" s="11"/>
      <c r="N30" s="1" t="s">
        <v>41</v>
      </c>
      <c r="O30" s="3" t="s">
        <v>40</v>
      </c>
      <c r="P30" s="1" t="s">
        <v>131</v>
      </c>
    </row>
    <row r="31" spans="1:17" x14ac:dyDescent="0.2">
      <c r="A31" s="10" t="s">
        <v>42</v>
      </c>
      <c r="B31" s="9" t="s">
        <v>40</v>
      </c>
      <c r="C31" s="9" t="s">
        <v>131</v>
      </c>
      <c r="D31" s="11"/>
      <c r="N31" s="1" t="s">
        <v>42</v>
      </c>
      <c r="O31" s="3" t="s">
        <v>40</v>
      </c>
      <c r="P31" s="1" t="s">
        <v>131</v>
      </c>
    </row>
    <row r="32" spans="1:17" x14ac:dyDescent="0.2">
      <c r="A32" s="10" t="s">
        <v>43</v>
      </c>
      <c r="B32" s="9" t="s">
        <v>40</v>
      </c>
      <c r="C32" s="9" t="s">
        <v>131</v>
      </c>
      <c r="D32" s="11"/>
      <c r="N32" s="2" t="s">
        <v>43</v>
      </c>
      <c r="O32" s="1" t="s">
        <v>40</v>
      </c>
      <c r="P32" s="1" t="s">
        <v>131</v>
      </c>
    </row>
    <row r="33" spans="1:21" x14ac:dyDescent="0.2">
      <c r="A33" s="10" t="s">
        <v>45</v>
      </c>
      <c r="B33" s="9" t="s">
        <v>40</v>
      </c>
      <c r="C33" s="9" t="s">
        <v>131</v>
      </c>
      <c r="D33" s="11"/>
      <c r="N33" s="2" t="s">
        <v>45</v>
      </c>
      <c r="O33" s="1" t="s">
        <v>40</v>
      </c>
      <c r="P33" s="1" t="s">
        <v>131</v>
      </c>
    </row>
    <row r="34" spans="1:21" x14ac:dyDescent="0.2">
      <c r="A34" s="10" t="s">
        <v>46</v>
      </c>
      <c r="B34" s="9" t="s">
        <v>40</v>
      </c>
      <c r="C34" s="9" t="s">
        <v>131</v>
      </c>
      <c r="D34" s="11"/>
      <c r="N34" s="2" t="s">
        <v>46</v>
      </c>
      <c r="O34" s="1" t="s">
        <v>40</v>
      </c>
      <c r="P34" s="1" t="s">
        <v>131</v>
      </c>
    </row>
    <row r="37" spans="1:21" x14ac:dyDescent="0.2">
      <c r="S37" s="1" t="s">
        <v>253</v>
      </c>
      <c r="T37" s="12" t="s">
        <v>131</v>
      </c>
      <c r="U37" s="1" t="s">
        <v>221</v>
      </c>
    </row>
    <row r="38" spans="1:21" x14ac:dyDescent="0.2">
      <c r="S38" s="1" t="s">
        <v>254</v>
      </c>
      <c r="T38" s="12">
        <f>(P21*50*50)/257.9*1000</f>
        <v>1000214.3220071744</v>
      </c>
      <c r="U38" s="1" t="s">
        <v>221</v>
      </c>
    </row>
    <row r="39" spans="1:21" x14ac:dyDescent="0.2">
      <c r="S39" s="1" t="s">
        <v>255</v>
      </c>
      <c r="T39" s="12" t="s">
        <v>131</v>
      </c>
      <c r="U39" s="1" t="s">
        <v>219</v>
      </c>
    </row>
    <row r="40" spans="1:21" x14ac:dyDescent="0.2">
      <c r="A40" s="9" t="s">
        <v>0</v>
      </c>
      <c r="B40" s="9" t="s">
        <v>1</v>
      </c>
      <c r="C40" s="9" t="s">
        <v>2</v>
      </c>
      <c r="D40" t="s">
        <v>235</v>
      </c>
      <c r="E40" s="3" t="s">
        <v>195</v>
      </c>
      <c r="F40" s="3" t="s">
        <v>196</v>
      </c>
      <c r="G40" s="3" t="s">
        <v>197</v>
      </c>
      <c r="H40" s="3" t="s">
        <v>198</v>
      </c>
      <c r="I40" s="3" t="s">
        <v>199</v>
      </c>
      <c r="J40" s="3"/>
      <c r="K40" s="3"/>
      <c r="L40" s="3" t="s">
        <v>200</v>
      </c>
      <c r="M40" s="3"/>
    </row>
    <row r="41" spans="1:21" x14ac:dyDescent="0.2">
      <c r="A41" s="10" t="s">
        <v>51</v>
      </c>
      <c r="B41" s="9" t="s">
        <v>174</v>
      </c>
      <c r="C41" s="11">
        <v>32.726261159985803</v>
      </c>
      <c r="D41" s="1">
        <f>(C41-$S$11)/$S$10</f>
        <v>1.9608064381417443</v>
      </c>
      <c r="E41" s="1">
        <f>10^D41</f>
        <v>91.370591869494163</v>
      </c>
      <c r="F41" s="26">
        <v>7.6388888888888895E-2</v>
      </c>
      <c r="G41" s="3" t="s">
        <v>202</v>
      </c>
      <c r="H41" s="3" t="s">
        <v>203</v>
      </c>
      <c r="I41" s="1" t="s">
        <v>236</v>
      </c>
      <c r="J41" s="1">
        <f>(E41*50*50)/245.2*1000</f>
        <v>931592.49459109071</v>
      </c>
      <c r="K41" s="23">
        <f>J41</f>
        <v>931592.49459109071</v>
      </c>
      <c r="L41" s="36">
        <f>AVERAGE(K41:K43)</f>
        <v>1345357.5324854881</v>
      </c>
      <c r="M41" s="37" t="s">
        <v>221</v>
      </c>
    </row>
    <row r="42" spans="1:21" x14ac:dyDescent="0.2">
      <c r="A42" s="10" t="s">
        <v>67</v>
      </c>
      <c r="B42" s="9" t="s">
        <v>174</v>
      </c>
      <c r="C42" s="11">
        <v>31.490766171884601</v>
      </c>
      <c r="D42" s="1">
        <f t="shared" ref="D42:D103" si="1">(C42-$S$11)/$S$10</f>
        <v>2.3206868176017368</v>
      </c>
      <c r="E42" s="1">
        <f t="shared" ref="E42:E103" si="2">10^D42</f>
        <v>209.26028747418815</v>
      </c>
      <c r="F42" s="26">
        <v>7.6388888888888895E-2</v>
      </c>
      <c r="G42" s="3" t="s">
        <v>202</v>
      </c>
      <c r="H42" s="3" t="s">
        <v>203</v>
      </c>
      <c r="I42" s="1" t="s">
        <v>236</v>
      </c>
      <c r="J42" s="1">
        <f t="shared" ref="J42:J43" si="3">(E42*50*50)/245.2*1000</f>
        <v>2133567.3682115437</v>
      </c>
      <c r="K42" s="23">
        <f t="shared" ref="K42:K103" si="4">J42</f>
        <v>2133567.3682115437</v>
      </c>
      <c r="L42" s="36"/>
      <c r="M42" s="37"/>
    </row>
    <row r="43" spans="1:21" x14ac:dyDescent="0.2">
      <c r="A43" s="10" t="s">
        <v>83</v>
      </c>
      <c r="B43" s="9" t="s">
        <v>174</v>
      </c>
      <c r="C43" s="11">
        <v>32.6646230555247</v>
      </c>
      <c r="D43" s="1">
        <f t="shared" si="1"/>
        <v>1.9787606545783063</v>
      </c>
      <c r="E43" s="1">
        <f t="shared" si="2"/>
        <v>95.22712101484764</v>
      </c>
      <c r="F43" s="26">
        <v>7.6388888888888895E-2</v>
      </c>
      <c r="G43" s="3" t="s">
        <v>202</v>
      </c>
      <c r="H43" s="3" t="s">
        <v>203</v>
      </c>
      <c r="I43" s="1" t="s">
        <v>236</v>
      </c>
      <c r="J43" s="1">
        <f t="shared" si="3"/>
        <v>970912.73465382983</v>
      </c>
      <c r="K43" s="23">
        <f t="shared" si="4"/>
        <v>970912.73465382983</v>
      </c>
      <c r="L43" s="36"/>
      <c r="M43" s="37"/>
    </row>
    <row r="44" spans="1:21" x14ac:dyDescent="0.2">
      <c r="A44" s="10" t="s">
        <v>65</v>
      </c>
      <c r="B44" s="9" t="s">
        <v>184</v>
      </c>
      <c r="C44" s="11">
        <v>32.142493715108301</v>
      </c>
      <c r="D44" s="1">
        <f t="shared" si="1"/>
        <v>2.1308487706499335</v>
      </c>
      <c r="E44" s="1">
        <f t="shared" si="2"/>
        <v>135.1601828549974</v>
      </c>
      <c r="F44" s="26">
        <v>7.6388888888888895E-2</v>
      </c>
      <c r="G44" s="3" t="s">
        <v>202</v>
      </c>
      <c r="H44" s="3" t="s">
        <v>203</v>
      </c>
      <c r="I44" s="1" t="s">
        <v>237</v>
      </c>
      <c r="J44" s="1">
        <f>(E44*50*50)/256.8*1000</f>
        <v>1315811.7489777785</v>
      </c>
      <c r="K44" s="23">
        <f t="shared" si="4"/>
        <v>1315811.7489777785</v>
      </c>
      <c r="L44" s="36">
        <f t="shared" ref="L44" si="5">AVERAGE(K44:K46)</f>
        <v>1322315.2900262075</v>
      </c>
      <c r="M44" s="37" t="s">
        <v>221</v>
      </c>
    </row>
    <row r="45" spans="1:21" x14ac:dyDescent="0.2">
      <c r="A45" s="10" t="s">
        <v>81</v>
      </c>
      <c r="B45" s="9" t="s">
        <v>184</v>
      </c>
      <c r="C45" s="11">
        <v>32.108740007278001</v>
      </c>
      <c r="D45" s="1">
        <f t="shared" si="1"/>
        <v>2.1406806981762592</v>
      </c>
      <c r="E45" s="1">
        <f t="shared" si="2"/>
        <v>138.25495276753816</v>
      </c>
      <c r="F45" s="26">
        <v>7.6388888888888895E-2</v>
      </c>
      <c r="G45" s="3" t="s">
        <v>202</v>
      </c>
      <c r="H45" s="3" t="s">
        <v>203</v>
      </c>
      <c r="I45" s="1" t="s">
        <v>237</v>
      </c>
      <c r="J45" s="1">
        <f t="shared" ref="J45:J46" si="6">(E45*50*50)/256.8*1000</f>
        <v>1345939.9607431674</v>
      </c>
      <c r="K45" s="23">
        <f t="shared" si="4"/>
        <v>1345939.9607431674</v>
      </c>
      <c r="L45" s="36"/>
      <c r="M45" s="37"/>
    </row>
    <row r="46" spans="1:21" x14ac:dyDescent="0.2">
      <c r="A46" s="10" t="s">
        <v>97</v>
      </c>
      <c r="B46" s="9" t="s">
        <v>184</v>
      </c>
      <c r="C46" s="11">
        <v>32.1545734497819</v>
      </c>
      <c r="D46" s="1">
        <f t="shared" si="1"/>
        <v>2.1273301327436869</v>
      </c>
      <c r="E46" s="1">
        <f t="shared" si="2"/>
        <v>134.06954415194053</v>
      </c>
      <c r="F46" s="26">
        <v>7.6388888888888895E-2</v>
      </c>
      <c r="G46" s="3" t="s">
        <v>202</v>
      </c>
      <c r="H46" s="3" t="s">
        <v>203</v>
      </c>
      <c r="I46" s="1" t="s">
        <v>237</v>
      </c>
      <c r="J46" s="1">
        <f t="shared" si="6"/>
        <v>1305194.1603576764</v>
      </c>
      <c r="K46" s="23">
        <f t="shared" si="4"/>
        <v>1305194.1603576764</v>
      </c>
      <c r="L46" s="36"/>
      <c r="M46" s="37"/>
    </row>
    <row r="47" spans="1:21" x14ac:dyDescent="0.2">
      <c r="A47" s="10" t="s">
        <v>53</v>
      </c>
      <c r="B47" s="9" t="s">
        <v>175</v>
      </c>
      <c r="C47" s="11">
        <v>32.760027110945103</v>
      </c>
      <c r="D47" s="1">
        <f t="shared" si="1"/>
        <v>1.9509709443832985</v>
      </c>
      <c r="E47" s="1">
        <f t="shared" si="2"/>
        <v>89.324572088900126</v>
      </c>
      <c r="F47" s="26">
        <v>7.6388888888888895E-2</v>
      </c>
      <c r="G47" s="3" t="s">
        <v>202</v>
      </c>
      <c r="H47" s="3" t="s">
        <v>203</v>
      </c>
      <c r="I47" s="1" t="s">
        <v>211</v>
      </c>
      <c r="J47" s="1">
        <f>(E47*50*50)/250.8*1000</f>
        <v>890396.45224182738</v>
      </c>
      <c r="K47" s="23">
        <f t="shared" si="4"/>
        <v>890396.45224182738</v>
      </c>
      <c r="L47" s="36">
        <f t="shared" ref="L47" si="7">AVERAGE(K47:K49)</f>
        <v>1418392.9435630124</v>
      </c>
      <c r="M47" s="37" t="s">
        <v>221</v>
      </c>
    </row>
    <row r="48" spans="1:21" x14ac:dyDescent="0.2">
      <c r="A48" s="10" t="s">
        <v>69</v>
      </c>
      <c r="B48" s="9" t="s">
        <v>175</v>
      </c>
      <c r="C48" s="11">
        <v>31.638467843899502</v>
      </c>
      <c r="D48" s="1">
        <f t="shared" si="1"/>
        <v>2.2776636290954926</v>
      </c>
      <c r="E48" s="1">
        <f t="shared" si="2"/>
        <v>189.52374483080459</v>
      </c>
      <c r="F48" s="26">
        <v>7.6388888888888895E-2</v>
      </c>
      <c r="G48" s="3" t="s">
        <v>202</v>
      </c>
      <c r="H48" s="3" t="s">
        <v>203</v>
      </c>
      <c r="I48" s="1" t="s">
        <v>211</v>
      </c>
      <c r="J48" s="1">
        <f t="shared" ref="J48:J49" si="8">(E48*50*50)/250.8*1000</f>
        <v>1889192.033799886</v>
      </c>
      <c r="K48" s="23">
        <f t="shared" si="4"/>
        <v>1889192.033799886</v>
      </c>
      <c r="L48" s="36"/>
      <c r="M48" s="37"/>
    </row>
    <row r="49" spans="1:13" x14ac:dyDescent="0.2">
      <c r="A49" s="10" t="s">
        <v>85</v>
      </c>
      <c r="B49" s="9" t="s">
        <v>175</v>
      </c>
      <c r="C49" s="11">
        <v>32.0068717535787</v>
      </c>
      <c r="D49" s="1">
        <f t="shared" si="1"/>
        <v>2.170353328295604</v>
      </c>
      <c r="E49" s="1">
        <f t="shared" si="2"/>
        <v>148.03122337501958</v>
      </c>
      <c r="F49" s="26">
        <v>7.6388888888888895E-2</v>
      </c>
      <c r="G49" s="3" t="s">
        <v>202</v>
      </c>
      <c r="H49" s="3" t="s">
        <v>203</v>
      </c>
      <c r="I49" s="1" t="s">
        <v>211</v>
      </c>
      <c r="J49" s="1">
        <f t="shared" si="8"/>
        <v>1475590.3446473242</v>
      </c>
      <c r="K49" s="23">
        <f t="shared" si="4"/>
        <v>1475590.3446473242</v>
      </c>
      <c r="L49" s="36"/>
      <c r="M49" s="37"/>
    </row>
    <row r="50" spans="1:13" x14ac:dyDescent="0.2">
      <c r="A50" s="10" t="s">
        <v>66</v>
      </c>
      <c r="B50" s="9" t="s">
        <v>185</v>
      </c>
      <c r="C50" s="11">
        <v>32.708007619747399</v>
      </c>
      <c r="D50" s="1">
        <f t="shared" si="1"/>
        <v>1.9661234091135014</v>
      </c>
      <c r="E50" s="1">
        <f t="shared" si="2"/>
        <v>92.496097349433086</v>
      </c>
      <c r="F50" s="26">
        <v>7.6388888888888895E-2</v>
      </c>
      <c r="G50" s="3" t="s">
        <v>202</v>
      </c>
      <c r="H50" s="3" t="s">
        <v>203</v>
      </c>
      <c r="I50" s="1" t="s">
        <v>238</v>
      </c>
      <c r="J50" s="1">
        <f>(E50*50*50)/250.1*1000</f>
        <v>924591.13703951507</v>
      </c>
      <c r="K50" s="23">
        <f t="shared" si="4"/>
        <v>924591.13703951507</v>
      </c>
      <c r="L50" s="36">
        <f t="shared" ref="L50" si="9">AVERAGE(K50:K52)</f>
        <v>790307.07202246378</v>
      </c>
      <c r="M50" s="37" t="s">
        <v>221</v>
      </c>
    </row>
    <row r="51" spans="1:13" x14ac:dyDescent="0.2">
      <c r="A51" s="10" t="s">
        <v>82</v>
      </c>
      <c r="B51" s="9" t="s">
        <v>185</v>
      </c>
      <c r="C51" s="11">
        <v>33.272507979567898</v>
      </c>
      <c r="D51" s="1">
        <f t="shared" si="1"/>
        <v>1.8016932773411958</v>
      </c>
      <c r="E51" s="1">
        <f t="shared" si="2"/>
        <v>63.342219563883397</v>
      </c>
      <c r="F51" s="26">
        <v>7.6388888888888895E-2</v>
      </c>
      <c r="G51" s="3" t="s">
        <v>202</v>
      </c>
      <c r="H51" s="3" t="s">
        <v>203</v>
      </c>
      <c r="I51" s="1" t="s">
        <v>238</v>
      </c>
      <c r="J51" s="1">
        <f t="shared" ref="J51:J52" si="10">(E51*50*50)/250.1*1000</f>
        <v>633168.92806760699</v>
      </c>
      <c r="K51" s="23">
        <f t="shared" si="4"/>
        <v>633168.92806760699</v>
      </c>
      <c r="L51" s="36"/>
      <c r="M51" s="37"/>
    </row>
    <row r="52" spans="1:13" x14ac:dyDescent="0.2">
      <c r="A52" s="10" t="s">
        <v>98</v>
      </c>
      <c r="B52" s="9" t="s">
        <v>185</v>
      </c>
      <c r="C52" s="11">
        <v>32.899480660752801</v>
      </c>
      <c r="D52" s="1">
        <f t="shared" si="1"/>
        <v>1.9103503049592832</v>
      </c>
      <c r="E52" s="1">
        <f t="shared" si="2"/>
        <v>81.348641542065366</v>
      </c>
      <c r="F52" s="26">
        <v>7.6388888888888895E-2</v>
      </c>
      <c r="G52" s="3" t="s">
        <v>202</v>
      </c>
      <c r="H52" s="3" t="s">
        <v>203</v>
      </c>
      <c r="I52" s="1" t="s">
        <v>238</v>
      </c>
      <c r="J52" s="1">
        <f t="shared" si="10"/>
        <v>813161.1509602695</v>
      </c>
      <c r="K52" s="23">
        <f t="shared" si="4"/>
        <v>813161.1509602695</v>
      </c>
      <c r="L52" s="36"/>
      <c r="M52" s="37"/>
    </row>
    <row r="53" spans="1:13" x14ac:dyDescent="0.2">
      <c r="A53" s="10" t="s">
        <v>54</v>
      </c>
      <c r="B53" s="9" t="s">
        <v>176</v>
      </c>
      <c r="C53" s="11">
        <v>32.247768402423802</v>
      </c>
      <c r="D53" s="1">
        <f t="shared" si="1"/>
        <v>2.1001838996601605</v>
      </c>
      <c r="E53" s="1">
        <f t="shared" si="2"/>
        <v>125.94586098638122</v>
      </c>
      <c r="F53" s="26">
        <v>7.6388888888888895E-2</v>
      </c>
      <c r="G53" s="3" t="s">
        <v>202</v>
      </c>
      <c r="H53" s="3" t="s">
        <v>203</v>
      </c>
      <c r="I53" s="1" t="s">
        <v>239</v>
      </c>
      <c r="J53" s="1">
        <f>(E53*50*50)/252.9*1000</f>
        <v>1245016.4193987863</v>
      </c>
      <c r="K53" s="23">
        <f t="shared" si="4"/>
        <v>1245016.4193987863</v>
      </c>
      <c r="L53" s="36">
        <f t="shared" ref="L53" si="11">AVERAGE(K53:K55)</f>
        <v>1422208.8207542535</v>
      </c>
      <c r="M53" s="37" t="s">
        <v>221</v>
      </c>
    </row>
    <row r="54" spans="1:13" x14ac:dyDescent="0.2">
      <c r="A54" s="10" t="s">
        <v>70</v>
      </c>
      <c r="B54" s="9" t="s">
        <v>176</v>
      </c>
      <c r="C54" s="11">
        <v>32.284874945565001</v>
      </c>
      <c r="D54" s="1">
        <f t="shared" si="1"/>
        <v>2.0893753436120082</v>
      </c>
      <c r="E54" s="1">
        <f t="shared" si="2"/>
        <v>122.8500517079609</v>
      </c>
      <c r="F54" s="26">
        <v>7.6388888888888895E-2</v>
      </c>
      <c r="G54" s="3" t="s">
        <v>202</v>
      </c>
      <c r="H54" s="3" t="s">
        <v>203</v>
      </c>
      <c r="I54" s="1" t="s">
        <v>239</v>
      </c>
      <c r="J54" s="1">
        <f t="shared" ref="J54:J55" si="12">(E54*50*50)/252.9*1000</f>
        <v>1214413.3225381663</v>
      </c>
      <c r="K54" s="23">
        <f t="shared" si="4"/>
        <v>1214413.3225381663</v>
      </c>
      <c r="L54" s="36"/>
      <c r="M54" s="37"/>
    </row>
    <row r="55" spans="1:13" x14ac:dyDescent="0.2">
      <c r="A55" s="10" t="s">
        <v>86</v>
      </c>
      <c r="B55" s="9" t="s">
        <v>176</v>
      </c>
      <c r="C55" s="11">
        <v>31.6921932760335</v>
      </c>
      <c r="D55" s="1">
        <f t="shared" si="1"/>
        <v>2.262014250434111</v>
      </c>
      <c r="E55" s="1">
        <f t="shared" si="2"/>
        <v>182.81602022815875</v>
      </c>
      <c r="F55" s="26">
        <v>7.6388888888888895E-2</v>
      </c>
      <c r="G55" s="3" t="s">
        <v>202</v>
      </c>
      <c r="H55" s="3" t="s">
        <v>203</v>
      </c>
      <c r="I55" s="1" t="s">
        <v>239</v>
      </c>
      <c r="J55" s="1">
        <f t="shared" si="12"/>
        <v>1807196.720325808</v>
      </c>
      <c r="K55" s="23">
        <f t="shared" si="4"/>
        <v>1807196.720325808</v>
      </c>
      <c r="L55" s="36"/>
      <c r="M55" s="37"/>
    </row>
    <row r="56" spans="1:13" x14ac:dyDescent="0.2">
      <c r="A56" s="10" t="s">
        <v>99</v>
      </c>
      <c r="B56" s="9" t="s">
        <v>186</v>
      </c>
      <c r="C56" s="11">
        <v>31.2111632027631</v>
      </c>
      <c r="D56" s="1">
        <f t="shared" si="1"/>
        <v>2.4021307923605759</v>
      </c>
      <c r="E56" s="1">
        <f t="shared" si="2"/>
        <v>252.4240859760441</v>
      </c>
      <c r="F56" s="26">
        <v>7.6388888888888895E-2</v>
      </c>
      <c r="G56" s="3" t="s">
        <v>202</v>
      </c>
      <c r="H56" s="3" t="s">
        <v>203</v>
      </c>
      <c r="I56" s="1" t="s">
        <v>240</v>
      </c>
      <c r="J56" s="1">
        <f>(E56*50*50)/245.3*1000</f>
        <v>2572605.8497354677</v>
      </c>
      <c r="K56" s="23">
        <f t="shared" si="4"/>
        <v>2572605.8497354677</v>
      </c>
      <c r="L56" s="36">
        <f t="shared" ref="L56" si="13">AVERAGE(K56:K58)</f>
        <v>2366256.306738711</v>
      </c>
      <c r="M56" s="37" t="s">
        <v>221</v>
      </c>
    </row>
    <row r="57" spans="1:13" x14ac:dyDescent="0.2">
      <c r="A57" s="10" t="s">
        <v>101</v>
      </c>
      <c r="B57" s="9" t="s">
        <v>186</v>
      </c>
      <c r="C57" s="11">
        <v>31.1196458362129</v>
      </c>
      <c r="D57" s="1">
        <f t="shared" si="1"/>
        <v>2.4287883708359708</v>
      </c>
      <c r="E57" s="1">
        <f t="shared" si="2"/>
        <v>268.40362117702699</v>
      </c>
      <c r="F57" s="26">
        <v>7.6388888888888895E-2</v>
      </c>
      <c r="G57" s="3" t="s">
        <v>202</v>
      </c>
      <c r="H57" s="3" t="s">
        <v>203</v>
      </c>
      <c r="I57" s="1" t="s">
        <v>240</v>
      </c>
      <c r="J57" s="1">
        <f t="shared" ref="J57:J58" si="14">(E57*50*50)/245.3*1000</f>
        <v>2735462.9145640745</v>
      </c>
      <c r="K57" s="23">
        <f t="shared" si="4"/>
        <v>2735462.9145640745</v>
      </c>
      <c r="L57" s="36"/>
      <c r="M57" s="37"/>
    </row>
    <row r="58" spans="1:13" x14ac:dyDescent="0.2">
      <c r="A58" s="10" t="s">
        <v>102</v>
      </c>
      <c r="B58" s="9" t="s">
        <v>186</v>
      </c>
      <c r="C58" s="11">
        <v>31.751358275048499</v>
      </c>
      <c r="D58" s="1">
        <f t="shared" si="1"/>
        <v>2.2447804109597866</v>
      </c>
      <c r="E58" s="1">
        <f t="shared" si="2"/>
        <v>175.70349929853597</v>
      </c>
      <c r="F58" s="26">
        <v>7.6388888888888895E-2</v>
      </c>
      <c r="G58" s="3" t="s">
        <v>202</v>
      </c>
      <c r="H58" s="3" t="s">
        <v>203</v>
      </c>
      <c r="I58" s="1" t="s">
        <v>240</v>
      </c>
      <c r="J58" s="1">
        <f t="shared" si="14"/>
        <v>1790700.1559165914</v>
      </c>
      <c r="K58" s="23">
        <f t="shared" si="4"/>
        <v>1790700.1559165914</v>
      </c>
      <c r="L58" s="36"/>
      <c r="M58" s="37"/>
    </row>
    <row r="59" spans="1:13" x14ac:dyDescent="0.2">
      <c r="A59" s="10" t="s">
        <v>55</v>
      </c>
      <c r="B59" s="9" t="s">
        <v>177</v>
      </c>
      <c r="C59" s="11">
        <v>31.0791955641992</v>
      </c>
      <c r="D59" s="1">
        <f t="shared" si="1"/>
        <v>2.4405709028427767</v>
      </c>
      <c r="E59" s="1">
        <f t="shared" si="2"/>
        <v>275.78516619850586</v>
      </c>
      <c r="F59" s="26">
        <v>7.6388888888888895E-2</v>
      </c>
      <c r="G59" s="3" t="s">
        <v>202</v>
      </c>
      <c r="H59" s="3" t="s">
        <v>203</v>
      </c>
      <c r="I59" s="1" t="s">
        <v>237</v>
      </c>
      <c r="J59" s="1">
        <f>(E59*50*50)/256.8*1000</f>
        <v>2684824.4372907504</v>
      </c>
      <c r="K59" s="23">
        <f t="shared" si="4"/>
        <v>2684824.4372907504</v>
      </c>
      <c r="L59" s="36">
        <f t="shared" ref="L59" si="15">AVERAGE(K59:K61)</f>
        <v>3036910.7308442607</v>
      </c>
      <c r="M59" s="37" t="s">
        <v>221</v>
      </c>
    </row>
    <row r="60" spans="1:13" x14ac:dyDescent="0.2">
      <c r="A60" s="10" t="s">
        <v>71</v>
      </c>
      <c r="B60" s="9" t="s">
        <v>177</v>
      </c>
      <c r="C60" s="11">
        <v>31.020270620097701</v>
      </c>
      <c r="D60" s="1">
        <f t="shared" si="1"/>
        <v>2.4577348180728147</v>
      </c>
      <c r="E60" s="1">
        <f t="shared" si="2"/>
        <v>286.90282071126092</v>
      </c>
      <c r="F60" s="26">
        <v>7.6388888888888895E-2</v>
      </c>
      <c r="G60" s="3" t="s">
        <v>202</v>
      </c>
      <c r="H60" s="3" t="s">
        <v>203</v>
      </c>
      <c r="I60" s="1" t="s">
        <v>237</v>
      </c>
      <c r="J60" s="1">
        <f t="shared" ref="J60:J61" si="16">(E60*50*50)/256.8*1000</f>
        <v>2793057.055210873</v>
      </c>
      <c r="K60" s="23">
        <f t="shared" si="4"/>
        <v>2793057.055210873</v>
      </c>
      <c r="L60" s="36"/>
      <c r="M60" s="37"/>
    </row>
    <row r="61" spans="1:13" x14ac:dyDescent="0.2">
      <c r="A61" s="10" t="s">
        <v>87</v>
      </c>
      <c r="B61" s="9" t="s">
        <v>177</v>
      </c>
      <c r="C61" s="11">
        <v>30.6283246240613</v>
      </c>
      <c r="D61" s="1">
        <f t="shared" si="1"/>
        <v>2.5719025606698014</v>
      </c>
      <c r="E61" s="1">
        <f t="shared" si="2"/>
        <v>373.16642390720051</v>
      </c>
      <c r="F61" s="26">
        <v>7.6388888888888895E-2</v>
      </c>
      <c r="G61" s="3" t="s">
        <v>202</v>
      </c>
      <c r="H61" s="3" t="s">
        <v>203</v>
      </c>
      <c r="I61" s="1" t="s">
        <v>237</v>
      </c>
      <c r="J61" s="1">
        <f t="shared" si="16"/>
        <v>3632850.7000311576</v>
      </c>
      <c r="K61" s="23">
        <f t="shared" si="4"/>
        <v>3632850.7000311576</v>
      </c>
      <c r="L61" s="36"/>
      <c r="M61" s="37"/>
    </row>
    <row r="62" spans="1:13" x14ac:dyDescent="0.2">
      <c r="A62" s="10" t="s">
        <v>103</v>
      </c>
      <c r="B62" s="9" t="s">
        <v>187</v>
      </c>
      <c r="C62" s="11">
        <v>30.820588765080601</v>
      </c>
      <c r="D62" s="1">
        <f t="shared" si="1"/>
        <v>2.5158990214462915</v>
      </c>
      <c r="E62" s="1">
        <f t="shared" si="2"/>
        <v>328.01901598266704</v>
      </c>
      <c r="F62" s="26">
        <v>7.6388888888888895E-2</v>
      </c>
      <c r="G62" s="3" t="s">
        <v>202</v>
      </c>
      <c r="H62" s="3" t="s">
        <v>203</v>
      </c>
      <c r="I62" s="1" t="s">
        <v>241</v>
      </c>
      <c r="J62" s="1">
        <f>(E62*50*50)/250.3*1000</f>
        <v>3276258.6494473335</v>
      </c>
      <c r="K62" s="23">
        <f t="shared" si="4"/>
        <v>3276258.6494473335</v>
      </c>
      <c r="L62" s="36">
        <f t="shared" ref="L62" si="17">AVERAGE(K62:K64)</f>
        <v>2672051.0039605512</v>
      </c>
      <c r="M62" s="37" t="s">
        <v>221</v>
      </c>
    </row>
    <row r="63" spans="1:13" x14ac:dyDescent="0.2">
      <c r="A63" s="10" t="s">
        <v>105</v>
      </c>
      <c r="B63" s="9" t="s">
        <v>187</v>
      </c>
      <c r="C63" s="11">
        <v>31.3069112296178</v>
      </c>
      <c r="D63" s="1">
        <f t="shared" si="1"/>
        <v>2.374240888662972</v>
      </c>
      <c r="E63" s="1">
        <f t="shared" si="2"/>
        <v>236.72323582362691</v>
      </c>
      <c r="F63" s="26">
        <v>7.6388888888888895E-2</v>
      </c>
      <c r="G63" s="3" t="s">
        <v>202</v>
      </c>
      <c r="H63" s="3" t="s">
        <v>203</v>
      </c>
      <c r="I63" s="1" t="s">
        <v>241</v>
      </c>
      <c r="J63" s="1">
        <f t="shared" ref="J63:J64" si="18">(E63*50*50)/250.3*1000</f>
        <v>2364395.0841353065</v>
      </c>
      <c r="K63" s="23">
        <f t="shared" si="4"/>
        <v>2364395.0841353065</v>
      </c>
      <c r="L63" s="36"/>
      <c r="M63" s="37"/>
    </row>
    <row r="64" spans="1:13" x14ac:dyDescent="0.2">
      <c r="A64" s="10" t="s">
        <v>106</v>
      </c>
      <c r="B64" s="9" t="s">
        <v>187</v>
      </c>
      <c r="C64" s="11">
        <v>31.2999254271041</v>
      </c>
      <c r="D64" s="1">
        <f t="shared" si="1"/>
        <v>2.3762757437483226</v>
      </c>
      <c r="E64" s="1">
        <f t="shared" si="2"/>
        <v>237.83498774329726</v>
      </c>
      <c r="F64" s="26">
        <v>7.6388888888888895E-2</v>
      </c>
      <c r="G64" s="3" t="s">
        <v>202</v>
      </c>
      <c r="H64" s="3" t="s">
        <v>203</v>
      </c>
      <c r="I64" s="1" t="s">
        <v>241</v>
      </c>
      <c r="J64" s="1">
        <f t="shared" si="18"/>
        <v>2375499.2782990141</v>
      </c>
      <c r="K64" s="23">
        <f t="shared" si="4"/>
        <v>2375499.2782990141</v>
      </c>
      <c r="L64" s="36"/>
      <c r="M64" s="37"/>
    </row>
    <row r="65" spans="1:13" x14ac:dyDescent="0.2">
      <c r="A65" s="10" t="s">
        <v>57</v>
      </c>
      <c r="B65" s="9" t="s">
        <v>178</v>
      </c>
      <c r="C65" s="11">
        <v>32.609816489208001</v>
      </c>
      <c r="D65" s="1">
        <f t="shared" si="1"/>
        <v>1.994724950729168</v>
      </c>
      <c r="E65" s="1">
        <f t="shared" si="2"/>
        <v>98.792721812232301</v>
      </c>
      <c r="F65" s="26">
        <v>7.6388888888888895E-2</v>
      </c>
      <c r="G65" s="3" t="s">
        <v>202</v>
      </c>
      <c r="H65" s="3" t="s">
        <v>203</v>
      </c>
      <c r="I65" s="1" t="s">
        <v>242</v>
      </c>
      <c r="J65" s="1">
        <f>(E65*50*50)/244.3*1000</f>
        <v>1010977.5052418369</v>
      </c>
      <c r="K65" s="23">
        <f t="shared" si="4"/>
        <v>1010977.5052418369</v>
      </c>
      <c r="L65" s="36">
        <f t="shared" ref="L65" si="19">AVERAGE(K65:K67)</f>
        <v>1188996.3693868788</v>
      </c>
      <c r="M65" s="37" t="s">
        <v>221</v>
      </c>
    </row>
    <row r="66" spans="1:13" x14ac:dyDescent="0.2">
      <c r="A66" s="10" t="s">
        <v>73</v>
      </c>
      <c r="B66" s="9" t="s">
        <v>178</v>
      </c>
      <c r="C66" s="11">
        <v>32.182174459717899</v>
      </c>
      <c r="D66" s="1">
        <f t="shared" si="1"/>
        <v>2.1192903899483619</v>
      </c>
      <c r="E66" s="1">
        <f t="shared" si="2"/>
        <v>131.6104548152552</v>
      </c>
      <c r="F66" s="26">
        <v>7.6388888888888895E-2</v>
      </c>
      <c r="G66" s="3" t="s">
        <v>202</v>
      </c>
      <c r="H66" s="3" t="s">
        <v>203</v>
      </c>
      <c r="I66" s="1" t="s">
        <v>242</v>
      </c>
      <c r="J66" s="1">
        <f t="shared" ref="J66:J67" si="20">(E66*50*50)/244.3*1000</f>
        <v>1346811.8585269668</v>
      </c>
      <c r="K66" s="23">
        <f t="shared" si="4"/>
        <v>1346811.8585269668</v>
      </c>
      <c r="L66" s="36"/>
      <c r="M66" s="37"/>
    </row>
    <row r="67" spans="1:13" x14ac:dyDescent="0.2">
      <c r="A67" s="10" t="s">
        <v>89</v>
      </c>
      <c r="B67" s="9" t="s">
        <v>178</v>
      </c>
      <c r="C67" s="11">
        <v>32.342872697379498</v>
      </c>
      <c r="D67" s="1">
        <f t="shared" si="1"/>
        <v>2.0724815050033176</v>
      </c>
      <c r="E67" s="1">
        <f t="shared" si="2"/>
        <v>118.16299902196987</v>
      </c>
      <c r="F67" s="26">
        <v>7.6388888888888895E-2</v>
      </c>
      <c r="G67" s="3" t="s">
        <v>202</v>
      </c>
      <c r="H67" s="3" t="s">
        <v>203</v>
      </c>
      <c r="I67" s="1" t="s">
        <v>242</v>
      </c>
      <c r="J67" s="1">
        <f t="shared" si="20"/>
        <v>1209199.7443918323</v>
      </c>
      <c r="K67" s="23">
        <f t="shared" si="4"/>
        <v>1209199.7443918323</v>
      </c>
      <c r="L67" s="36"/>
      <c r="M67" s="37"/>
    </row>
    <row r="68" spans="1:13" x14ac:dyDescent="0.2">
      <c r="A68" s="10" t="s">
        <v>107</v>
      </c>
      <c r="B68" s="9" t="s">
        <v>188</v>
      </c>
      <c r="C68" s="11">
        <v>31.7568957744054</v>
      </c>
      <c r="D68" s="1">
        <f t="shared" si="1"/>
        <v>2.2431674239472827</v>
      </c>
      <c r="E68" s="1">
        <f t="shared" si="2"/>
        <v>175.05213983656608</v>
      </c>
      <c r="F68" s="26">
        <v>7.6388888888888895E-2</v>
      </c>
      <c r="G68" s="3" t="s">
        <v>202</v>
      </c>
      <c r="H68" s="3" t="s">
        <v>203</v>
      </c>
      <c r="I68" s="1" t="s">
        <v>243</v>
      </c>
      <c r="J68" s="1">
        <f>(E68*50*50)/243.2*1000</f>
        <v>1799466.8979910167</v>
      </c>
      <c r="K68" s="23">
        <f t="shared" si="4"/>
        <v>1799466.8979910167</v>
      </c>
      <c r="L68" s="36">
        <f t="shared" ref="L68" si="21">AVERAGE(K68:K70)</f>
        <v>1405853.1272767279</v>
      </c>
      <c r="M68" s="37" t="s">
        <v>221</v>
      </c>
    </row>
    <row r="69" spans="1:13" x14ac:dyDescent="0.2">
      <c r="A69" s="10" t="s">
        <v>109</v>
      </c>
      <c r="B69" s="9" t="s">
        <v>188</v>
      </c>
      <c r="C69" s="11">
        <v>32.2755828818892</v>
      </c>
      <c r="D69" s="1">
        <f t="shared" si="1"/>
        <v>2.0920819765274139</v>
      </c>
      <c r="E69" s="1">
        <f t="shared" si="2"/>
        <v>123.61807503431501</v>
      </c>
      <c r="F69" s="26">
        <v>7.6388888888888895E-2</v>
      </c>
      <c r="G69" s="3" t="s">
        <v>202</v>
      </c>
      <c r="H69" s="3" t="s">
        <v>203</v>
      </c>
      <c r="I69" s="1" t="s">
        <v>243</v>
      </c>
      <c r="J69" s="1">
        <f t="shared" ref="J69:J70" si="22">(E69*50*50)/243.2*1000</f>
        <v>1270745.0147441921</v>
      </c>
      <c r="K69" s="23">
        <f t="shared" si="4"/>
        <v>1270745.0147441921</v>
      </c>
      <c r="L69" s="36"/>
      <c r="M69" s="37"/>
    </row>
    <row r="70" spans="1:13" x14ac:dyDescent="0.2">
      <c r="A70" s="10" t="s">
        <v>110</v>
      </c>
      <c r="B70" s="9" t="s">
        <v>188</v>
      </c>
      <c r="C70" s="11">
        <v>32.4278857761118</v>
      </c>
      <c r="D70" s="1">
        <f t="shared" si="1"/>
        <v>2.0477185239083773</v>
      </c>
      <c r="E70" s="1">
        <f t="shared" si="2"/>
        <v>111.61396179355916</v>
      </c>
      <c r="F70" s="26">
        <v>7.6388888888888895E-2</v>
      </c>
      <c r="G70" s="3" t="s">
        <v>202</v>
      </c>
      <c r="H70" s="3" t="s">
        <v>203</v>
      </c>
      <c r="I70" s="1" t="s">
        <v>243</v>
      </c>
      <c r="J70" s="1">
        <f t="shared" si="22"/>
        <v>1147347.4690949749</v>
      </c>
      <c r="K70" s="23">
        <f t="shared" si="4"/>
        <v>1147347.4690949749</v>
      </c>
      <c r="L70" s="36"/>
      <c r="M70" s="37"/>
    </row>
    <row r="71" spans="1:13" x14ac:dyDescent="0.2">
      <c r="A71" s="10" t="s">
        <v>58</v>
      </c>
      <c r="B71" s="9" t="s">
        <v>179</v>
      </c>
      <c r="C71" s="11">
        <v>31.567404467649101</v>
      </c>
      <c r="D71" s="1">
        <f t="shared" si="1"/>
        <v>2.298363279888902</v>
      </c>
      <c r="E71" s="1">
        <f t="shared" si="2"/>
        <v>198.7756946740293</v>
      </c>
      <c r="F71" s="26">
        <v>7.6388888888888895E-2</v>
      </c>
      <c r="G71" s="3" t="s">
        <v>202</v>
      </c>
      <c r="H71" s="3" t="s">
        <v>203</v>
      </c>
      <c r="I71" s="1" t="s">
        <v>244</v>
      </c>
      <c r="J71" s="1">
        <f>(E71*50*50)/251*1000</f>
        <v>1979837.5963548736</v>
      </c>
      <c r="K71" s="23">
        <f t="shared" si="4"/>
        <v>1979837.5963548736</v>
      </c>
      <c r="L71" s="36">
        <f t="shared" ref="L71" si="23">AVERAGE(K71:K73)</f>
        <v>1893155.0950235974</v>
      </c>
      <c r="M71" s="37" t="s">
        <v>221</v>
      </c>
    </row>
    <row r="72" spans="1:13" x14ac:dyDescent="0.2">
      <c r="A72" s="10" t="s">
        <v>74</v>
      </c>
      <c r="B72" s="9" t="s">
        <v>179</v>
      </c>
      <c r="C72" s="11">
        <v>31.777226093840898</v>
      </c>
      <c r="D72" s="1">
        <f t="shared" si="1"/>
        <v>2.2372455196551138</v>
      </c>
      <c r="E72" s="1">
        <f t="shared" si="2"/>
        <v>172.68138355885333</v>
      </c>
      <c r="F72" s="26">
        <v>7.6388888888888895E-2</v>
      </c>
      <c r="G72" s="3" t="s">
        <v>202</v>
      </c>
      <c r="H72" s="3" t="s">
        <v>203</v>
      </c>
      <c r="I72" s="1" t="s">
        <v>244</v>
      </c>
      <c r="J72" s="1">
        <f t="shared" ref="J72:J73" si="24">(E72*50*50)/251*1000</f>
        <v>1719934.0991917662</v>
      </c>
      <c r="K72" s="23">
        <f t="shared" si="4"/>
        <v>1719934.0991917662</v>
      </c>
      <c r="L72" s="36"/>
      <c r="M72" s="37"/>
    </row>
    <row r="73" spans="1:13" x14ac:dyDescent="0.2">
      <c r="A73" s="10" t="s">
        <v>90</v>
      </c>
      <c r="B73" s="9" t="s">
        <v>179</v>
      </c>
      <c r="C73" s="11">
        <v>31.5675129193706</v>
      </c>
      <c r="D73" s="1">
        <f t="shared" si="1"/>
        <v>2.2983316895975112</v>
      </c>
      <c r="E73" s="1">
        <f t="shared" si="2"/>
        <v>198.76123638822486</v>
      </c>
      <c r="F73" s="26">
        <v>7.6388888888888895E-2</v>
      </c>
      <c r="G73" s="3" t="s">
        <v>202</v>
      </c>
      <c r="H73" s="3" t="s">
        <v>203</v>
      </c>
      <c r="I73" s="1" t="s">
        <v>244</v>
      </c>
      <c r="J73" s="1">
        <f t="shared" si="24"/>
        <v>1979693.589524152</v>
      </c>
      <c r="K73" s="23">
        <f t="shared" si="4"/>
        <v>1979693.589524152</v>
      </c>
      <c r="L73" s="36"/>
      <c r="M73" s="37"/>
    </row>
    <row r="74" spans="1:13" x14ac:dyDescent="0.2">
      <c r="A74" s="10" t="s">
        <v>111</v>
      </c>
      <c r="B74" s="9" t="s">
        <v>189</v>
      </c>
      <c r="C74" s="11">
        <v>31.5109270490677</v>
      </c>
      <c r="D74" s="1">
        <f t="shared" si="1"/>
        <v>2.3148142691893385</v>
      </c>
      <c r="E74" s="1">
        <f t="shared" si="2"/>
        <v>206.44970621219272</v>
      </c>
      <c r="F74" s="26">
        <v>7.6388888888888895E-2</v>
      </c>
      <c r="G74" s="3" t="s">
        <v>202</v>
      </c>
      <c r="H74" s="3" t="s">
        <v>203</v>
      </c>
      <c r="I74" s="1" t="s">
        <v>245</v>
      </c>
      <c r="J74" s="1">
        <f>(E74*50*50)/257.9*1000</f>
        <v>2001257.3304787974</v>
      </c>
      <c r="K74" s="23">
        <f t="shared" si="4"/>
        <v>2001257.3304787974</v>
      </c>
      <c r="L74" s="36">
        <f t="shared" ref="L74" si="25">AVERAGE(K74:K76)</f>
        <v>1569996.893490535</v>
      </c>
      <c r="M74" s="37" t="s">
        <v>221</v>
      </c>
    </row>
    <row r="75" spans="1:13" x14ac:dyDescent="0.2">
      <c r="A75" s="10" t="s">
        <v>113</v>
      </c>
      <c r="B75" s="9" t="s">
        <v>189</v>
      </c>
      <c r="C75" s="11">
        <v>31.831081215972901</v>
      </c>
      <c r="D75" s="1">
        <f t="shared" si="1"/>
        <v>2.2215583643243453</v>
      </c>
      <c r="E75" s="1">
        <f t="shared" si="2"/>
        <v>166.55526444053208</v>
      </c>
      <c r="F75" s="26">
        <v>7.6388888888888895E-2</v>
      </c>
      <c r="G75" s="3" t="s">
        <v>202</v>
      </c>
      <c r="H75" s="3" t="s">
        <v>203</v>
      </c>
      <c r="I75" s="1" t="s">
        <v>245</v>
      </c>
      <c r="J75" s="1">
        <f t="shared" ref="J75:J76" si="26">(E75*50*50)/257.9*1000</f>
        <v>1614533.3893033355</v>
      </c>
      <c r="K75" s="23">
        <f t="shared" si="4"/>
        <v>1614533.3893033355</v>
      </c>
      <c r="L75" s="36"/>
      <c r="M75" s="37"/>
    </row>
    <row r="76" spans="1:13" x14ac:dyDescent="0.2">
      <c r="A76" s="10" t="s">
        <v>114</v>
      </c>
      <c r="B76" s="9" t="s">
        <v>189</v>
      </c>
      <c r="C76" s="11">
        <v>32.411099759088302</v>
      </c>
      <c r="D76" s="1">
        <f t="shared" si="1"/>
        <v>2.0526080283047676</v>
      </c>
      <c r="E76" s="1">
        <f t="shared" si="2"/>
        <v>112.87766794472593</v>
      </c>
      <c r="F76" s="26">
        <v>7.6388888888888895E-2</v>
      </c>
      <c r="G76" s="3" t="s">
        <v>202</v>
      </c>
      <c r="H76" s="3" t="s">
        <v>203</v>
      </c>
      <c r="I76" s="1" t="s">
        <v>245</v>
      </c>
      <c r="J76" s="1">
        <f t="shared" si="26"/>
        <v>1094199.9606894723</v>
      </c>
      <c r="K76" s="23">
        <f t="shared" si="4"/>
        <v>1094199.9606894723</v>
      </c>
      <c r="L76" s="36"/>
      <c r="M76" s="37"/>
    </row>
    <row r="77" spans="1:13" x14ac:dyDescent="0.2">
      <c r="A77" s="10" t="s">
        <v>59</v>
      </c>
      <c r="B77" s="9" t="s">
        <v>180</v>
      </c>
      <c r="C77" s="11">
        <v>32.3765541743307</v>
      </c>
      <c r="D77" s="1">
        <f t="shared" si="1"/>
        <v>2.0626706172031164</v>
      </c>
      <c r="E77" s="1">
        <f t="shared" si="2"/>
        <v>115.52357421916422</v>
      </c>
      <c r="F77" s="26">
        <v>7.6388888888888895E-2</v>
      </c>
      <c r="G77" s="3" t="s">
        <v>202</v>
      </c>
      <c r="H77" s="3" t="s">
        <v>203</v>
      </c>
      <c r="I77" s="1" t="s">
        <v>246</v>
      </c>
      <c r="J77" s="1">
        <f>(E77*50*50)/251.3*1000</f>
        <v>1149259.5923116219</v>
      </c>
      <c r="K77" s="23">
        <f t="shared" si="4"/>
        <v>1149259.5923116219</v>
      </c>
      <c r="L77" s="36">
        <f t="shared" ref="L77" si="27">AVERAGE(K77:K79)</f>
        <v>1173988.6526722426</v>
      </c>
      <c r="M77" s="37" t="s">
        <v>221</v>
      </c>
    </row>
    <row r="78" spans="1:13" x14ac:dyDescent="0.2">
      <c r="A78" s="10" t="s">
        <v>75</v>
      </c>
      <c r="B78" s="9" t="s">
        <v>180</v>
      </c>
      <c r="C78" s="11">
        <v>32.332709417598799</v>
      </c>
      <c r="D78" s="1">
        <f t="shared" si="1"/>
        <v>2.0754419095531222</v>
      </c>
      <c r="E78" s="1">
        <f t="shared" si="2"/>
        <v>118.97121847600306</v>
      </c>
      <c r="F78" s="26">
        <v>7.6388888888888895E-2</v>
      </c>
      <c r="G78" s="3" t="s">
        <v>202</v>
      </c>
      <c r="H78" s="3" t="s">
        <v>203</v>
      </c>
      <c r="I78" s="1" t="s">
        <v>246</v>
      </c>
      <c r="J78" s="1">
        <f t="shared" ref="J78:J79" si="28">(E78*50*50)/251.3*1000</f>
        <v>1183557.6847990754</v>
      </c>
      <c r="K78" s="23">
        <f t="shared" si="4"/>
        <v>1183557.6847990754</v>
      </c>
      <c r="L78" s="36"/>
      <c r="M78" s="37"/>
    </row>
    <row r="79" spans="1:13" x14ac:dyDescent="0.2">
      <c r="A79" s="10" t="s">
        <v>91</v>
      </c>
      <c r="B79" s="9" t="s">
        <v>180</v>
      </c>
      <c r="C79" s="11">
        <v>32.3256828517031</v>
      </c>
      <c r="D79" s="1">
        <f t="shared" si="1"/>
        <v>2.077488638374525</v>
      </c>
      <c r="E79" s="1">
        <f t="shared" si="2"/>
        <v>119.53322540467421</v>
      </c>
      <c r="F79" s="26">
        <v>7.6388888888888895E-2</v>
      </c>
      <c r="G79" s="3" t="s">
        <v>202</v>
      </c>
      <c r="H79" s="3" t="s">
        <v>203</v>
      </c>
      <c r="I79" s="1" t="s">
        <v>246</v>
      </c>
      <c r="J79" s="1">
        <f t="shared" si="28"/>
        <v>1189148.6809060306</v>
      </c>
      <c r="K79" s="23">
        <f t="shared" si="4"/>
        <v>1189148.6809060306</v>
      </c>
      <c r="L79" s="36"/>
      <c r="M79" s="37"/>
    </row>
    <row r="80" spans="1:13" x14ac:dyDescent="0.2">
      <c r="A80" s="10" t="s">
        <v>115</v>
      </c>
      <c r="B80" s="9" t="s">
        <v>190</v>
      </c>
      <c r="C80" s="11">
        <v>32.7950325661646</v>
      </c>
      <c r="D80" s="1">
        <f t="shared" si="1"/>
        <v>1.9407744024070954</v>
      </c>
      <c r="E80" s="1">
        <f t="shared" si="2"/>
        <v>87.251801448796925</v>
      </c>
      <c r="F80" s="26">
        <v>7.6388888888888895E-2</v>
      </c>
      <c r="G80" s="3" t="s">
        <v>202</v>
      </c>
      <c r="H80" s="3" t="s">
        <v>203</v>
      </c>
      <c r="I80" s="1" t="s">
        <v>247</v>
      </c>
      <c r="J80" s="1">
        <f>(E80*50*50)/255.8*1000</f>
        <v>852734.57240810129</v>
      </c>
      <c r="K80" s="23">
        <f t="shared" si="4"/>
        <v>852734.57240810129</v>
      </c>
      <c r="L80" s="36">
        <f t="shared" ref="L80" si="29">AVERAGE(K80:K82)</f>
        <v>874444.08738463686</v>
      </c>
      <c r="M80" s="37" t="s">
        <v>221</v>
      </c>
    </row>
    <row r="81" spans="1:13" x14ac:dyDescent="0.2">
      <c r="A81" s="10" t="s">
        <v>117</v>
      </c>
      <c r="B81" s="9" t="s">
        <v>190</v>
      </c>
      <c r="C81" s="11">
        <v>33.233631686283502</v>
      </c>
      <c r="D81" s="1">
        <f t="shared" si="1"/>
        <v>1.8130173339451716</v>
      </c>
      <c r="E81" s="1">
        <f t="shared" si="2"/>
        <v>65.015563941169489</v>
      </c>
      <c r="F81" s="26">
        <v>7.6388888888888895E-2</v>
      </c>
      <c r="G81" s="3" t="s">
        <v>202</v>
      </c>
      <c r="H81" s="3" t="s">
        <v>203</v>
      </c>
      <c r="I81" s="1" t="s">
        <v>247</v>
      </c>
      <c r="J81" s="1">
        <f t="shared" ref="J81:J82" si="30">(E81*50*50)/255.8*1000</f>
        <v>635414.03382691054</v>
      </c>
      <c r="K81" s="23">
        <f t="shared" si="4"/>
        <v>635414.03382691054</v>
      </c>
      <c r="L81" s="36"/>
      <c r="M81" s="37"/>
    </row>
    <row r="82" spans="1:13" x14ac:dyDescent="0.2">
      <c r="A82" s="10" t="s">
        <v>118</v>
      </c>
      <c r="B82" s="9" t="s">
        <v>190</v>
      </c>
      <c r="C82" s="11">
        <v>32.368465707720802</v>
      </c>
      <c r="D82" s="1">
        <f t="shared" si="1"/>
        <v>2.0650266611052399</v>
      </c>
      <c r="E82" s="1">
        <f t="shared" si="2"/>
        <v>116.15199167362167</v>
      </c>
      <c r="F82" s="26">
        <v>7.6388888888888895E-2</v>
      </c>
      <c r="G82" s="3" t="s">
        <v>202</v>
      </c>
      <c r="H82" s="3" t="s">
        <v>203</v>
      </c>
      <c r="I82" s="1" t="s">
        <v>247</v>
      </c>
      <c r="J82" s="1">
        <f t="shared" si="30"/>
        <v>1135183.6559188983</v>
      </c>
      <c r="K82" s="23">
        <f t="shared" si="4"/>
        <v>1135183.6559188983</v>
      </c>
      <c r="L82" s="36"/>
      <c r="M82" s="37"/>
    </row>
    <row r="83" spans="1:13" x14ac:dyDescent="0.2">
      <c r="A83" s="10" t="s">
        <v>61</v>
      </c>
      <c r="B83" s="9" t="s">
        <v>181</v>
      </c>
      <c r="C83" s="11">
        <v>31.516542416422801</v>
      </c>
      <c r="D83" s="1">
        <f t="shared" si="1"/>
        <v>2.313178600446022</v>
      </c>
      <c r="E83" s="1">
        <f t="shared" si="2"/>
        <v>205.67362399048776</v>
      </c>
      <c r="F83" s="26">
        <v>7.6388888888888895E-2</v>
      </c>
      <c r="G83" s="3" t="s">
        <v>202</v>
      </c>
      <c r="H83" s="3" t="s">
        <v>203</v>
      </c>
      <c r="I83" s="1" t="s">
        <v>248</v>
      </c>
      <c r="J83" s="1">
        <f>(E83*50*50)/251.7*1000</f>
        <v>2042844.8946214516</v>
      </c>
      <c r="K83" s="23">
        <f t="shared" si="4"/>
        <v>2042844.8946214516</v>
      </c>
      <c r="L83" s="36">
        <f t="shared" ref="L83" si="31">AVERAGE(K83:K85)</f>
        <v>1670204.5781616147</v>
      </c>
      <c r="M83" s="37" t="s">
        <v>221</v>
      </c>
    </row>
    <row r="84" spans="1:13" x14ac:dyDescent="0.2">
      <c r="A84" s="10" t="s">
        <v>77</v>
      </c>
      <c r="B84" s="9" t="s">
        <v>181</v>
      </c>
      <c r="C84" s="11">
        <v>31.806019469873</v>
      </c>
      <c r="D84" s="1">
        <f t="shared" si="1"/>
        <v>2.2288584592524709</v>
      </c>
      <c r="E84" s="1">
        <f t="shared" si="2"/>
        <v>169.37856894406076</v>
      </c>
      <c r="F84" s="26">
        <v>7.6388888888888895E-2</v>
      </c>
      <c r="G84" s="3" t="s">
        <v>202</v>
      </c>
      <c r="H84" s="3" t="s">
        <v>203</v>
      </c>
      <c r="I84" s="1" t="s">
        <v>248</v>
      </c>
      <c r="J84" s="1">
        <f t="shared" ref="J84:J85" si="32">(E84*50*50)/251.7*1000</f>
        <v>1682345.7384193558</v>
      </c>
      <c r="K84" s="23">
        <f t="shared" si="4"/>
        <v>1682345.7384193558</v>
      </c>
      <c r="L84" s="36"/>
      <c r="M84" s="37"/>
    </row>
    <row r="85" spans="1:13" x14ac:dyDescent="0.2">
      <c r="A85" s="10" t="s">
        <v>93</v>
      </c>
      <c r="B85" s="9" t="s">
        <v>181</v>
      </c>
      <c r="C85" s="11">
        <v>32.207239595700202</v>
      </c>
      <c r="D85" s="1">
        <f t="shared" si="1"/>
        <v>2.1119893076004761</v>
      </c>
      <c r="E85" s="1">
        <f t="shared" si="2"/>
        <v>129.4163978533856</v>
      </c>
      <c r="F85" s="26">
        <v>7.6388888888888895E-2</v>
      </c>
      <c r="G85" s="3" t="s">
        <v>202</v>
      </c>
      <c r="H85" s="3" t="s">
        <v>203</v>
      </c>
      <c r="I85" s="1" t="s">
        <v>248</v>
      </c>
      <c r="J85" s="1">
        <f t="shared" si="32"/>
        <v>1285423.1014440367</v>
      </c>
      <c r="K85" s="23">
        <f t="shared" si="4"/>
        <v>1285423.1014440367</v>
      </c>
      <c r="L85" s="36"/>
      <c r="M85" s="37"/>
    </row>
    <row r="86" spans="1:13" x14ac:dyDescent="0.2">
      <c r="A86" s="10" t="s">
        <v>119</v>
      </c>
      <c r="B86" s="9" t="s">
        <v>191</v>
      </c>
      <c r="C86" s="11">
        <v>31.791729537288798</v>
      </c>
      <c r="D86" s="1">
        <f t="shared" si="1"/>
        <v>2.2330208932650635</v>
      </c>
      <c r="E86" s="1">
        <f t="shared" si="2"/>
        <v>171.00975833763226</v>
      </c>
      <c r="F86" s="26">
        <v>7.6388888888888895E-2</v>
      </c>
      <c r="G86" s="3" t="s">
        <v>202</v>
      </c>
      <c r="H86" s="3" t="s">
        <v>203</v>
      </c>
      <c r="I86" s="1" t="s">
        <v>249</v>
      </c>
      <c r="J86" s="1">
        <f>(E86*50*50)/255.7*1000</f>
        <v>1671976.5187488489</v>
      </c>
      <c r="K86" s="23">
        <f t="shared" si="4"/>
        <v>1671976.5187488489</v>
      </c>
      <c r="L86" s="36">
        <f t="shared" ref="L86" si="33">AVERAGE(K86:K88)</f>
        <v>1412538.4211242704</v>
      </c>
      <c r="M86" s="37" t="s">
        <v>221</v>
      </c>
    </row>
    <row r="87" spans="1:13" x14ac:dyDescent="0.2">
      <c r="A87" s="10" t="s">
        <v>121</v>
      </c>
      <c r="B87" s="9" t="s">
        <v>191</v>
      </c>
      <c r="C87" s="11">
        <v>32.083829903417303</v>
      </c>
      <c r="D87" s="1">
        <f t="shared" si="1"/>
        <v>2.1479366220902474</v>
      </c>
      <c r="E87" s="1">
        <f t="shared" si="2"/>
        <v>140.58423503252649</v>
      </c>
      <c r="F87" s="26">
        <v>7.6388888888888895E-2</v>
      </c>
      <c r="G87" s="3" t="s">
        <v>202</v>
      </c>
      <c r="H87" s="3" t="s">
        <v>203</v>
      </c>
      <c r="I87" s="1" t="s">
        <v>249</v>
      </c>
      <c r="J87" s="1">
        <f t="shared" ref="J87:J88" si="34">(E87*50*50)/255.7*1000</f>
        <v>1374503.6667239587</v>
      </c>
      <c r="K87" s="23">
        <f t="shared" si="4"/>
        <v>1374503.6667239587</v>
      </c>
      <c r="L87" s="36"/>
      <c r="M87" s="37"/>
    </row>
    <row r="88" spans="1:13" x14ac:dyDescent="0.2">
      <c r="A88" s="10" t="s">
        <v>122</v>
      </c>
      <c r="B88" s="9" t="s">
        <v>191</v>
      </c>
      <c r="C88" s="11">
        <v>32.297315056325303</v>
      </c>
      <c r="D88" s="1">
        <f t="shared" si="1"/>
        <v>2.0857517337843205</v>
      </c>
      <c r="E88" s="1">
        <f t="shared" si="2"/>
        <v>121.82929576761238</v>
      </c>
      <c r="F88" s="26">
        <v>7.6388888888888895E-2</v>
      </c>
      <c r="G88" s="3" t="s">
        <v>202</v>
      </c>
      <c r="H88" s="3" t="s">
        <v>203</v>
      </c>
      <c r="I88" s="1" t="s">
        <v>249</v>
      </c>
      <c r="J88" s="1">
        <f t="shared" si="34"/>
        <v>1191135.0779000039</v>
      </c>
      <c r="K88" s="23">
        <f t="shared" si="4"/>
        <v>1191135.0779000039</v>
      </c>
      <c r="L88" s="36"/>
      <c r="M88" s="37"/>
    </row>
    <row r="89" spans="1:13" x14ac:dyDescent="0.2">
      <c r="A89" s="10" t="s">
        <v>62</v>
      </c>
      <c r="B89" s="9" t="s">
        <v>182</v>
      </c>
      <c r="C89" s="11">
        <v>31.755284722087101</v>
      </c>
      <c r="D89" s="1">
        <f t="shared" si="1"/>
        <v>2.243636698307133</v>
      </c>
      <c r="E89" s="1">
        <f t="shared" si="2"/>
        <v>175.24139363155263</v>
      </c>
      <c r="F89" s="26">
        <v>7.6388888888888895E-2</v>
      </c>
      <c r="G89" s="3" t="s">
        <v>202</v>
      </c>
      <c r="H89" s="3" t="s">
        <v>203</v>
      </c>
      <c r="I89" s="1" t="s">
        <v>240</v>
      </c>
      <c r="J89" s="1">
        <f>(E89*50*50)/245.3*1000</f>
        <v>1785990.5588213678</v>
      </c>
      <c r="K89" s="23">
        <f t="shared" si="4"/>
        <v>1785990.5588213678</v>
      </c>
      <c r="L89" s="36">
        <f t="shared" ref="L89" si="35">AVERAGE(K89:K91)</f>
        <v>1787635.5279661354</v>
      </c>
      <c r="M89" s="37" t="s">
        <v>221</v>
      </c>
    </row>
    <row r="90" spans="1:13" x14ac:dyDescent="0.2">
      <c r="A90" s="10" t="s">
        <v>78</v>
      </c>
      <c r="B90" s="9" t="s">
        <v>182</v>
      </c>
      <c r="C90" s="11">
        <v>31.613032585601601</v>
      </c>
      <c r="D90" s="1">
        <f t="shared" si="1"/>
        <v>2.2850725222889645</v>
      </c>
      <c r="E90" s="1">
        <f t="shared" si="2"/>
        <v>192.78468150266048</v>
      </c>
      <c r="F90" s="26">
        <v>7.6388888888888895E-2</v>
      </c>
      <c r="G90" s="3" t="s">
        <v>202</v>
      </c>
      <c r="H90" s="3" t="s">
        <v>203</v>
      </c>
      <c r="I90" s="1" t="s">
        <v>240</v>
      </c>
      <c r="J90" s="1">
        <f t="shared" ref="J90:J91" si="36">(E90*50*50)/245.3*1000</f>
        <v>1964784.7686777462</v>
      </c>
      <c r="K90" s="23">
        <f t="shared" si="4"/>
        <v>1964784.7686777462</v>
      </c>
      <c r="L90" s="36"/>
      <c r="M90" s="37"/>
    </row>
    <row r="91" spans="1:13" x14ac:dyDescent="0.2">
      <c r="A91" s="10" t="s">
        <v>94</v>
      </c>
      <c r="B91" s="9" t="s">
        <v>182</v>
      </c>
      <c r="C91" s="11">
        <v>31.907983476495399</v>
      </c>
      <c r="D91" s="1">
        <f t="shared" si="1"/>
        <v>2.1991579378032293</v>
      </c>
      <c r="E91" s="1">
        <f t="shared" si="2"/>
        <v>158.18231887789855</v>
      </c>
      <c r="F91" s="26">
        <v>7.6388888888888895E-2</v>
      </c>
      <c r="G91" s="3" t="s">
        <v>202</v>
      </c>
      <c r="H91" s="3" t="s">
        <v>203</v>
      </c>
      <c r="I91" s="1" t="s">
        <v>240</v>
      </c>
      <c r="J91" s="1">
        <f t="shared" si="36"/>
        <v>1612131.2563992923</v>
      </c>
      <c r="K91" s="23">
        <f t="shared" si="4"/>
        <v>1612131.2563992923</v>
      </c>
      <c r="L91" s="36"/>
      <c r="M91" s="37"/>
    </row>
    <row r="92" spans="1:13" x14ac:dyDescent="0.2">
      <c r="A92" s="10" t="s">
        <v>123</v>
      </c>
      <c r="B92" s="9" t="s">
        <v>192</v>
      </c>
      <c r="C92" s="11">
        <v>31.916581195813201</v>
      </c>
      <c r="D92" s="1">
        <f t="shared" si="1"/>
        <v>2.1966535565468259</v>
      </c>
      <c r="E92" s="1">
        <f t="shared" si="2"/>
        <v>157.27277745588648</v>
      </c>
      <c r="F92" s="26">
        <v>7.6388888888888895E-2</v>
      </c>
      <c r="G92" s="3" t="s">
        <v>202</v>
      </c>
      <c r="H92" s="3" t="s">
        <v>203</v>
      </c>
      <c r="I92" s="1" t="s">
        <v>250</v>
      </c>
      <c r="J92" s="1">
        <f>(E92*50*50)/253.1*1000</f>
        <v>1553464.8109036593</v>
      </c>
      <c r="K92" s="23">
        <f t="shared" si="4"/>
        <v>1553464.8109036593</v>
      </c>
      <c r="L92" s="36">
        <f t="shared" ref="L92" si="37">AVERAGE(K92:K94)</f>
        <v>1365182.6714967226</v>
      </c>
      <c r="M92" s="37" t="s">
        <v>221</v>
      </c>
    </row>
    <row r="93" spans="1:13" x14ac:dyDescent="0.2">
      <c r="A93" s="10" t="s">
        <v>125</v>
      </c>
      <c r="B93" s="9" t="s">
        <v>192</v>
      </c>
      <c r="C93" s="11">
        <v>32.334752090663301</v>
      </c>
      <c r="D93" s="1">
        <f t="shared" si="1"/>
        <v>2.0748469108160612</v>
      </c>
      <c r="E93" s="1">
        <f t="shared" si="2"/>
        <v>118.80833531955852</v>
      </c>
      <c r="F93" s="26">
        <v>7.6388888888888895E-2</v>
      </c>
      <c r="G93" s="3" t="s">
        <v>202</v>
      </c>
      <c r="H93" s="3" t="s">
        <v>203</v>
      </c>
      <c r="I93" s="1" t="s">
        <v>250</v>
      </c>
      <c r="J93" s="1">
        <f t="shared" ref="J93:J94" si="38">(E93*50*50)/253.1*1000</f>
        <v>1173531.5618289066</v>
      </c>
      <c r="K93" s="23">
        <f t="shared" si="4"/>
        <v>1173531.5618289066</v>
      </c>
      <c r="L93" s="36"/>
      <c r="M93" s="37"/>
    </row>
    <row r="94" spans="1:13" x14ac:dyDescent="0.2">
      <c r="A94" s="10" t="s">
        <v>126</v>
      </c>
      <c r="B94" s="9" t="s">
        <v>192</v>
      </c>
      <c r="C94" s="11">
        <v>32.105538227875599</v>
      </c>
      <c r="D94" s="1">
        <f t="shared" si="1"/>
        <v>2.1416133264729185</v>
      </c>
      <c r="E94" s="1">
        <f t="shared" si="2"/>
        <v>138.55216821153959</v>
      </c>
      <c r="F94" s="26">
        <v>7.6388888888888895E-2</v>
      </c>
      <c r="G94" s="3" t="s">
        <v>202</v>
      </c>
      <c r="H94" s="3" t="s">
        <v>203</v>
      </c>
      <c r="I94" s="1" t="s">
        <v>250</v>
      </c>
      <c r="J94" s="1">
        <f t="shared" si="38"/>
        <v>1368551.6417576019</v>
      </c>
      <c r="K94" s="23">
        <f t="shared" si="4"/>
        <v>1368551.6417576019</v>
      </c>
      <c r="L94" s="36"/>
      <c r="M94" s="37"/>
    </row>
    <row r="95" spans="1:13" x14ac:dyDescent="0.2">
      <c r="A95" s="10" t="s">
        <v>47</v>
      </c>
      <c r="B95" s="9" t="s">
        <v>173</v>
      </c>
      <c r="C95" s="11">
        <v>32.298458855446398</v>
      </c>
      <c r="D95" s="1">
        <f t="shared" si="1"/>
        <v>2.0854185629777291</v>
      </c>
      <c r="E95" s="1">
        <f t="shared" si="2"/>
        <v>121.73586976053869</v>
      </c>
      <c r="F95" s="26">
        <v>7.6388888888888895E-2</v>
      </c>
      <c r="G95" s="3" t="s">
        <v>202</v>
      </c>
      <c r="H95" s="3" t="s">
        <v>203</v>
      </c>
      <c r="I95" s="1" t="s">
        <v>212</v>
      </c>
      <c r="J95" s="1">
        <f>(E95*50*50)/246.7*1000</f>
        <v>1233642.7823321717</v>
      </c>
      <c r="K95" s="23">
        <f t="shared" si="4"/>
        <v>1233642.7823321717</v>
      </c>
      <c r="L95" s="36">
        <f t="shared" ref="L95" si="39">AVERAGE(K95:K97)</f>
        <v>1339281.2271183932</v>
      </c>
      <c r="M95" s="37" t="s">
        <v>221</v>
      </c>
    </row>
    <row r="96" spans="1:13" x14ac:dyDescent="0.2">
      <c r="A96" s="10" t="s">
        <v>49</v>
      </c>
      <c r="B96" s="9" t="s">
        <v>173</v>
      </c>
      <c r="C96" s="11">
        <v>32.264805907621003</v>
      </c>
      <c r="D96" s="1">
        <f t="shared" si="1"/>
        <v>2.0952211406894876</v>
      </c>
      <c r="E96" s="1">
        <f t="shared" si="2"/>
        <v>124.51484740727051</v>
      </c>
      <c r="F96" s="26">
        <v>7.6388888888888895E-2</v>
      </c>
      <c r="G96" s="3" t="s">
        <v>202</v>
      </c>
      <c r="H96" s="3" t="s">
        <v>203</v>
      </c>
      <c r="I96" s="1" t="s">
        <v>212</v>
      </c>
      <c r="J96" s="1">
        <f t="shared" ref="J96:J97" si="40">(E96*50*50)/246.7*1000</f>
        <v>1261804.2907100781</v>
      </c>
      <c r="K96" s="23">
        <f t="shared" si="4"/>
        <v>1261804.2907100781</v>
      </c>
      <c r="L96" s="36"/>
      <c r="M96" s="37"/>
    </row>
    <row r="97" spans="1:13" x14ac:dyDescent="0.2">
      <c r="A97" s="10" t="s">
        <v>50</v>
      </c>
      <c r="B97" s="9" t="s">
        <v>173</v>
      </c>
      <c r="C97" s="11">
        <v>31.9848876689164</v>
      </c>
      <c r="D97" s="1">
        <f t="shared" si="1"/>
        <v>2.1767569485502749</v>
      </c>
      <c r="E97" s="1">
        <f t="shared" si="2"/>
        <v>150.2300973083199</v>
      </c>
      <c r="F97" s="26">
        <v>7.6388888888888895E-2</v>
      </c>
      <c r="G97" s="3" t="s">
        <v>202</v>
      </c>
      <c r="H97" s="3" t="s">
        <v>203</v>
      </c>
      <c r="I97" s="1" t="s">
        <v>212</v>
      </c>
      <c r="J97" s="1">
        <f t="shared" si="40"/>
        <v>1522396.6083129297</v>
      </c>
      <c r="K97" s="23">
        <f t="shared" si="4"/>
        <v>1522396.6083129297</v>
      </c>
      <c r="L97" s="36"/>
      <c r="M97" s="37"/>
    </row>
    <row r="98" spans="1:13" x14ac:dyDescent="0.2">
      <c r="A98" s="10" t="s">
        <v>63</v>
      </c>
      <c r="B98" s="9" t="s">
        <v>183</v>
      </c>
      <c r="C98" s="11">
        <v>32.731505443193399</v>
      </c>
      <c r="D98" s="1">
        <f t="shared" si="1"/>
        <v>1.9592788604106151</v>
      </c>
      <c r="E98" s="1">
        <f t="shared" si="2"/>
        <v>91.049771540014618</v>
      </c>
      <c r="F98" s="26">
        <v>7.6388888888888895E-2</v>
      </c>
      <c r="G98" s="3" t="s">
        <v>202</v>
      </c>
      <c r="H98" s="3" t="s">
        <v>203</v>
      </c>
      <c r="I98" s="1" t="s">
        <v>251</v>
      </c>
      <c r="J98" s="1">
        <f>(E98*50*50)/255.2*1000</f>
        <v>891945.25411456346</v>
      </c>
      <c r="K98" s="23">
        <f t="shared" si="4"/>
        <v>891945.25411456346</v>
      </c>
      <c r="L98" s="36">
        <f t="shared" ref="L98" si="41">AVERAGE(K98:K100)</f>
        <v>795278.98480912868</v>
      </c>
      <c r="M98" s="37" t="s">
        <v>221</v>
      </c>
    </row>
    <row r="99" spans="1:13" x14ac:dyDescent="0.2">
      <c r="A99" s="10" t="s">
        <v>79</v>
      </c>
      <c r="B99" s="9" t="s">
        <v>183</v>
      </c>
      <c r="C99" s="11">
        <v>33.197487798772599</v>
      </c>
      <c r="D99" s="1">
        <f t="shared" si="1"/>
        <v>1.8235454834543605</v>
      </c>
      <c r="E99" s="1">
        <f t="shared" si="2"/>
        <v>66.610927895322533</v>
      </c>
      <c r="F99" s="26">
        <v>7.6388888888888895E-2</v>
      </c>
      <c r="G99" s="3" t="s">
        <v>202</v>
      </c>
      <c r="H99" s="3" t="s">
        <v>203</v>
      </c>
      <c r="I99" s="1" t="s">
        <v>251</v>
      </c>
      <c r="J99" s="1">
        <f t="shared" ref="J99:J100" si="42">(E99*50*50)/255.2*1000</f>
        <v>652536.51935073012</v>
      </c>
      <c r="K99" s="23">
        <f t="shared" si="4"/>
        <v>652536.51935073012</v>
      </c>
      <c r="L99" s="36"/>
      <c r="M99" s="37"/>
    </row>
    <row r="100" spans="1:13" x14ac:dyDescent="0.2">
      <c r="A100" s="10" t="s">
        <v>95</v>
      </c>
      <c r="B100" s="9" t="s">
        <v>183</v>
      </c>
      <c r="C100" s="11">
        <v>32.8185640986678</v>
      </c>
      <c r="D100" s="1">
        <f t="shared" si="1"/>
        <v>1.9339200347827139</v>
      </c>
      <c r="E100" s="1">
        <f t="shared" si="2"/>
        <v>85.885536872610402</v>
      </c>
      <c r="F100" s="26">
        <v>7.6388888888888895E-2</v>
      </c>
      <c r="G100" s="3" t="s">
        <v>202</v>
      </c>
      <c r="H100" s="3" t="s">
        <v>203</v>
      </c>
      <c r="I100" s="1" t="s">
        <v>251</v>
      </c>
      <c r="J100" s="1">
        <f t="shared" si="42"/>
        <v>841355.18096209259</v>
      </c>
      <c r="K100" s="23">
        <f t="shared" si="4"/>
        <v>841355.18096209259</v>
      </c>
      <c r="L100" s="36"/>
      <c r="M100" s="37"/>
    </row>
    <row r="101" spans="1:13" x14ac:dyDescent="0.2">
      <c r="A101" s="10" t="s">
        <v>127</v>
      </c>
      <c r="B101" s="9" t="s">
        <v>193</v>
      </c>
      <c r="C101" s="11">
        <v>32.497062983034198</v>
      </c>
      <c r="D101" s="1">
        <f t="shared" si="1"/>
        <v>2.0275682847597136</v>
      </c>
      <c r="E101" s="1">
        <f t="shared" si="2"/>
        <v>106.55363863494465</v>
      </c>
      <c r="F101" s="26">
        <v>7.6388888888888895E-2</v>
      </c>
      <c r="G101" s="3" t="s">
        <v>202</v>
      </c>
      <c r="H101" s="3" t="s">
        <v>203</v>
      </c>
      <c r="I101" s="1" t="s">
        <v>252</v>
      </c>
      <c r="J101" s="1">
        <f>(E101*50*50)/255.5*1000</f>
        <v>1042599.2038644293</v>
      </c>
      <c r="K101" s="23">
        <f t="shared" si="4"/>
        <v>1042599.2038644293</v>
      </c>
      <c r="L101" s="36">
        <f t="shared" ref="L101" si="43">AVERAGE(K101:K103)</f>
        <v>1023349.9029526473</v>
      </c>
      <c r="M101" s="37" t="s">
        <v>221</v>
      </c>
    </row>
    <row r="102" spans="1:13" x14ac:dyDescent="0.2">
      <c r="A102" s="10" t="s">
        <v>129</v>
      </c>
      <c r="B102" s="9" t="s">
        <v>193</v>
      </c>
      <c r="C102" s="11">
        <v>32.522595835569902</v>
      </c>
      <c r="D102" s="1">
        <f t="shared" si="1"/>
        <v>2.0201309638901508</v>
      </c>
      <c r="E102" s="1">
        <f t="shared" si="2"/>
        <v>104.744436304049</v>
      </c>
      <c r="F102" s="26">
        <v>7.6388888888888895E-2</v>
      </c>
      <c r="G102" s="3" t="s">
        <v>202</v>
      </c>
      <c r="H102" s="3" t="s">
        <v>203</v>
      </c>
      <c r="I102" s="1" t="s">
        <v>252</v>
      </c>
      <c r="J102" s="1">
        <f t="shared" ref="J102:J103" si="44">(E102*50*50)/255.5*1000</f>
        <v>1024896.6370259197</v>
      </c>
      <c r="K102" s="23">
        <f t="shared" si="4"/>
        <v>1024896.6370259197</v>
      </c>
      <c r="L102" s="36"/>
      <c r="M102" s="37"/>
    </row>
    <row r="103" spans="1:13" x14ac:dyDescent="0.2">
      <c r="A103" s="10" t="s">
        <v>130</v>
      </c>
      <c r="B103" s="9" t="s">
        <v>193</v>
      </c>
      <c r="C103" s="11">
        <v>32.5554583993937</v>
      </c>
      <c r="D103" s="1">
        <f t="shared" si="1"/>
        <v>2.0105586126844917</v>
      </c>
      <c r="E103" s="1">
        <f t="shared" si="2"/>
        <v>102.461005306288</v>
      </c>
      <c r="F103" s="26">
        <v>7.6388888888888895E-2</v>
      </c>
      <c r="G103" s="3" t="s">
        <v>202</v>
      </c>
      <c r="H103" s="3" t="s">
        <v>203</v>
      </c>
      <c r="I103" s="1" t="s">
        <v>252</v>
      </c>
      <c r="J103" s="1">
        <f t="shared" si="44"/>
        <v>1002553.867967593</v>
      </c>
      <c r="K103" s="23">
        <f t="shared" si="4"/>
        <v>1002553.867967593</v>
      </c>
      <c r="L103" s="36"/>
      <c r="M103" s="37"/>
    </row>
  </sheetData>
  <mergeCells count="43">
    <mergeCell ref="L95:L97"/>
    <mergeCell ref="M95:M97"/>
    <mergeCell ref="L98:L100"/>
    <mergeCell ref="M98:M100"/>
    <mergeCell ref="L101:L103"/>
    <mergeCell ref="M101:M103"/>
    <mergeCell ref="L86:L88"/>
    <mergeCell ref="M86:M88"/>
    <mergeCell ref="L89:L91"/>
    <mergeCell ref="M89:M91"/>
    <mergeCell ref="L92:L94"/>
    <mergeCell ref="M92:M94"/>
    <mergeCell ref="L77:L79"/>
    <mergeCell ref="M77:M79"/>
    <mergeCell ref="L80:L82"/>
    <mergeCell ref="M80:M82"/>
    <mergeCell ref="L83:L85"/>
    <mergeCell ref="M83:M85"/>
    <mergeCell ref="L68:L70"/>
    <mergeCell ref="M68:M70"/>
    <mergeCell ref="L71:L73"/>
    <mergeCell ref="M71:M73"/>
    <mergeCell ref="L74:L76"/>
    <mergeCell ref="M74:M76"/>
    <mergeCell ref="L59:L61"/>
    <mergeCell ref="M59:M61"/>
    <mergeCell ref="L62:L64"/>
    <mergeCell ref="M62:M64"/>
    <mergeCell ref="L65:L67"/>
    <mergeCell ref="M65:M67"/>
    <mergeCell ref="L50:L52"/>
    <mergeCell ref="M50:M52"/>
    <mergeCell ref="L53:L55"/>
    <mergeCell ref="M53:M55"/>
    <mergeCell ref="L56:L58"/>
    <mergeCell ref="M56:M58"/>
    <mergeCell ref="L47:L49"/>
    <mergeCell ref="M47:M49"/>
    <mergeCell ref="S7:U8"/>
    <mergeCell ref="L41:L43"/>
    <mergeCell ref="M41:M43"/>
    <mergeCell ref="L44:L46"/>
    <mergeCell ref="M44:M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ermB - plate 1</vt:lpstr>
      <vt:lpstr>ermB - plate 2</vt:lpstr>
      <vt:lpstr>ermB - plate 3</vt:lpstr>
      <vt:lpstr>ermB - plate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2019-06-05T17:11:19Z</dcterms:created>
  <dcterms:modified xsi:type="dcterms:W3CDTF">2021-06-01T16:10:17Z</dcterms:modified>
</cp:coreProperties>
</file>