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malt/Desktop/STRIPS/Flume/Flume Run 3 - 05:02:19/qPCR/Raw Data/ermF/"/>
    </mc:Choice>
  </mc:AlternateContent>
  <xr:revisionPtr revIDLastSave="0" documentId="13_ncr:1_{DC3B7C78-D296-9748-8C04-A61DE51DC769}" xr6:coauthVersionLast="47" xr6:coauthVersionMax="47" xr10:uidLastSave="{00000000-0000-0000-0000-000000000000}"/>
  <bookViews>
    <workbookView xWindow="31760" yWindow="1320" windowWidth="28800" windowHeight="16160" activeTab="2" xr2:uid="{B878435B-712C-E54E-A81A-B5ADB35B7D01}"/>
  </bookViews>
  <sheets>
    <sheet name="ermF - plate 1" sheetId="2" r:id="rId1"/>
    <sheet name="ermF - plate 2" sheetId="4" r:id="rId2"/>
    <sheet name="ermF - plate 3" sheetId="6" r:id="rId3"/>
    <sheet name="ermF - plate 4" sheetId="8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9" i="2" l="1"/>
  <c r="S11" i="2" s="1"/>
  <c r="S10" i="4"/>
  <c r="D52" i="4" s="1"/>
  <c r="S12" i="6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41" i="8"/>
  <c r="S11" i="8"/>
  <c r="S10" i="8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1" i="6"/>
  <c r="D82" i="6"/>
  <c r="D83" i="6"/>
  <c r="D84" i="6"/>
  <c r="D85" i="6"/>
  <c r="D86" i="6"/>
  <c r="D87" i="6"/>
  <c r="D88" i="6"/>
  <c r="D89" i="6"/>
  <c r="D90" i="6"/>
  <c r="D91" i="6"/>
  <c r="D93" i="6"/>
  <c r="D94" i="6"/>
  <c r="D95" i="6"/>
  <c r="D96" i="6"/>
  <c r="D97" i="6"/>
  <c r="D98" i="6"/>
  <c r="D99" i="6"/>
  <c r="D100" i="6"/>
  <c r="D101" i="6"/>
  <c r="D102" i="6"/>
  <c r="D103" i="6"/>
  <c r="D41" i="6"/>
  <c r="D38" i="6"/>
  <c r="S11" i="6"/>
  <c r="S10" i="6"/>
  <c r="S11" i="4"/>
  <c r="S10" i="2"/>
  <c r="D64" i="4" l="1"/>
  <c r="D41" i="4"/>
  <c r="D76" i="4"/>
  <c r="D44" i="4"/>
  <c r="D88" i="4"/>
  <c r="D72" i="4"/>
  <c r="D56" i="4"/>
  <c r="D40" i="4"/>
  <c r="D80" i="4"/>
  <c r="D48" i="4"/>
  <c r="D38" i="4"/>
  <c r="D60" i="4"/>
  <c r="S12" i="4"/>
  <c r="D84" i="4"/>
  <c r="D68" i="4"/>
  <c r="D91" i="4"/>
  <c r="D83" i="4"/>
  <c r="D75" i="4"/>
  <c r="E75" i="4" s="1"/>
  <c r="J75" i="4" s="1"/>
  <c r="K75" i="4" s="1"/>
  <c r="D67" i="4"/>
  <c r="D59" i="4"/>
  <c r="D51" i="4"/>
  <c r="D43" i="4"/>
  <c r="E43" i="4" s="1"/>
  <c r="J43" i="4" s="1"/>
  <c r="K43" i="4" s="1"/>
  <c r="D90" i="4"/>
  <c r="D86" i="4"/>
  <c r="D82" i="4"/>
  <c r="D78" i="4"/>
  <c r="E78" i="4" s="1"/>
  <c r="J78" i="4" s="1"/>
  <c r="K78" i="4" s="1"/>
  <c r="D74" i="4"/>
  <c r="D70" i="4"/>
  <c r="D66" i="4"/>
  <c r="D62" i="4"/>
  <c r="E62" i="4" s="1"/>
  <c r="J62" i="4" s="1"/>
  <c r="K62" i="4" s="1"/>
  <c r="D58" i="4"/>
  <c r="D54" i="4"/>
  <c r="D50" i="4"/>
  <c r="D46" i="4"/>
  <c r="E46" i="4" s="1"/>
  <c r="J46" i="4" s="1"/>
  <c r="K46" i="4" s="1"/>
  <c r="D42" i="4"/>
  <c r="D87" i="4"/>
  <c r="D79" i="4"/>
  <c r="D71" i="4"/>
  <c r="D63" i="4"/>
  <c r="D55" i="4"/>
  <c r="D47" i="4"/>
  <c r="D39" i="4"/>
  <c r="D89" i="4"/>
  <c r="D85" i="4"/>
  <c r="D81" i="4"/>
  <c r="D77" i="4"/>
  <c r="E77" i="4" s="1"/>
  <c r="J77" i="4" s="1"/>
  <c r="K77" i="4" s="1"/>
  <c r="D73" i="4"/>
  <c r="D69" i="4"/>
  <c r="D65" i="4"/>
  <c r="D61" i="4"/>
  <c r="E61" i="4" s="1"/>
  <c r="J61" i="4" s="1"/>
  <c r="K61" i="4" s="1"/>
  <c r="D57" i="4"/>
  <c r="D53" i="4"/>
  <c r="D49" i="4"/>
  <c r="D45" i="4"/>
  <c r="E45" i="4" s="1"/>
  <c r="J45" i="4" s="1"/>
  <c r="K45" i="4" s="1"/>
  <c r="D103" i="2"/>
  <c r="E103" i="2" s="1"/>
  <c r="J103" i="2" s="1"/>
  <c r="K103" i="2" s="1"/>
  <c r="D100" i="2"/>
  <c r="D92" i="2"/>
  <c r="D84" i="2"/>
  <c r="D76" i="2"/>
  <c r="E76" i="2" s="1"/>
  <c r="J76" i="2" s="1"/>
  <c r="K76" i="2" s="1"/>
  <c r="D68" i="2"/>
  <c r="D60" i="2"/>
  <c r="D52" i="2"/>
  <c r="D44" i="2"/>
  <c r="E44" i="2" s="1"/>
  <c r="J44" i="2" s="1"/>
  <c r="K44" i="2" s="1"/>
  <c r="D99" i="2"/>
  <c r="D91" i="2"/>
  <c r="D83" i="2"/>
  <c r="D75" i="2"/>
  <c r="E75" i="2" s="1"/>
  <c r="J75" i="2" s="1"/>
  <c r="K75" i="2" s="1"/>
  <c r="D67" i="2"/>
  <c r="D59" i="2"/>
  <c r="D51" i="2"/>
  <c r="D43" i="2"/>
  <c r="E43" i="2" s="1"/>
  <c r="J43" i="2" s="1"/>
  <c r="K43" i="2" s="1"/>
  <c r="D102" i="2"/>
  <c r="D98" i="2"/>
  <c r="D94" i="2"/>
  <c r="D90" i="2"/>
  <c r="D86" i="2"/>
  <c r="D82" i="2"/>
  <c r="D78" i="2"/>
  <c r="D74" i="2"/>
  <c r="D70" i="2"/>
  <c r="D66" i="2"/>
  <c r="D62" i="2"/>
  <c r="D58" i="2"/>
  <c r="D54" i="2"/>
  <c r="D50" i="2"/>
  <c r="D46" i="2"/>
  <c r="D42" i="2"/>
  <c r="D38" i="2"/>
  <c r="D96" i="2"/>
  <c r="D88" i="2"/>
  <c r="D80" i="2"/>
  <c r="D72" i="2"/>
  <c r="D64" i="2"/>
  <c r="D56" i="2"/>
  <c r="D48" i="2"/>
  <c r="D40" i="2"/>
  <c r="D95" i="2"/>
  <c r="D87" i="2"/>
  <c r="D79" i="2"/>
  <c r="E79" i="2" s="1"/>
  <c r="J79" i="2" s="1"/>
  <c r="K79" i="2" s="1"/>
  <c r="D71" i="2"/>
  <c r="D63" i="2"/>
  <c r="D55" i="2"/>
  <c r="D47" i="2"/>
  <c r="E47" i="2" s="1"/>
  <c r="J47" i="2" s="1"/>
  <c r="K47" i="2" s="1"/>
  <c r="D39" i="2"/>
  <c r="D101" i="2"/>
  <c r="D97" i="2"/>
  <c r="D93" i="2"/>
  <c r="E93" i="2" s="1"/>
  <c r="J93" i="2" s="1"/>
  <c r="K93" i="2" s="1"/>
  <c r="D89" i="2"/>
  <c r="D85" i="2"/>
  <c r="D81" i="2"/>
  <c r="D77" i="2"/>
  <c r="E77" i="2" s="1"/>
  <c r="J77" i="2" s="1"/>
  <c r="K77" i="2" s="1"/>
  <c r="D73" i="2"/>
  <c r="D69" i="2"/>
  <c r="D65" i="2"/>
  <c r="D61" i="2"/>
  <c r="E61" i="2" s="1"/>
  <c r="J61" i="2" s="1"/>
  <c r="K61" i="2" s="1"/>
  <c r="D57" i="2"/>
  <c r="D53" i="2"/>
  <c r="D49" i="2"/>
  <c r="D45" i="2"/>
  <c r="E45" i="2" s="1"/>
  <c r="J45" i="2" s="1"/>
  <c r="K45" i="2" s="1"/>
  <c r="D41" i="2"/>
  <c r="E41" i="6"/>
  <c r="J41" i="6" s="1"/>
  <c r="K41" i="6" s="1"/>
  <c r="E42" i="6"/>
  <c r="J42" i="6" s="1"/>
  <c r="K42" i="6" s="1"/>
  <c r="E43" i="6"/>
  <c r="J43" i="6" s="1"/>
  <c r="K43" i="6" s="1"/>
  <c r="E44" i="6"/>
  <c r="J44" i="6" s="1"/>
  <c r="K44" i="6" s="1"/>
  <c r="L44" i="6" s="1"/>
  <c r="E45" i="6"/>
  <c r="J45" i="6" s="1"/>
  <c r="K45" i="6" s="1"/>
  <c r="E46" i="6"/>
  <c r="J46" i="6" s="1"/>
  <c r="K46" i="6" s="1"/>
  <c r="E47" i="6"/>
  <c r="J47" i="6" s="1"/>
  <c r="K47" i="6" s="1"/>
  <c r="E48" i="6"/>
  <c r="J48" i="6" s="1"/>
  <c r="K48" i="6" s="1"/>
  <c r="E49" i="6"/>
  <c r="J49" i="6" s="1"/>
  <c r="K49" i="6" s="1"/>
  <c r="E50" i="6"/>
  <c r="J50" i="6" s="1"/>
  <c r="K50" i="6" s="1"/>
  <c r="E51" i="6"/>
  <c r="J51" i="6" s="1"/>
  <c r="K51" i="6" s="1"/>
  <c r="E52" i="6"/>
  <c r="J52" i="6" s="1"/>
  <c r="K52" i="6" s="1"/>
  <c r="E53" i="6"/>
  <c r="J53" i="6" s="1"/>
  <c r="K53" i="6" s="1"/>
  <c r="E54" i="6"/>
  <c r="J54" i="6" s="1"/>
  <c r="K54" i="6" s="1"/>
  <c r="E55" i="6"/>
  <c r="J55" i="6" s="1"/>
  <c r="K55" i="6" s="1"/>
  <c r="E56" i="6"/>
  <c r="J56" i="6" s="1"/>
  <c r="K56" i="6" s="1"/>
  <c r="L56" i="6" s="1"/>
  <c r="E57" i="6"/>
  <c r="J57" i="6" s="1"/>
  <c r="K57" i="6" s="1"/>
  <c r="E58" i="6"/>
  <c r="J58" i="6" s="1"/>
  <c r="K58" i="6" s="1"/>
  <c r="E59" i="6"/>
  <c r="J59" i="6" s="1"/>
  <c r="K59" i="6" s="1"/>
  <c r="E60" i="6"/>
  <c r="J60" i="6" s="1"/>
  <c r="K60" i="6" s="1"/>
  <c r="E61" i="6"/>
  <c r="J61" i="6" s="1"/>
  <c r="K61" i="6" s="1"/>
  <c r="E62" i="6"/>
  <c r="J62" i="6" s="1"/>
  <c r="K62" i="6" s="1"/>
  <c r="E63" i="6"/>
  <c r="J63" i="6" s="1"/>
  <c r="K63" i="6" s="1"/>
  <c r="E64" i="6"/>
  <c r="J64" i="6" s="1"/>
  <c r="K64" i="6" s="1"/>
  <c r="E65" i="6"/>
  <c r="J65" i="6" s="1"/>
  <c r="K65" i="6" s="1"/>
  <c r="E66" i="6"/>
  <c r="J66" i="6" s="1"/>
  <c r="K66" i="6" s="1"/>
  <c r="E67" i="6"/>
  <c r="J67" i="6" s="1"/>
  <c r="K67" i="6" s="1"/>
  <c r="E68" i="6"/>
  <c r="J68" i="6" s="1"/>
  <c r="K68" i="6" s="1"/>
  <c r="L68" i="6" s="1"/>
  <c r="E69" i="6"/>
  <c r="J69" i="6" s="1"/>
  <c r="K69" i="6" s="1"/>
  <c r="E70" i="6"/>
  <c r="J70" i="6" s="1"/>
  <c r="K70" i="6" s="1"/>
  <c r="E71" i="6"/>
  <c r="J71" i="6" s="1"/>
  <c r="K71" i="6" s="1"/>
  <c r="E72" i="6"/>
  <c r="J72" i="6" s="1"/>
  <c r="K72" i="6" s="1"/>
  <c r="E73" i="6"/>
  <c r="J73" i="6" s="1"/>
  <c r="K73" i="6" s="1"/>
  <c r="E74" i="6"/>
  <c r="J74" i="6" s="1"/>
  <c r="K74" i="6" s="1"/>
  <c r="E75" i="6"/>
  <c r="J75" i="6" s="1"/>
  <c r="K75" i="6" s="1"/>
  <c r="E76" i="6"/>
  <c r="J76" i="6" s="1"/>
  <c r="K76" i="6" s="1"/>
  <c r="E77" i="6"/>
  <c r="J77" i="6" s="1"/>
  <c r="K77" i="6" s="1"/>
  <c r="E78" i="6"/>
  <c r="J78" i="6" s="1"/>
  <c r="K78" i="6" s="1"/>
  <c r="E79" i="6"/>
  <c r="J79" i="6" s="1"/>
  <c r="K79" i="6" s="1"/>
  <c r="E81" i="6"/>
  <c r="J81" i="6" s="1"/>
  <c r="K81" i="6" s="1"/>
  <c r="L80" i="6" s="1"/>
  <c r="E82" i="6"/>
  <c r="J82" i="6" s="1"/>
  <c r="K82" i="6" s="1"/>
  <c r="E83" i="6"/>
  <c r="J83" i="6" s="1"/>
  <c r="K83" i="6" s="1"/>
  <c r="E84" i="6"/>
  <c r="J84" i="6" s="1"/>
  <c r="K84" i="6" s="1"/>
  <c r="E85" i="6"/>
  <c r="J85" i="6" s="1"/>
  <c r="K85" i="6" s="1"/>
  <c r="E86" i="6"/>
  <c r="J86" i="6" s="1"/>
  <c r="K86" i="6" s="1"/>
  <c r="E87" i="6"/>
  <c r="J87" i="6" s="1"/>
  <c r="K87" i="6" s="1"/>
  <c r="E88" i="6"/>
  <c r="J88" i="6" s="1"/>
  <c r="K88" i="6" s="1"/>
  <c r="E89" i="6"/>
  <c r="J89" i="6" s="1"/>
  <c r="K89" i="6" s="1"/>
  <c r="L89" i="6" s="1"/>
  <c r="E90" i="6"/>
  <c r="J90" i="6" s="1"/>
  <c r="K90" i="6" s="1"/>
  <c r="E91" i="6"/>
  <c r="J91" i="6" s="1"/>
  <c r="K91" i="6" s="1"/>
  <c r="E93" i="6"/>
  <c r="J93" i="6" s="1"/>
  <c r="K93" i="6" s="1"/>
  <c r="E94" i="6"/>
  <c r="J94" i="6" s="1"/>
  <c r="K94" i="6" s="1"/>
  <c r="E95" i="6"/>
  <c r="J95" i="6" s="1"/>
  <c r="K95" i="6" s="1"/>
  <c r="E96" i="6"/>
  <c r="J96" i="6" s="1"/>
  <c r="K96" i="6" s="1"/>
  <c r="E97" i="6"/>
  <c r="J97" i="6" s="1"/>
  <c r="K97" i="6" s="1"/>
  <c r="E98" i="6"/>
  <c r="J98" i="6" s="1"/>
  <c r="K98" i="6" s="1"/>
  <c r="L98" i="6" s="1"/>
  <c r="E99" i="6"/>
  <c r="J99" i="6" s="1"/>
  <c r="K99" i="6" s="1"/>
  <c r="E100" i="6"/>
  <c r="J100" i="6" s="1"/>
  <c r="K100" i="6" s="1"/>
  <c r="E101" i="6"/>
  <c r="J101" i="6" s="1"/>
  <c r="K101" i="6" s="1"/>
  <c r="E102" i="6"/>
  <c r="J102" i="6" s="1"/>
  <c r="K102" i="6" s="1"/>
  <c r="E103" i="6"/>
  <c r="J103" i="6" s="1"/>
  <c r="K103" i="6" s="1"/>
  <c r="E38" i="6"/>
  <c r="J38" i="6" s="1"/>
  <c r="K38" i="6" s="1"/>
  <c r="L38" i="6" s="1"/>
  <c r="E42" i="8"/>
  <c r="J42" i="8" s="1"/>
  <c r="K42" i="8" s="1"/>
  <c r="E43" i="8"/>
  <c r="J43" i="8" s="1"/>
  <c r="K43" i="8" s="1"/>
  <c r="E44" i="8"/>
  <c r="J44" i="8" s="1"/>
  <c r="K44" i="8" s="1"/>
  <c r="E45" i="8"/>
  <c r="J45" i="8" s="1"/>
  <c r="K45" i="8" s="1"/>
  <c r="E46" i="8"/>
  <c r="J46" i="8" s="1"/>
  <c r="K46" i="8" s="1"/>
  <c r="E47" i="8"/>
  <c r="J47" i="8" s="1"/>
  <c r="K47" i="8" s="1"/>
  <c r="E48" i="8"/>
  <c r="J48" i="8" s="1"/>
  <c r="K48" i="8" s="1"/>
  <c r="E49" i="8"/>
  <c r="J49" i="8" s="1"/>
  <c r="K49" i="8" s="1"/>
  <c r="E50" i="8"/>
  <c r="J50" i="8" s="1"/>
  <c r="K50" i="8" s="1"/>
  <c r="E51" i="8"/>
  <c r="J51" i="8" s="1"/>
  <c r="K51" i="8" s="1"/>
  <c r="E52" i="8"/>
  <c r="J52" i="8" s="1"/>
  <c r="K52" i="8" s="1"/>
  <c r="E53" i="8"/>
  <c r="J53" i="8" s="1"/>
  <c r="K53" i="8" s="1"/>
  <c r="E54" i="8"/>
  <c r="J54" i="8" s="1"/>
  <c r="K54" i="8" s="1"/>
  <c r="E55" i="8"/>
  <c r="J55" i="8" s="1"/>
  <c r="K55" i="8" s="1"/>
  <c r="E56" i="8"/>
  <c r="J56" i="8" s="1"/>
  <c r="K56" i="8" s="1"/>
  <c r="E57" i="8"/>
  <c r="J57" i="8" s="1"/>
  <c r="K57" i="8" s="1"/>
  <c r="E58" i="8"/>
  <c r="J58" i="8" s="1"/>
  <c r="K58" i="8" s="1"/>
  <c r="E59" i="8"/>
  <c r="J59" i="8" s="1"/>
  <c r="K59" i="8" s="1"/>
  <c r="E60" i="8"/>
  <c r="J60" i="8" s="1"/>
  <c r="K60" i="8" s="1"/>
  <c r="E61" i="8"/>
  <c r="J61" i="8" s="1"/>
  <c r="K61" i="8" s="1"/>
  <c r="E62" i="8"/>
  <c r="J62" i="8" s="1"/>
  <c r="K62" i="8" s="1"/>
  <c r="E63" i="8"/>
  <c r="J63" i="8" s="1"/>
  <c r="K63" i="8" s="1"/>
  <c r="E64" i="8"/>
  <c r="J64" i="8" s="1"/>
  <c r="K64" i="8" s="1"/>
  <c r="E65" i="8"/>
  <c r="J65" i="8" s="1"/>
  <c r="K65" i="8" s="1"/>
  <c r="E66" i="8"/>
  <c r="J66" i="8" s="1"/>
  <c r="K66" i="8" s="1"/>
  <c r="E67" i="8"/>
  <c r="J67" i="8" s="1"/>
  <c r="K67" i="8" s="1"/>
  <c r="E68" i="8"/>
  <c r="J68" i="8" s="1"/>
  <c r="K68" i="8" s="1"/>
  <c r="E69" i="8"/>
  <c r="J69" i="8" s="1"/>
  <c r="K69" i="8" s="1"/>
  <c r="E70" i="8"/>
  <c r="J70" i="8" s="1"/>
  <c r="K70" i="8" s="1"/>
  <c r="E71" i="8"/>
  <c r="J71" i="8" s="1"/>
  <c r="K71" i="8" s="1"/>
  <c r="E72" i="8"/>
  <c r="J72" i="8" s="1"/>
  <c r="K72" i="8" s="1"/>
  <c r="E73" i="8"/>
  <c r="J73" i="8" s="1"/>
  <c r="K73" i="8" s="1"/>
  <c r="E74" i="8"/>
  <c r="J74" i="8" s="1"/>
  <c r="K74" i="8" s="1"/>
  <c r="E75" i="8"/>
  <c r="J75" i="8" s="1"/>
  <c r="K75" i="8" s="1"/>
  <c r="E76" i="8"/>
  <c r="J76" i="8" s="1"/>
  <c r="K76" i="8" s="1"/>
  <c r="E77" i="8"/>
  <c r="J77" i="8" s="1"/>
  <c r="K77" i="8" s="1"/>
  <c r="E78" i="8"/>
  <c r="J78" i="8" s="1"/>
  <c r="K78" i="8" s="1"/>
  <c r="E79" i="8"/>
  <c r="J79" i="8" s="1"/>
  <c r="K79" i="8" s="1"/>
  <c r="E80" i="8"/>
  <c r="J80" i="8" s="1"/>
  <c r="K80" i="8" s="1"/>
  <c r="E81" i="8"/>
  <c r="J81" i="8" s="1"/>
  <c r="K81" i="8" s="1"/>
  <c r="E82" i="8"/>
  <c r="J82" i="8" s="1"/>
  <c r="K82" i="8" s="1"/>
  <c r="E83" i="8"/>
  <c r="J83" i="8" s="1"/>
  <c r="K83" i="8" s="1"/>
  <c r="E84" i="8"/>
  <c r="J84" i="8" s="1"/>
  <c r="K84" i="8" s="1"/>
  <c r="E85" i="8"/>
  <c r="J85" i="8" s="1"/>
  <c r="K85" i="8" s="1"/>
  <c r="E86" i="8"/>
  <c r="J86" i="8" s="1"/>
  <c r="K86" i="8" s="1"/>
  <c r="E87" i="8"/>
  <c r="J87" i="8" s="1"/>
  <c r="K87" i="8" s="1"/>
  <c r="E88" i="8"/>
  <c r="J88" i="8" s="1"/>
  <c r="K88" i="8" s="1"/>
  <c r="E89" i="8"/>
  <c r="J89" i="8" s="1"/>
  <c r="K89" i="8" s="1"/>
  <c r="E90" i="8"/>
  <c r="J90" i="8" s="1"/>
  <c r="K90" i="8" s="1"/>
  <c r="E91" i="8"/>
  <c r="J91" i="8" s="1"/>
  <c r="K91" i="8" s="1"/>
  <c r="E92" i="8"/>
  <c r="J92" i="8" s="1"/>
  <c r="K92" i="8" s="1"/>
  <c r="E93" i="8"/>
  <c r="J93" i="8" s="1"/>
  <c r="K93" i="8" s="1"/>
  <c r="E94" i="8"/>
  <c r="J94" i="8" s="1"/>
  <c r="K94" i="8" s="1"/>
  <c r="E95" i="8"/>
  <c r="J95" i="8" s="1"/>
  <c r="K95" i="8" s="1"/>
  <c r="E96" i="8"/>
  <c r="J96" i="8" s="1"/>
  <c r="K96" i="8" s="1"/>
  <c r="E97" i="8"/>
  <c r="J97" i="8" s="1"/>
  <c r="K97" i="8" s="1"/>
  <c r="E98" i="8"/>
  <c r="J98" i="8" s="1"/>
  <c r="K98" i="8" s="1"/>
  <c r="E99" i="8"/>
  <c r="J99" i="8" s="1"/>
  <c r="K99" i="8" s="1"/>
  <c r="E100" i="8"/>
  <c r="J100" i="8" s="1"/>
  <c r="K100" i="8" s="1"/>
  <c r="E101" i="8"/>
  <c r="J101" i="8" s="1"/>
  <c r="K101" i="8" s="1"/>
  <c r="E102" i="8"/>
  <c r="J102" i="8" s="1"/>
  <c r="K102" i="8" s="1"/>
  <c r="E103" i="8"/>
  <c r="J103" i="8" s="1"/>
  <c r="K103" i="8" s="1"/>
  <c r="E41" i="8"/>
  <c r="J41" i="8" s="1"/>
  <c r="K41" i="8" s="1"/>
  <c r="L41" i="8" s="1"/>
  <c r="E39" i="4"/>
  <c r="J39" i="4" s="1"/>
  <c r="K39" i="4" s="1"/>
  <c r="E40" i="4"/>
  <c r="J40" i="4" s="1"/>
  <c r="K40" i="4" s="1"/>
  <c r="E44" i="4"/>
  <c r="J44" i="4" s="1"/>
  <c r="K44" i="4" s="1"/>
  <c r="E47" i="4"/>
  <c r="J47" i="4" s="1"/>
  <c r="K47" i="4" s="1"/>
  <c r="E48" i="4"/>
  <c r="J48" i="4" s="1"/>
  <c r="K48" i="4" s="1"/>
  <c r="E51" i="4"/>
  <c r="J51" i="4" s="1"/>
  <c r="K51" i="4" s="1"/>
  <c r="E52" i="4"/>
  <c r="J52" i="4" s="1"/>
  <c r="K52" i="4" s="1"/>
  <c r="E55" i="4"/>
  <c r="J55" i="4" s="1"/>
  <c r="K55" i="4" s="1"/>
  <c r="E56" i="4"/>
  <c r="J56" i="4" s="1"/>
  <c r="K56" i="4" s="1"/>
  <c r="E59" i="4"/>
  <c r="J59" i="4" s="1"/>
  <c r="K59" i="4" s="1"/>
  <c r="E60" i="4"/>
  <c r="J60" i="4" s="1"/>
  <c r="K60" i="4" s="1"/>
  <c r="E63" i="4"/>
  <c r="J63" i="4" s="1"/>
  <c r="K63" i="4" s="1"/>
  <c r="E64" i="4"/>
  <c r="J64" i="4" s="1"/>
  <c r="K64" i="4" s="1"/>
  <c r="E67" i="4"/>
  <c r="J67" i="4" s="1"/>
  <c r="K67" i="4" s="1"/>
  <c r="E68" i="4"/>
  <c r="J68" i="4" s="1"/>
  <c r="K68" i="4" s="1"/>
  <c r="E71" i="4"/>
  <c r="J71" i="4" s="1"/>
  <c r="K71" i="4" s="1"/>
  <c r="E72" i="4"/>
  <c r="J72" i="4" s="1"/>
  <c r="K72" i="4" s="1"/>
  <c r="E76" i="4"/>
  <c r="J76" i="4" s="1"/>
  <c r="K76" i="4" s="1"/>
  <c r="E79" i="4"/>
  <c r="J79" i="4" s="1"/>
  <c r="K79" i="4" s="1"/>
  <c r="E80" i="4"/>
  <c r="J80" i="4" s="1"/>
  <c r="K80" i="4" s="1"/>
  <c r="E83" i="4"/>
  <c r="J83" i="4" s="1"/>
  <c r="K83" i="4" s="1"/>
  <c r="E84" i="4"/>
  <c r="J84" i="4" s="1"/>
  <c r="K84" i="4" s="1"/>
  <c r="E87" i="4"/>
  <c r="J87" i="4" s="1"/>
  <c r="K87" i="4" s="1"/>
  <c r="E88" i="4"/>
  <c r="J88" i="4" s="1"/>
  <c r="K88" i="4" s="1"/>
  <c r="E91" i="4"/>
  <c r="J91" i="4" s="1"/>
  <c r="K91" i="4" s="1"/>
  <c r="E38" i="4"/>
  <c r="J38" i="4" s="1"/>
  <c r="K38" i="4" s="1"/>
  <c r="E41" i="4"/>
  <c r="J41" i="4" s="1"/>
  <c r="K41" i="4" s="1"/>
  <c r="E42" i="4"/>
  <c r="J42" i="4" s="1"/>
  <c r="K42" i="4" s="1"/>
  <c r="E49" i="4"/>
  <c r="J49" i="4" s="1"/>
  <c r="K49" i="4" s="1"/>
  <c r="E50" i="4"/>
  <c r="J50" i="4" s="1"/>
  <c r="K50" i="4" s="1"/>
  <c r="L50" i="4" s="1"/>
  <c r="E53" i="4"/>
  <c r="J53" i="4" s="1"/>
  <c r="K53" i="4" s="1"/>
  <c r="E54" i="4"/>
  <c r="J54" i="4" s="1"/>
  <c r="K54" i="4" s="1"/>
  <c r="E57" i="4"/>
  <c r="J57" i="4" s="1"/>
  <c r="K57" i="4" s="1"/>
  <c r="E58" i="4"/>
  <c r="J58" i="4" s="1"/>
  <c r="K58" i="4" s="1"/>
  <c r="E65" i="4"/>
  <c r="J65" i="4" s="1"/>
  <c r="K65" i="4" s="1"/>
  <c r="E66" i="4"/>
  <c r="J66" i="4" s="1"/>
  <c r="K66" i="4" s="1"/>
  <c r="E69" i="4"/>
  <c r="J69" i="4" s="1"/>
  <c r="K69" i="4" s="1"/>
  <c r="E70" i="4"/>
  <c r="J70" i="4" s="1"/>
  <c r="K70" i="4" s="1"/>
  <c r="E73" i="4"/>
  <c r="J73" i="4" s="1"/>
  <c r="K73" i="4" s="1"/>
  <c r="E74" i="4"/>
  <c r="J74" i="4" s="1"/>
  <c r="K74" i="4" s="1"/>
  <c r="E81" i="4"/>
  <c r="J81" i="4" s="1"/>
  <c r="K81" i="4" s="1"/>
  <c r="E82" i="4"/>
  <c r="J82" i="4" s="1"/>
  <c r="K82" i="4" s="1"/>
  <c r="E85" i="4"/>
  <c r="J85" i="4" s="1"/>
  <c r="K85" i="4" s="1"/>
  <c r="E86" i="4"/>
  <c r="J86" i="4" s="1"/>
  <c r="K86" i="4" s="1"/>
  <c r="E89" i="4"/>
  <c r="J89" i="4" s="1"/>
  <c r="K89" i="4" s="1"/>
  <c r="E90" i="4"/>
  <c r="J90" i="4" s="1"/>
  <c r="K90" i="4" s="1"/>
  <c r="E39" i="2"/>
  <c r="J39" i="2" s="1"/>
  <c r="K39" i="2" s="1"/>
  <c r="E51" i="2"/>
  <c r="J51" i="2" s="1"/>
  <c r="K51" i="2" s="1"/>
  <c r="E55" i="2"/>
  <c r="J55" i="2" s="1"/>
  <c r="K55" i="2" s="1"/>
  <c r="E59" i="2"/>
  <c r="J59" i="2" s="1"/>
  <c r="K59" i="2" s="1"/>
  <c r="E63" i="2"/>
  <c r="J63" i="2" s="1"/>
  <c r="K63" i="2" s="1"/>
  <c r="E67" i="2"/>
  <c r="J67" i="2" s="1"/>
  <c r="K67" i="2" s="1"/>
  <c r="E71" i="2"/>
  <c r="J71" i="2" s="1"/>
  <c r="K71" i="2" s="1"/>
  <c r="E83" i="2"/>
  <c r="J83" i="2" s="1"/>
  <c r="K83" i="2" s="1"/>
  <c r="E87" i="2"/>
  <c r="J87" i="2" s="1"/>
  <c r="K87" i="2" s="1"/>
  <c r="E91" i="2"/>
  <c r="J91" i="2" s="1"/>
  <c r="K91" i="2" s="1"/>
  <c r="E95" i="2"/>
  <c r="J95" i="2" s="1"/>
  <c r="K95" i="2" s="1"/>
  <c r="E99" i="2"/>
  <c r="J99" i="2" s="1"/>
  <c r="K99" i="2" s="1"/>
  <c r="E40" i="2"/>
  <c r="J40" i="2" s="1"/>
  <c r="K40" i="2" s="1"/>
  <c r="E41" i="2"/>
  <c r="J41" i="2" s="1"/>
  <c r="K41" i="2" s="1"/>
  <c r="E42" i="2"/>
  <c r="J42" i="2" s="1"/>
  <c r="K42" i="2" s="1"/>
  <c r="E46" i="2"/>
  <c r="J46" i="2" s="1"/>
  <c r="K46" i="2" s="1"/>
  <c r="E48" i="2"/>
  <c r="J48" i="2" s="1"/>
  <c r="K48" i="2" s="1"/>
  <c r="E49" i="2"/>
  <c r="J49" i="2" s="1"/>
  <c r="K49" i="2" s="1"/>
  <c r="E50" i="2"/>
  <c r="J50" i="2" s="1"/>
  <c r="K50" i="2" s="1"/>
  <c r="E52" i="2"/>
  <c r="J52" i="2" s="1"/>
  <c r="K52" i="2" s="1"/>
  <c r="E53" i="2"/>
  <c r="J53" i="2" s="1"/>
  <c r="K53" i="2" s="1"/>
  <c r="E54" i="2"/>
  <c r="J54" i="2" s="1"/>
  <c r="K54" i="2" s="1"/>
  <c r="E56" i="2"/>
  <c r="J56" i="2" s="1"/>
  <c r="K56" i="2" s="1"/>
  <c r="E57" i="2"/>
  <c r="J57" i="2" s="1"/>
  <c r="K57" i="2" s="1"/>
  <c r="E58" i="2"/>
  <c r="J58" i="2" s="1"/>
  <c r="K58" i="2" s="1"/>
  <c r="E60" i="2"/>
  <c r="J60" i="2" s="1"/>
  <c r="K60" i="2" s="1"/>
  <c r="E62" i="2"/>
  <c r="J62" i="2" s="1"/>
  <c r="K62" i="2" s="1"/>
  <c r="E64" i="2"/>
  <c r="J64" i="2" s="1"/>
  <c r="K64" i="2" s="1"/>
  <c r="E65" i="2"/>
  <c r="J65" i="2" s="1"/>
  <c r="K65" i="2" s="1"/>
  <c r="E66" i="2"/>
  <c r="J66" i="2" s="1"/>
  <c r="K66" i="2" s="1"/>
  <c r="E68" i="2"/>
  <c r="J68" i="2" s="1"/>
  <c r="K68" i="2" s="1"/>
  <c r="E69" i="2"/>
  <c r="J69" i="2" s="1"/>
  <c r="K69" i="2" s="1"/>
  <c r="E70" i="2"/>
  <c r="J70" i="2" s="1"/>
  <c r="K70" i="2" s="1"/>
  <c r="E72" i="2"/>
  <c r="J72" i="2" s="1"/>
  <c r="K72" i="2" s="1"/>
  <c r="E73" i="2"/>
  <c r="J73" i="2" s="1"/>
  <c r="K73" i="2" s="1"/>
  <c r="E74" i="2"/>
  <c r="J74" i="2" s="1"/>
  <c r="K74" i="2" s="1"/>
  <c r="E78" i="2"/>
  <c r="J78" i="2" s="1"/>
  <c r="K78" i="2" s="1"/>
  <c r="E80" i="2"/>
  <c r="J80" i="2" s="1"/>
  <c r="K80" i="2" s="1"/>
  <c r="E81" i="2"/>
  <c r="J81" i="2" s="1"/>
  <c r="K81" i="2" s="1"/>
  <c r="E82" i="2"/>
  <c r="J82" i="2" s="1"/>
  <c r="K82" i="2" s="1"/>
  <c r="E84" i="2"/>
  <c r="J84" i="2" s="1"/>
  <c r="K84" i="2" s="1"/>
  <c r="E85" i="2"/>
  <c r="J85" i="2" s="1"/>
  <c r="K85" i="2" s="1"/>
  <c r="E86" i="2"/>
  <c r="J86" i="2" s="1"/>
  <c r="K86" i="2" s="1"/>
  <c r="E88" i="2"/>
  <c r="J88" i="2" s="1"/>
  <c r="K88" i="2" s="1"/>
  <c r="E89" i="2"/>
  <c r="J89" i="2" s="1"/>
  <c r="K89" i="2" s="1"/>
  <c r="E90" i="2"/>
  <c r="J90" i="2" s="1"/>
  <c r="K90" i="2" s="1"/>
  <c r="E92" i="2"/>
  <c r="J92" i="2" s="1"/>
  <c r="K92" i="2" s="1"/>
  <c r="E94" i="2"/>
  <c r="J94" i="2" s="1"/>
  <c r="K94" i="2" s="1"/>
  <c r="E96" i="2"/>
  <c r="J96" i="2" s="1"/>
  <c r="K96" i="2" s="1"/>
  <c r="E97" i="2"/>
  <c r="J97" i="2" s="1"/>
  <c r="K97" i="2" s="1"/>
  <c r="E98" i="2"/>
  <c r="J98" i="2" s="1"/>
  <c r="K98" i="2" s="1"/>
  <c r="E100" i="2"/>
  <c r="J100" i="2" s="1"/>
  <c r="K100" i="2" s="1"/>
  <c r="E101" i="2"/>
  <c r="J101" i="2" s="1"/>
  <c r="K101" i="2" s="1"/>
  <c r="E102" i="2"/>
  <c r="J102" i="2" s="1"/>
  <c r="K102" i="2" s="1"/>
  <c r="E38" i="2"/>
  <c r="J38" i="2" s="1"/>
  <c r="K38" i="2" s="1"/>
  <c r="L38" i="2" s="1"/>
  <c r="L44" i="2" l="1"/>
  <c r="L92" i="2"/>
  <c r="L65" i="2"/>
  <c r="L74" i="4"/>
  <c r="L83" i="8"/>
  <c r="L71" i="8"/>
  <c r="L59" i="8"/>
  <c r="L47" i="8"/>
  <c r="L98" i="8"/>
  <c r="L86" i="8"/>
  <c r="L74" i="8"/>
  <c r="L62" i="8"/>
  <c r="L50" i="8"/>
  <c r="L95" i="8"/>
  <c r="L65" i="4"/>
  <c r="L77" i="4"/>
  <c r="L53" i="4"/>
  <c r="L41" i="4"/>
  <c r="L89" i="4"/>
  <c r="L86" i="4"/>
  <c r="L62" i="4"/>
  <c r="L80" i="2"/>
  <c r="L53" i="2"/>
  <c r="L89" i="2"/>
  <c r="L68" i="2"/>
  <c r="L41" i="2"/>
  <c r="L101" i="2"/>
  <c r="L77" i="2"/>
  <c r="L56" i="2"/>
  <c r="L98" i="2"/>
  <c r="L86" i="2"/>
  <c r="L74" i="2"/>
  <c r="L62" i="2"/>
  <c r="L50" i="2"/>
  <c r="L71" i="2"/>
  <c r="L83" i="2"/>
  <c r="L95" i="2"/>
  <c r="L47" i="2"/>
  <c r="L59" i="2"/>
  <c r="L83" i="4"/>
  <c r="L59" i="4"/>
  <c r="L80" i="4"/>
  <c r="L56" i="4"/>
  <c r="L71" i="4"/>
  <c r="L47" i="4"/>
  <c r="L101" i="8"/>
  <c r="L89" i="8"/>
  <c r="L77" i="8"/>
  <c r="L65" i="8"/>
  <c r="L53" i="8"/>
  <c r="L38" i="4"/>
  <c r="L68" i="4"/>
  <c r="L44" i="4"/>
  <c r="L92" i="8"/>
  <c r="L80" i="8"/>
  <c r="L68" i="8"/>
  <c r="L56" i="8"/>
  <c r="L44" i="8"/>
  <c r="L101" i="6"/>
  <c r="L92" i="6"/>
  <c r="L71" i="6"/>
  <c r="L59" i="6"/>
  <c r="L47" i="6"/>
  <c r="L83" i="6"/>
  <c r="L74" i="6"/>
  <c r="L62" i="6"/>
  <c r="L50" i="6"/>
  <c r="L95" i="6"/>
  <c r="L86" i="6"/>
  <c r="L77" i="6"/>
  <c r="L65" i="6"/>
  <c r="L53" i="6"/>
  <c r="L41" i="6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" i="2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" i="4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" i="6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3" i="8"/>
  <c r="C4" i="8"/>
  <c r="C2" i="8"/>
</calcChain>
</file>

<file path=xl/sharedStrings.xml><?xml version="1.0" encoding="utf-8"?>
<sst xmlns="http://schemas.openxmlformats.org/spreadsheetml/2006/main" count="1926" uniqueCount="252">
  <si>
    <t>Well</t>
  </si>
  <si>
    <t>Sample</t>
  </si>
  <si>
    <t>A01</t>
  </si>
  <si>
    <t>Std 10^8</t>
  </si>
  <si>
    <t>A02</t>
  </si>
  <si>
    <t>A03</t>
  </si>
  <si>
    <t>A04</t>
  </si>
  <si>
    <t>Std 10^7</t>
  </si>
  <si>
    <t>A05</t>
  </si>
  <si>
    <t>A06</t>
  </si>
  <si>
    <t>A07</t>
  </si>
  <si>
    <t>Std 10^6</t>
  </si>
  <si>
    <t>A08</t>
  </si>
  <si>
    <t>A09</t>
  </si>
  <si>
    <t>A10</t>
  </si>
  <si>
    <t>Std 10^5</t>
  </si>
  <si>
    <t>A11</t>
  </si>
  <si>
    <t>A12</t>
  </si>
  <si>
    <t>B01</t>
  </si>
  <si>
    <t>Std 10^4</t>
  </si>
  <si>
    <t>B02</t>
  </si>
  <si>
    <t>B03</t>
  </si>
  <si>
    <t>B04</t>
  </si>
  <si>
    <t>Std 10^3</t>
  </si>
  <si>
    <t>B05</t>
  </si>
  <si>
    <t>B06</t>
  </si>
  <si>
    <t>B07</t>
  </si>
  <si>
    <t>Std 10^2</t>
  </si>
  <si>
    <t>B08</t>
  </si>
  <si>
    <t>B09</t>
  </si>
  <si>
    <t>B10</t>
  </si>
  <si>
    <t>Std 10^1</t>
  </si>
  <si>
    <t>B11</t>
  </si>
  <si>
    <t>B12</t>
  </si>
  <si>
    <t>C01</t>
  </si>
  <si>
    <t>Std 10^0</t>
  </si>
  <si>
    <t>C02</t>
  </si>
  <si>
    <t>C03</t>
  </si>
  <si>
    <t>C04</t>
  </si>
  <si>
    <t>NTC</t>
  </si>
  <si>
    <t>C05</t>
  </si>
  <si>
    <t>C06</t>
  </si>
  <si>
    <t>C07</t>
  </si>
  <si>
    <t>Holding Tank</t>
  </si>
  <si>
    <t>C08</t>
  </si>
  <si>
    <t>C09</t>
  </si>
  <si>
    <t>C10</t>
  </si>
  <si>
    <t>Source Water</t>
  </si>
  <si>
    <t>C11</t>
  </si>
  <si>
    <t>C12</t>
  </si>
  <si>
    <t>D01</t>
  </si>
  <si>
    <t>Pre-Upstream</t>
  </si>
  <si>
    <t>D02</t>
  </si>
  <si>
    <t>D03</t>
  </si>
  <si>
    <t>D04</t>
  </si>
  <si>
    <t>Pre-Downstream</t>
  </si>
  <si>
    <t>D05</t>
  </si>
  <si>
    <t>D06</t>
  </si>
  <si>
    <t>D07</t>
  </si>
  <si>
    <t>Manure_a</t>
  </si>
  <si>
    <t>D08</t>
  </si>
  <si>
    <t>D09</t>
  </si>
  <si>
    <t>D10</t>
  </si>
  <si>
    <t>Manure_b</t>
  </si>
  <si>
    <t>D11</t>
  </si>
  <si>
    <t>D12</t>
  </si>
  <si>
    <t>E01</t>
  </si>
  <si>
    <t>Manure_c</t>
  </si>
  <si>
    <t>E02</t>
  </si>
  <si>
    <t>E03</t>
  </si>
  <si>
    <t>E04</t>
  </si>
  <si>
    <t>Manure_d</t>
  </si>
  <si>
    <t>E05</t>
  </si>
  <si>
    <t>E06</t>
  </si>
  <si>
    <t>E07</t>
  </si>
  <si>
    <t>Manure_e</t>
  </si>
  <si>
    <t>E08</t>
  </si>
  <si>
    <t>E09</t>
  </si>
  <si>
    <t>E10</t>
  </si>
  <si>
    <t>Manure_f</t>
  </si>
  <si>
    <t>E11</t>
  </si>
  <si>
    <t>E12</t>
  </si>
  <si>
    <t>F01</t>
  </si>
  <si>
    <t>Pre-Soil Sample 1_a</t>
  </si>
  <si>
    <t>F02</t>
  </si>
  <si>
    <t>F03</t>
  </si>
  <si>
    <t>F04</t>
  </si>
  <si>
    <t>Pre-Soil Sample 1_b</t>
  </si>
  <si>
    <t>F05</t>
  </si>
  <si>
    <t>F06</t>
  </si>
  <si>
    <t>F07</t>
  </si>
  <si>
    <t>Pre-Soil Sample 1_c</t>
  </si>
  <si>
    <t>F08</t>
  </si>
  <si>
    <t>F09</t>
  </si>
  <si>
    <t>F10</t>
  </si>
  <si>
    <t>Pre-Soil Sample 2_a</t>
  </si>
  <si>
    <t>F11</t>
  </si>
  <si>
    <t>F12</t>
  </si>
  <si>
    <t>G01</t>
  </si>
  <si>
    <t>Pre-Soil Sample 2_b</t>
  </si>
  <si>
    <t>G02</t>
  </si>
  <si>
    <t>G03</t>
  </si>
  <si>
    <t>G04</t>
  </si>
  <si>
    <t>Pre-Soil Sample 2_c</t>
  </si>
  <si>
    <t>G05</t>
  </si>
  <si>
    <t>G06</t>
  </si>
  <si>
    <t>G07</t>
  </si>
  <si>
    <t>Pre-Soil Sample 3_a</t>
  </si>
  <si>
    <t>G08</t>
  </si>
  <si>
    <t>G09</t>
  </si>
  <si>
    <t>G10</t>
  </si>
  <si>
    <t>Pre-Soil Sample 3_b</t>
  </si>
  <si>
    <t>G11</t>
  </si>
  <si>
    <t>G12</t>
  </si>
  <si>
    <t>H01</t>
  </si>
  <si>
    <t>Pre-Soil Sample 3_c</t>
  </si>
  <si>
    <t>H02</t>
  </si>
  <si>
    <t>H03</t>
  </si>
  <si>
    <t>H04</t>
  </si>
  <si>
    <t>Pre-Soil Sample 4_a</t>
  </si>
  <si>
    <t>H05</t>
  </si>
  <si>
    <t>H06</t>
  </si>
  <si>
    <t>H07</t>
  </si>
  <si>
    <t>Pre-Soil Sample 4_b</t>
  </si>
  <si>
    <t>H08</t>
  </si>
  <si>
    <t>H09</t>
  </si>
  <si>
    <t>H10</t>
  </si>
  <si>
    <t>Pre-Soil Sample 4_c</t>
  </si>
  <si>
    <t>H11</t>
  </si>
  <si>
    <t>H12</t>
  </si>
  <si>
    <t>log</t>
  </si>
  <si>
    <t>NA</t>
  </si>
  <si>
    <t>Upstream 1</t>
  </si>
  <si>
    <t>Upstream 2</t>
  </si>
  <si>
    <t>Upstream 3</t>
  </si>
  <si>
    <t>Upstream 4</t>
  </si>
  <si>
    <t>Upstream 5</t>
  </si>
  <si>
    <t>Upstream 6</t>
  </si>
  <si>
    <t>Upstream 7</t>
  </si>
  <si>
    <t>Upstream 8</t>
  </si>
  <si>
    <t>Upstream 9</t>
  </si>
  <si>
    <t>Downstream 1</t>
  </si>
  <si>
    <t>Downstream 2</t>
  </si>
  <si>
    <t>Downstream 3</t>
  </si>
  <si>
    <t>Downstream 4</t>
  </si>
  <si>
    <t>Downstream 5</t>
  </si>
  <si>
    <t>Downstream 6</t>
  </si>
  <si>
    <t>Downstream 7</t>
  </si>
  <si>
    <t>Downstream 8</t>
  </si>
  <si>
    <t>Downstream 9</t>
  </si>
  <si>
    <t>Pre-Infiltration</t>
  </si>
  <si>
    <t>Infiltration 1</t>
  </si>
  <si>
    <t>Infiltration 2</t>
  </si>
  <si>
    <t>Infiltration 3</t>
  </si>
  <si>
    <t>Infiltration 4</t>
  </si>
  <si>
    <t>Infiltration 5</t>
  </si>
  <si>
    <t>Infiltration 6</t>
  </si>
  <si>
    <t>Infiltration 7</t>
  </si>
  <si>
    <t>Infiltration 8</t>
  </si>
  <si>
    <t>Infiltration 9</t>
  </si>
  <si>
    <t>Infiltration 10</t>
  </si>
  <si>
    <t>Infiltration 11</t>
  </si>
  <si>
    <t>Infiltration 12</t>
  </si>
  <si>
    <t>Soil Sample 1_a</t>
  </si>
  <si>
    <t>Soil Sample 2_a</t>
  </si>
  <si>
    <t>Soil Sample 3_a</t>
  </si>
  <si>
    <t>Soil Sample 4_a</t>
  </si>
  <si>
    <t>Soil Sample 5_a</t>
  </si>
  <si>
    <t>Soil Sample 6_a</t>
  </si>
  <si>
    <t>Soil Sample 7_a</t>
  </si>
  <si>
    <t>Soil Sample 8_a</t>
  </si>
  <si>
    <t>Soil Sample 9_a</t>
  </si>
  <si>
    <t>Soil Sample 10_a</t>
  </si>
  <si>
    <t>Soil Sample 1_b</t>
  </si>
  <si>
    <t>Soil Sample 2_b</t>
  </si>
  <si>
    <t>Soil Sample 3_b</t>
  </si>
  <si>
    <t>Soil Sample 4_b</t>
  </si>
  <si>
    <t>Soil Sample 5_b</t>
  </si>
  <si>
    <t>Soil Sample 6_b</t>
  </si>
  <si>
    <t>Soil Sample 7_b</t>
  </si>
  <si>
    <t>Soil Sample 8_b</t>
  </si>
  <si>
    <t>Soil Sample 9_b</t>
  </si>
  <si>
    <t>Soil Sample 10_b</t>
  </si>
  <si>
    <t>Soil Sample 1_c</t>
  </si>
  <si>
    <t>Soil Sample 2_c</t>
  </si>
  <si>
    <t>Soil Sample 3_c</t>
  </si>
  <si>
    <t>Soil Sample 4_c</t>
  </si>
  <si>
    <t>Soil Sample 5_c</t>
  </si>
  <si>
    <t>Soil Sample 6_c</t>
  </si>
  <si>
    <t>Soil Sample 7_c</t>
  </si>
  <si>
    <t>Soil Sample 8_c</t>
  </si>
  <si>
    <t>Soil Sample 9_c</t>
  </si>
  <si>
    <t>Soil Sample 10_c</t>
  </si>
  <si>
    <t>Copies/rxn</t>
  </si>
  <si>
    <t>x = (y - 35.593) / -3.6182</t>
  </si>
  <si>
    <t>10^</t>
  </si>
  <si>
    <t>Dil</t>
  </si>
  <si>
    <t>DNA used</t>
  </si>
  <si>
    <t>DNA extracted</t>
  </si>
  <si>
    <t>Sample Amount</t>
  </si>
  <si>
    <t>Avg</t>
  </si>
  <si>
    <t>2 uL</t>
  </si>
  <si>
    <t>100 uL</t>
  </si>
  <si>
    <t>75 mL</t>
  </si>
  <si>
    <t>500 mL</t>
  </si>
  <si>
    <t>250 uL</t>
  </si>
  <si>
    <t>234.4 mg</t>
  </si>
  <si>
    <t>250.2 mg</t>
  </si>
  <si>
    <t>251.9 mg</t>
  </si>
  <si>
    <t>256.4 mg</t>
  </si>
  <si>
    <t>250.8 mg</t>
  </si>
  <si>
    <t>246.7 mg</t>
  </si>
  <si>
    <t>236 mg</t>
  </si>
  <si>
    <t>246.8 mg</t>
  </si>
  <si>
    <t>249.9mg</t>
  </si>
  <si>
    <t>221.3 mg</t>
  </si>
  <si>
    <t>250.6 mg</t>
  </si>
  <si>
    <t>243.3 mg</t>
  </si>
  <si>
    <t>copies/100 mL</t>
  </si>
  <si>
    <t>x = (y - 36.136) / -3.6954</t>
  </si>
  <si>
    <t>200 mL</t>
  </si>
  <si>
    <t>250 mL</t>
  </si>
  <si>
    <t>x = (y - 36.483) / -3.7161</t>
  </si>
  <si>
    <t>245.2 mg</t>
  </si>
  <si>
    <t>256.8 mg</t>
  </si>
  <si>
    <t>250.1 mg</t>
  </si>
  <si>
    <t>252.9 mg</t>
  </si>
  <si>
    <t>245.3 mg</t>
  </si>
  <si>
    <t>250.3 mg</t>
  </si>
  <si>
    <t>244.3 mg</t>
  </si>
  <si>
    <t>243.2 mg</t>
  </si>
  <si>
    <t>251 mg</t>
  </si>
  <si>
    <t>257.9 mg</t>
  </si>
  <si>
    <t>251.3 mg</t>
  </si>
  <si>
    <t>255.8 mg</t>
  </si>
  <si>
    <t>251.7 mg</t>
  </si>
  <si>
    <t>255.7 mg</t>
  </si>
  <si>
    <t>253.1 mg</t>
  </si>
  <si>
    <t>255.2 mg</t>
  </si>
  <si>
    <t>255.5 mg</t>
  </si>
  <si>
    <t>copies/1 g ww</t>
  </si>
  <si>
    <t>x = (y - 36.042) / -3.633</t>
  </si>
  <si>
    <t>247.9 mg</t>
  </si>
  <si>
    <t>247.6 mg</t>
  </si>
  <si>
    <t>231.4 mg</t>
  </si>
  <si>
    <t>259.8 mg</t>
  </si>
  <si>
    <t>236.5 mg</t>
  </si>
  <si>
    <t>241.8 mg</t>
  </si>
  <si>
    <t>232.2 mg</t>
  </si>
  <si>
    <t>253.5 mg</t>
  </si>
  <si>
    <t>245.1 mg</t>
  </si>
  <si>
    <t>Cq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</si>
</sst>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##0.00;\-###0.00"/>
    <numFmt numFmtId="165" formatCode="0.0000"/>
    <numFmt numFmtId="166" formatCode="0.0000000000000_);\(0.0000000000000\)"/>
  </numFmts>
  <fonts count="3" x14ac:knownFonts="1">
    <font>
      <sz val="12"/>
      <color theme="1"/>
      <name val="Calibri"/>
      <family val="2"/>
      <scheme val="minor"/>
    </font>
    <font>
      <sz val="12"/>
      <name val="Calibri"/>
      <family val="2"/>
    </font>
    <font>
      <sz val="12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Alignment="1">
      <alignment horizontal="center"/>
    </xf>
    <xf numFmtId="49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49" fontId="1" fillId="2" borderId="0" xfId="0" applyNumberFormat="1" applyFont="1" applyFill="1" applyAlignment="1">
      <alignment horizontal="center" vertical="center"/>
    </xf>
    <xf numFmtId="0" fontId="0" fillId="2" borderId="0" xfId="0" applyFill="1" applyAlignment="1">
      <alignment horizontal="center"/>
    </xf>
    <xf numFmtId="49" fontId="1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Fill="1" applyBorder="1" applyAlignment="1">
      <alignment horizontal="center"/>
    </xf>
    <xf numFmtId="49" fontId="1" fillId="0" borderId="0" xfId="0" applyNumberFormat="1" applyFont="1" applyFill="1" applyBorder="1" applyAlignment="1">
      <alignment horizontal="center" vertical="center"/>
    </xf>
    <xf numFmtId="164" fontId="1" fillId="2" borderId="0" xfId="0" applyNumberFormat="1" applyFont="1" applyFill="1" applyAlignment="1">
      <alignment horizontal="center" vertical="center"/>
    </xf>
    <xf numFmtId="11" fontId="0" fillId="0" borderId="0" xfId="0" applyNumberFormat="1" applyAlignment="1">
      <alignment horizontal="center"/>
    </xf>
    <xf numFmtId="165" fontId="0" fillId="0" borderId="0" xfId="0" applyNumberFormat="1" applyFill="1" applyBorder="1" applyAlignment="1">
      <alignment horizontal="center"/>
    </xf>
    <xf numFmtId="165" fontId="0" fillId="0" borderId="0" xfId="0" applyNumberFormat="1" applyFill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 vertical="center"/>
    </xf>
    <xf numFmtId="0" fontId="0" fillId="0" borderId="0" xfId="0" applyFont="1"/>
    <xf numFmtId="166" fontId="0" fillId="0" borderId="0" xfId="0" applyNumberFormat="1"/>
    <xf numFmtId="0" fontId="0" fillId="0" borderId="0" xfId="0" applyAlignment="1"/>
    <xf numFmtId="0" fontId="2" fillId="0" borderId="0" xfId="0" applyFont="1"/>
    <xf numFmtId="20" fontId="0" fillId="0" borderId="0" xfId="0" applyNumberFormat="1" applyAlignment="1">
      <alignment horizontal="center" vertical="center"/>
    </xf>
    <xf numFmtId="1" fontId="0" fillId="0" borderId="0" xfId="0" applyNumberFormat="1"/>
    <xf numFmtId="2" fontId="0" fillId="0" borderId="0" xfId="0" applyNumberFormat="1"/>
    <xf numFmtId="20" fontId="0" fillId="0" borderId="0" xfId="0" applyNumberFormat="1" applyAlignment="1">
      <alignment horizontal="center"/>
    </xf>
    <xf numFmtId="11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20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2" borderId="0" xfId="0" applyFill="1"/>
    <xf numFmtId="1" fontId="0" fillId="0" borderId="0" xfId="0" applyNumberFormat="1" applyAlignment="1">
      <alignment horizontal="center"/>
    </xf>
    <xf numFmtId="1" fontId="0" fillId="2" borderId="0" xfId="0" applyNumberFormat="1" applyFill="1" applyAlignment="1">
      <alignment horizontal="center"/>
    </xf>
    <xf numFmtId="1" fontId="0" fillId="0" borderId="0" xfId="0" applyNumberFormat="1" applyAlignment="1">
      <alignment horizontal="center" vertical="center"/>
    </xf>
    <xf numFmtId="11" fontId="0" fillId="2" borderId="0" xfId="0" applyNumberFormat="1" applyFill="1" applyAlignment="1">
      <alignment horizontal="center"/>
    </xf>
    <xf numFmtId="1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1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Standard Curve - Plate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1346094747696868"/>
                  <c:y val="-0.6428775403074615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'ermF - plate 1'!$C$2:$C$27</c:f>
              <c:numCache>
                <c:formatCode>0.0000</c:formatCode>
                <c:ptCount val="26"/>
                <c:pt idx="0">
                  <c:v>8.0136044023579664</c:v>
                </c:pt>
                <c:pt idx="1">
                  <c:v>8.0136044023579664</c:v>
                </c:pt>
                <c:pt idx="2">
                  <c:v>8.0136044023579664</c:v>
                </c:pt>
                <c:pt idx="3">
                  <c:v>7.0136044023579664</c:v>
                </c:pt>
                <c:pt idx="4">
                  <c:v>7.0136044023579664</c:v>
                </c:pt>
                <c:pt idx="5">
                  <c:v>7.0136044023579664</c:v>
                </c:pt>
                <c:pt idx="6">
                  <c:v>6.0136044023579664</c:v>
                </c:pt>
                <c:pt idx="7">
                  <c:v>6.0136044023579664</c:v>
                </c:pt>
                <c:pt idx="8">
                  <c:v>6.0136044023579664</c:v>
                </c:pt>
                <c:pt idx="9">
                  <c:v>5.0136044023579664</c:v>
                </c:pt>
                <c:pt idx="10">
                  <c:v>5.0136044023579664</c:v>
                </c:pt>
                <c:pt idx="11">
                  <c:v>5.0136044023579664</c:v>
                </c:pt>
                <c:pt idx="12">
                  <c:v>4.0136044023579664</c:v>
                </c:pt>
                <c:pt idx="13">
                  <c:v>4.0136044023579664</c:v>
                </c:pt>
                <c:pt idx="14">
                  <c:v>4.0136044023579664</c:v>
                </c:pt>
                <c:pt idx="15">
                  <c:v>3.0136044023579664</c:v>
                </c:pt>
                <c:pt idx="16">
                  <c:v>3.0136044023579664</c:v>
                </c:pt>
                <c:pt idx="17">
                  <c:v>3.0136044023579664</c:v>
                </c:pt>
                <c:pt idx="18">
                  <c:v>2.0136044023579664</c:v>
                </c:pt>
                <c:pt idx="19">
                  <c:v>2.0136044023579664</c:v>
                </c:pt>
                <c:pt idx="20">
                  <c:v>2.0136044023579664</c:v>
                </c:pt>
                <c:pt idx="21">
                  <c:v>1.0136044023579664</c:v>
                </c:pt>
                <c:pt idx="22">
                  <c:v>1.0136044023579664</c:v>
                </c:pt>
                <c:pt idx="23">
                  <c:v>1.0136044023579664</c:v>
                </c:pt>
                <c:pt idx="24">
                  <c:v>1.3604402357966342E-2</c:v>
                </c:pt>
                <c:pt idx="25">
                  <c:v>1.3604402357966342E-2</c:v>
                </c:pt>
              </c:numCache>
            </c:numRef>
          </c:xVal>
          <c:yVal>
            <c:numRef>
              <c:f>'ermF - plate 1'!$D$2:$D$27</c:f>
              <c:numCache>
                <c:formatCode>###0.00;\-###0.00</c:formatCode>
                <c:ptCount val="26"/>
                <c:pt idx="0">
                  <c:v>6.1794779912431101</c:v>
                </c:pt>
                <c:pt idx="1">
                  <c:v>6.13726794786729</c:v>
                </c:pt>
                <c:pt idx="2">
                  <c:v>6.17540942548706</c:v>
                </c:pt>
                <c:pt idx="3">
                  <c:v>10.2383961214049</c:v>
                </c:pt>
                <c:pt idx="4">
                  <c:v>10.3921255225709</c:v>
                </c:pt>
                <c:pt idx="5">
                  <c:v>10.468250651472101</c:v>
                </c:pt>
                <c:pt idx="6">
                  <c:v>13.805094489856801</c:v>
                </c:pt>
                <c:pt idx="7">
                  <c:v>13.966104669311299</c:v>
                </c:pt>
                <c:pt idx="8">
                  <c:v>14.023923846291501</c:v>
                </c:pt>
                <c:pt idx="9">
                  <c:v>17.548708273596201</c:v>
                </c:pt>
                <c:pt idx="10">
                  <c:v>17.582378896798701</c:v>
                </c:pt>
                <c:pt idx="11">
                  <c:v>17.566184362842801</c:v>
                </c:pt>
                <c:pt idx="12">
                  <c:v>21.233185896527502</c:v>
                </c:pt>
                <c:pt idx="13">
                  <c:v>21.287090253758599</c:v>
                </c:pt>
                <c:pt idx="14">
                  <c:v>21.275632891192299</c:v>
                </c:pt>
                <c:pt idx="15">
                  <c:v>24.825187791499101</c:v>
                </c:pt>
                <c:pt idx="16">
                  <c:v>24.727113256852999</c:v>
                </c:pt>
                <c:pt idx="17">
                  <c:v>24.743374142834099</c:v>
                </c:pt>
                <c:pt idx="18">
                  <c:v>28.485071248170001</c:v>
                </c:pt>
                <c:pt idx="19">
                  <c:v>28.274349649858198</c:v>
                </c:pt>
                <c:pt idx="20">
                  <c:v>28.3799289730045</c:v>
                </c:pt>
                <c:pt idx="21">
                  <c:v>32.193688462174102</c:v>
                </c:pt>
                <c:pt idx="22">
                  <c:v>32.184092134131603</c:v>
                </c:pt>
                <c:pt idx="23">
                  <c:v>31.7401628173847</c:v>
                </c:pt>
                <c:pt idx="24">
                  <c:v>34.984571209808102</c:v>
                </c:pt>
                <c:pt idx="25">
                  <c:v>34.3292729800229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BB-074E-B40F-7E74A114D8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9490767"/>
        <c:axId val="279086351"/>
      </c:scatterChart>
      <c:valAx>
        <c:axId val="279490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 Dil (log)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086351"/>
        <c:crosses val="autoZero"/>
        <c:crossBetween val="midCat"/>
      </c:valAx>
      <c:valAx>
        <c:axId val="279086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Cq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##0.00;\-#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4907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Standard</a:t>
            </a:r>
            <a:r>
              <a:rPr lang="en-US" baseline="0"/>
              <a:t> Curve - Plate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0.10592949392973851"/>
                  <c:y val="-0.7042810851426871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'ermF - plate 1'!$Q$2:$Q$28</c:f>
              <c:numCache>
                <c:formatCode>###0.00;\-###0.00</c:formatCode>
                <c:ptCount val="27"/>
                <c:pt idx="0">
                  <c:v>6.1794779912431101</c:v>
                </c:pt>
                <c:pt idx="1">
                  <c:v>6.13726794786729</c:v>
                </c:pt>
                <c:pt idx="2">
                  <c:v>6.17540942548706</c:v>
                </c:pt>
                <c:pt idx="3">
                  <c:v>10.2383961214049</c:v>
                </c:pt>
                <c:pt idx="4">
                  <c:v>10.3921255225709</c:v>
                </c:pt>
                <c:pt idx="5">
                  <c:v>10.468250651472101</c:v>
                </c:pt>
                <c:pt idx="6">
                  <c:v>13.805094489856801</c:v>
                </c:pt>
                <c:pt idx="7">
                  <c:v>13.966104669311299</c:v>
                </c:pt>
                <c:pt idx="8">
                  <c:v>14.023923846291501</c:v>
                </c:pt>
                <c:pt idx="9">
                  <c:v>17.548708273596201</c:v>
                </c:pt>
                <c:pt idx="10">
                  <c:v>17.582378896798701</c:v>
                </c:pt>
                <c:pt idx="11">
                  <c:v>17.566184362842801</c:v>
                </c:pt>
                <c:pt idx="12">
                  <c:v>21.233185896527502</c:v>
                </c:pt>
                <c:pt idx="13">
                  <c:v>21.287090253758599</c:v>
                </c:pt>
                <c:pt idx="14">
                  <c:v>21.275632891192299</c:v>
                </c:pt>
                <c:pt idx="15">
                  <c:v>24.825187791499101</c:v>
                </c:pt>
                <c:pt idx="16">
                  <c:v>24.727113256852999</c:v>
                </c:pt>
                <c:pt idx="17">
                  <c:v>24.743374142834099</c:v>
                </c:pt>
                <c:pt idx="18">
                  <c:v>28.485071248170001</c:v>
                </c:pt>
                <c:pt idx="19">
                  <c:v>28.274349649858198</c:v>
                </c:pt>
                <c:pt idx="20">
                  <c:v>28.3799289730045</c:v>
                </c:pt>
                <c:pt idx="21">
                  <c:v>32.193688462174102</c:v>
                </c:pt>
                <c:pt idx="22">
                  <c:v>32.184092134131603</c:v>
                </c:pt>
                <c:pt idx="23">
                  <c:v>31.7401628173847</c:v>
                </c:pt>
                <c:pt idx="24">
                  <c:v>36.160855527346897</c:v>
                </c:pt>
                <c:pt idx="25">
                  <c:v>34.3292729800229</c:v>
                </c:pt>
                <c:pt idx="26">
                  <c:v>34.984571209808102</c:v>
                </c:pt>
              </c:numCache>
            </c:numRef>
          </c:xVal>
          <c:yVal>
            <c:numRef>
              <c:f>'ermF - plate 1'!$P$2:$P$28</c:f>
              <c:numCache>
                <c:formatCode>0.00E+00</c:formatCode>
                <c:ptCount val="27"/>
                <c:pt idx="0">
                  <c:v>103182109.45826009</c:v>
                </c:pt>
                <c:pt idx="1">
                  <c:v>103182109.45826009</c:v>
                </c:pt>
                <c:pt idx="2">
                  <c:v>103182109.45826009</c:v>
                </c:pt>
                <c:pt idx="3">
                  <c:v>10318210.945826009</c:v>
                </c:pt>
                <c:pt idx="4">
                  <c:v>10318210.945826009</c:v>
                </c:pt>
                <c:pt idx="5">
                  <c:v>10318210.945826009</c:v>
                </c:pt>
                <c:pt idx="6">
                  <c:v>1031821.0945826009</c:v>
                </c:pt>
                <c:pt idx="7">
                  <c:v>1031821.0945826009</c:v>
                </c:pt>
                <c:pt idx="8">
                  <c:v>1031821.0945826009</c:v>
                </c:pt>
                <c:pt idx="9">
                  <c:v>103182.10945826009</c:v>
                </c:pt>
                <c:pt idx="10">
                  <c:v>103182.10945826009</c:v>
                </c:pt>
                <c:pt idx="11">
                  <c:v>103182.10945826009</c:v>
                </c:pt>
                <c:pt idx="12">
                  <c:v>10318.210945826009</c:v>
                </c:pt>
                <c:pt idx="13">
                  <c:v>10318.210945826009</c:v>
                </c:pt>
                <c:pt idx="14">
                  <c:v>10318.210945826009</c:v>
                </c:pt>
                <c:pt idx="15">
                  <c:v>1031.8210945826008</c:v>
                </c:pt>
                <c:pt idx="16">
                  <c:v>1031.8210945826008</c:v>
                </c:pt>
                <c:pt idx="17">
                  <c:v>1031.8210945826008</c:v>
                </c:pt>
                <c:pt idx="18">
                  <c:v>103.18210945826009</c:v>
                </c:pt>
                <c:pt idx="19">
                  <c:v>103.18210945826009</c:v>
                </c:pt>
                <c:pt idx="20">
                  <c:v>103.18210945826009</c:v>
                </c:pt>
                <c:pt idx="21">
                  <c:v>10.318210945826008</c:v>
                </c:pt>
                <c:pt idx="22">
                  <c:v>10.318210945826008</c:v>
                </c:pt>
                <c:pt idx="23">
                  <c:v>10.318210945826008</c:v>
                </c:pt>
                <c:pt idx="24">
                  <c:v>1.0318210945826007</c:v>
                </c:pt>
                <c:pt idx="25">
                  <c:v>1.0318210945826007</c:v>
                </c:pt>
                <c:pt idx="26">
                  <c:v>1.0318210945826007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AE-6144-8612-B12216C276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3631983"/>
        <c:axId val="210806255"/>
      </c:scatterChart>
      <c:valAx>
        <c:axId val="283631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Cq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##0.00;\-#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806255"/>
        <c:crosses val="autoZero"/>
        <c:crossBetween val="midCat"/>
      </c:valAx>
      <c:valAx>
        <c:axId val="210806255"/>
        <c:scaling>
          <c:logBase val="10"/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 Dil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631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Standard Curve - Plate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1184724912580815"/>
                  <c:y val="-0.7140609057261672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'ermF - plate 2'!$C$2:$C$28</c:f>
              <c:numCache>
                <c:formatCode>0.0000</c:formatCode>
                <c:ptCount val="27"/>
                <c:pt idx="0">
                  <c:v>8.0136044023579664</c:v>
                </c:pt>
                <c:pt idx="1">
                  <c:v>8.0136044023579664</c:v>
                </c:pt>
                <c:pt idx="2">
                  <c:v>8.0136044023579664</c:v>
                </c:pt>
                <c:pt idx="3">
                  <c:v>7.0136044023579664</c:v>
                </c:pt>
                <c:pt idx="4">
                  <c:v>7.0136044023579664</c:v>
                </c:pt>
                <c:pt idx="5">
                  <c:v>7.0136044023579664</c:v>
                </c:pt>
                <c:pt idx="6">
                  <c:v>6.0136044023579664</c:v>
                </c:pt>
                <c:pt idx="7">
                  <c:v>6.0136044023579664</c:v>
                </c:pt>
                <c:pt idx="8">
                  <c:v>6.0136044023579664</c:v>
                </c:pt>
                <c:pt idx="9">
                  <c:v>5.0136044023579664</c:v>
                </c:pt>
                <c:pt idx="10">
                  <c:v>5.0136044023579664</c:v>
                </c:pt>
                <c:pt idx="11">
                  <c:v>5.0136044023579664</c:v>
                </c:pt>
                <c:pt idx="12">
                  <c:v>4.0136044023579664</c:v>
                </c:pt>
                <c:pt idx="13">
                  <c:v>4.0136044023579664</c:v>
                </c:pt>
                <c:pt idx="14">
                  <c:v>4.0136044023579664</c:v>
                </c:pt>
                <c:pt idx="15">
                  <c:v>3.0136044023579664</c:v>
                </c:pt>
                <c:pt idx="16">
                  <c:v>3.0136044023579664</c:v>
                </c:pt>
                <c:pt idx="17">
                  <c:v>3.0136044023579664</c:v>
                </c:pt>
                <c:pt idx="18">
                  <c:v>2.0136044023579664</c:v>
                </c:pt>
                <c:pt idx="19">
                  <c:v>2.0136044023579664</c:v>
                </c:pt>
                <c:pt idx="20">
                  <c:v>2.0136044023579664</c:v>
                </c:pt>
                <c:pt idx="21">
                  <c:v>1.0136044023579664</c:v>
                </c:pt>
                <c:pt idx="22">
                  <c:v>1.0136044023579664</c:v>
                </c:pt>
                <c:pt idx="23">
                  <c:v>1.0136044023579664</c:v>
                </c:pt>
                <c:pt idx="24">
                  <c:v>1.3604402357966342E-2</c:v>
                </c:pt>
                <c:pt idx="25">
                  <c:v>1.3604402357966342E-2</c:v>
                </c:pt>
                <c:pt idx="26">
                  <c:v>1.3604402357966342E-2</c:v>
                </c:pt>
              </c:numCache>
            </c:numRef>
          </c:xVal>
          <c:yVal>
            <c:numRef>
              <c:f>'ermF - plate 2'!$D$2:$D$28</c:f>
              <c:numCache>
                <c:formatCode>###0.00;\-###0.00</c:formatCode>
                <c:ptCount val="27"/>
                <c:pt idx="0">
                  <c:v>6.1125022935253597</c:v>
                </c:pt>
                <c:pt idx="1">
                  <c:v>6.1246868554631497</c:v>
                </c:pt>
                <c:pt idx="2">
                  <c:v>6.1082366150401697</c:v>
                </c:pt>
                <c:pt idx="3">
                  <c:v>11.0402773835389</c:v>
                </c:pt>
                <c:pt idx="4">
                  <c:v>10.7828552797968</c:v>
                </c:pt>
                <c:pt idx="5">
                  <c:v>10.8404204881432</c:v>
                </c:pt>
                <c:pt idx="6">
                  <c:v>13.864678259266499</c:v>
                </c:pt>
                <c:pt idx="7">
                  <c:v>13.890359619525301</c:v>
                </c:pt>
                <c:pt idx="8">
                  <c:v>13.905613432575899</c:v>
                </c:pt>
                <c:pt idx="9">
                  <c:v>17.361733812204999</c:v>
                </c:pt>
                <c:pt idx="10">
                  <c:v>17.460047974239099</c:v>
                </c:pt>
                <c:pt idx="11">
                  <c:v>17.4753463814729</c:v>
                </c:pt>
                <c:pt idx="12">
                  <c:v>21.362742664979201</c:v>
                </c:pt>
                <c:pt idx="13">
                  <c:v>21.316621645439199</c:v>
                </c:pt>
                <c:pt idx="14">
                  <c:v>21.500642101285099</c:v>
                </c:pt>
                <c:pt idx="15">
                  <c:v>24.874703759379301</c:v>
                </c:pt>
                <c:pt idx="16">
                  <c:v>24.848906865638799</c:v>
                </c:pt>
                <c:pt idx="17">
                  <c:v>24.898299914257599</c:v>
                </c:pt>
                <c:pt idx="18">
                  <c:v>28.478875197951201</c:v>
                </c:pt>
                <c:pt idx="19">
                  <c:v>28.404864971603399</c:v>
                </c:pt>
                <c:pt idx="20">
                  <c:v>28.151559894074001</c:v>
                </c:pt>
                <c:pt idx="21">
                  <c:v>32.745952100221203</c:v>
                </c:pt>
                <c:pt idx="22">
                  <c:v>32.520413695580402</c:v>
                </c:pt>
                <c:pt idx="23">
                  <c:v>32.890941556296802</c:v>
                </c:pt>
                <c:pt idx="24">
                  <c:v>36.254411481258003</c:v>
                </c:pt>
                <c:pt idx="25">
                  <c:v>35.075443730922402</c:v>
                </c:pt>
                <c:pt idx="26">
                  <c:v>36.919687380043797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B7-7747-BE05-5897E35FF4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2853231"/>
        <c:axId val="258527423"/>
      </c:scatterChart>
      <c:valAx>
        <c:axId val="282853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 Dil (log)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527423"/>
        <c:crosses val="autoZero"/>
        <c:crossBetween val="midCat"/>
      </c:valAx>
      <c:valAx>
        <c:axId val="258527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Cq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##0.00;\-#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853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Standard Curve - Plate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9.4436877062392927E-2"/>
                  <c:y val="-0.8355320042825972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'ermF - plate 2'!$Q$2:$Q$28</c:f>
              <c:numCache>
                <c:formatCode>###0.00;\-###0.00</c:formatCode>
                <c:ptCount val="27"/>
                <c:pt idx="0">
                  <c:v>6.1125022935253597</c:v>
                </c:pt>
                <c:pt idx="1">
                  <c:v>6.1246868554631497</c:v>
                </c:pt>
                <c:pt idx="2">
                  <c:v>6.1082366150401697</c:v>
                </c:pt>
                <c:pt idx="3">
                  <c:v>11.0402773835389</c:v>
                </c:pt>
                <c:pt idx="4">
                  <c:v>10.7828552797968</c:v>
                </c:pt>
                <c:pt idx="5">
                  <c:v>10.8404204881432</c:v>
                </c:pt>
                <c:pt idx="6">
                  <c:v>13.864678259266499</c:v>
                </c:pt>
                <c:pt idx="7">
                  <c:v>13.890359619525301</c:v>
                </c:pt>
                <c:pt idx="8">
                  <c:v>13.905613432575899</c:v>
                </c:pt>
                <c:pt idx="9">
                  <c:v>17.361733812204999</c:v>
                </c:pt>
                <c:pt idx="10">
                  <c:v>17.460047974239099</c:v>
                </c:pt>
                <c:pt idx="11">
                  <c:v>17.4753463814729</c:v>
                </c:pt>
                <c:pt idx="12">
                  <c:v>21.362742664979201</c:v>
                </c:pt>
                <c:pt idx="13">
                  <c:v>21.316621645439199</c:v>
                </c:pt>
                <c:pt idx="14">
                  <c:v>21.500642101285099</c:v>
                </c:pt>
                <c:pt idx="15">
                  <c:v>24.874703759379301</c:v>
                </c:pt>
                <c:pt idx="16">
                  <c:v>24.848906865638799</c:v>
                </c:pt>
                <c:pt idx="17">
                  <c:v>24.898299914257599</c:v>
                </c:pt>
                <c:pt idx="18">
                  <c:v>28.478875197951201</c:v>
                </c:pt>
                <c:pt idx="19">
                  <c:v>28.404864971603399</c:v>
                </c:pt>
                <c:pt idx="20">
                  <c:v>28.151559894074001</c:v>
                </c:pt>
                <c:pt idx="21">
                  <c:v>32.745952100221203</c:v>
                </c:pt>
                <c:pt idx="22">
                  <c:v>32.520413695580402</c:v>
                </c:pt>
                <c:pt idx="23">
                  <c:v>32.890941556296802</c:v>
                </c:pt>
                <c:pt idx="24">
                  <c:v>36.254411481258003</c:v>
                </c:pt>
                <c:pt idx="25">
                  <c:v>35.075443730922402</c:v>
                </c:pt>
                <c:pt idx="26">
                  <c:v>36.919687380043797</c:v>
                </c:pt>
              </c:numCache>
            </c:numRef>
          </c:xVal>
          <c:yVal>
            <c:numRef>
              <c:f>'ermF - plate 2'!$P$2:$P$28</c:f>
              <c:numCache>
                <c:formatCode>0.00E+00</c:formatCode>
                <c:ptCount val="27"/>
                <c:pt idx="0">
                  <c:v>103182109.45826009</c:v>
                </c:pt>
                <c:pt idx="1">
                  <c:v>103182109.45826009</c:v>
                </c:pt>
                <c:pt idx="2">
                  <c:v>103182109.45826009</c:v>
                </c:pt>
                <c:pt idx="3">
                  <c:v>10318210.945826009</c:v>
                </c:pt>
                <c:pt idx="4">
                  <c:v>10318210.945826009</c:v>
                </c:pt>
                <c:pt idx="5">
                  <c:v>10318210.945826009</c:v>
                </c:pt>
                <c:pt idx="6">
                  <c:v>1031821.0945826009</c:v>
                </c:pt>
                <c:pt idx="7">
                  <c:v>1031821.0945826009</c:v>
                </c:pt>
                <c:pt idx="8">
                  <c:v>1031821.0945826009</c:v>
                </c:pt>
                <c:pt idx="9">
                  <c:v>103182.10945826009</c:v>
                </c:pt>
                <c:pt idx="10">
                  <c:v>103182.10945826009</c:v>
                </c:pt>
                <c:pt idx="11">
                  <c:v>103182.10945826009</c:v>
                </c:pt>
                <c:pt idx="12">
                  <c:v>10318.210945826009</c:v>
                </c:pt>
                <c:pt idx="13">
                  <c:v>10318.210945826009</c:v>
                </c:pt>
                <c:pt idx="14">
                  <c:v>10318.210945826009</c:v>
                </c:pt>
                <c:pt idx="15">
                  <c:v>1031.8210945826008</c:v>
                </c:pt>
                <c:pt idx="16">
                  <c:v>1031.8210945826008</c:v>
                </c:pt>
                <c:pt idx="17">
                  <c:v>1031.8210945826008</c:v>
                </c:pt>
                <c:pt idx="18">
                  <c:v>103.18210945826009</c:v>
                </c:pt>
                <c:pt idx="19">
                  <c:v>103.18210945826009</c:v>
                </c:pt>
                <c:pt idx="20">
                  <c:v>103.18210945826009</c:v>
                </c:pt>
                <c:pt idx="21">
                  <c:v>10.318210945826008</c:v>
                </c:pt>
                <c:pt idx="22">
                  <c:v>10.318210945826008</c:v>
                </c:pt>
                <c:pt idx="23">
                  <c:v>10.318210945826008</c:v>
                </c:pt>
                <c:pt idx="24">
                  <c:v>1.0318210945826007</c:v>
                </c:pt>
                <c:pt idx="25">
                  <c:v>1.0318210945826007</c:v>
                </c:pt>
                <c:pt idx="26">
                  <c:v>1.0318210945826007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87-224A-84CB-9FED8B1DF9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6070783"/>
        <c:axId val="286382927"/>
      </c:scatterChart>
      <c:valAx>
        <c:axId val="236070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Cq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##0.00;\-#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382927"/>
        <c:crosses val="autoZero"/>
        <c:crossBetween val="midCat"/>
      </c:valAx>
      <c:valAx>
        <c:axId val="286382927"/>
        <c:scaling>
          <c:logBase val="10"/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 Dil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070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Standard Curve Plate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373805355072849"/>
                  <c:y val="-0.722760327470639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'ermF - plate 3'!$C$2:$C$28</c:f>
              <c:numCache>
                <c:formatCode>0.0000</c:formatCode>
                <c:ptCount val="27"/>
                <c:pt idx="0">
                  <c:v>8.0136044023579664</c:v>
                </c:pt>
                <c:pt idx="1">
                  <c:v>8.0136044023579664</c:v>
                </c:pt>
                <c:pt idx="2">
                  <c:v>8.0136044023579664</c:v>
                </c:pt>
                <c:pt idx="3">
                  <c:v>7.0136044023579664</c:v>
                </c:pt>
                <c:pt idx="4">
                  <c:v>7.0136044023579664</c:v>
                </c:pt>
                <c:pt idx="5">
                  <c:v>7.0136044023579664</c:v>
                </c:pt>
                <c:pt idx="6">
                  <c:v>6.0136044023579664</c:v>
                </c:pt>
                <c:pt idx="7">
                  <c:v>6.0136044023579664</c:v>
                </c:pt>
                <c:pt idx="8">
                  <c:v>6.0136044023579664</c:v>
                </c:pt>
                <c:pt idx="9">
                  <c:v>5.0136044023579664</c:v>
                </c:pt>
                <c:pt idx="10">
                  <c:v>5.0136044023579664</c:v>
                </c:pt>
                <c:pt idx="11">
                  <c:v>5.0136044023579664</c:v>
                </c:pt>
                <c:pt idx="12">
                  <c:v>4.0136044023579664</c:v>
                </c:pt>
                <c:pt idx="13">
                  <c:v>4.0136044023579664</c:v>
                </c:pt>
                <c:pt idx="14">
                  <c:v>4.0136044023579664</c:v>
                </c:pt>
                <c:pt idx="15">
                  <c:v>3.0136044023579664</c:v>
                </c:pt>
                <c:pt idx="16">
                  <c:v>3.0136044023579664</c:v>
                </c:pt>
                <c:pt idx="17">
                  <c:v>3.0136044023579664</c:v>
                </c:pt>
                <c:pt idx="18">
                  <c:v>2.0136044023579664</c:v>
                </c:pt>
                <c:pt idx="19">
                  <c:v>2.0136044023579664</c:v>
                </c:pt>
                <c:pt idx="20">
                  <c:v>2.0136044023579664</c:v>
                </c:pt>
                <c:pt idx="21">
                  <c:v>1.0136044023579664</c:v>
                </c:pt>
                <c:pt idx="22">
                  <c:v>1.0136044023579664</c:v>
                </c:pt>
                <c:pt idx="23">
                  <c:v>1.0136044023579664</c:v>
                </c:pt>
                <c:pt idx="24">
                  <c:v>1.3604402357966342E-2</c:v>
                </c:pt>
                <c:pt idx="25">
                  <c:v>1.3604402357966342E-2</c:v>
                </c:pt>
                <c:pt idx="26">
                  <c:v>1.3604402357966342E-2</c:v>
                </c:pt>
              </c:numCache>
            </c:numRef>
          </c:xVal>
          <c:yVal>
            <c:numRef>
              <c:f>'ermF - plate 3'!$D$2:$D$28</c:f>
              <c:numCache>
                <c:formatCode>###0.00;\-###0.00</c:formatCode>
                <c:ptCount val="27"/>
                <c:pt idx="0">
                  <c:v>6.2639905119836401</c:v>
                </c:pt>
                <c:pt idx="1">
                  <c:v>6.3145624416936501</c:v>
                </c:pt>
                <c:pt idx="2">
                  <c:v>6.1973267174163302</c:v>
                </c:pt>
                <c:pt idx="3">
                  <c:v>11.138664617093299</c:v>
                </c:pt>
                <c:pt idx="4">
                  <c:v>11.0201423955835</c:v>
                </c:pt>
                <c:pt idx="5">
                  <c:v>10.9658209256981</c:v>
                </c:pt>
                <c:pt idx="6">
                  <c:v>14.2485576706188</c:v>
                </c:pt>
                <c:pt idx="7">
                  <c:v>14.2802182961758</c:v>
                </c:pt>
                <c:pt idx="8">
                  <c:v>14.214115837973999</c:v>
                </c:pt>
                <c:pt idx="9">
                  <c:v>17.756122703963001</c:v>
                </c:pt>
                <c:pt idx="10">
                  <c:v>17.6866588701285</c:v>
                </c:pt>
                <c:pt idx="11">
                  <c:v>17.625993016475501</c:v>
                </c:pt>
                <c:pt idx="12">
                  <c:v>21.851364026713298</c:v>
                </c:pt>
                <c:pt idx="13">
                  <c:v>21.752111338462399</c:v>
                </c:pt>
                <c:pt idx="14">
                  <c:v>21.6940419344145</c:v>
                </c:pt>
                <c:pt idx="15">
                  <c:v>25.530343536770602</c:v>
                </c:pt>
                <c:pt idx="16">
                  <c:v>25.336761019544198</c:v>
                </c:pt>
                <c:pt idx="17">
                  <c:v>25.416255997274401</c:v>
                </c:pt>
                <c:pt idx="18">
                  <c:v>28.652283259493601</c:v>
                </c:pt>
                <c:pt idx="19">
                  <c:v>28.597177303911501</c:v>
                </c:pt>
                <c:pt idx="20">
                  <c:v>28.402364097377699</c:v>
                </c:pt>
                <c:pt idx="21">
                  <c:v>33.030351462906303</c:v>
                </c:pt>
                <c:pt idx="22">
                  <c:v>32.849713639848098</c:v>
                </c:pt>
                <c:pt idx="23">
                  <c:v>32.636315032816803</c:v>
                </c:pt>
                <c:pt idx="24">
                  <c:v>35.694197036031298</c:v>
                </c:pt>
                <c:pt idx="25">
                  <c:v>35.125045834967302</c:v>
                </c:pt>
                <c:pt idx="26">
                  <c:v>35.140787822505402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4B-A741-8C71-F8DFCE6AA2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419375"/>
        <c:axId val="256803343"/>
      </c:scatterChart>
      <c:valAx>
        <c:axId val="214419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 Dil (log)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803343"/>
        <c:crosses val="autoZero"/>
        <c:crossBetween val="midCat"/>
      </c:valAx>
      <c:valAx>
        <c:axId val="256803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Cq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##0.00;\-#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4193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Standard Curve Plate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0.13041083595120559"/>
                  <c:y val="-0.8166894493518259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'ermF - plate 3'!$Q$2:$Q$28</c:f>
              <c:numCache>
                <c:formatCode>###0.00;\-###0.00</c:formatCode>
                <c:ptCount val="27"/>
                <c:pt idx="0">
                  <c:v>6.2639905119836401</c:v>
                </c:pt>
                <c:pt idx="1">
                  <c:v>6.3145624416936501</c:v>
                </c:pt>
                <c:pt idx="2">
                  <c:v>6.1973267174163302</c:v>
                </c:pt>
                <c:pt idx="3">
                  <c:v>11.138664617093299</c:v>
                </c:pt>
                <c:pt idx="4">
                  <c:v>11.0201423955835</c:v>
                </c:pt>
                <c:pt idx="5">
                  <c:v>10.9658209256981</c:v>
                </c:pt>
                <c:pt idx="6">
                  <c:v>14.2485576706188</c:v>
                </c:pt>
                <c:pt idx="7">
                  <c:v>14.2802182961758</c:v>
                </c:pt>
                <c:pt idx="8">
                  <c:v>14.214115837973999</c:v>
                </c:pt>
                <c:pt idx="9">
                  <c:v>17.756122703963001</c:v>
                </c:pt>
                <c:pt idx="10">
                  <c:v>17.6866588701285</c:v>
                </c:pt>
                <c:pt idx="11">
                  <c:v>17.625993016475501</c:v>
                </c:pt>
                <c:pt idx="12">
                  <c:v>21.851364026713298</c:v>
                </c:pt>
                <c:pt idx="13">
                  <c:v>21.752111338462399</c:v>
                </c:pt>
                <c:pt idx="14">
                  <c:v>21.6940419344145</c:v>
                </c:pt>
                <c:pt idx="15">
                  <c:v>25.530343536770602</c:v>
                </c:pt>
                <c:pt idx="16">
                  <c:v>25.336761019544198</c:v>
                </c:pt>
                <c:pt idx="17">
                  <c:v>25.416255997274401</c:v>
                </c:pt>
                <c:pt idx="18">
                  <c:v>28.652283259493601</c:v>
                </c:pt>
                <c:pt idx="19">
                  <c:v>28.597177303911501</c:v>
                </c:pt>
                <c:pt idx="20">
                  <c:v>28.402364097377699</c:v>
                </c:pt>
                <c:pt idx="21">
                  <c:v>33.030351462906303</c:v>
                </c:pt>
                <c:pt idx="22">
                  <c:v>32.849713639848098</c:v>
                </c:pt>
                <c:pt idx="23">
                  <c:v>32.636315032816803</c:v>
                </c:pt>
                <c:pt idx="24">
                  <c:v>35.694197036031298</c:v>
                </c:pt>
                <c:pt idx="25">
                  <c:v>35.125045834967302</c:v>
                </c:pt>
                <c:pt idx="26">
                  <c:v>35.140787822505402</c:v>
                </c:pt>
              </c:numCache>
            </c:numRef>
          </c:xVal>
          <c:yVal>
            <c:numRef>
              <c:f>'ermF - plate 3'!$P$2:$P$28</c:f>
              <c:numCache>
                <c:formatCode>0.00E+00</c:formatCode>
                <c:ptCount val="27"/>
                <c:pt idx="0">
                  <c:v>103182109.45826009</c:v>
                </c:pt>
                <c:pt idx="1">
                  <c:v>103182109.45826009</c:v>
                </c:pt>
                <c:pt idx="2">
                  <c:v>103182109.45826009</c:v>
                </c:pt>
                <c:pt idx="3">
                  <c:v>10318210.945826009</c:v>
                </c:pt>
                <c:pt idx="4">
                  <c:v>10318210.945826009</c:v>
                </c:pt>
                <c:pt idx="5">
                  <c:v>10318210.945826009</c:v>
                </c:pt>
                <c:pt idx="6">
                  <c:v>1031821.0945826009</c:v>
                </c:pt>
                <c:pt idx="7">
                  <c:v>1031821.0945826009</c:v>
                </c:pt>
                <c:pt idx="8">
                  <c:v>1031821.0945826009</c:v>
                </c:pt>
                <c:pt idx="9">
                  <c:v>103182.10945826009</c:v>
                </c:pt>
                <c:pt idx="10">
                  <c:v>103182.10945826009</c:v>
                </c:pt>
                <c:pt idx="11">
                  <c:v>103182.10945826009</c:v>
                </c:pt>
                <c:pt idx="12">
                  <c:v>10318.210945826009</c:v>
                </c:pt>
                <c:pt idx="13">
                  <c:v>10318.210945826009</c:v>
                </c:pt>
                <c:pt idx="14">
                  <c:v>10318.210945826009</c:v>
                </c:pt>
                <c:pt idx="15">
                  <c:v>1031.8210945826008</c:v>
                </c:pt>
                <c:pt idx="16">
                  <c:v>1031.8210945826008</c:v>
                </c:pt>
                <c:pt idx="17">
                  <c:v>1031.8210945826008</c:v>
                </c:pt>
                <c:pt idx="18">
                  <c:v>103.18210945826009</c:v>
                </c:pt>
                <c:pt idx="19">
                  <c:v>103.18210945826009</c:v>
                </c:pt>
                <c:pt idx="20">
                  <c:v>103.18210945826009</c:v>
                </c:pt>
                <c:pt idx="21">
                  <c:v>10.318210945826008</c:v>
                </c:pt>
                <c:pt idx="22">
                  <c:v>10.318210945826008</c:v>
                </c:pt>
                <c:pt idx="23">
                  <c:v>10.318210945826008</c:v>
                </c:pt>
                <c:pt idx="24">
                  <c:v>1.0318210945826007</c:v>
                </c:pt>
                <c:pt idx="25">
                  <c:v>1.0318210945826007</c:v>
                </c:pt>
                <c:pt idx="26">
                  <c:v>1.0318210945826007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B0-424A-82F9-E6EE262FA1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908927"/>
        <c:axId val="254069119"/>
      </c:scatterChart>
      <c:valAx>
        <c:axId val="251908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Cq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##0.00;\-#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069119"/>
        <c:crosses val="autoZero"/>
        <c:crossBetween val="midCat"/>
      </c:valAx>
      <c:valAx>
        <c:axId val="25406911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 Dil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908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Standard</a:t>
            </a:r>
            <a:r>
              <a:rPr lang="en-US" baseline="0"/>
              <a:t> Curve Plate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2216726787124722"/>
                  <c:y val="-0.7250624602731907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'ermF - plate 4'!$C$2:$C$28</c:f>
              <c:numCache>
                <c:formatCode>0.0000</c:formatCode>
                <c:ptCount val="27"/>
                <c:pt idx="0">
                  <c:v>8.0136044023579664</c:v>
                </c:pt>
                <c:pt idx="1">
                  <c:v>8.0136044023579664</c:v>
                </c:pt>
                <c:pt idx="2">
                  <c:v>8.0136044023579664</c:v>
                </c:pt>
                <c:pt idx="3">
                  <c:v>7.0136044023579664</c:v>
                </c:pt>
                <c:pt idx="4">
                  <c:v>7.0136044023579664</c:v>
                </c:pt>
                <c:pt idx="5">
                  <c:v>7.0136044023579664</c:v>
                </c:pt>
                <c:pt idx="6">
                  <c:v>6.0136044023579664</c:v>
                </c:pt>
                <c:pt idx="7">
                  <c:v>6.0136044023579664</c:v>
                </c:pt>
                <c:pt idx="8">
                  <c:v>6.0136044023579664</c:v>
                </c:pt>
                <c:pt idx="9">
                  <c:v>5.0136044023579664</c:v>
                </c:pt>
                <c:pt idx="10">
                  <c:v>5.0136044023579664</c:v>
                </c:pt>
                <c:pt idx="11">
                  <c:v>5.0136044023579664</c:v>
                </c:pt>
                <c:pt idx="12">
                  <c:v>4.0136044023579664</c:v>
                </c:pt>
                <c:pt idx="13">
                  <c:v>4.0136044023579664</c:v>
                </c:pt>
                <c:pt idx="14">
                  <c:v>4.0136044023579664</c:v>
                </c:pt>
                <c:pt idx="15">
                  <c:v>3.0136044023579664</c:v>
                </c:pt>
                <c:pt idx="16">
                  <c:v>3.0136044023579664</c:v>
                </c:pt>
                <c:pt idx="17">
                  <c:v>3.0136044023579664</c:v>
                </c:pt>
                <c:pt idx="18">
                  <c:v>2.0136044023579664</c:v>
                </c:pt>
                <c:pt idx="19">
                  <c:v>2.0136044023579664</c:v>
                </c:pt>
                <c:pt idx="20">
                  <c:v>2.0136044023579664</c:v>
                </c:pt>
                <c:pt idx="21">
                  <c:v>1.0136044023579664</c:v>
                </c:pt>
                <c:pt idx="22">
                  <c:v>1.0136044023579664</c:v>
                </c:pt>
                <c:pt idx="23">
                  <c:v>1.0136044023579664</c:v>
                </c:pt>
                <c:pt idx="24">
                  <c:v>1.3604402357966342E-2</c:v>
                </c:pt>
                <c:pt idx="25">
                  <c:v>1.3604402357966342E-2</c:v>
                </c:pt>
                <c:pt idx="26">
                  <c:v>1.3604402357966342E-2</c:v>
                </c:pt>
              </c:numCache>
            </c:numRef>
          </c:xVal>
          <c:yVal>
            <c:numRef>
              <c:f>'ermF - plate 4'!$D$2:$D$28</c:f>
              <c:numCache>
                <c:formatCode>###0.00;\-###0.00</c:formatCode>
                <c:ptCount val="27"/>
                <c:pt idx="0">
                  <c:v>6.2676901937823004</c:v>
                </c:pt>
                <c:pt idx="1">
                  <c:v>6.3347800968342396</c:v>
                </c:pt>
                <c:pt idx="2">
                  <c:v>6.1794986063076696</c:v>
                </c:pt>
                <c:pt idx="3">
                  <c:v>10.8676086051646</c:v>
                </c:pt>
                <c:pt idx="4">
                  <c:v>10.7980593695662</c:v>
                </c:pt>
                <c:pt idx="5">
                  <c:v>10.8621506764357</c:v>
                </c:pt>
                <c:pt idx="6">
                  <c:v>14.4044904126793</c:v>
                </c:pt>
                <c:pt idx="7">
                  <c:v>14.269999747559501</c:v>
                </c:pt>
                <c:pt idx="8">
                  <c:v>14.4078195990596</c:v>
                </c:pt>
                <c:pt idx="9">
                  <c:v>17.5133540879545</c:v>
                </c:pt>
                <c:pt idx="10">
                  <c:v>17.541465472393099</c:v>
                </c:pt>
                <c:pt idx="11">
                  <c:v>17.562187858600499</c:v>
                </c:pt>
                <c:pt idx="12">
                  <c:v>21.764403959949</c:v>
                </c:pt>
                <c:pt idx="13">
                  <c:v>21.5950590291129</c:v>
                </c:pt>
                <c:pt idx="14">
                  <c:v>21.706366252363502</c:v>
                </c:pt>
                <c:pt idx="15">
                  <c:v>25.880058780131701</c:v>
                </c:pt>
                <c:pt idx="16">
                  <c:v>25.509223061625001</c:v>
                </c:pt>
                <c:pt idx="17">
                  <c:v>25.5721048457929</c:v>
                </c:pt>
                <c:pt idx="18">
                  <c:v>28.441883491665401</c:v>
                </c:pt>
                <c:pt idx="19">
                  <c:v>28.603810378335702</c:v>
                </c:pt>
                <c:pt idx="20">
                  <c:v>28.463925482200299</c:v>
                </c:pt>
                <c:pt idx="21">
                  <c:v>33.189883849729803</c:v>
                </c:pt>
                <c:pt idx="22">
                  <c:v>33.296232829065801</c:v>
                </c:pt>
                <c:pt idx="23">
                  <c:v>32.263836166617402</c:v>
                </c:pt>
                <c:pt idx="24">
                  <c:v>36.417221125309702</c:v>
                </c:pt>
                <c:pt idx="25">
                  <c:v>36.228445516197603</c:v>
                </c:pt>
                <c:pt idx="26">
                  <c:v>36.392962350242797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D9-184C-8A72-AC050BD760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2207039"/>
        <c:axId val="252334623"/>
      </c:scatterChart>
      <c:valAx>
        <c:axId val="252207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</a:t>
                </a:r>
                <a:r>
                  <a:rPr lang="en-US" baseline="0"/>
                  <a:t> Dil (log)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334623"/>
        <c:crosses val="autoZero"/>
        <c:crossBetween val="midCat"/>
      </c:valAx>
      <c:valAx>
        <c:axId val="25233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Cq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##0.00;\-#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207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Standard Curve Plate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0.10478604655005742"/>
                  <c:y val="-0.8230673287303312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'ermF - plate 4'!$Q$2:$Q$28</c:f>
              <c:numCache>
                <c:formatCode>###0.00;\-###0.00</c:formatCode>
                <c:ptCount val="27"/>
                <c:pt idx="0">
                  <c:v>6.2676901937823004</c:v>
                </c:pt>
                <c:pt idx="1">
                  <c:v>6.3347800968342396</c:v>
                </c:pt>
                <c:pt idx="2">
                  <c:v>6.1794986063076696</c:v>
                </c:pt>
                <c:pt idx="3">
                  <c:v>10.8676086051646</c:v>
                </c:pt>
                <c:pt idx="4">
                  <c:v>10.7980593695662</c:v>
                </c:pt>
                <c:pt idx="5">
                  <c:v>10.8621506764357</c:v>
                </c:pt>
                <c:pt idx="6">
                  <c:v>14.4044904126793</c:v>
                </c:pt>
                <c:pt idx="7">
                  <c:v>14.269999747559501</c:v>
                </c:pt>
                <c:pt idx="8">
                  <c:v>14.4078195990596</c:v>
                </c:pt>
                <c:pt idx="9">
                  <c:v>17.5133540879545</c:v>
                </c:pt>
                <c:pt idx="10">
                  <c:v>17.541465472393099</c:v>
                </c:pt>
                <c:pt idx="11">
                  <c:v>17.562187858600499</c:v>
                </c:pt>
                <c:pt idx="12">
                  <c:v>21.764403959949</c:v>
                </c:pt>
                <c:pt idx="13">
                  <c:v>21.5950590291129</c:v>
                </c:pt>
                <c:pt idx="14">
                  <c:v>21.706366252363502</c:v>
                </c:pt>
                <c:pt idx="15">
                  <c:v>25.880058780131701</c:v>
                </c:pt>
                <c:pt idx="16">
                  <c:v>25.509223061625001</c:v>
                </c:pt>
                <c:pt idx="17">
                  <c:v>25.5721048457929</c:v>
                </c:pt>
                <c:pt idx="18">
                  <c:v>28.441883491665401</c:v>
                </c:pt>
                <c:pt idx="19">
                  <c:v>28.603810378335702</c:v>
                </c:pt>
                <c:pt idx="20">
                  <c:v>28.463925482200299</c:v>
                </c:pt>
                <c:pt idx="21">
                  <c:v>33.189883849729803</c:v>
                </c:pt>
                <c:pt idx="22">
                  <c:v>33.296232829065801</c:v>
                </c:pt>
                <c:pt idx="23">
                  <c:v>32.263836166617402</c:v>
                </c:pt>
                <c:pt idx="24">
                  <c:v>36.417221125309702</c:v>
                </c:pt>
                <c:pt idx="25">
                  <c:v>36.228445516197603</c:v>
                </c:pt>
                <c:pt idx="26">
                  <c:v>36.392962350242797</c:v>
                </c:pt>
              </c:numCache>
            </c:numRef>
          </c:xVal>
          <c:yVal>
            <c:numRef>
              <c:f>'ermF - plate 4'!$P$2:$P$28</c:f>
              <c:numCache>
                <c:formatCode>0.00E+00</c:formatCode>
                <c:ptCount val="27"/>
                <c:pt idx="0">
                  <c:v>103182109.45826009</c:v>
                </c:pt>
                <c:pt idx="1">
                  <c:v>103182109.45826009</c:v>
                </c:pt>
                <c:pt idx="2">
                  <c:v>103182109.45826009</c:v>
                </c:pt>
                <c:pt idx="3">
                  <c:v>10318210.945826009</c:v>
                </c:pt>
                <c:pt idx="4">
                  <c:v>10318210.945826009</c:v>
                </c:pt>
                <c:pt idx="5">
                  <c:v>10318210.945826009</c:v>
                </c:pt>
                <c:pt idx="6">
                  <c:v>1031821.0945826009</c:v>
                </c:pt>
                <c:pt idx="7">
                  <c:v>1031821.0945826009</c:v>
                </c:pt>
                <c:pt idx="8">
                  <c:v>1031821.0945826009</c:v>
                </c:pt>
                <c:pt idx="9">
                  <c:v>103182.10945826009</c:v>
                </c:pt>
                <c:pt idx="10">
                  <c:v>103182.10945826009</c:v>
                </c:pt>
                <c:pt idx="11">
                  <c:v>103182.10945826009</c:v>
                </c:pt>
                <c:pt idx="12">
                  <c:v>10318.210945826009</c:v>
                </c:pt>
                <c:pt idx="13">
                  <c:v>10318.210945826009</c:v>
                </c:pt>
                <c:pt idx="14">
                  <c:v>10318.210945826009</c:v>
                </c:pt>
                <c:pt idx="15">
                  <c:v>1031.8210945826008</c:v>
                </c:pt>
                <c:pt idx="16">
                  <c:v>1031.8210945826008</c:v>
                </c:pt>
                <c:pt idx="17">
                  <c:v>1031.8210945826008</c:v>
                </c:pt>
                <c:pt idx="18">
                  <c:v>103.18210945826009</c:v>
                </c:pt>
                <c:pt idx="19">
                  <c:v>103.18210945826009</c:v>
                </c:pt>
                <c:pt idx="20">
                  <c:v>103.18210945826009</c:v>
                </c:pt>
                <c:pt idx="21">
                  <c:v>10.318210945826008</c:v>
                </c:pt>
                <c:pt idx="22">
                  <c:v>10.318210945826008</c:v>
                </c:pt>
                <c:pt idx="23">
                  <c:v>10.318210945826008</c:v>
                </c:pt>
                <c:pt idx="24">
                  <c:v>1.0318210945826007</c:v>
                </c:pt>
                <c:pt idx="25">
                  <c:v>1.0318210945826007</c:v>
                </c:pt>
                <c:pt idx="26">
                  <c:v>1.0318210945826007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66-A340-9F88-A2EF14517B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8622095"/>
        <c:axId val="288849423"/>
      </c:scatterChart>
      <c:valAx>
        <c:axId val="288622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##0.00;\-#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849423"/>
        <c:crosses val="autoZero"/>
        <c:crossBetween val="midCat"/>
      </c:valAx>
      <c:valAx>
        <c:axId val="28884942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6220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120650</xdr:colOff>
      <xdr:row>0</xdr:row>
      <xdr:rowOff>69850</xdr:rowOff>
    </xdr:from>
    <xdr:to>
      <xdr:col>12</xdr:col>
      <xdr:colOff>660400</xdr:colOff>
      <xdr:row>16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0CE309-9D0F-C44D-BA8D-AB8720AA91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158750</xdr:colOff>
      <xdr:row>17</xdr:row>
      <xdr:rowOff>44450</xdr:rowOff>
    </xdr:from>
    <xdr:to>
      <xdr:col>12</xdr:col>
      <xdr:colOff>736600</xdr:colOff>
      <xdr:row>32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182AE32-0307-4648-8AB4-C9D5616776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184150</xdr:colOff>
      <xdr:row>0</xdr:row>
      <xdr:rowOff>69850</xdr:rowOff>
    </xdr:from>
    <xdr:to>
      <xdr:col>12</xdr:col>
      <xdr:colOff>698500</xdr:colOff>
      <xdr:row>16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81EBAD-EF5F-1D49-9ED1-20EB56BF09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158750</xdr:colOff>
      <xdr:row>16</xdr:row>
      <xdr:rowOff>120650</xdr:rowOff>
    </xdr:from>
    <xdr:to>
      <xdr:col>12</xdr:col>
      <xdr:colOff>736600</xdr:colOff>
      <xdr:row>31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77B987E-7896-4246-898D-A22A135140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110710</xdr:colOff>
      <xdr:row>0</xdr:row>
      <xdr:rowOff>39480</xdr:rowOff>
    </xdr:from>
    <xdr:to>
      <xdr:col>12</xdr:col>
      <xdr:colOff>749300</xdr:colOff>
      <xdr:row>16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A06CB0-0D4A-2047-8192-73549CAC6B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146050</xdr:colOff>
      <xdr:row>16</xdr:row>
      <xdr:rowOff>158750</xdr:rowOff>
    </xdr:from>
    <xdr:to>
      <xdr:col>12</xdr:col>
      <xdr:colOff>774700</xdr:colOff>
      <xdr:row>32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4CA0873-8383-2248-99FF-02694407DE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120650</xdr:colOff>
      <xdr:row>0</xdr:row>
      <xdr:rowOff>57150</xdr:rowOff>
    </xdr:from>
    <xdr:to>
      <xdr:col>12</xdr:col>
      <xdr:colOff>596900</xdr:colOff>
      <xdr:row>17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6D4299-DFCF-4240-84E1-F19E33759F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120650</xdr:colOff>
      <xdr:row>18</xdr:row>
      <xdr:rowOff>44450</xdr:rowOff>
    </xdr:from>
    <xdr:to>
      <xdr:col>12</xdr:col>
      <xdr:colOff>584200</xdr:colOff>
      <xdr:row>33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2274C7-95A3-F345-93F0-8BF39C2B5B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BF3BA-E0FD-B54C-A0BA-41CFA6A31845}">
  <dimension ref="A1:U103"/>
  <sheetViews>
    <sheetView workbookViewId="0">
      <selection activeCell="D2" sqref="D2:D28"/>
    </sheetView>
  </sheetViews>
  <sheetFormatPr baseColWidth="10" defaultRowHeight="16" x14ac:dyDescent="0.2"/>
  <cols>
    <col min="1" max="1" width="5" bestFit="1" customWidth="1"/>
    <col min="2" max="2" width="17.83203125" bestFit="1" customWidth="1"/>
    <col min="3" max="3" width="6.6640625" bestFit="1" customWidth="1"/>
    <col min="4" max="4" width="21.6640625" bestFit="1" customWidth="1"/>
    <col min="5" max="5" width="10.83203125" customWidth="1"/>
    <col min="6" max="6" width="4.6640625" bestFit="1" customWidth="1"/>
    <col min="7" max="7" width="9.1640625" bestFit="1" customWidth="1"/>
    <col min="8" max="8" width="13" bestFit="1" customWidth="1"/>
    <col min="9" max="9" width="14.33203125" bestFit="1" customWidth="1"/>
    <col min="13" max="13" width="13.1640625" bestFit="1" customWidth="1"/>
    <col min="14" max="14" width="5" bestFit="1" customWidth="1"/>
    <col min="15" max="15" width="8.33203125" bestFit="1" customWidth="1"/>
    <col min="16" max="16" width="9.83203125" bestFit="1" customWidth="1"/>
    <col min="17" max="17" width="5.6640625" bestFit="1" customWidth="1"/>
    <col min="21" max="21" width="13.1640625" bestFit="1" customWidth="1"/>
  </cols>
  <sheetData>
    <row r="1" spans="1:21" x14ac:dyDescent="0.2">
      <c r="A1" s="1" t="s">
        <v>0</v>
      </c>
      <c r="B1" s="1" t="s">
        <v>1</v>
      </c>
      <c r="C1" s="1" t="s">
        <v>130</v>
      </c>
      <c r="D1" s="1" t="s">
        <v>251</v>
      </c>
      <c r="N1" s="1" t="s">
        <v>0</v>
      </c>
      <c r="O1" s="1" t="s">
        <v>1</v>
      </c>
      <c r="P1" s="1" t="s">
        <v>193</v>
      </c>
      <c r="Q1" s="1" t="s">
        <v>251</v>
      </c>
    </row>
    <row r="2" spans="1:21" x14ac:dyDescent="0.2">
      <c r="A2" s="2" t="s">
        <v>2</v>
      </c>
      <c r="B2" s="3" t="s">
        <v>3</v>
      </c>
      <c r="C2" s="16">
        <f>LOG(P2)</f>
        <v>8.0136044023579664</v>
      </c>
      <c r="D2" s="4">
        <v>6.1794779912431101</v>
      </c>
      <c r="N2" s="1" t="s">
        <v>2</v>
      </c>
      <c r="O2" s="3" t="s">
        <v>3</v>
      </c>
      <c r="P2" s="12">
        <v>103182109.45826009</v>
      </c>
      <c r="Q2" s="4">
        <v>6.1794779912431101</v>
      </c>
    </row>
    <row r="3" spans="1:21" x14ac:dyDescent="0.2">
      <c r="A3" s="2" t="s">
        <v>4</v>
      </c>
      <c r="B3" s="3" t="s">
        <v>3</v>
      </c>
      <c r="C3" s="16">
        <f t="shared" ref="C3:C28" si="0">LOG(P3)</f>
        <v>8.0136044023579664</v>
      </c>
      <c r="D3" s="4">
        <v>6.13726794786729</v>
      </c>
      <c r="N3" s="1" t="s">
        <v>4</v>
      </c>
      <c r="O3" s="3" t="s">
        <v>3</v>
      </c>
      <c r="P3" s="12">
        <v>103182109.45826009</v>
      </c>
      <c r="Q3" s="4">
        <v>6.13726794786729</v>
      </c>
    </row>
    <row r="4" spans="1:21" x14ac:dyDescent="0.2">
      <c r="A4" s="2" t="s">
        <v>5</v>
      </c>
      <c r="B4" s="3" t="s">
        <v>3</v>
      </c>
      <c r="C4" s="16">
        <f t="shared" si="0"/>
        <v>8.0136044023579664</v>
      </c>
      <c r="D4" s="4">
        <v>6.17540942548706</v>
      </c>
      <c r="N4" s="1" t="s">
        <v>5</v>
      </c>
      <c r="O4" s="3" t="s">
        <v>3</v>
      </c>
      <c r="P4" s="12">
        <v>103182109.45826009</v>
      </c>
      <c r="Q4" s="4">
        <v>6.17540942548706</v>
      </c>
    </row>
    <row r="5" spans="1:21" ht="17" thickBot="1" x14ac:dyDescent="0.25">
      <c r="A5" s="2" t="s">
        <v>6</v>
      </c>
      <c r="B5" s="3" t="s">
        <v>7</v>
      </c>
      <c r="C5" s="16">
        <f t="shared" si="0"/>
        <v>7.0136044023579664</v>
      </c>
      <c r="D5" s="4">
        <v>10.2383961214049</v>
      </c>
      <c r="N5" s="1" t="s">
        <v>6</v>
      </c>
      <c r="O5" s="3" t="s">
        <v>7</v>
      </c>
      <c r="P5" s="12">
        <v>10318210.945826009</v>
      </c>
      <c r="Q5" s="4">
        <v>10.2383961214049</v>
      </c>
    </row>
    <row r="6" spans="1:21" x14ac:dyDescent="0.2">
      <c r="A6" s="2" t="s">
        <v>8</v>
      </c>
      <c r="B6" s="3" t="s">
        <v>7</v>
      </c>
      <c r="C6" s="16">
        <f t="shared" si="0"/>
        <v>7.0136044023579664</v>
      </c>
      <c r="D6" s="4">
        <v>10.3921255225709</v>
      </c>
      <c r="N6" s="1" t="s">
        <v>8</v>
      </c>
      <c r="O6" s="3" t="s">
        <v>7</v>
      </c>
      <c r="P6" s="12">
        <v>10318210.945826009</v>
      </c>
      <c r="Q6" s="4">
        <v>10.3921255225709</v>
      </c>
      <c r="S6" s="36" t="s">
        <v>194</v>
      </c>
      <c r="T6" s="37"/>
      <c r="U6" s="38"/>
    </row>
    <row r="7" spans="1:21" ht="17" thickBot="1" x14ac:dyDescent="0.25">
      <c r="A7" s="2" t="s">
        <v>9</v>
      </c>
      <c r="B7" s="3" t="s">
        <v>7</v>
      </c>
      <c r="C7" s="16">
        <f t="shared" si="0"/>
        <v>7.0136044023579664</v>
      </c>
      <c r="D7" s="4">
        <v>10.468250651472101</v>
      </c>
      <c r="N7" s="1" t="s">
        <v>9</v>
      </c>
      <c r="O7" s="3" t="s">
        <v>7</v>
      </c>
      <c r="P7" s="12">
        <v>10318210.945826009</v>
      </c>
      <c r="Q7" s="4">
        <v>10.468250651472101</v>
      </c>
      <c r="S7" s="39"/>
      <c r="T7" s="40"/>
      <c r="U7" s="41"/>
    </row>
    <row r="8" spans="1:21" x14ac:dyDescent="0.2">
      <c r="A8" s="2" t="s">
        <v>10</v>
      </c>
      <c r="B8" s="3" t="s">
        <v>11</v>
      </c>
      <c r="C8" s="16">
        <f t="shared" si="0"/>
        <v>6.0136044023579664</v>
      </c>
      <c r="D8" s="4">
        <v>13.805094489856801</v>
      </c>
      <c r="N8" s="1" t="s">
        <v>10</v>
      </c>
      <c r="O8" s="3" t="s">
        <v>11</v>
      </c>
      <c r="P8" s="12">
        <v>1031821.0945826009</v>
      </c>
      <c r="Q8" s="4">
        <v>13.805094489856801</v>
      </c>
    </row>
    <row r="9" spans="1:21" x14ac:dyDescent="0.2">
      <c r="A9" s="2" t="s">
        <v>12</v>
      </c>
      <c r="B9" s="3" t="s">
        <v>11</v>
      </c>
      <c r="C9" s="16">
        <f t="shared" si="0"/>
        <v>6.0136044023579664</v>
      </c>
      <c r="D9" s="4">
        <v>13.966104669311299</v>
      </c>
      <c r="N9" s="1" t="s">
        <v>12</v>
      </c>
      <c r="O9" s="3" t="s">
        <v>11</v>
      </c>
      <c r="P9" s="12">
        <v>1031821.0945826009</v>
      </c>
      <c r="Q9" s="4">
        <v>13.966104669311299</v>
      </c>
      <c r="S9">
        <f>SLOPE(D5:D28,C5:C28)</f>
        <v>-3.5717126791918914</v>
      </c>
    </row>
    <row r="10" spans="1:21" x14ac:dyDescent="0.2">
      <c r="A10" s="2" t="s">
        <v>13</v>
      </c>
      <c r="B10" s="3" t="s">
        <v>11</v>
      </c>
      <c r="C10" s="16">
        <f t="shared" si="0"/>
        <v>6.0136044023579664</v>
      </c>
      <c r="D10" s="4">
        <v>14.023923846291501</v>
      </c>
      <c r="N10" s="1" t="s">
        <v>13</v>
      </c>
      <c r="O10" s="3" t="s">
        <v>11</v>
      </c>
      <c r="P10" s="12">
        <v>1031821.0945826009</v>
      </c>
      <c r="Q10" s="4">
        <v>14.023923846291501</v>
      </c>
      <c r="S10">
        <f>INTERCEPT(D2:D27,C2:C27)</f>
        <v>35.503447042815637</v>
      </c>
    </row>
    <row r="11" spans="1:21" x14ac:dyDescent="0.2">
      <c r="A11" s="2" t="s">
        <v>14</v>
      </c>
      <c r="B11" s="3" t="s">
        <v>15</v>
      </c>
      <c r="C11" s="16">
        <f t="shared" si="0"/>
        <v>5.0136044023579664</v>
      </c>
      <c r="D11" s="4">
        <v>17.548708273596201</v>
      </c>
      <c r="N11" s="1" t="s">
        <v>14</v>
      </c>
      <c r="O11" s="3" t="s">
        <v>15</v>
      </c>
      <c r="P11" s="12">
        <v>103182.10945826009</v>
      </c>
      <c r="Q11" s="4">
        <v>17.548708273596201</v>
      </c>
      <c r="S11">
        <f>-1+10^(-1/S9)</f>
        <v>0.90536300117828361</v>
      </c>
    </row>
    <row r="12" spans="1:21" x14ac:dyDescent="0.2">
      <c r="A12" s="2" t="s">
        <v>16</v>
      </c>
      <c r="B12" s="3" t="s">
        <v>15</v>
      </c>
      <c r="C12" s="16">
        <f t="shared" si="0"/>
        <v>5.0136044023579664</v>
      </c>
      <c r="D12" s="4">
        <v>17.582378896798701</v>
      </c>
      <c r="N12" s="1" t="s">
        <v>16</v>
      </c>
      <c r="O12" s="3" t="s">
        <v>15</v>
      </c>
      <c r="P12" s="12">
        <v>103182.10945826009</v>
      </c>
      <c r="Q12" s="4">
        <v>17.582378896798701</v>
      </c>
    </row>
    <row r="13" spans="1:21" x14ac:dyDescent="0.2">
      <c r="A13" s="2" t="s">
        <v>17</v>
      </c>
      <c r="B13" s="3" t="s">
        <v>15</v>
      </c>
      <c r="C13" s="16">
        <f t="shared" si="0"/>
        <v>5.0136044023579664</v>
      </c>
      <c r="D13" s="4">
        <v>17.566184362842801</v>
      </c>
      <c r="N13" s="1" t="s">
        <v>17</v>
      </c>
      <c r="O13" s="3" t="s">
        <v>15</v>
      </c>
      <c r="P13" s="12">
        <v>103182.10945826009</v>
      </c>
      <c r="Q13" s="4">
        <v>17.566184362842801</v>
      </c>
    </row>
    <row r="14" spans="1:21" x14ac:dyDescent="0.2">
      <c r="A14" s="2" t="s">
        <v>18</v>
      </c>
      <c r="B14" s="3" t="s">
        <v>19</v>
      </c>
      <c r="C14" s="16">
        <f t="shared" si="0"/>
        <v>4.0136044023579664</v>
      </c>
      <c r="D14" s="4">
        <v>21.233185896527502</v>
      </c>
      <c r="N14" s="1" t="s">
        <v>18</v>
      </c>
      <c r="O14" s="3" t="s">
        <v>19</v>
      </c>
      <c r="P14" s="12">
        <v>10318.210945826009</v>
      </c>
      <c r="Q14" s="4">
        <v>21.233185896527502</v>
      </c>
    </row>
    <row r="15" spans="1:21" x14ac:dyDescent="0.2">
      <c r="A15" s="2" t="s">
        <v>20</v>
      </c>
      <c r="B15" s="3" t="s">
        <v>19</v>
      </c>
      <c r="C15" s="16">
        <f t="shared" si="0"/>
        <v>4.0136044023579664</v>
      </c>
      <c r="D15" s="4">
        <v>21.287090253758599</v>
      </c>
      <c r="N15" s="1" t="s">
        <v>20</v>
      </c>
      <c r="O15" s="3" t="s">
        <v>19</v>
      </c>
      <c r="P15" s="12">
        <v>10318.210945826009</v>
      </c>
      <c r="Q15" s="4">
        <v>21.287090253758599</v>
      </c>
    </row>
    <row r="16" spans="1:21" x14ac:dyDescent="0.2">
      <c r="A16" s="2" t="s">
        <v>21</v>
      </c>
      <c r="B16" s="3" t="s">
        <v>19</v>
      </c>
      <c r="C16" s="16">
        <f t="shared" si="0"/>
        <v>4.0136044023579664</v>
      </c>
      <c r="D16" s="4">
        <v>21.275632891192299</v>
      </c>
      <c r="N16" s="1" t="s">
        <v>21</v>
      </c>
      <c r="O16" s="3" t="s">
        <v>19</v>
      </c>
      <c r="P16" s="12">
        <v>10318.210945826009</v>
      </c>
      <c r="Q16" s="4">
        <v>21.275632891192299</v>
      </c>
    </row>
    <row r="17" spans="1:21" x14ac:dyDescent="0.2">
      <c r="A17" s="2" t="s">
        <v>22</v>
      </c>
      <c r="B17" s="3" t="s">
        <v>23</v>
      </c>
      <c r="C17" s="16">
        <f t="shared" si="0"/>
        <v>3.0136044023579664</v>
      </c>
      <c r="D17" s="4">
        <v>24.825187791499101</v>
      </c>
      <c r="N17" s="1" t="s">
        <v>22</v>
      </c>
      <c r="O17" s="3" t="s">
        <v>23</v>
      </c>
      <c r="P17" s="12">
        <v>1031.8210945826008</v>
      </c>
      <c r="Q17" s="4">
        <v>24.825187791499101</v>
      </c>
    </row>
    <row r="18" spans="1:21" x14ac:dyDescent="0.2">
      <c r="A18" s="2" t="s">
        <v>24</v>
      </c>
      <c r="B18" s="3" t="s">
        <v>23</v>
      </c>
      <c r="C18" s="16">
        <f t="shared" si="0"/>
        <v>3.0136044023579664</v>
      </c>
      <c r="D18" s="4">
        <v>24.727113256852999</v>
      </c>
      <c r="N18" s="1" t="s">
        <v>24</v>
      </c>
      <c r="O18" s="3" t="s">
        <v>23</v>
      </c>
      <c r="P18" s="12">
        <v>1031.8210945826008</v>
      </c>
      <c r="Q18" s="4">
        <v>24.727113256852999</v>
      </c>
    </row>
    <row r="19" spans="1:21" x14ac:dyDescent="0.2">
      <c r="A19" s="2" t="s">
        <v>25</v>
      </c>
      <c r="B19" s="3" t="s">
        <v>23</v>
      </c>
      <c r="C19" s="16">
        <f t="shared" si="0"/>
        <v>3.0136044023579664</v>
      </c>
      <c r="D19" s="4">
        <v>24.743374142834099</v>
      </c>
      <c r="N19" s="1" t="s">
        <v>25</v>
      </c>
      <c r="O19" s="3" t="s">
        <v>23</v>
      </c>
      <c r="P19" s="12">
        <v>1031.8210945826008</v>
      </c>
      <c r="Q19" s="4">
        <v>24.743374142834099</v>
      </c>
    </row>
    <row r="20" spans="1:21" x14ac:dyDescent="0.2">
      <c r="A20" s="2" t="s">
        <v>26</v>
      </c>
      <c r="B20" s="3" t="s">
        <v>27</v>
      </c>
      <c r="C20" s="16">
        <f t="shared" si="0"/>
        <v>2.0136044023579664</v>
      </c>
      <c r="D20" s="4">
        <v>28.485071248170001</v>
      </c>
      <c r="N20" s="1" t="s">
        <v>26</v>
      </c>
      <c r="O20" s="3" t="s">
        <v>27</v>
      </c>
      <c r="P20" s="12">
        <v>103.18210945826009</v>
      </c>
      <c r="Q20" s="4">
        <v>28.485071248170001</v>
      </c>
    </row>
    <row r="21" spans="1:21" x14ac:dyDescent="0.2">
      <c r="A21" s="2" t="s">
        <v>28</v>
      </c>
      <c r="B21" s="3" t="s">
        <v>27</v>
      </c>
      <c r="C21" s="16">
        <f t="shared" si="0"/>
        <v>2.0136044023579664</v>
      </c>
      <c r="D21" s="4">
        <v>28.274349649858198</v>
      </c>
      <c r="N21" s="1" t="s">
        <v>28</v>
      </c>
      <c r="O21" s="3" t="s">
        <v>27</v>
      </c>
      <c r="P21" s="12">
        <v>103.18210945826009</v>
      </c>
      <c r="Q21" s="4">
        <v>28.274349649858198</v>
      </c>
    </row>
    <row r="22" spans="1:21" x14ac:dyDescent="0.2">
      <c r="A22" s="2" t="s">
        <v>29</v>
      </c>
      <c r="B22" s="3" t="s">
        <v>27</v>
      </c>
      <c r="C22" s="16">
        <f t="shared" si="0"/>
        <v>2.0136044023579664</v>
      </c>
      <c r="D22" s="4">
        <v>28.3799289730045</v>
      </c>
      <c r="N22" s="1" t="s">
        <v>29</v>
      </c>
      <c r="O22" s="3" t="s">
        <v>27</v>
      </c>
      <c r="P22" s="12">
        <v>103.18210945826009</v>
      </c>
      <c r="Q22" s="4">
        <v>28.3799289730045</v>
      </c>
    </row>
    <row r="23" spans="1:21" x14ac:dyDescent="0.2">
      <c r="A23" s="2" t="s">
        <v>30</v>
      </c>
      <c r="B23" s="3" t="s">
        <v>31</v>
      </c>
      <c r="C23" s="16">
        <f t="shared" si="0"/>
        <v>1.0136044023579664</v>
      </c>
      <c r="D23" s="4">
        <v>32.193688462174102</v>
      </c>
      <c r="N23" s="1" t="s">
        <v>30</v>
      </c>
      <c r="O23" s="3" t="s">
        <v>31</v>
      </c>
      <c r="P23" s="12">
        <v>10.318210945826008</v>
      </c>
      <c r="Q23" s="4">
        <v>32.193688462174102</v>
      </c>
    </row>
    <row r="24" spans="1:21" x14ac:dyDescent="0.2">
      <c r="A24" s="2" t="s">
        <v>32</v>
      </c>
      <c r="B24" s="3" t="s">
        <v>31</v>
      </c>
      <c r="C24" s="16">
        <f t="shared" si="0"/>
        <v>1.0136044023579664</v>
      </c>
      <c r="D24" s="4">
        <v>32.184092134131603</v>
      </c>
      <c r="N24" s="1" t="s">
        <v>32</v>
      </c>
      <c r="O24" s="3" t="s">
        <v>31</v>
      </c>
      <c r="P24" s="12">
        <v>10.318210945826008</v>
      </c>
      <c r="Q24" s="4">
        <v>32.184092134131603</v>
      </c>
    </row>
    <row r="25" spans="1:21" x14ac:dyDescent="0.2">
      <c r="A25" s="2" t="s">
        <v>33</v>
      </c>
      <c r="B25" s="3" t="s">
        <v>31</v>
      </c>
      <c r="C25" s="16">
        <f t="shared" si="0"/>
        <v>1.0136044023579664</v>
      </c>
      <c r="D25" s="4">
        <v>31.7401628173847</v>
      </c>
      <c r="N25" s="1" t="s">
        <v>33</v>
      </c>
      <c r="O25" s="3" t="s">
        <v>31</v>
      </c>
      <c r="P25" s="12">
        <v>10.318210945826008</v>
      </c>
      <c r="Q25" s="4">
        <v>31.7401628173847</v>
      </c>
    </row>
    <row r="26" spans="1:21" x14ac:dyDescent="0.2">
      <c r="A26" s="2" t="s">
        <v>34</v>
      </c>
      <c r="B26" s="3" t="s">
        <v>35</v>
      </c>
      <c r="C26" s="16">
        <f t="shared" si="0"/>
        <v>1.3604402357966342E-2</v>
      </c>
      <c r="D26" s="4">
        <v>34.984571209808102</v>
      </c>
      <c r="N26" s="1" t="s">
        <v>34</v>
      </c>
      <c r="O26" s="3" t="s">
        <v>35</v>
      </c>
      <c r="P26" s="12">
        <v>1.0318210945826007</v>
      </c>
      <c r="Q26" s="4">
        <v>36.160855527346897</v>
      </c>
      <c r="U26" s="17"/>
    </row>
    <row r="27" spans="1:21" x14ac:dyDescent="0.2">
      <c r="A27" s="2" t="s">
        <v>36</v>
      </c>
      <c r="B27" s="3" t="s">
        <v>35</v>
      </c>
      <c r="C27" s="16">
        <f t="shared" si="0"/>
        <v>1.3604402357966342E-2</v>
      </c>
      <c r="D27" s="4">
        <v>34.3292729800229</v>
      </c>
      <c r="E27" s="19"/>
      <c r="N27" s="1" t="s">
        <v>36</v>
      </c>
      <c r="O27" s="3" t="s">
        <v>35</v>
      </c>
      <c r="P27" s="12">
        <v>1.0318210945826007</v>
      </c>
      <c r="Q27" s="4">
        <v>34.3292729800229</v>
      </c>
    </row>
    <row r="28" spans="1:21" x14ac:dyDescent="0.2">
      <c r="A28" s="2" t="s">
        <v>37</v>
      </c>
      <c r="B28" s="3" t="s">
        <v>35</v>
      </c>
      <c r="C28" s="16">
        <f t="shared" si="0"/>
        <v>1.3604402357966342E-2</v>
      </c>
      <c r="D28" s="4">
        <v>36.160855527346897</v>
      </c>
      <c r="E28" s="19"/>
      <c r="N28" s="1" t="s">
        <v>37</v>
      </c>
      <c r="O28" s="3" t="s">
        <v>35</v>
      </c>
      <c r="P28" s="12">
        <v>1.0318210945826007</v>
      </c>
      <c r="Q28" s="4">
        <v>34.984571209808102</v>
      </c>
    </row>
    <row r="29" spans="1:21" x14ac:dyDescent="0.2">
      <c r="A29" s="2" t="s">
        <v>38</v>
      </c>
      <c r="B29" s="3" t="s">
        <v>39</v>
      </c>
      <c r="C29" s="3" t="s">
        <v>131</v>
      </c>
      <c r="D29" s="4"/>
      <c r="N29" s="1" t="s">
        <v>38</v>
      </c>
      <c r="O29" s="3" t="s">
        <v>39</v>
      </c>
      <c r="P29" s="1" t="s">
        <v>131</v>
      </c>
      <c r="Q29" s="4"/>
    </row>
    <row r="30" spans="1:21" x14ac:dyDescent="0.2">
      <c r="A30" s="2" t="s">
        <v>40</v>
      </c>
      <c r="B30" s="3" t="s">
        <v>39</v>
      </c>
      <c r="C30" s="3" t="s">
        <v>131</v>
      </c>
      <c r="D30" s="4"/>
      <c r="E30" s="18"/>
      <c r="N30" s="1" t="s">
        <v>40</v>
      </c>
      <c r="O30" s="3" t="s">
        <v>39</v>
      </c>
      <c r="P30" s="1" t="s">
        <v>131</v>
      </c>
      <c r="Q30" s="4"/>
    </row>
    <row r="31" spans="1:21" x14ac:dyDescent="0.2">
      <c r="A31" s="2" t="s">
        <v>41</v>
      </c>
      <c r="B31" s="3" t="s">
        <v>39</v>
      </c>
      <c r="C31" s="3" t="s">
        <v>131</v>
      </c>
      <c r="D31" s="4"/>
      <c r="N31" s="1" t="s">
        <v>41</v>
      </c>
      <c r="O31" s="3" t="s">
        <v>39</v>
      </c>
      <c r="P31" s="1" t="s">
        <v>131</v>
      </c>
      <c r="Q31" s="4"/>
    </row>
    <row r="33" spans="1:21" x14ac:dyDescent="0.2">
      <c r="F33" s="1"/>
      <c r="G33" s="12"/>
      <c r="H33" s="1"/>
    </row>
    <row r="34" spans="1:21" x14ac:dyDescent="0.2">
      <c r="F34" s="1"/>
      <c r="G34" s="12"/>
      <c r="H34" s="1"/>
    </row>
    <row r="35" spans="1:21" x14ac:dyDescent="0.2">
      <c r="F35" s="1"/>
      <c r="G35" s="12"/>
      <c r="H35" s="1"/>
    </row>
    <row r="37" spans="1:21" x14ac:dyDescent="0.2">
      <c r="A37" s="1" t="s">
        <v>0</v>
      </c>
      <c r="B37" s="1" t="s">
        <v>1</v>
      </c>
      <c r="C37" s="1" t="s">
        <v>251</v>
      </c>
      <c r="D37" t="s">
        <v>194</v>
      </c>
      <c r="E37" s="3" t="s">
        <v>195</v>
      </c>
      <c r="F37" s="3" t="s">
        <v>196</v>
      </c>
      <c r="G37" s="3" t="s">
        <v>197</v>
      </c>
      <c r="H37" s="3" t="s">
        <v>198</v>
      </c>
      <c r="I37" s="3" t="s">
        <v>199</v>
      </c>
      <c r="J37" s="3"/>
      <c r="K37" s="3"/>
      <c r="L37" s="3" t="s">
        <v>200</v>
      </c>
      <c r="M37" s="3"/>
      <c r="S37" s="1"/>
      <c r="T37" s="12"/>
      <c r="U37" s="1"/>
    </row>
    <row r="38" spans="1:21" x14ac:dyDescent="0.2">
      <c r="A38" s="2" t="s">
        <v>42</v>
      </c>
      <c r="B38" s="1" t="s">
        <v>43</v>
      </c>
      <c r="C38" s="4">
        <v>20.615946634286299</v>
      </c>
      <c r="D38" s="1">
        <f>(C38-$S$10)/$S$9</f>
        <v>4.1681685358570526</v>
      </c>
      <c r="E38">
        <f>10^D38</f>
        <v>14728.839709020149</v>
      </c>
      <c r="F38" s="21">
        <v>7.6388888888888895E-2</v>
      </c>
      <c r="G38" s="3" t="s">
        <v>201</v>
      </c>
      <c r="H38" s="3" t="s">
        <v>202</v>
      </c>
      <c r="I38" s="3" t="s">
        <v>203</v>
      </c>
      <c r="J38" s="3">
        <f>((E38*50*50)/75)*100</f>
        <v>49096132.363400497</v>
      </c>
      <c r="K38" s="12">
        <f>J38</f>
        <v>49096132.363400497</v>
      </c>
      <c r="L38" s="34">
        <f>AVERAGE(K38:K40)</f>
        <v>46158307.462123834</v>
      </c>
      <c r="M38" s="35" t="s">
        <v>218</v>
      </c>
      <c r="S38" s="1"/>
      <c r="T38" s="12"/>
      <c r="U38" s="1"/>
    </row>
    <row r="39" spans="1:21" x14ac:dyDescent="0.2">
      <c r="A39" s="2" t="s">
        <v>44</v>
      </c>
      <c r="B39" s="1" t="s">
        <v>43</v>
      </c>
      <c r="C39" s="4">
        <v>20.6828900664757</v>
      </c>
      <c r="D39" s="1">
        <f t="shared" ref="D39:D102" si="1">(C39-$S$10)/$S$9</f>
        <v>4.1494258658266778</v>
      </c>
      <c r="E39">
        <f t="shared" ref="E39:E102" si="2">10^D39</f>
        <v>14106.714139521815</v>
      </c>
      <c r="F39" s="21">
        <v>7.6388888888888895E-2</v>
      </c>
      <c r="G39" s="3" t="s">
        <v>201</v>
      </c>
      <c r="H39" s="3" t="s">
        <v>202</v>
      </c>
      <c r="I39" s="3" t="s">
        <v>203</v>
      </c>
      <c r="J39" s="3">
        <f t="shared" ref="J39:J40" si="3">((E39*50*50)/75)*100</f>
        <v>47022380.465072721</v>
      </c>
      <c r="K39" s="12">
        <f t="shared" ref="K39:K102" si="4">J39</f>
        <v>47022380.465072721</v>
      </c>
      <c r="L39" s="35"/>
      <c r="M39" s="35"/>
      <c r="S39" s="1"/>
      <c r="T39" s="12"/>
      <c r="U39" s="1"/>
    </row>
    <row r="40" spans="1:21" x14ac:dyDescent="0.2">
      <c r="A40" s="2" t="s">
        <v>45</v>
      </c>
      <c r="B40" s="1" t="s">
        <v>43</v>
      </c>
      <c r="C40" s="4">
        <v>20.844993932694798</v>
      </c>
      <c r="D40" s="1">
        <f t="shared" si="1"/>
        <v>4.104040393707522</v>
      </c>
      <c r="E40">
        <f t="shared" si="2"/>
        <v>12706.922867369482</v>
      </c>
      <c r="F40" s="21">
        <v>7.6388888888888895E-2</v>
      </c>
      <c r="G40" s="3" t="s">
        <v>201</v>
      </c>
      <c r="H40" s="3" t="s">
        <v>202</v>
      </c>
      <c r="I40" s="3" t="s">
        <v>203</v>
      </c>
      <c r="J40" s="3">
        <f t="shared" si="3"/>
        <v>42356409.557898276</v>
      </c>
      <c r="K40" s="12">
        <f t="shared" si="4"/>
        <v>42356409.557898276</v>
      </c>
      <c r="L40" s="35"/>
      <c r="M40" s="35"/>
    </row>
    <row r="41" spans="1:21" x14ac:dyDescent="0.2">
      <c r="A41" s="2" t="s">
        <v>46</v>
      </c>
      <c r="B41" s="1" t="s">
        <v>47</v>
      </c>
      <c r="C41" s="4">
        <v>38.913934408772299</v>
      </c>
      <c r="D41" s="1">
        <f t="shared" si="1"/>
        <v>-0.95486050314895232</v>
      </c>
      <c r="E41">
        <f t="shared" si="2"/>
        <v>0.11095311431744954</v>
      </c>
      <c r="F41" s="21">
        <v>7.6388888888888895E-2</v>
      </c>
      <c r="G41" s="3" t="s">
        <v>201</v>
      </c>
      <c r="H41" s="3" t="s">
        <v>202</v>
      </c>
      <c r="I41" s="3" t="s">
        <v>204</v>
      </c>
      <c r="J41" s="3">
        <f>(E41*50*50)/5</f>
        <v>55.476557158724781</v>
      </c>
      <c r="K41" s="12">
        <f t="shared" si="4"/>
        <v>55.476557158724781</v>
      </c>
      <c r="L41" s="34">
        <f t="shared" ref="L41" si="5">AVERAGE(K41:K43)</f>
        <v>118.08561076139539</v>
      </c>
      <c r="M41" s="35" t="s">
        <v>218</v>
      </c>
    </row>
    <row r="42" spans="1:21" x14ac:dyDescent="0.2">
      <c r="A42" s="2" t="s">
        <v>48</v>
      </c>
      <c r="B42" s="1" t="s">
        <v>47</v>
      </c>
      <c r="C42" s="4">
        <v>36.900028442330999</v>
      </c>
      <c r="D42" s="1">
        <f t="shared" si="1"/>
        <v>-0.39101168681668491</v>
      </c>
      <c r="E42">
        <f t="shared" si="2"/>
        <v>0.4064323919671412</v>
      </c>
      <c r="F42" s="21">
        <v>7.6388888888888895E-2</v>
      </c>
      <c r="G42" s="3" t="s">
        <v>201</v>
      </c>
      <c r="H42" s="3" t="s">
        <v>202</v>
      </c>
      <c r="I42" s="3" t="s">
        <v>204</v>
      </c>
      <c r="J42" s="3">
        <f t="shared" ref="J42:J49" si="6">(E42*50*50)/5</f>
        <v>203.2161959835706</v>
      </c>
      <c r="K42" s="12">
        <f t="shared" si="4"/>
        <v>203.2161959835706</v>
      </c>
      <c r="L42" s="35"/>
      <c r="M42" s="35"/>
    </row>
    <row r="43" spans="1:21" x14ac:dyDescent="0.2">
      <c r="A43" s="2" t="s">
        <v>49</v>
      </c>
      <c r="B43" s="1" t="s">
        <v>47</v>
      </c>
      <c r="C43" s="4">
        <v>38.070348813525399</v>
      </c>
      <c r="D43" s="1">
        <f t="shared" si="1"/>
        <v>-0.71867532505177045</v>
      </c>
      <c r="E43">
        <f t="shared" si="2"/>
        <v>0.19112815828378155</v>
      </c>
      <c r="F43" s="21">
        <v>7.6388888888888895E-2</v>
      </c>
      <c r="G43" s="3" t="s">
        <v>201</v>
      </c>
      <c r="H43" s="3" t="s">
        <v>202</v>
      </c>
      <c r="I43" s="3" t="s">
        <v>204</v>
      </c>
      <c r="J43" s="3">
        <f t="shared" si="6"/>
        <v>95.564079141890758</v>
      </c>
      <c r="K43" s="12">
        <f t="shared" si="4"/>
        <v>95.564079141890758</v>
      </c>
      <c r="L43" s="35"/>
      <c r="M43" s="35"/>
    </row>
    <row r="44" spans="1:21" x14ac:dyDescent="0.2">
      <c r="A44" s="2" t="s">
        <v>50</v>
      </c>
      <c r="B44" s="1" t="s">
        <v>51</v>
      </c>
      <c r="C44" s="4">
        <v>37.442511026335197</v>
      </c>
      <c r="D44" s="1">
        <f t="shared" si="1"/>
        <v>-0.54289472801554628</v>
      </c>
      <c r="E44">
        <f t="shared" si="2"/>
        <v>0.28648723242164731</v>
      </c>
      <c r="F44" s="21">
        <v>7.6388888888888895E-2</v>
      </c>
      <c r="G44" s="3" t="s">
        <v>201</v>
      </c>
      <c r="H44" s="3" t="s">
        <v>202</v>
      </c>
      <c r="I44" s="3" t="s">
        <v>204</v>
      </c>
      <c r="J44" s="3">
        <f t="shared" si="6"/>
        <v>143.24361621082366</v>
      </c>
      <c r="K44" s="12">
        <f t="shared" si="4"/>
        <v>143.24361621082366</v>
      </c>
      <c r="L44" s="34">
        <f t="shared" ref="L44" si="7">AVERAGE(K44:K46)</f>
        <v>135.18587077757198</v>
      </c>
      <c r="M44" s="35" t="s">
        <v>218</v>
      </c>
    </row>
    <row r="45" spans="1:21" x14ac:dyDescent="0.2">
      <c r="A45" s="2" t="s">
        <v>52</v>
      </c>
      <c r="B45" s="1" t="s">
        <v>51</v>
      </c>
      <c r="C45" s="4">
        <v>36.842364704994999</v>
      </c>
      <c r="D45" s="1">
        <f t="shared" si="1"/>
        <v>-0.37486712466532884</v>
      </c>
      <c r="E45">
        <f t="shared" si="2"/>
        <v>0.42182554406593703</v>
      </c>
      <c r="F45" s="21">
        <v>7.6388888888888895E-2</v>
      </c>
      <c r="G45" s="3" t="s">
        <v>201</v>
      </c>
      <c r="H45" s="3" t="s">
        <v>202</v>
      </c>
      <c r="I45" s="3" t="s">
        <v>204</v>
      </c>
      <c r="J45" s="3">
        <f t="shared" si="6"/>
        <v>210.91277203296849</v>
      </c>
      <c r="K45" s="12">
        <f t="shared" si="4"/>
        <v>210.91277203296849</v>
      </c>
      <c r="L45" s="35"/>
      <c r="M45" s="35"/>
    </row>
    <row r="46" spans="1:21" x14ac:dyDescent="0.2">
      <c r="A46" s="2" t="s">
        <v>53</v>
      </c>
      <c r="B46" s="1" t="s">
        <v>51</v>
      </c>
      <c r="C46" s="4">
        <v>39.032286821583398</v>
      </c>
      <c r="D46" s="1">
        <f t="shared" si="1"/>
        <v>-0.98799654275835247</v>
      </c>
      <c r="E46">
        <f t="shared" si="2"/>
        <v>0.10280244817784763</v>
      </c>
      <c r="F46" s="21">
        <v>7.6388888888888895E-2</v>
      </c>
      <c r="G46" s="3" t="s">
        <v>201</v>
      </c>
      <c r="H46" s="3" t="s">
        <v>202</v>
      </c>
      <c r="I46" s="3" t="s">
        <v>204</v>
      </c>
      <c r="J46" s="3">
        <f t="shared" si="6"/>
        <v>51.401224088923811</v>
      </c>
      <c r="K46" s="12">
        <f t="shared" si="4"/>
        <v>51.401224088923811</v>
      </c>
      <c r="L46" s="35"/>
      <c r="M46" s="35"/>
    </row>
    <row r="47" spans="1:21" x14ac:dyDescent="0.2">
      <c r="A47" s="2" t="s">
        <v>54</v>
      </c>
      <c r="B47" s="1" t="s">
        <v>55</v>
      </c>
      <c r="C47" s="4">
        <v>37.431288595928102</v>
      </c>
      <c r="D47" s="1">
        <f t="shared" si="1"/>
        <v>-0.53975269745063703</v>
      </c>
      <c r="E47">
        <f t="shared" si="2"/>
        <v>0.28856742397490914</v>
      </c>
      <c r="F47" s="21">
        <v>7.6388888888888895E-2</v>
      </c>
      <c r="G47" s="3" t="s">
        <v>201</v>
      </c>
      <c r="H47" s="3" t="s">
        <v>202</v>
      </c>
      <c r="I47" s="3" t="s">
        <v>204</v>
      </c>
      <c r="J47" s="3">
        <f t="shared" si="6"/>
        <v>144.28371198745458</v>
      </c>
      <c r="K47" s="12">
        <f t="shared" si="4"/>
        <v>144.28371198745458</v>
      </c>
      <c r="L47" s="34">
        <f t="shared" ref="L47" si="8">AVERAGE(K47:K49)</f>
        <v>121.51308803479641</v>
      </c>
      <c r="M47" s="35" t="s">
        <v>218</v>
      </c>
    </row>
    <row r="48" spans="1:21" x14ac:dyDescent="0.2">
      <c r="A48" s="2" t="s">
        <v>56</v>
      </c>
      <c r="B48" s="1" t="s">
        <v>55</v>
      </c>
      <c r="C48" s="4">
        <v>37.746811140293502</v>
      </c>
      <c r="D48" s="1">
        <f t="shared" si="1"/>
        <v>-0.62809198246747888</v>
      </c>
      <c r="E48">
        <f t="shared" si="2"/>
        <v>0.23545505432610578</v>
      </c>
      <c r="F48" s="21">
        <v>7.6388888888888895E-2</v>
      </c>
      <c r="G48" s="3" t="s">
        <v>201</v>
      </c>
      <c r="H48" s="3" t="s">
        <v>202</v>
      </c>
      <c r="I48" s="3" t="s">
        <v>204</v>
      </c>
      <c r="J48" s="3">
        <f t="shared" si="6"/>
        <v>117.7275271630529</v>
      </c>
      <c r="K48" s="12">
        <f t="shared" si="4"/>
        <v>117.7275271630529</v>
      </c>
      <c r="L48" s="35"/>
      <c r="M48" s="35"/>
    </row>
    <row r="49" spans="1:13" x14ac:dyDescent="0.2">
      <c r="A49" s="2" t="s">
        <v>57</v>
      </c>
      <c r="B49" s="1" t="s">
        <v>55</v>
      </c>
      <c r="C49" s="4">
        <v>37.961240448379797</v>
      </c>
      <c r="D49" s="1">
        <f t="shared" si="1"/>
        <v>-0.6881274129027205</v>
      </c>
      <c r="E49">
        <f t="shared" si="2"/>
        <v>0.20505604990776352</v>
      </c>
      <c r="F49" s="21">
        <v>7.6388888888888895E-2</v>
      </c>
      <c r="G49" s="3" t="s">
        <v>201</v>
      </c>
      <c r="H49" s="3" t="s">
        <v>202</v>
      </c>
      <c r="I49" s="3" t="s">
        <v>204</v>
      </c>
      <c r="J49" s="3">
        <f t="shared" si="6"/>
        <v>102.52802495388175</v>
      </c>
      <c r="K49" s="12">
        <f t="shared" si="4"/>
        <v>102.52802495388175</v>
      </c>
      <c r="L49" s="35"/>
      <c r="M49" s="35"/>
    </row>
    <row r="50" spans="1:13" x14ac:dyDescent="0.2">
      <c r="A50" s="2" t="s">
        <v>58</v>
      </c>
      <c r="B50" s="1" t="s">
        <v>59</v>
      </c>
      <c r="C50" s="4">
        <v>21.940971942136699</v>
      </c>
      <c r="D50" s="1">
        <f t="shared" si="1"/>
        <v>3.7971909609894716</v>
      </c>
      <c r="E50">
        <f t="shared" si="2"/>
        <v>6268.8944983328238</v>
      </c>
      <c r="F50" s="21">
        <v>7.6388888888888895E-2</v>
      </c>
      <c r="G50" s="3" t="s">
        <v>201</v>
      </c>
      <c r="H50" s="3" t="s">
        <v>202</v>
      </c>
      <c r="I50" s="3" t="s">
        <v>205</v>
      </c>
      <c r="J50" s="3">
        <f>(E50*50*50)*4</f>
        <v>62688944.983328238</v>
      </c>
      <c r="K50" s="12">
        <f t="shared" si="4"/>
        <v>62688944.983328238</v>
      </c>
      <c r="L50" s="34">
        <f t="shared" ref="L50" si="9">AVERAGE(K50:K52)</f>
        <v>55952370.749451578</v>
      </c>
      <c r="M50" s="35" t="s">
        <v>218</v>
      </c>
    </row>
    <row r="51" spans="1:13" x14ac:dyDescent="0.2">
      <c r="A51" s="2" t="s">
        <v>60</v>
      </c>
      <c r="B51" s="1" t="s">
        <v>59</v>
      </c>
      <c r="C51" s="4">
        <v>22.164197134197401</v>
      </c>
      <c r="D51" s="1">
        <f t="shared" si="1"/>
        <v>3.7346928789457592</v>
      </c>
      <c r="E51">
        <f t="shared" si="2"/>
        <v>5428.6629567852924</v>
      </c>
      <c r="F51" s="21">
        <v>7.6388888888888895E-2</v>
      </c>
      <c r="G51" s="3" t="s">
        <v>201</v>
      </c>
      <c r="H51" s="3" t="s">
        <v>202</v>
      </c>
      <c r="I51" s="3" t="s">
        <v>205</v>
      </c>
      <c r="J51" s="3">
        <f t="shared" ref="J51:J67" si="10">(E51*50*50)*4</f>
        <v>54286629.567852922</v>
      </c>
      <c r="K51" s="12">
        <f t="shared" si="4"/>
        <v>54286629.567852922</v>
      </c>
      <c r="L51" s="35"/>
      <c r="M51" s="35"/>
    </row>
    <row r="52" spans="1:13" x14ac:dyDescent="0.2">
      <c r="A52" s="2" t="s">
        <v>61</v>
      </c>
      <c r="B52" s="1" t="s">
        <v>59</v>
      </c>
      <c r="C52" s="4">
        <v>22.264678881332099</v>
      </c>
      <c r="D52" s="1">
        <f t="shared" si="1"/>
        <v>3.7065602277053373</v>
      </c>
      <c r="E52">
        <f t="shared" si="2"/>
        <v>5088.153769717358</v>
      </c>
      <c r="F52" s="21">
        <v>7.6388888888888895E-2</v>
      </c>
      <c r="G52" s="3" t="s">
        <v>201</v>
      </c>
      <c r="H52" s="3" t="s">
        <v>202</v>
      </c>
      <c r="I52" s="3" t="s">
        <v>205</v>
      </c>
      <c r="J52" s="3">
        <f t="shared" si="10"/>
        <v>50881537.697173581</v>
      </c>
      <c r="K52" s="12">
        <f t="shared" si="4"/>
        <v>50881537.697173581</v>
      </c>
      <c r="L52" s="35"/>
      <c r="M52" s="35"/>
    </row>
    <row r="53" spans="1:13" x14ac:dyDescent="0.2">
      <c r="A53" s="2" t="s">
        <v>62</v>
      </c>
      <c r="B53" s="1" t="s">
        <v>63</v>
      </c>
      <c r="C53" s="4">
        <v>21.6195221991157</v>
      </c>
      <c r="D53" s="1">
        <f t="shared" si="1"/>
        <v>3.8871897296176714</v>
      </c>
      <c r="E53">
        <f t="shared" si="2"/>
        <v>7712.4032615126798</v>
      </c>
      <c r="F53" s="21">
        <v>7.6388888888888895E-2</v>
      </c>
      <c r="G53" s="3" t="s">
        <v>201</v>
      </c>
      <c r="H53" s="3" t="s">
        <v>202</v>
      </c>
      <c r="I53" s="3" t="s">
        <v>205</v>
      </c>
      <c r="J53" s="3">
        <f t="shared" si="10"/>
        <v>77124032.615126804</v>
      </c>
      <c r="K53" s="12">
        <f t="shared" si="4"/>
        <v>77124032.615126804</v>
      </c>
      <c r="L53" s="34">
        <f t="shared" ref="L53" si="11">AVERAGE(K53:K55)</f>
        <v>79319656.628766894</v>
      </c>
      <c r="M53" s="35" t="s">
        <v>218</v>
      </c>
    </row>
    <row r="54" spans="1:13" x14ac:dyDescent="0.2">
      <c r="A54" s="2" t="s">
        <v>64</v>
      </c>
      <c r="B54" s="1" t="s">
        <v>63</v>
      </c>
      <c r="C54" s="4">
        <v>21.579145418585401</v>
      </c>
      <c r="D54" s="1">
        <f t="shared" si="1"/>
        <v>3.8984943288833196</v>
      </c>
      <c r="E54">
        <f t="shared" si="2"/>
        <v>7915.7911793559315</v>
      </c>
      <c r="F54" s="21">
        <v>7.6388888888888895E-2</v>
      </c>
      <c r="G54" s="3" t="s">
        <v>201</v>
      </c>
      <c r="H54" s="3" t="s">
        <v>202</v>
      </c>
      <c r="I54" s="3" t="s">
        <v>205</v>
      </c>
      <c r="J54" s="3">
        <f t="shared" si="10"/>
        <v>79157911.793559313</v>
      </c>
      <c r="K54" s="12">
        <f t="shared" si="4"/>
        <v>79157911.793559313</v>
      </c>
      <c r="L54" s="35"/>
      <c r="M54" s="35"/>
    </row>
    <row r="55" spans="1:13" x14ac:dyDescent="0.2">
      <c r="A55" s="2" t="s">
        <v>65</v>
      </c>
      <c r="B55" s="1" t="s">
        <v>63</v>
      </c>
      <c r="C55" s="4">
        <v>21.530550180626001</v>
      </c>
      <c r="D55" s="1">
        <f t="shared" si="1"/>
        <v>3.9120999131853567</v>
      </c>
      <c r="E55">
        <f t="shared" si="2"/>
        <v>8167.7025477614579</v>
      </c>
      <c r="F55" s="21">
        <v>7.6388888888888895E-2</v>
      </c>
      <c r="G55" s="3" t="s">
        <v>201</v>
      </c>
      <c r="H55" s="3" t="s">
        <v>202</v>
      </c>
      <c r="I55" s="3" t="s">
        <v>205</v>
      </c>
      <c r="J55" s="3">
        <f t="shared" si="10"/>
        <v>81677025.477614582</v>
      </c>
      <c r="K55" s="12">
        <f t="shared" si="4"/>
        <v>81677025.477614582</v>
      </c>
      <c r="L55" s="35"/>
      <c r="M55" s="35"/>
    </row>
    <row r="56" spans="1:13" x14ac:dyDescent="0.2">
      <c r="A56" s="2" t="s">
        <v>66</v>
      </c>
      <c r="B56" s="1" t="s">
        <v>67</v>
      </c>
      <c r="C56" s="4">
        <v>21.378602946030998</v>
      </c>
      <c r="D56" s="1">
        <f t="shared" si="1"/>
        <v>3.9546417546610773</v>
      </c>
      <c r="E56">
        <f t="shared" si="2"/>
        <v>9008.2774690040314</v>
      </c>
      <c r="F56" s="21">
        <v>7.6388888888888895E-2</v>
      </c>
      <c r="G56" s="3" t="s">
        <v>201</v>
      </c>
      <c r="H56" s="3" t="s">
        <v>202</v>
      </c>
      <c r="I56" s="3" t="s">
        <v>205</v>
      </c>
      <c r="J56" s="3">
        <f t="shared" si="10"/>
        <v>90082774.69004032</v>
      </c>
      <c r="K56" s="12">
        <f t="shared" si="4"/>
        <v>90082774.69004032</v>
      </c>
      <c r="L56" s="34">
        <f t="shared" ref="L56" si="12">AVERAGE(K56:K58)</f>
        <v>91216314.20152466</v>
      </c>
      <c r="M56" s="35" t="s">
        <v>218</v>
      </c>
    </row>
    <row r="57" spans="1:13" x14ac:dyDescent="0.2">
      <c r="A57" s="2" t="s">
        <v>68</v>
      </c>
      <c r="B57" s="1" t="s">
        <v>67</v>
      </c>
      <c r="C57" s="4">
        <v>21.3856855751044</v>
      </c>
      <c r="D57" s="1">
        <f t="shared" si="1"/>
        <v>3.9526587762668006</v>
      </c>
      <c r="E57">
        <f t="shared" si="2"/>
        <v>8967.2396460259497</v>
      </c>
      <c r="F57" s="21">
        <v>7.6388888888888895E-2</v>
      </c>
      <c r="G57" s="3" t="s">
        <v>201</v>
      </c>
      <c r="H57" s="3" t="s">
        <v>202</v>
      </c>
      <c r="I57" s="3" t="s">
        <v>205</v>
      </c>
      <c r="J57" s="3">
        <f t="shared" si="10"/>
        <v>89672396.460259497</v>
      </c>
      <c r="K57" s="12">
        <f t="shared" si="4"/>
        <v>89672396.460259497</v>
      </c>
      <c r="L57" s="35"/>
      <c r="M57" s="35"/>
    </row>
    <row r="58" spans="1:13" x14ac:dyDescent="0.2">
      <c r="A58" s="2" t="s">
        <v>69</v>
      </c>
      <c r="B58" s="1" t="s">
        <v>67</v>
      </c>
      <c r="C58" s="4">
        <v>21.314329872209001</v>
      </c>
      <c r="D58" s="1">
        <f t="shared" si="1"/>
        <v>3.9726367838235404</v>
      </c>
      <c r="E58">
        <f t="shared" si="2"/>
        <v>9389.3771454274156</v>
      </c>
      <c r="F58" s="21">
        <v>7.6388888888888895E-2</v>
      </c>
      <c r="G58" s="3" t="s">
        <v>201</v>
      </c>
      <c r="H58" s="3" t="s">
        <v>202</v>
      </c>
      <c r="I58" s="3" t="s">
        <v>205</v>
      </c>
      <c r="J58" s="3">
        <f t="shared" si="10"/>
        <v>93893771.454274148</v>
      </c>
      <c r="K58" s="12">
        <f t="shared" si="4"/>
        <v>93893771.454274148</v>
      </c>
      <c r="L58" s="35"/>
      <c r="M58" s="35"/>
    </row>
    <row r="59" spans="1:13" x14ac:dyDescent="0.2">
      <c r="A59" s="2" t="s">
        <v>70</v>
      </c>
      <c r="B59" s="1" t="s">
        <v>71</v>
      </c>
      <c r="C59" s="4">
        <v>21.1983923748435</v>
      </c>
      <c r="D59" s="1">
        <f t="shared" si="1"/>
        <v>4.0050967008938381</v>
      </c>
      <c r="E59">
        <f t="shared" si="2"/>
        <v>10118.047196794965</v>
      </c>
      <c r="F59" s="21">
        <v>7.6388888888888895E-2</v>
      </c>
      <c r="G59" s="3" t="s">
        <v>201</v>
      </c>
      <c r="H59" s="3" t="s">
        <v>202</v>
      </c>
      <c r="I59" s="3" t="s">
        <v>205</v>
      </c>
      <c r="J59" s="3">
        <f t="shared" si="10"/>
        <v>101180471.96794964</v>
      </c>
      <c r="K59" s="12">
        <f t="shared" si="4"/>
        <v>101180471.96794964</v>
      </c>
      <c r="L59" s="34">
        <f t="shared" ref="L59" si="13">AVERAGE(K59:K61)</f>
        <v>91656569.056897402</v>
      </c>
      <c r="M59" s="35" t="s">
        <v>218</v>
      </c>
    </row>
    <row r="60" spans="1:13" x14ac:dyDescent="0.2">
      <c r="A60" s="2" t="s">
        <v>72</v>
      </c>
      <c r="B60" s="1" t="s">
        <v>71</v>
      </c>
      <c r="C60" s="4">
        <v>21.390501187597099</v>
      </c>
      <c r="D60" s="1">
        <f t="shared" si="1"/>
        <v>3.9513105120234995</v>
      </c>
      <c r="E60">
        <f t="shared" si="2"/>
        <v>8939.4440798845135</v>
      </c>
      <c r="F60" s="21">
        <v>7.6388888888888895E-2</v>
      </c>
      <c r="G60" s="3" t="s">
        <v>201</v>
      </c>
      <c r="H60" s="3" t="s">
        <v>202</v>
      </c>
      <c r="I60" s="3" t="s">
        <v>205</v>
      </c>
      <c r="J60" s="3">
        <f t="shared" si="10"/>
        <v>89394440.798845127</v>
      </c>
      <c r="K60" s="12">
        <f t="shared" si="4"/>
        <v>89394440.798845127</v>
      </c>
      <c r="L60" s="35"/>
      <c r="M60" s="35"/>
    </row>
    <row r="61" spans="1:13" x14ac:dyDescent="0.2">
      <c r="A61" s="2" t="s">
        <v>73</v>
      </c>
      <c r="B61" s="1" t="s">
        <v>71</v>
      </c>
      <c r="C61" s="4">
        <v>21.479775619184299</v>
      </c>
      <c r="D61" s="1">
        <f t="shared" si="1"/>
        <v>3.9263156595239423</v>
      </c>
      <c r="E61">
        <f t="shared" si="2"/>
        <v>8439.4794403897449</v>
      </c>
      <c r="F61" s="21">
        <v>7.6388888888888895E-2</v>
      </c>
      <c r="G61" s="3" t="s">
        <v>201</v>
      </c>
      <c r="H61" s="3" t="s">
        <v>202</v>
      </c>
      <c r="I61" s="3" t="s">
        <v>205</v>
      </c>
      <c r="J61" s="3">
        <f t="shared" si="10"/>
        <v>84394794.403897449</v>
      </c>
      <c r="K61" s="12">
        <f t="shared" si="4"/>
        <v>84394794.403897449</v>
      </c>
      <c r="L61" s="35"/>
      <c r="M61" s="35"/>
    </row>
    <row r="62" spans="1:13" x14ac:dyDescent="0.2">
      <c r="A62" s="2" t="s">
        <v>74</v>
      </c>
      <c r="B62" s="1" t="s">
        <v>75</v>
      </c>
      <c r="C62" s="4">
        <v>21.3364444037074</v>
      </c>
      <c r="D62" s="1">
        <f t="shared" si="1"/>
        <v>3.966445207544957</v>
      </c>
      <c r="E62">
        <f t="shared" si="2"/>
        <v>9256.4659420803418</v>
      </c>
      <c r="F62" s="21">
        <v>7.6388888888888895E-2</v>
      </c>
      <c r="G62" s="3" t="s">
        <v>201</v>
      </c>
      <c r="H62" s="3" t="s">
        <v>202</v>
      </c>
      <c r="I62" s="3" t="s">
        <v>205</v>
      </c>
      <c r="J62" s="3">
        <f t="shared" si="10"/>
        <v>92564659.420803428</v>
      </c>
      <c r="K62" s="12">
        <f t="shared" si="4"/>
        <v>92564659.420803428</v>
      </c>
      <c r="L62" s="34">
        <f t="shared" ref="L62" si="14">AVERAGE(K62:K64)</f>
        <v>93300587.964400887</v>
      </c>
      <c r="M62" s="35" t="s">
        <v>218</v>
      </c>
    </row>
    <row r="63" spans="1:13" x14ac:dyDescent="0.2">
      <c r="A63" s="2" t="s">
        <v>76</v>
      </c>
      <c r="B63" s="1" t="s">
        <v>75</v>
      </c>
      <c r="C63" s="4">
        <v>21.3066220682873</v>
      </c>
      <c r="D63" s="1">
        <f t="shared" si="1"/>
        <v>3.9747947972512736</v>
      </c>
      <c r="E63">
        <f t="shared" si="2"/>
        <v>9436.1491591778831</v>
      </c>
      <c r="F63" s="21">
        <v>7.6388888888888895E-2</v>
      </c>
      <c r="G63" s="3" t="s">
        <v>201</v>
      </c>
      <c r="H63" s="3" t="s">
        <v>202</v>
      </c>
      <c r="I63" s="3" t="s">
        <v>205</v>
      </c>
      <c r="J63" s="3">
        <f t="shared" si="10"/>
        <v>94361491.59177883</v>
      </c>
      <c r="K63" s="12">
        <f t="shared" si="4"/>
        <v>94361491.59177883</v>
      </c>
      <c r="L63" s="35"/>
      <c r="M63" s="35"/>
    </row>
    <row r="64" spans="1:13" x14ac:dyDescent="0.2">
      <c r="A64" s="2" t="s">
        <v>77</v>
      </c>
      <c r="B64" s="1" t="s">
        <v>75</v>
      </c>
      <c r="C64" s="4">
        <v>21.329572991784499</v>
      </c>
      <c r="D64" s="1">
        <f t="shared" si="1"/>
        <v>3.9683690498413808</v>
      </c>
      <c r="E64">
        <f t="shared" si="2"/>
        <v>9297.5612880620429</v>
      </c>
      <c r="F64" s="21">
        <v>7.6388888888888895E-2</v>
      </c>
      <c r="G64" s="3" t="s">
        <v>201</v>
      </c>
      <c r="H64" s="3" t="s">
        <v>202</v>
      </c>
      <c r="I64" s="3" t="s">
        <v>205</v>
      </c>
      <c r="J64" s="3">
        <f t="shared" si="10"/>
        <v>92975612.880620435</v>
      </c>
      <c r="K64" s="12">
        <f t="shared" si="4"/>
        <v>92975612.880620435</v>
      </c>
      <c r="L64" s="35"/>
      <c r="M64" s="35"/>
    </row>
    <row r="65" spans="1:13" x14ac:dyDescent="0.2">
      <c r="A65" s="2" t="s">
        <v>78</v>
      </c>
      <c r="B65" s="1" t="s">
        <v>79</v>
      </c>
      <c r="C65" s="4">
        <v>21.217094670264601</v>
      </c>
      <c r="D65" s="1">
        <f t="shared" si="1"/>
        <v>3.9998604747186319</v>
      </c>
      <c r="E65">
        <f t="shared" si="2"/>
        <v>9996.7878276833308</v>
      </c>
      <c r="F65" s="21">
        <v>7.6388888888888895E-2</v>
      </c>
      <c r="G65" s="3" t="s">
        <v>201</v>
      </c>
      <c r="H65" s="3" t="s">
        <v>202</v>
      </c>
      <c r="I65" s="3" t="s">
        <v>205</v>
      </c>
      <c r="J65" s="3">
        <f t="shared" si="10"/>
        <v>99967878.276833311</v>
      </c>
      <c r="K65" s="12">
        <f t="shared" si="4"/>
        <v>99967878.276833311</v>
      </c>
      <c r="L65" s="34">
        <f t="shared" ref="L65" si="15">AVERAGE(K65:K67)</f>
        <v>96483242.350495338</v>
      </c>
      <c r="M65" s="35" t="s">
        <v>218</v>
      </c>
    </row>
    <row r="66" spans="1:13" x14ac:dyDescent="0.2">
      <c r="A66" s="2" t="s">
        <v>80</v>
      </c>
      <c r="B66" s="1" t="s">
        <v>79</v>
      </c>
      <c r="C66" s="4">
        <v>21.246801351795</v>
      </c>
      <c r="D66" s="1">
        <f t="shared" si="1"/>
        <v>3.9915432655255567</v>
      </c>
      <c r="E66">
        <f t="shared" si="2"/>
        <v>9807.1601088943808</v>
      </c>
      <c r="F66" s="21">
        <v>7.6388888888888895E-2</v>
      </c>
      <c r="G66" s="3" t="s">
        <v>201</v>
      </c>
      <c r="H66" s="3" t="s">
        <v>202</v>
      </c>
      <c r="I66" s="3" t="s">
        <v>205</v>
      </c>
      <c r="J66" s="3">
        <f t="shared" si="10"/>
        <v>98071601.088943809</v>
      </c>
      <c r="K66" s="12">
        <f t="shared" si="4"/>
        <v>98071601.088943809</v>
      </c>
      <c r="L66" s="35"/>
      <c r="M66" s="35"/>
    </row>
    <row r="67" spans="1:13" x14ac:dyDescent="0.2">
      <c r="A67" s="2" t="s">
        <v>81</v>
      </c>
      <c r="B67" s="1" t="s">
        <v>79</v>
      </c>
      <c r="C67" s="4">
        <v>21.355911387308701</v>
      </c>
      <c r="D67" s="1">
        <f t="shared" si="1"/>
        <v>3.9609948857106416</v>
      </c>
      <c r="E67">
        <f t="shared" si="2"/>
        <v>9141.0247685708855</v>
      </c>
      <c r="F67" s="21">
        <v>7.6388888888888895E-2</v>
      </c>
      <c r="G67" s="3" t="s">
        <v>201</v>
      </c>
      <c r="H67" s="3" t="s">
        <v>202</v>
      </c>
      <c r="I67" s="3" t="s">
        <v>205</v>
      </c>
      <c r="J67" s="3">
        <f t="shared" si="10"/>
        <v>91410247.685708851</v>
      </c>
      <c r="K67" s="12">
        <f t="shared" si="4"/>
        <v>91410247.685708851</v>
      </c>
      <c r="L67" s="35"/>
      <c r="M67" s="35"/>
    </row>
    <row r="68" spans="1:13" x14ac:dyDescent="0.2">
      <c r="A68" s="2" t="s">
        <v>82</v>
      </c>
      <c r="B68" s="1" t="s">
        <v>83</v>
      </c>
      <c r="C68" s="4">
        <v>34.286951879656897</v>
      </c>
      <c r="D68" s="1">
        <f t="shared" si="1"/>
        <v>0.34059155156734916</v>
      </c>
      <c r="E68">
        <f t="shared" si="2"/>
        <v>2.1907435997000739</v>
      </c>
      <c r="F68" s="21">
        <v>7.6388888888888895E-2</v>
      </c>
      <c r="G68" s="3" t="s">
        <v>201</v>
      </c>
      <c r="H68" s="3" t="s">
        <v>202</v>
      </c>
      <c r="I68" s="1" t="s">
        <v>206</v>
      </c>
      <c r="J68" s="3">
        <f>(E68*50*50)/234.4*1000</f>
        <v>23365.439416596353</v>
      </c>
      <c r="K68" s="12">
        <f t="shared" si="4"/>
        <v>23365.439416596353</v>
      </c>
      <c r="L68" s="34">
        <f t="shared" ref="L68" si="16">AVERAGE(K68:K70)</f>
        <v>19155.047352713202</v>
      </c>
      <c r="M68" s="35" t="s">
        <v>218</v>
      </c>
    </row>
    <row r="69" spans="1:13" x14ac:dyDescent="0.2">
      <c r="A69" s="2" t="s">
        <v>84</v>
      </c>
      <c r="B69" s="1" t="s">
        <v>83</v>
      </c>
      <c r="C69" s="4">
        <v>34.568742413931503</v>
      </c>
      <c r="D69" s="1">
        <f t="shared" si="1"/>
        <v>0.26169647808726126</v>
      </c>
      <c r="E69">
        <f t="shared" si="2"/>
        <v>1.8268230306201971</v>
      </c>
      <c r="F69" s="21">
        <v>7.6388888888888895E-2</v>
      </c>
      <c r="G69" s="3" t="s">
        <v>201</v>
      </c>
      <c r="H69" s="3" t="s">
        <v>202</v>
      </c>
      <c r="I69" s="1" t="s">
        <v>206</v>
      </c>
      <c r="J69" s="3">
        <f t="shared" ref="J69:J70" si="17">(E69*50*50)/234.4*1000</f>
        <v>19484.03402965227</v>
      </c>
      <c r="K69" s="12">
        <f t="shared" si="4"/>
        <v>19484.03402965227</v>
      </c>
      <c r="L69" s="35"/>
      <c r="M69" s="35"/>
    </row>
    <row r="70" spans="1:13" x14ac:dyDescent="0.2">
      <c r="A70" s="2" t="s">
        <v>85</v>
      </c>
      <c r="B70" s="1" t="s">
        <v>83</v>
      </c>
      <c r="C70" s="4">
        <v>35.014707144558301</v>
      </c>
      <c r="D70" s="1">
        <f t="shared" si="1"/>
        <v>0.13683628616171736</v>
      </c>
      <c r="E70">
        <f t="shared" si="2"/>
        <v>1.370365089050898</v>
      </c>
      <c r="F70" s="21">
        <v>7.6388888888888895E-2</v>
      </c>
      <c r="G70" s="3" t="s">
        <v>201</v>
      </c>
      <c r="H70" s="3" t="s">
        <v>202</v>
      </c>
      <c r="I70" s="1" t="s">
        <v>206</v>
      </c>
      <c r="J70" s="3">
        <f t="shared" si="17"/>
        <v>14615.668611890978</v>
      </c>
      <c r="K70" s="12">
        <f t="shared" si="4"/>
        <v>14615.668611890978</v>
      </c>
      <c r="L70" s="35"/>
      <c r="M70" s="35"/>
    </row>
    <row r="71" spans="1:13" x14ac:dyDescent="0.2">
      <c r="A71" s="2" t="s">
        <v>86</v>
      </c>
      <c r="B71" s="1" t="s">
        <v>87</v>
      </c>
      <c r="C71" s="4">
        <v>34.636081882243602</v>
      </c>
      <c r="D71" s="1">
        <f t="shared" si="1"/>
        <v>0.24284292676315683</v>
      </c>
      <c r="E71">
        <f t="shared" si="2"/>
        <v>1.7492139281431209</v>
      </c>
      <c r="F71" s="21">
        <v>7.6388888888888895E-2</v>
      </c>
      <c r="G71" s="3" t="s">
        <v>201</v>
      </c>
      <c r="H71" s="3" t="s">
        <v>202</v>
      </c>
      <c r="I71" s="1" t="s">
        <v>207</v>
      </c>
      <c r="J71" s="3">
        <f>(E71*50*50)/250.2*1000</f>
        <v>17478.15675602639</v>
      </c>
      <c r="K71" s="12">
        <f t="shared" si="4"/>
        <v>17478.15675602639</v>
      </c>
      <c r="L71" s="34">
        <f t="shared" ref="L71" si="18">AVERAGE(K71:K73)</f>
        <v>18411.749592569806</v>
      </c>
      <c r="M71" s="35" t="s">
        <v>218</v>
      </c>
    </row>
    <row r="72" spans="1:13" x14ac:dyDescent="0.2">
      <c r="A72" s="2" t="s">
        <v>88</v>
      </c>
      <c r="B72" s="1" t="s">
        <v>87</v>
      </c>
      <c r="C72" s="4">
        <v>34.1782129101951</v>
      </c>
      <c r="D72" s="1">
        <f t="shared" si="1"/>
        <v>0.37103604115221672</v>
      </c>
      <c r="E72">
        <f t="shared" si="2"/>
        <v>2.3498278198446663</v>
      </c>
      <c r="F72" s="21">
        <v>7.6388888888888895E-2</v>
      </c>
      <c r="G72" s="3" t="s">
        <v>201</v>
      </c>
      <c r="H72" s="3" t="s">
        <v>202</v>
      </c>
      <c r="I72" s="1" t="s">
        <v>207</v>
      </c>
      <c r="J72" s="3">
        <f t="shared" ref="J72:J73" si="19">(E72*50*50)/250.2*1000</f>
        <v>23479.494602764451</v>
      </c>
      <c r="K72" s="12">
        <f t="shared" si="4"/>
        <v>23479.494602764451</v>
      </c>
      <c r="L72" s="35"/>
      <c r="M72" s="35"/>
    </row>
    <row r="73" spans="1:13" x14ac:dyDescent="0.2">
      <c r="A73" s="2" t="s">
        <v>89</v>
      </c>
      <c r="B73" s="1" t="s">
        <v>87</v>
      </c>
      <c r="C73" s="4">
        <v>34.9498229025263</v>
      </c>
      <c r="D73" s="1">
        <f t="shared" si="1"/>
        <v>0.15500242881087387</v>
      </c>
      <c r="E73">
        <f t="shared" si="2"/>
        <v>1.428901949685371</v>
      </c>
      <c r="F73" s="21">
        <v>7.6388888888888895E-2</v>
      </c>
      <c r="G73" s="3" t="s">
        <v>201</v>
      </c>
      <c r="H73" s="3" t="s">
        <v>202</v>
      </c>
      <c r="I73" s="1" t="s">
        <v>207</v>
      </c>
      <c r="J73" s="3">
        <f t="shared" si="19"/>
        <v>14277.597418918574</v>
      </c>
      <c r="K73" s="12">
        <f t="shared" si="4"/>
        <v>14277.597418918574</v>
      </c>
      <c r="L73" s="35"/>
      <c r="M73" s="35"/>
    </row>
    <row r="74" spans="1:13" x14ac:dyDescent="0.2">
      <c r="A74" s="2" t="s">
        <v>90</v>
      </c>
      <c r="B74" s="1" t="s">
        <v>91</v>
      </c>
      <c r="C74" s="4">
        <v>33.905867870238197</v>
      </c>
      <c r="D74" s="1">
        <f t="shared" si="1"/>
        <v>0.44728658659601256</v>
      </c>
      <c r="E74">
        <f t="shared" si="2"/>
        <v>2.8008289490331344</v>
      </c>
      <c r="F74" s="21">
        <v>7.6388888888888895E-2</v>
      </c>
      <c r="G74" s="3" t="s">
        <v>201</v>
      </c>
      <c r="H74" s="3" t="s">
        <v>202</v>
      </c>
      <c r="I74" s="1" t="s">
        <v>208</v>
      </c>
      <c r="J74" s="3">
        <f>(E74*50*50)/251.9*1000</f>
        <v>27797.032046775847</v>
      </c>
      <c r="K74" s="12">
        <f t="shared" si="4"/>
        <v>27797.032046775847</v>
      </c>
      <c r="L74" s="34">
        <f t="shared" ref="L74" si="20">AVERAGE(K74:K76)</f>
        <v>26232.37589680987</v>
      </c>
      <c r="M74" s="35" t="s">
        <v>218</v>
      </c>
    </row>
    <row r="75" spans="1:13" x14ac:dyDescent="0.2">
      <c r="A75" s="2" t="s">
        <v>92</v>
      </c>
      <c r="B75" s="1" t="s">
        <v>91</v>
      </c>
      <c r="C75" s="4">
        <v>34.017336577594897</v>
      </c>
      <c r="D75" s="1">
        <f t="shared" si="1"/>
        <v>0.41607783119805042</v>
      </c>
      <c r="E75">
        <f t="shared" si="2"/>
        <v>2.6066206483352121</v>
      </c>
      <c r="F75" s="21">
        <v>7.6388888888888895E-2</v>
      </c>
      <c r="G75" s="3" t="s">
        <v>201</v>
      </c>
      <c r="H75" s="3" t="s">
        <v>202</v>
      </c>
      <c r="I75" s="1" t="s">
        <v>208</v>
      </c>
      <c r="J75" s="3">
        <f t="shared" ref="J75:J76" si="21">(E75*50*50)/251.9*1000</f>
        <v>25869.597542032669</v>
      </c>
      <c r="K75" s="12">
        <f t="shared" si="4"/>
        <v>25869.597542032669</v>
      </c>
      <c r="L75" s="35"/>
      <c r="M75" s="35"/>
    </row>
    <row r="76" spans="1:13" x14ac:dyDescent="0.2">
      <c r="A76" s="2" t="s">
        <v>93</v>
      </c>
      <c r="B76" s="1" t="s">
        <v>91</v>
      </c>
      <c r="C76" s="4">
        <v>34.068484147174203</v>
      </c>
      <c r="D76" s="1">
        <f t="shared" si="1"/>
        <v>0.40175765088867599</v>
      </c>
      <c r="E76">
        <f t="shared" si="2"/>
        <v>2.5220729887193416</v>
      </c>
      <c r="F76" s="21">
        <v>7.6388888888888895E-2</v>
      </c>
      <c r="G76" s="3" t="s">
        <v>201</v>
      </c>
      <c r="H76" s="3" t="s">
        <v>202</v>
      </c>
      <c r="I76" s="1" t="s">
        <v>208</v>
      </c>
      <c r="J76" s="3">
        <f t="shared" si="21"/>
        <v>25030.498101621099</v>
      </c>
      <c r="K76" s="12">
        <f t="shared" si="4"/>
        <v>25030.498101621099</v>
      </c>
      <c r="L76" s="35"/>
      <c r="M76" s="35"/>
    </row>
    <row r="77" spans="1:13" x14ac:dyDescent="0.2">
      <c r="A77" s="2" t="s">
        <v>94</v>
      </c>
      <c r="B77" s="1" t="s">
        <v>95</v>
      </c>
      <c r="C77" s="4">
        <v>34.2929183813837</v>
      </c>
      <c r="D77" s="1">
        <f t="shared" si="1"/>
        <v>0.33892106397142274</v>
      </c>
      <c r="E77">
        <f t="shared" si="2"/>
        <v>2.1823332216228239</v>
      </c>
      <c r="F77" s="21">
        <v>7.6388888888888895E-2</v>
      </c>
      <c r="G77" s="3" t="s">
        <v>201</v>
      </c>
      <c r="H77" s="3" t="s">
        <v>202</v>
      </c>
      <c r="I77" s="1" t="s">
        <v>209</v>
      </c>
      <c r="J77" s="3">
        <f>(E77*50*50)/256.4*1000</f>
        <v>21278.600054824732</v>
      </c>
      <c r="K77" s="12">
        <f t="shared" si="4"/>
        <v>21278.600054824732</v>
      </c>
      <c r="L77" s="34">
        <f t="shared" ref="L77" si="22">AVERAGE(K77:K79)</f>
        <v>26749.710074891278</v>
      </c>
      <c r="M77" s="35" t="s">
        <v>218</v>
      </c>
    </row>
    <row r="78" spans="1:13" x14ac:dyDescent="0.2">
      <c r="A78" s="2" t="s">
        <v>96</v>
      </c>
      <c r="B78" s="1" t="s">
        <v>95</v>
      </c>
      <c r="C78" s="4">
        <v>33.606250653819302</v>
      </c>
      <c r="D78" s="1">
        <f t="shared" si="1"/>
        <v>0.53117273403570076</v>
      </c>
      <c r="E78">
        <f t="shared" si="2"/>
        <v>3.3976038025232413</v>
      </c>
      <c r="F78" s="21">
        <v>7.6388888888888895E-2</v>
      </c>
      <c r="G78" s="3" t="s">
        <v>201</v>
      </c>
      <c r="H78" s="3" t="s">
        <v>202</v>
      </c>
      <c r="I78" s="1" t="s">
        <v>209</v>
      </c>
      <c r="J78" s="3">
        <f t="shared" ref="J78:J79" si="23">(E78*50*50)/256.4*1000</f>
        <v>33127.962193089326</v>
      </c>
      <c r="K78" s="12">
        <f t="shared" si="4"/>
        <v>33127.962193089326</v>
      </c>
      <c r="L78" s="35"/>
      <c r="M78" s="35"/>
    </row>
    <row r="79" spans="1:13" x14ac:dyDescent="0.2">
      <c r="A79" s="2" t="s">
        <v>97</v>
      </c>
      <c r="B79" s="1" t="s">
        <v>95</v>
      </c>
      <c r="C79" s="4">
        <v>33.991492206477602</v>
      </c>
      <c r="D79" s="1">
        <f t="shared" si="1"/>
        <v>0.42331367949790355</v>
      </c>
      <c r="E79">
        <f t="shared" si="2"/>
        <v>2.6504137716964817</v>
      </c>
      <c r="F79" s="21">
        <v>7.6388888888888895E-2</v>
      </c>
      <c r="G79" s="3" t="s">
        <v>201</v>
      </c>
      <c r="H79" s="3" t="s">
        <v>202</v>
      </c>
      <c r="I79" s="1" t="s">
        <v>209</v>
      </c>
      <c r="J79" s="3">
        <f t="shared" si="23"/>
        <v>25842.567976759772</v>
      </c>
      <c r="K79" s="12">
        <f t="shared" si="4"/>
        <v>25842.567976759772</v>
      </c>
      <c r="L79" s="35"/>
      <c r="M79" s="35"/>
    </row>
    <row r="80" spans="1:13" x14ac:dyDescent="0.2">
      <c r="A80" s="2" t="s">
        <v>98</v>
      </c>
      <c r="B80" s="1" t="s">
        <v>99</v>
      </c>
      <c r="C80" s="4">
        <v>33.9057893504962</v>
      </c>
      <c r="D80" s="1">
        <f t="shared" si="1"/>
        <v>0.44730857037495836</v>
      </c>
      <c r="E80">
        <f t="shared" si="2"/>
        <v>2.8009707292432582</v>
      </c>
      <c r="F80" s="21">
        <v>7.6388888888888895E-2</v>
      </c>
      <c r="G80" s="3" t="s">
        <v>201</v>
      </c>
      <c r="H80" s="3" t="s">
        <v>202</v>
      </c>
      <c r="I80" s="1" t="s">
        <v>210</v>
      </c>
      <c r="J80" s="3">
        <f>(E80*50*50)/250.8*1000</f>
        <v>27920.362133605042</v>
      </c>
      <c r="K80" s="12">
        <f t="shared" si="4"/>
        <v>27920.362133605042</v>
      </c>
      <c r="L80" s="34">
        <f t="shared" ref="L80" si="24">AVERAGE(K80:K82)</f>
        <v>25728.984569244163</v>
      </c>
      <c r="M80" s="35" t="s">
        <v>218</v>
      </c>
    </row>
    <row r="81" spans="1:13" x14ac:dyDescent="0.2">
      <c r="A81" s="2" t="s">
        <v>100</v>
      </c>
      <c r="B81" s="1" t="s">
        <v>99</v>
      </c>
      <c r="C81" s="4">
        <v>34.140712529915497</v>
      </c>
      <c r="D81" s="1">
        <f t="shared" si="1"/>
        <v>0.38153531241165284</v>
      </c>
      <c r="E81">
        <f t="shared" si="2"/>
        <v>2.4073282505498459</v>
      </c>
      <c r="F81" s="21">
        <v>7.6388888888888895E-2</v>
      </c>
      <c r="G81" s="3" t="s">
        <v>201</v>
      </c>
      <c r="H81" s="3" t="s">
        <v>202</v>
      </c>
      <c r="I81" s="1" t="s">
        <v>210</v>
      </c>
      <c r="J81" s="3">
        <f t="shared" ref="J81:J82" si="25">(E81*50*50)/250.8*1000</f>
        <v>23996.493725576613</v>
      </c>
      <c r="K81" s="12">
        <f t="shared" si="4"/>
        <v>23996.493725576613</v>
      </c>
      <c r="L81" s="35"/>
      <c r="M81" s="35"/>
    </row>
    <row r="82" spans="1:13" x14ac:dyDescent="0.2">
      <c r="A82" s="2" t="s">
        <v>101</v>
      </c>
      <c r="B82" s="1" t="s">
        <v>99</v>
      </c>
      <c r="C82" s="4">
        <v>34.060494953981902</v>
      </c>
      <c r="D82" s="1">
        <f t="shared" si="1"/>
        <v>0.4039944470449976</v>
      </c>
      <c r="E82">
        <f t="shared" si="2"/>
        <v>2.5350962161666204</v>
      </c>
      <c r="F82" s="21">
        <v>7.6388888888888895E-2</v>
      </c>
      <c r="G82" s="3" t="s">
        <v>201</v>
      </c>
      <c r="H82" s="3" t="s">
        <v>202</v>
      </c>
      <c r="I82" s="1" t="s">
        <v>210</v>
      </c>
      <c r="J82" s="3">
        <f t="shared" si="25"/>
        <v>25270.097848550839</v>
      </c>
      <c r="K82" s="12">
        <f t="shared" si="4"/>
        <v>25270.097848550839</v>
      </c>
      <c r="L82" s="35"/>
      <c r="M82" s="35"/>
    </row>
    <row r="83" spans="1:13" x14ac:dyDescent="0.2">
      <c r="A83" s="2" t="s">
        <v>102</v>
      </c>
      <c r="B83" s="1" t="s">
        <v>103</v>
      </c>
      <c r="C83" s="4">
        <v>34.7555848993292</v>
      </c>
      <c r="D83" s="1">
        <f t="shared" si="1"/>
        <v>0.20938474358347384</v>
      </c>
      <c r="E83">
        <f t="shared" si="2"/>
        <v>1.6195141377241191</v>
      </c>
      <c r="F83" s="21">
        <v>7.6388888888888895E-2</v>
      </c>
      <c r="G83" s="3" t="s">
        <v>201</v>
      </c>
      <c r="H83" s="3" t="s">
        <v>202</v>
      </c>
      <c r="I83" s="1" t="s">
        <v>211</v>
      </c>
      <c r="J83" s="3">
        <f>(E83*50*50)/246.7*1000</f>
        <v>16411.776831415882</v>
      </c>
      <c r="K83" s="12">
        <f t="shared" si="4"/>
        <v>16411.776831415882</v>
      </c>
      <c r="L83" s="34">
        <f t="shared" ref="L83" si="26">AVERAGE(K83:K85)</f>
        <v>18398.635943103185</v>
      </c>
      <c r="M83" s="35" t="s">
        <v>218</v>
      </c>
    </row>
    <row r="84" spans="1:13" x14ac:dyDescent="0.2">
      <c r="A84" s="2" t="s">
        <v>104</v>
      </c>
      <c r="B84" s="1" t="s">
        <v>103</v>
      </c>
      <c r="C84" s="4">
        <v>34.423204579122199</v>
      </c>
      <c r="D84" s="1">
        <f t="shared" si="1"/>
        <v>0.30244383037491274</v>
      </c>
      <c r="E84">
        <f t="shared" si="2"/>
        <v>2.0065215590844092</v>
      </c>
      <c r="F84" s="21">
        <v>7.6388888888888895E-2</v>
      </c>
      <c r="G84" s="3" t="s">
        <v>201</v>
      </c>
      <c r="H84" s="3" t="s">
        <v>202</v>
      </c>
      <c r="I84" s="1" t="s">
        <v>211</v>
      </c>
      <c r="J84" s="3">
        <f t="shared" ref="J84:J85" si="27">(E84*50*50)/246.7*1000</f>
        <v>20333.619366481653</v>
      </c>
      <c r="K84" s="12">
        <f t="shared" si="4"/>
        <v>20333.619366481653</v>
      </c>
      <c r="L84" s="35"/>
      <c r="M84" s="35"/>
    </row>
    <row r="85" spans="1:13" x14ac:dyDescent="0.2">
      <c r="A85" s="2" t="s">
        <v>105</v>
      </c>
      <c r="B85" s="1" t="s">
        <v>103</v>
      </c>
      <c r="C85" s="4">
        <v>34.573953270035702</v>
      </c>
      <c r="D85" s="1">
        <f t="shared" si="1"/>
        <v>0.2602375544357155</v>
      </c>
      <c r="E85">
        <f t="shared" si="2"/>
        <v>1.8206964877877385</v>
      </c>
      <c r="F85" s="21">
        <v>7.6388888888888895E-2</v>
      </c>
      <c r="G85" s="3" t="s">
        <v>201</v>
      </c>
      <c r="H85" s="3" t="s">
        <v>202</v>
      </c>
      <c r="I85" s="1" t="s">
        <v>211</v>
      </c>
      <c r="J85" s="3">
        <f t="shared" si="27"/>
        <v>18450.511631412024</v>
      </c>
      <c r="K85" s="12">
        <f t="shared" si="4"/>
        <v>18450.511631412024</v>
      </c>
      <c r="L85" s="35"/>
      <c r="M85" s="35"/>
    </row>
    <row r="86" spans="1:13" x14ac:dyDescent="0.2">
      <c r="A86" s="2" t="s">
        <v>106</v>
      </c>
      <c r="B86" s="1" t="s">
        <v>107</v>
      </c>
      <c r="C86" s="4">
        <v>34.419255910963003</v>
      </c>
      <c r="D86" s="1">
        <f t="shared" si="1"/>
        <v>0.3035493695136573</v>
      </c>
      <c r="E86">
        <f t="shared" si="2"/>
        <v>2.0116358629519167</v>
      </c>
      <c r="F86" s="21">
        <v>7.6388888888888895E-2</v>
      </c>
      <c r="G86" s="3" t="s">
        <v>201</v>
      </c>
      <c r="H86" s="3" t="s">
        <v>202</v>
      </c>
      <c r="I86" s="1" t="s">
        <v>212</v>
      </c>
      <c r="J86" s="3">
        <f>(E86*50*50)/236*1000</f>
        <v>21309.701938049966</v>
      </c>
      <c r="K86" s="12">
        <f t="shared" si="4"/>
        <v>21309.701938049966</v>
      </c>
      <c r="L86" s="34">
        <f t="shared" ref="L86" si="28">AVERAGE(K86:K88)</f>
        <v>21650.51996621165</v>
      </c>
      <c r="M86" s="35" t="s">
        <v>218</v>
      </c>
    </row>
    <row r="87" spans="1:13" x14ac:dyDescent="0.2">
      <c r="A87" s="2" t="s">
        <v>108</v>
      </c>
      <c r="B87" s="1" t="s">
        <v>107</v>
      </c>
      <c r="C87" s="4">
        <v>34.099889362330003</v>
      </c>
      <c r="D87" s="1">
        <f t="shared" si="1"/>
        <v>0.39296489011069941</v>
      </c>
      <c r="E87">
        <f t="shared" si="2"/>
        <v>2.4715243302431031</v>
      </c>
      <c r="F87" s="21">
        <v>7.6388888888888895E-2</v>
      </c>
      <c r="G87" s="3" t="s">
        <v>201</v>
      </c>
      <c r="H87" s="3" t="s">
        <v>202</v>
      </c>
      <c r="I87" s="1" t="s">
        <v>212</v>
      </c>
      <c r="J87" s="3">
        <f t="shared" ref="J87:J88" si="29">(E87*50*50)/236*1000</f>
        <v>26181.401803422701</v>
      </c>
      <c r="K87" s="12">
        <f t="shared" si="4"/>
        <v>26181.401803422701</v>
      </c>
      <c r="L87" s="35"/>
      <c r="M87" s="35"/>
    </row>
    <row r="88" spans="1:13" x14ac:dyDescent="0.2">
      <c r="A88" s="2" t="s">
        <v>109</v>
      </c>
      <c r="B88" s="1" t="s">
        <v>107</v>
      </c>
      <c r="C88" s="4">
        <v>34.728286884211599</v>
      </c>
      <c r="D88" s="1">
        <f t="shared" si="1"/>
        <v>0.21702757982745124</v>
      </c>
      <c r="E88">
        <f t="shared" si="2"/>
        <v>1.6482670612361197</v>
      </c>
      <c r="F88" s="21">
        <v>7.6388888888888895E-2</v>
      </c>
      <c r="G88" s="3" t="s">
        <v>201</v>
      </c>
      <c r="H88" s="3" t="s">
        <v>202</v>
      </c>
      <c r="I88" s="1" t="s">
        <v>212</v>
      </c>
      <c r="J88" s="3">
        <f t="shared" si="29"/>
        <v>17460.456157162283</v>
      </c>
      <c r="K88" s="12">
        <f t="shared" si="4"/>
        <v>17460.456157162283</v>
      </c>
      <c r="L88" s="35"/>
      <c r="M88" s="35"/>
    </row>
    <row r="89" spans="1:13" x14ac:dyDescent="0.2">
      <c r="A89" s="2" t="s">
        <v>110</v>
      </c>
      <c r="B89" s="1" t="s">
        <v>111</v>
      </c>
      <c r="C89" s="4">
        <v>34.319618126486098</v>
      </c>
      <c r="D89" s="1">
        <f t="shared" si="1"/>
        <v>0.33144573000686683</v>
      </c>
      <c r="E89">
        <f t="shared" si="2"/>
        <v>2.1450910457501133</v>
      </c>
      <c r="F89" s="21">
        <v>7.6388888888888895E-2</v>
      </c>
      <c r="G89" s="3" t="s">
        <v>201</v>
      </c>
      <c r="H89" s="3" t="s">
        <v>202</v>
      </c>
      <c r="I89" s="1" t="s">
        <v>213</v>
      </c>
      <c r="J89" s="3">
        <f>(E89*50*50)/246.8*1000</f>
        <v>21729.042197630806</v>
      </c>
      <c r="K89" s="12">
        <f t="shared" si="4"/>
        <v>21729.042197630806</v>
      </c>
      <c r="L89" s="34">
        <f t="shared" ref="L89" si="30">AVERAGE(K89:K91)</f>
        <v>18940.039144107937</v>
      </c>
      <c r="M89" s="35" t="s">
        <v>218</v>
      </c>
    </row>
    <row r="90" spans="1:13" x14ac:dyDescent="0.2">
      <c r="A90" s="2" t="s">
        <v>112</v>
      </c>
      <c r="B90" s="1" t="s">
        <v>111</v>
      </c>
      <c r="C90" s="4">
        <v>34.733084851362101</v>
      </c>
      <c r="D90" s="1">
        <f t="shared" si="1"/>
        <v>0.21568425588696358</v>
      </c>
      <c r="E90">
        <f t="shared" si="2"/>
        <v>1.6431766539198633</v>
      </c>
      <c r="F90" s="21">
        <v>7.6388888888888895E-2</v>
      </c>
      <c r="G90" s="3" t="s">
        <v>201</v>
      </c>
      <c r="H90" s="3" t="s">
        <v>202</v>
      </c>
      <c r="I90" s="1" t="s">
        <v>213</v>
      </c>
      <c r="J90" s="3">
        <f t="shared" ref="J90:J91" si="31">(E90*50*50)/246.8*1000</f>
        <v>16644.820238248212</v>
      </c>
      <c r="K90" s="12">
        <f t="shared" si="4"/>
        <v>16644.820238248212</v>
      </c>
      <c r="L90" s="35"/>
      <c r="M90" s="35"/>
    </row>
    <row r="91" spans="1:13" x14ac:dyDescent="0.2">
      <c r="A91" s="2" t="s">
        <v>113</v>
      </c>
      <c r="B91" s="1" t="s">
        <v>111</v>
      </c>
      <c r="C91" s="4">
        <v>34.573682533587103</v>
      </c>
      <c r="D91" s="1">
        <f t="shared" si="1"/>
        <v>0.26031335461140592</v>
      </c>
      <c r="E91">
        <f t="shared" si="2"/>
        <v>1.8210142932490303</v>
      </c>
      <c r="F91" s="21">
        <v>7.6388888888888895E-2</v>
      </c>
      <c r="G91" s="3" t="s">
        <v>201</v>
      </c>
      <c r="H91" s="3" t="s">
        <v>202</v>
      </c>
      <c r="I91" s="1" t="s">
        <v>213</v>
      </c>
      <c r="J91" s="3">
        <f t="shared" si="31"/>
        <v>18446.254996444797</v>
      </c>
      <c r="K91" s="12">
        <f t="shared" si="4"/>
        <v>18446.254996444797</v>
      </c>
      <c r="L91" s="35"/>
      <c r="M91" s="35"/>
    </row>
    <row r="92" spans="1:13" x14ac:dyDescent="0.2">
      <c r="A92" s="2" t="s">
        <v>114</v>
      </c>
      <c r="B92" s="1" t="s">
        <v>115</v>
      </c>
      <c r="C92" s="4">
        <v>35.270887233115197</v>
      </c>
      <c r="D92" s="1">
        <f t="shared" si="1"/>
        <v>6.5111567079650268E-2</v>
      </c>
      <c r="E92">
        <f t="shared" si="2"/>
        <v>1.161747019831761</v>
      </c>
      <c r="F92" s="21">
        <v>7.6388888888888895E-2</v>
      </c>
      <c r="G92" s="3" t="s">
        <v>201</v>
      </c>
      <c r="H92" s="3" t="s">
        <v>202</v>
      </c>
      <c r="I92" s="1" t="s">
        <v>214</v>
      </c>
      <c r="J92" s="3">
        <f>(E92*50*50)/249.9*1000</f>
        <v>11622.119045935984</v>
      </c>
      <c r="K92" s="12">
        <f t="shared" si="4"/>
        <v>11622.119045935984</v>
      </c>
      <c r="L92" s="34">
        <f t="shared" ref="L92" si="32">AVERAGE(K92:K94)</f>
        <v>14100.704232454023</v>
      </c>
      <c r="M92" s="35" t="s">
        <v>218</v>
      </c>
    </row>
    <row r="93" spans="1:13" x14ac:dyDescent="0.2">
      <c r="A93" s="2" t="s">
        <v>116</v>
      </c>
      <c r="B93" s="1" t="s">
        <v>115</v>
      </c>
      <c r="C93" s="4">
        <v>34.486991965875902</v>
      </c>
      <c r="D93" s="1">
        <f t="shared" si="1"/>
        <v>0.28458478277421534</v>
      </c>
      <c r="E93">
        <f t="shared" si="2"/>
        <v>1.9256829393463455</v>
      </c>
      <c r="F93" s="21">
        <v>7.6388888888888895E-2</v>
      </c>
      <c r="G93" s="3" t="s">
        <v>201</v>
      </c>
      <c r="H93" s="3" t="s">
        <v>202</v>
      </c>
      <c r="I93" s="1" t="s">
        <v>214</v>
      </c>
      <c r="J93" s="3">
        <f t="shared" ref="J93:J94" si="33">(E93*50*50)/249.9*1000</f>
        <v>19264.535207546473</v>
      </c>
      <c r="K93" s="12">
        <f t="shared" si="4"/>
        <v>19264.535207546473</v>
      </c>
      <c r="L93" s="35"/>
      <c r="M93" s="35"/>
    </row>
    <row r="94" spans="1:13" x14ac:dyDescent="0.2">
      <c r="A94" s="2" t="s">
        <v>117</v>
      </c>
      <c r="B94" s="1" t="s">
        <v>115</v>
      </c>
      <c r="C94" s="4">
        <v>35.298717883364297</v>
      </c>
      <c r="D94" s="1">
        <f t="shared" si="1"/>
        <v>5.7319604861850226E-2</v>
      </c>
      <c r="E94">
        <f t="shared" si="2"/>
        <v>1.1410892260502061</v>
      </c>
      <c r="F94" s="21">
        <v>7.6388888888888895E-2</v>
      </c>
      <c r="G94" s="3" t="s">
        <v>201</v>
      </c>
      <c r="H94" s="3" t="s">
        <v>202</v>
      </c>
      <c r="I94" s="1" t="s">
        <v>214</v>
      </c>
      <c r="J94" s="3">
        <f t="shared" si="33"/>
        <v>11415.458443879614</v>
      </c>
      <c r="K94" s="12">
        <f t="shared" si="4"/>
        <v>11415.458443879614</v>
      </c>
      <c r="L94" s="35"/>
      <c r="M94" s="35"/>
    </row>
    <row r="95" spans="1:13" x14ac:dyDescent="0.2">
      <c r="A95" s="2" t="s">
        <v>118</v>
      </c>
      <c r="B95" s="1" t="s">
        <v>119</v>
      </c>
      <c r="C95" s="4">
        <v>34.428610314300997</v>
      </c>
      <c r="D95" s="1">
        <f t="shared" si="1"/>
        <v>0.30093034492288012</v>
      </c>
      <c r="E95">
        <f t="shared" si="2"/>
        <v>1.9995411440233239</v>
      </c>
      <c r="F95" s="21">
        <v>7.6388888888888895E-2</v>
      </c>
      <c r="G95" s="3" t="s">
        <v>201</v>
      </c>
      <c r="H95" s="3" t="s">
        <v>202</v>
      </c>
      <c r="I95" s="1" t="s">
        <v>215</v>
      </c>
      <c r="J95" s="3">
        <f>(E95*50*50)/221.3*1000</f>
        <v>22588.580479251286</v>
      </c>
      <c r="K95" s="12">
        <f t="shared" si="4"/>
        <v>22588.580479251286</v>
      </c>
      <c r="L95" s="34">
        <f t="shared" ref="L95" si="34">AVERAGE(K95:K97)</f>
        <v>18352.788780688832</v>
      </c>
      <c r="M95" s="35" t="s">
        <v>218</v>
      </c>
    </row>
    <row r="96" spans="1:13" x14ac:dyDescent="0.2">
      <c r="A96" s="2" t="s">
        <v>120</v>
      </c>
      <c r="B96" s="1" t="s">
        <v>119</v>
      </c>
      <c r="C96" s="4">
        <v>34.883048008874503</v>
      </c>
      <c r="D96" s="1">
        <f t="shared" si="1"/>
        <v>0.17369791180445684</v>
      </c>
      <c r="E96">
        <f t="shared" si="2"/>
        <v>1.491756407057756</v>
      </c>
      <c r="F96" s="21">
        <v>7.6388888888888895E-2</v>
      </c>
      <c r="G96" s="3" t="s">
        <v>201</v>
      </c>
      <c r="H96" s="3" t="s">
        <v>202</v>
      </c>
      <c r="I96" s="1" t="s">
        <v>215</v>
      </c>
      <c r="J96" s="3">
        <f t="shared" ref="J96:J97" si="35">(E96*50*50)/221.3*1000</f>
        <v>16852.196193603209</v>
      </c>
      <c r="K96" s="12">
        <f t="shared" si="4"/>
        <v>16852.196193603209</v>
      </c>
      <c r="L96" s="35"/>
      <c r="M96" s="35"/>
    </row>
    <row r="97" spans="1:13" x14ac:dyDescent="0.2">
      <c r="A97" s="2" t="s">
        <v>121</v>
      </c>
      <c r="B97" s="1" t="s">
        <v>119</v>
      </c>
      <c r="C97" s="4">
        <v>35.0010663193599</v>
      </c>
      <c r="D97" s="1">
        <f t="shared" si="1"/>
        <v>0.1406554134050339</v>
      </c>
      <c r="E97">
        <f t="shared" si="2"/>
        <v>1.3824690375186461</v>
      </c>
      <c r="F97" s="21">
        <v>7.6388888888888895E-2</v>
      </c>
      <c r="G97" s="3" t="s">
        <v>201</v>
      </c>
      <c r="H97" s="3" t="s">
        <v>202</v>
      </c>
      <c r="I97" s="1" t="s">
        <v>215</v>
      </c>
      <c r="J97" s="3">
        <f t="shared" si="35"/>
        <v>15617.589669211999</v>
      </c>
      <c r="K97" s="12">
        <f t="shared" si="4"/>
        <v>15617.589669211999</v>
      </c>
      <c r="L97" s="35"/>
      <c r="M97" s="35"/>
    </row>
    <row r="98" spans="1:13" x14ac:dyDescent="0.2">
      <c r="A98" s="2" t="s">
        <v>122</v>
      </c>
      <c r="B98" s="1" t="s">
        <v>123</v>
      </c>
      <c r="C98" s="4">
        <v>34.455248398049903</v>
      </c>
      <c r="D98" s="1">
        <f t="shared" si="1"/>
        <v>0.29347227476396309</v>
      </c>
      <c r="E98">
        <f t="shared" si="2"/>
        <v>1.9654964998383111</v>
      </c>
      <c r="F98" s="21">
        <v>7.6388888888888895E-2</v>
      </c>
      <c r="G98" s="3" t="s">
        <v>201</v>
      </c>
      <c r="H98" s="3" t="s">
        <v>202</v>
      </c>
      <c r="I98" s="1" t="s">
        <v>216</v>
      </c>
      <c r="J98" s="3">
        <f>(E98*50*50)/250.6*1000</f>
        <v>19607.906023925691</v>
      </c>
      <c r="K98" s="12">
        <f t="shared" si="4"/>
        <v>19607.906023925691</v>
      </c>
      <c r="L98" s="34">
        <f t="shared" ref="L98" si="36">AVERAGE(K98:K100)</f>
        <v>16446.330247193022</v>
      </c>
      <c r="M98" s="35" t="s">
        <v>218</v>
      </c>
    </row>
    <row r="99" spans="1:13" x14ac:dyDescent="0.2">
      <c r="A99" s="2" t="s">
        <v>124</v>
      </c>
      <c r="B99" s="1" t="s">
        <v>123</v>
      </c>
      <c r="C99" s="4">
        <v>34.715083175902201</v>
      </c>
      <c r="D99" s="1">
        <f t="shared" si="1"/>
        <v>0.22072432407743528</v>
      </c>
      <c r="E99">
        <f t="shared" si="2"/>
        <v>1.6623571055116582</v>
      </c>
      <c r="F99" s="21">
        <v>7.6388888888888895E-2</v>
      </c>
      <c r="G99" s="3" t="s">
        <v>201</v>
      </c>
      <c r="H99" s="3" t="s">
        <v>202</v>
      </c>
      <c r="I99" s="1" t="s">
        <v>216</v>
      </c>
      <c r="J99" s="3">
        <f t="shared" ref="J99:J100" si="37">(E99*50*50)/250.6*1000</f>
        <v>16583.770007099545</v>
      </c>
      <c r="K99" s="12">
        <f t="shared" si="4"/>
        <v>16583.770007099545</v>
      </c>
      <c r="L99" s="35"/>
      <c r="M99" s="35"/>
    </row>
    <row r="100" spans="1:13" x14ac:dyDescent="0.2">
      <c r="A100" s="2" t="s">
        <v>125</v>
      </c>
      <c r="B100" s="1" t="s">
        <v>123</v>
      </c>
      <c r="C100" s="4">
        <v>35.075276852871902</v>
      </c>
      <c r="D100" s="1">
        <f t="shared" si="1"/>
        <v>0.11987811685922331</v>
      </c>
      <c r="E100">
        <f t="shared" si="2"/>
        <v>1.3178868265859156</v>
      </c>
      <c r="F100" s="21">
        <v>7.6388888888888895E-2</v>
      </c>
      <c r="G100" s="3" t="s">
        <v>201</v>
      </c>
      <c r="H100" s="3" t="s">
        <v>202</v>
      </c>
      <c r="I100" s="1" t="s">
        <v>216</v>
      </c>
      <c r="J100" s="3">
        <f t="shared" si="37"/>
        <v>13147.314710553828</v>
      </c>
      <c r="K100" s="12">
        <f t="shared" si="4"/>
        <v>13147.314710553828</v>
      </c>
      <c r="L100" s="35"/>
      <c r="M100" s="35"/>
    </row>
    <row r="101" spans="1:13" x14ac:dyDescent="0.2">
      <c r="A101" s="2" t="s">
        <v>126</v>
      </c>
      <c r="B101" s="1" t="s">
        <v>127</v>
      </c>
      <c r="C101" s="4">
        <v>34.453561424802899</v>
      </c>
      <c r="D101" s="1">
        <f t="shared" si="1"/>
        <v>0.293944589700389</v>
      </c>
      <c r="E101">
        <f t="shared" si="2"/>
        <v>1.9676352291531465</v>
      </c>
      <c r="F101" s="21">
        <v>7.6388888888888895E-2</v>
      </c>
      <c r="G101" s="3" t="s">
        <v>201</v>
      </c>
      <c r="H101" s="3" t="s">
        <v>202</v>
      </c>
      <c r="I101" s="1" t="s">
        <v>217</v>
      </c>
      <c r="J101" s="3">
        <f>(E101*50*50)/243.3*1000</f>
        <v>20218.200052950539</v>
      </c>
      <c r="K101" s="12">
        <f t="shared" si="4"/>
        <v>20218.200052950539</v>
      </c>
      <c r="L101" s="34">
        <f t="shared" ref="L101" si="38">AVERAGE(K101:K103)</f>
        <v>22804.410217724333</v>
      </c>
      <c r="M101" s="35" t="s">
        <v>218</v>
      </c>
    </row>
    <row r="102" spans="1:13" x14ac:dyDescent="0.2">
      <c r="A102" s="2" t="s">
        <v>128</v>
      </c>
      <c r="B102" s="1" t="s">
        <v>127</v>
      </c>
      <c r="C102" s="4">
        <v>34.067014547221603</v>
      </c>
      <c r="D102" s="1">
        <f t="shared" si="1"/>
        <v>0.40216910614406687</v>
      </c>
      <c r="E102">
        <f t="shared" si="2"/>
        <v>2.5244635599972423</v>
      </c>
      <c r="F102" s="21">
        <v>7.6388888888888895E-2</v>
      </c>
      <c r="G102" s="3" t="s">
        <v>201</v>
      </c>
      <c r="H102" s="3" t="s">
        <v>202</v>
      </c>
      <c r="I102" s="1" t="s">
        <v>217</v>
      </c>
      <c r="J102" s="3">
        <f t="shared" ref="J102:J103" si="39">(E102*50*50)/243.3*1000</f>
        <v>25939.822852417201</v>
      </c>
      <c r="K102" s="12">
        <f t="shared" si="4"/>
        <v>25939.822852417201</v>
      </c>
      <c r="L102" s="35"/>
      <c r="M102" s="35"/>
    </row>
    <row r="103" spans="1:13" x14ac:dyDescent="0.2">
      <c r="A103" s="2" t="s">
        <v>129</v>
      </c>
      <c r="B103" s="1" t="s">
        <v>127</v>
      </c>
      <c r="C103" s="4">
        <v>34.3046597118527</v>
      </c>
      <c r="D103" s="1">
        <f t="shared" ref="D103" si="40">(C103-$S$10)/$S$9</f>
        <v>0.3356337529462658</v>
      </c>
      <c r="E103">
        <f t="shared" ref="E103" si="41">10^D103</f>
        <v>2.1658768180164079</v>
      </c>
      <c r="F103" s="21">
        <v>7.6388888888888895E-2</v>
      </c>
      <c r="G103" s="3" t="s">
        <v>201</v>
      </c>
      <c r="H103" s="3" t="s">
        <v>202</v>
      </c>
      <c r="I103" s="1" t="s">
        <v>217</v>
      </c>
      <c r="J103" s="3">
        <f t="shared" si="39"/>
        <v>22255.20774780526</v>
      </c>
      <c r="K103" s="12">
        <f t="shared" ref="K103" si="42">J103</f>
        <v>22255.20774780526</v>
      </c>
      <c r="L103" s="35"/>
      <c r="M103" s="35"/>
    </row>
  </sheetData>
  <mergeCells count="45">
    <mergeCell ref="L44:L46"/>
    <mergeCell ref="M44:M46"/>
    <mergeCell ref="S6:U7"/>
    <mergeCell ref="L38:L40"/>
    <mergeCell ref="M38:M40"/>
    <mergeCell ref="L41:L43"/>
    <mergeCell ref="M41:M43"/>
    <mergeCell ref="L47:L49"/>
    <mergeCell ref="M47:M49"/>
    <mergeCell ref="L50:L52"/>
    <mergeCell ref="M50:M52"/>
    <mergeCell ref="L53:L55"/>
    <mergeCell ref="M53:M55"/>
    <mergeCell ref="L56:L58"/>
    <mergeCell ref="M56:M58"/>
    <mergeCell ref="L59:L61"/>
    <mergeCell ref="M59:M61"/>
    <mergeCell ref="L62:L64"/>
    <mergeCell ref="M62:M64"/>
    <mergeCell ref="L65:L67"/>
    <mergeCell ref="M65:M67"/>
    <mergeCell ref="L68:L70"/>
    <mergeCell ref="M68:M70"/>
    <mergeCell ref="L71:L73"/>
    <mergeCell ref="M71:M73"/>
    <mergeCell ref="L74:L76"/>
    <mergeCell ref="M74:M76"/>
    <mergeCell ref="L77:L79"/>
    <mergeCell ref="M77:M79"/>
    <mergeCell ref="L80:L82"/>
    <mergeCell ref="M80:M82"/>
    <mergeCell ref="L83:L85"/>
    <mergeCell ref="M83:M85"/>
    <mergeCell ref="L86:L88"/>
    <mergeCell ref="M86:M88"/>
    <mergeCell ref="L89:L91"/>
    <mergeCell ref="M89:M91"/>
    <mergeCell ref="L101:L103"/>
    <mergeCell ref="M101:M103"/>
    <mergeCell ref="L92:L94"/>
    <mergeCell ref="M92:M94"/>
    <mergeCell ref="L95:L97"/>
    <mergeCell ref="M95:M97"/>
    <mergeCell ref="L98:L100"/>
    <mergeCell ref="M98:M10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DC538-5250-D546-8EF5-B0F46FA2DC47}">
  <dimension ref="A1:U100"/>
  <sheetViews>
    <sheetView workbookViewId="0">
      <selection activeCell="D2" sqref="D2:D28"/>
    </sheetView>
  </sheetViews>
  <sheetFormatPr baseColWidth="10" defaultRowHeight="16" x14ac:dyDescent="0.2"/>
  <cols>
    <col min="1" max="1" width="5" bestFit="1" customWidth="1"/>
    <col min="2" max="2" width="13.1640625" bestFit="1" customWidth="1"/>
    <col min="3" max="3" width="6.6640625" bestFit="1" customWidth="1"/>
    <col min="4" max="4" width="21.6640625" bestFit="1" customWidth="1"/>
    <col min="6" max="6" width="4.6640625" bestFit="1" customWidth="1"/>
    <col min="7" max="7" width="9.1640625" bestFit="1" customWidth="1"/>
    <col min="8" max="8" width="13" bestFit="1" customWidth="1"/>
    <col min="9" max="9" width="14.33203125" bestFit="1" customWidth="1"/>
    <col min="13" max="13" width="13.1640625" bestFit="1" customWidth="1"/>
    <col min="14" max="14" width="5" bestFit="1" customWidth="1"/>
    <col min="15" max="15" width="8.33203125" bestFit="1" customWidth="1"/>
    <col min="17" max="17" width="5.6640625" bestFit="1" customWidth="1"/>
    <col min="21" max="21" width="13.1640625" bestFit="1" customWidth="1"/>
  </cols>
  <sheetData>
    <row r="1" spans="1:21" x14ac:dyDescent="0.2">
      <c r="A1" s="1" t="s">
        <v>0</v>
      </c>
      <c r="B1" s="1" t="s">
        <v>1</v>
      </c>
      <c r="C1" s="1" t="s">
        <v>130</v>
      </c>
      <c r="D1" s="1" t="s">
        <v>251</v>
      </c>
      <c r="N1" s="1" t="s">
        <v>0</v>
      </c>
      <c r="O1" s="1" t="s">
        <v>1</v>
      </c>
      <c r="P1" s="1" t="s">
        <v>193</v>
      </c>
      <c r="Q1" s="1" t="s">
        <v>251</v>
      </c>
    </row>
    <row r="2" spans="1:21" x14ac:dyDescent="0.2">
      <c r="A2" s="2" t="s">
        <v>2</v>
      </c>
      <c r="B2" s="1" t="s">
        <v>3</v>
      </c>
      <c r="C2" s="15">
        <f>LOG(P2)</f>
        <v>8.0136044023579664</v>
      </c>
      <c r="D2" s="4">
        <v>6.1125022935253597</v>
      </c>
      <c r="N2" s="1" t="s">
        <v>2</v>
      </c>
      <c r="O2" s="1" t="s">
        <v>3</v>
      </c>
      <c r="P2" s="12">
        <v>103182109.45826009</v>
      </c>
      <c r="Q2" s="4">
        <v>6.1125022935253597</v>
      </c>
    </row>
    <row r="3" spans="1:21" x14ac:dyDescent="0.2">
      <c r="A3" s="2" t="s">
        <v>4</v>
      </c>
      <c r="B3" s="1" t="s">
        <v>3</v>
      </c>
      <c r="C3" s="15">
        <f t="shared" ref="C3:C28" si="0">LOG(P3)</f>
        <v>8.0136044023579664</v>
      </c>
      <c r="D3" s="4">
        <v>6.1246868554631497</v>
      </c>
      <c r="N3" s="1" t="s">
        <v>4</v>
      </c>
      <c r="O3" s="1" t="s">
        <v>3</v>
      </c>
      <c r="P3" s="12">
        <v>103182109.45826009</v>
      </c>
      <c r="Q3" s="4">
        <v>6.1246868554631497</v>
      </c>
    </row>
    <row r="4" spans="1:21" x14ac:dyDescent="0.2">
      <c r="A4" s="2" t="s">
        <v>5</v>
      </c>
      <c r="B4" s="1" t="s">
        <v>3</v>
      </c>
      <c r="C4" s="15">
        <f t="shared" si="0"/>
        <v>8.0136044023579664</v>
      </c>
      <c r="D4" s="4">
        <v>6.1082366150401697</v>
      </c>
      <c r="N4" s="1" t="s">
        <v>5</v>
      </c>
      <c r="O4" s="1" t="s">
        <v>3</v>
      </c>
      <c r="P4" s="12">
        <v>103182109.45826009</v>
      </c>
      <c r="Q4" s="4">
        <v>6.1082366150401697</v>
      </c>
    </row>
    <row r="5" spans="1:21" x14ac:dyDescent="0.2">
      <c r="A5" s="2" t="s">
        <v>6</v>
      </c>
      <c r="B5" s="1" t="s">
        <v>7</v>
      </c>
      <c r="C5" s="15">
        <f t="shared" si="0"/>
        <v>7.0136044023579664</v>
      </c>
      <c r="D5" s="4">
        <v>11.0402773835389</v>
      </c>
      <c r="N5" s="1" t="s">
        <v>6</v>
      </c>
      <c r="O5" s="1" t="s">
        <v>7</v>
      </c>
      <c r="P5" s="12">
        <v>10318210.945826009</v>
      </c>
      <c r="Q5" s="4">
        <v>11.0402773835389</v>
      </c>
    </row>
    <row r="6" spans="1:21" ht="17" thickBot="1" x14ac:dyDescent="0.25">
      <c r="A6" s="2" t="s">
        <v>8</v>
      </c>
      <c r="B6" s="1" t="s">
        <v>7</v>
      </c>
      <c r="C6" s="15">
        <f t="shared" si="0"/>
        <v>7.0136044023579664</v>
      </c>
      <c r="D6" s="4">
        <v>10.7828552797968</v>
      </c>
      <c r="N6" s="1" t="s">
        <v>8</v>
      </c>
      <c r="O6" s="1" t="s">
        <v>7</v>
      </c>
      <c r="P6" s="12">
        <v>10318210.945826009</v>
      </c>
      <c r="Q6" s="4">
        <v>10.7828552797968</v>
      </c>
    </row>
    <row r="7" spans="1:21" x14ac:dyDescent="0.2">
      <c r="A7" s="2" t="s">
        <v>9</v>
      </c>
      <c r="B7" s="1" t="s">
        <v>7</v>
      </c>
      <c r="C7" s="15">
        <f t="shared" si="0"/>
        <v>7.0136044023579664</v>
      </c>
      <c r="D7" s="4">
        <v>10.8404204881432</v>
      </c>
      <c r="N7" s="1" t="s">
        <v>9</v>
      </c>
      <c r="O7" s="1" t="s">
        <v>7</v>
      </c>
      <c r="P7" s="12">
        <v>10318210.945826009</v>
      </c>
      <c r="Q7" s="4">
        <v>10.8404204881432</v>
      </c>
      <c r="S7" s="36" t="s">
        <v>219</v>
      </c>
      <c r="T7" s="37"/>
      <c r="U7" s="38"/>
    </row>
    <row r="8" spans="1:21" ht="17" thickBot="1" x14ac:dyDescent="0.25">
      <c r="A8" s="2" t="s">
        <v>10</v>
      </c>
      <c r="B8" s="1" t="s">
        <v>11</v>
      </c>
      <c r="C8" s="15">
        <f t="shared" si="0"/>
        <v>6.0136044023579664</v>
      </c>
      <c r="D8" s="4">
        <v>13.864678259266499</v>
      </c>
      <c r="N8" s="1" t="s">
        <v>10</v>
      </c>
      <c r="O8" s="1" t="s">
        <v>11</v>
      </c>
      <c r="P8" s="12">
        <v>1031821.0945826009</v>
      </c>
      <c r="Q8" s="4">
        <v>13.864678259266499</v>
      </c>
      <c r="S8" s="39"/>
      <c r="T8" s="40"/>
      <c r="U8" s="41"/>
    </row>
    <row r="9" spans="1:21" x14ac:dyDescent="0.2">
      <c r="A9" s="2" t="s">
        <v>12</v>
      </c>
      <c r="B9" s="1" t="s">
        <v>11</v>
      </c>
      <c r="C9" s="15">
        <f t="shared" si="0"/>
        <v>6.0136044023579664</v>
      </c>
      <c r="D9" s="4">
        <v>13.890359619525301</v>
      </c>
      <c r="N9" s="1" t="s">
        <v>12</v>
      </c>
      <c r="O9" s="1" t="s">
        <v>11</v>
      </c>
      <c r="P9" s="12">
        <v>1031821.0945826009</v>
      </c>
      <c r="Q9" s="4">
        <v>13.890359619525301</v>
      </c>
    </row>
    <row r="10" spans="1:21" x14ac:dyDescent="0.2">
      <c r="A10" s="2" t="s">
        <v>13</v>
      </c>
      <c r="B10" s="1" t="s">
        <v>11</v>
      </c>
      <c r="C10" s="15">
        <f t="shared" si="0"/>
        <v>6.0136044023579664</v>
      </c>
      <c r="D10" s="4">
        <v>13.905613432575899</v>
      </c>
      <c r="N10" s="1" t="s">
        <v>13</v>
      </c>
      <c r="O10" s="1" t="s">
        <v>11</v>
      </c>
      <c r="P10" s="12">
        <v>1031821.0945826009</v>
      </c>
      <c r="Q10" s="4">
        <v>13.905613432575899</v>
      </c>
      <c r="S10">
        <f>SLOPE(D5:D28,C5:C28)</f>
        <v>-3.6517524845380058</v>
      </c>
    </row>
    <row r="11" spans="1:21" x14ac:dyDescent="0.2">
      <c r="A11" s="2" t="s">
        <v>14</v>
      </c>
      <c r="B11" s="1" t="s">
        <v>15</v>
      </c>
      <c r="C11" s="15">
        <f t="shared" si="0"/>
        <v>5.0136044023579664</v>
      </c>
      <c r="D11" s="4">
        <v>17.361733812204999</v>
      </c>
      <c r="N11" s="1" t="s">
        <v>14</v>
      </c>
      <c r="O11" s="1" t="s">
        <v>15</v>
      </c>
      <c r="P11" s="12">
        <v>103182.10945826009</v>
      </c>
      <c r="Q11" s="4">
        <v>17.361733812204999</v>
      </c>
      <c r="S11">
        <f>INTERCEPT(D2:D28,C2:C28)</f>
        <v>36.135974109950766</v>
      </c>
    </row>
    <row r="12" spans="1:21" x14ac:dyDescent="0.2">
      <c r="A12" s="2" t="s">
        <v>16</v>
      </c>
      <c r="B12" s="1" t="s">
        <v>15</v>
      </c>
      <c r="C12" s="15">
        <f t="shared" si="0"/>
        <v>5.0136044023579664</v>
      </c>
      <c r="D12" s="4">
        <v>17.460047974239099</v>
      </c>
      <c r="N12" s="1" t="s">
        <v>16</v>
      </c>
      <c r="O12" s="1" t="s">
        <v>15</v>
      </c>
      <c r="P12" s="12">
        <v>103182.10945826009</v>
      </c>
      <c r="Q12" s="4">
        <v>17.460047974239099</v>
      </c>
      <c r="S12">
        <f>-1+10^(-1/S10)</f>
        <v>0.87862943466271792</v>
      </c>
    </row>
    <row r="13" spans="1:21" x14ac:dyDescent="0.2">
      <c r="A13" s="2" t="s">
        <v>17</v>
      </c>
      <c r="B13" s="1" t="s">
        <v>15</v>
      </c>
      <c r="C13" s="15">
        <f t="shared" si="0"/>
        <v>5.0136044023579664</v>
      </c>
      <c r="D13" s="4">
        <v>17.4753463814729</v>
      </c>
      <c r="N13" s="1" t="s">
        <v>17</v>
      </c>
      <c r="O13" s="1" t="s">
        <v>15</v>
      </c>
      <c r="P13" s="12">
        <v>103182.10945826009</v>
      </c>
      <c r="Q13" s="4">
        <v>17.4753463814729</v>
      </c>
    </row>
    <row r="14" spans="1:21" x14ac:dyDescent="0.2">
      <c r="A14" s="2" t="s">
        <v>18</v>
      </c>
      <c r="B14" s="1" t="s">
        <v>19</v>
      </c>
      <c r="C14" s="15">
        <f t="shared" si="0"/>
        <v>4.0136044023579664</v>
      </c>
      <c r="D14" s="4">
        <v>21.362742664979201</v>
      </c>
      <c r="N14" s="1" t="s">
        <v>18</v>
      </c>
      <c r="O14" s="1" t="s">
        <v>19</v>
      </c>
      <c r="P14" s="12">
        <v>10318.210945826009</v>
      </c>
      <c r="Q14" s="4">
        <v>21.362742664979201</v>
      </c>
    </row>
    <row r="15" spans="1:21" x14ac:dyDescent="0.2">
      <c r="A15" s="2" t="s">
        <v>20</v>
      </c>
      <c r="B15" s="1" t="s">
        <v>19</v>
      </c>
      <c r="C15" s="15">
        <f t="shared" si="0"/>
        <v>4.0136044023579664</v>
      </c>
      <c r="D15" s="4">
        <v>21.316621645439199</v>
      </c>
      <c r="N15" s="1" t="s">
        <v>20</v>
      </c>
      <c r="O15" s="1" t="s">
        <v>19</v>
      </c>
      <c r="P15" s="12">
        <v>10318.210945826009</v>
      </c>
      <c r="Q15" s="4">
        <v>21.316621645439199</v>
      </c>
    </row>
    <row r="16" spans="1:21" x14ac:dyDescent="0.2">
      <c r="A16" s="2" t="s">
        <v>21</v>
      </c>
      <c r="B16" s="1" t="s">
        <v>19</v>
      </c>
      <c r="C16" s="15">
        <f t="shared" si="0"/>
        <v>4.0136044023579664</v>
      </c>
      <c r="D16" s="4">
        <v>21.500642101285099</v>
      </c>
      <c r="N16" s="1" t="s">
        <v>21</v>
      </c>
      <c r="O16" s="1" t="s">
        <v>19</v>
      </c>
      <c r="P16" s="12">
        <v>10318.210945826009</v>
      </c>
      <c r="Q16" s="4">
        <v>21.500642101285099</v>
      </c>
    </row>
    <row r="17" spans="1:17" x14ac:dyDescent="0.2">
      <c r="A17" s="2" t="s">
        <v>22</v>
      </c>
      <c r="B17" s="1" t="s">
        <v>23</v>
      </c>
      <c r="C17" s="15">
        <f t="shared" si="0"/>
        <v>3.0136044023579664</v>
      </c>
      <c r="D17" s="4">
        <v>24.874703759379301</v>
      </c>
      <c r="N17" s="1" t="s">
        <v>22</v>
      </c>
      <c r="O17" s="1" t="s">
        <v>23</v>
      </c>
      <c r="P17" s="12">
        <v>1031.8210945826008</v>
      </c>
      <c r="Q17" s="4">
        <v>24.874703759379301</v>
      </c>
    </row>
    <row r="18" spans="1:17" x14ac:dyDescent="0.2">
      <c r="A18" s="2" t="s">
        <v>24</v>
      </c>
      <c r="B18" s="1" t="s">
        <v>23</v>
      </c>
      <c r="C18" s="15">
        <f t="shared" si="0"/>
        <v>3.0136044023579664</v>
      </c>
      <c r="D18" s="4">
        <v>24.848906865638799</v>
      </c>
      <c r="N18" s="1" t="s">
        <v>24</v>
      </c>
      <c r="O18" s="1" t="s">
        <v>23</v>
      </c>
      <c r="P18" s="12">
        <v>1031.8210945826008</v>
      </c>
      <c r="Q18" s="4">
        <v>24.848906865638799</v>
      </c>
    </row>
    <row r="19" spans="1:17" x14ac:dyDescent="0.2">
      <c r="A19" s="2" t="s">
        <v>25</v>
      </c>
      <c r="B19" s="1" t="s">
        <v>23</v>
      </c>
      <c r="C19" s="15">
        <f t="shared" si="0"/>
        <v>3.0136044023579664</v>
      </c>
      <c r="D19" s="4">
        <v>24.898299914257599</v>
      </c>
      <c r="N19" s="1" t="s">
        <v>25</v>
      </c>
      <c r="O19" s="1" t="s">
        <v>23</v>
      </c>
      <c r="P19" s="12">
        <v>1031.8210945826008</v>
      </c>
      <c r="Q19" s="4">
        <v>24.898299914257599</v>
      </c>
    </row>
    <row r="20" spans="1:17" x14ac:dyDescent="0.2">
      <c r="A20" s="2" t="s">
        <v>26</v>
      </c>
      <c r="B20" s="1" t="s">
        <v>27</v>
      </c>
      <c r="C20" s="15">
        <f t="shared" si="0"/>
        <v>2.0136044023579664</v>
      </c>
      <c r="D20" s="4">
        <v>28.478875197951201</v>
      </c>
      <c r="N20" s="1" t="s">
        <v>26</v>
      </c>
      <c r="O20" s="1" t="s">
        <v>27</v>
      </c>
      <c r="P20" s="12">
        <v>103.18210945826009</v>
      </c>
      <c r="Q20" s="4">
        <v>28.478875197951201</v>
      </c>
    </row>
    <row r="21" spans="1:17" x14ac:dyDescent="0.2">
      <c r="A21" s="2" t="s">
        <v>28</v>
      </c>
      <c r="B21" s="1" t="s">
        <v>27</v>
      </c>
      <c r="C21" s="15">
        <f t="shared" si="0"/>
        <v>2.0136044023579664</v>
      </c>
      <c r="D21" s="4">
        <v>28.404864971603399</v>
      </c>
      <c r="N21" s="1" t="s">
        <v>28</v>
      </c>
      <c r="O21" s="1" t="s">
        <v>27</v>
      </c>
      <c r="P21" s="12">
        <v>103.18210945826009</v>
      </c>
      <c r="Q21" s="4">
        <v>28.404864971603399</v>
      </c>
    </row>
    <row r="22" spans="1:17" x14ac:dyDescent="0.2">
      <c r="A22" s="2" t="s">
        <v>29</v>
      </c>
      <c r="B22" s="1" t="s">
        <v>27</v>
      </c>
      <c r="C22" s="15">
        <f t="shared" si="0"/>
        <v>2.0136044023579664</v>
      </c>
      <c r="D22" s="4">
        <v>28.151559894074001</v>
      </c>
      <c r="N22" s="1" t="s">
        <v>29</v>
      </c>
      <c r="O22" s="1" t="s">
        <v>27</v>
      </c>
      <c r="P22" s="12">
        <v>103.18210945826009</v>
      </c>
      <c r="Q22" s="4">
        <v>28.151559894074001</v>
      </c>
    </row>
    <row r="23" spans="1:17" x14ac:dyDescent="0.2">
      <c r="A23" s="2" t="s">
        <v>30</v>
      </c>
      <c r="B23" s="1" t="s">
        <v>31</v>
      </c>
      <c r="C23" s="15">
        <f t="shared" si="0"/>
        <v>1.0136044023579664</v>
      </c>
      <c r="D23" s="4">
        <v>32.745952100221203</v>
      </c>
      <c r="N23" s="1" t="s">
        <v>30</v>
      </c>
      <c r="O23" s="1" t="s">
        <v>31</v>
      </c>
      <c r="P23" s="12">
        <v>10.318210945826008</v>
      </c>
      <c r="Q23" s="4">
        <v>32.745952100221203</v>
      </c>
    </row>
    <row r="24" spans="1:17" x14ac:dyDescent="0.2">
      <c r="A24" s="2" t="s">
        <v>32</v>
      </c>
      <c r="B24" s="1" t="s">
        <v>31</v>
      </c>
      <c r="C24" s="15">
        <f t="shared" si="0"/>
        <v>1.0136044023579664</v>
      </c>
      <c r="D24" s="4">
        <v>32.520413695580402</v>
      </c>
      <c r="N24" s="1" t="s">
        <v>32</v>
      </c>
      <c r="O24" s="1" t="s">
        <v>31</v>
      </c>
      <c r="P24" s="12">
        <v>10.318210945826008</v>
      </c>
      <c r="Q24" s="4">
        <v>32.520413695580402</v>
      </c>
    </row>
    <row r="25" spans="1:17" x14ac:dyDescent="0.2">
      <c r="A25" s="2" t="s">
        <v>33</v>
      </c>
      <c r="B25" s="1" t="s">
        <v>31</v>
      </c>
      <c r="C25" s="15">
        <f t="shared" si="0"/>
        <v>1.0136044023579664</v>
      </c>
      <c r="D25" s="4">
        <v>32.890941556296802</v>
      </c>
      <c r="F25" s="1"/>
      <c r="G25" s="12"/>
      <c r="H25" s="1"/>
      <c r="N25" s="1" t="s">
        <v>33</v>
      </c>
      <c r="O25" s="1" t="s">
        <v>31</v>
      </c>
      <c r="P25" s="12">
        <v>10.318210945826008</v>
      </c>
      <c r="Q25" s="4">
        <v>32.890941556296802</v>
      </c>
    </row>
    <row r="26" spans="1:17" x14ac:dyDescent="0.2">
      <c r="A26" s="2" t="s">
        <v>34</v>
      </c>
      <c r="B26" s="1" t="s">
        <v>35</v>
      </c>
      <c r="C26" s="15">
        <f t="shared" si="0"/>
        <v>1.3604402357966342E-2</v>
      </c>
      <c r="D26" s="4">
        <v>36.254411481258003</v>
      </c>
      <c r="F26" s="1"/>
      <c r="G26" s="12"/>
      <c r="H26" s="1"/>
      <c r="N26" s="1" t="s">
        <v>34</v>
      </c>
      <c r="O26" s="1" t="s">
        <v>35</v>
      </c>
      <c r="P26" s="12">
        <v>1.0318210945826007</v>
      </c>
      <c r="Q26" s="4">
        <v>36.254411481258003</v>
      </c>
    </row>
    <row r="27" spans="1:17" x14ac:dyDescent="0.2">
      <c r="A27" s="2" t="s">
        <v>36</v>
      </c>
      <c r="B27" s="1" t="s">
        <v>35</v>
      </c>
      <c r="C27" s="15">
        <f t="shared" si="0"/>
        <v>1.3604402357966342E-2</v>
      </c>
      <c r="D27" s="4">
        <v>35.075443730922402</v>
      </c>
      <c r="F27" s="1"/>
      <c r="G27" s="12"/>
      <c r="H27" s="1"/>
      <c r="N27" s="1" t="s">
        <v>36</v>
      </c>
      <c r="O27" s="1" t="s">
        <v>35</v>
      </c>
      <c r="P27" s="12">
        <v>1.0318210945826007</v>
      </c>
      <c r="Q27" s="4">
        <v>35.075443730922402</v>
      </c>
    </row>
    <row r="28" spans="1:17" x14ac:dyDescent="0.2">
      <c r="A28" s="2" t="s">
        <v>37</v>
      </c>
      <c r="B28" s="1" t="s">
        <v>35</v>
      </c>
      <c r="C28" s="15">
        <f t="shared" si="0"/>
        <v>1.3604402357966342E-2</v>
      </c>
      <c r="D28" s="4">
        <v>36.919687380043797</v>
      </c>
      <c r="N28" s="1" t="s">
        <v>37</v>
      </c>
      <c r="O28" s="1" t="s">
        <v>35</v>
      </c>
      <c r="P28" s="12">
        <v>1.0318210945826007</v>
      </c>
      <c r="Q28" s="4">
        <v>36.919687380043797</v>
      </c>
    </row>
    <row r="29" spans="1:17" x14ac:dyDescent="0.2">
      <c r="A29" s="2" t="s">
        <v>38</v>
      </c>
      <c r="B29" s="1" t="s">
        <v>39</v>
      </c>
      <c r="C29" s="1" t="s">
        <v>131</v>
      </c>
      <c r="D29" s="4"/>
      <c r="N29" s="1" t="s">
        <v>38</v>
      </c>
      <c r="O29" s="1" t="s">
        <v>39</v>
      </c>
      <c r="P29" s="1" t="s">
        <v>131</v>
      </c>
      <c r="Q29" s="4"/>
    </row>
    <row r="30" spans="1:17" x14ac:dyDescent="0.2">
      <c r="A30" s="2" t="s">
        <v>40</v>
      </c>
      <c r="B30" s="1" t="s">
        <v>39</v>
      </c>
      <c r="C30" s="1" t="s">
        <v>131</v>
      </c>
      <c r="D30" s="4"/>
      <c r="N30" s="1" t="s">
        <v>40</v>
      </c>
      <c r="O30" s="1" t="s">
        <v>39</v>
      </c>
      <c r="P30" s="1" t="s">
        <v>131</v>
      </c>
      <c r="Q30" s="4"/>
    </row>
    <row r="31" spans="1:17" x14ac:dyDescent="0.2">
      <c r="A31" s="2" t="s">
        <v>41</v>
      </c>
      <c r="B31" s="1" t="s">
        <v>39</v>
      </c>
      <c r="C31" s="1" t="s">
        <v>131</v>
      </c>
      <c r="D31" s="4"/>
      <c r="N31" s="1" t="s">
        <v>41</v>
      </c>
      <c r="O31" s="1" t="s">
        <v>39</v>
      </c>
      <c r="P31" s="1" t="s">
        <v>131</v>
      </c>
      <c r="Q31" s="4"/>
    </row>
    <row r="34" spans="1:20" x14ac:dyDescent="0.2">
      <c r="D34" s="23"/>
    </row>
    <row r="35" spans="1:20" x14ac:dyDescent="0.2">
      <c r="D35" s="22"/>
    </row>
    <row r="36" spans="1:20" x14ac:dyDescent="0.2">
      <c r="D36" s="18"/>
    </row>
    <row r="37" spans="1:20" x14ac:dyDescent="0.2">
      <c r="A37" s="1" t="s">
        <v>0</v>
      </c>
      <c r="B37" s="1" t="s">
        <v>1</v>
      </c>
      <c r="C37" s="1" t="s">
        <v>251</v>
      </c>
      <c r="D37" t="s">
        <v>219</v>
      </c>
      <c r="E37" s="3" t="s">
        <v>195</v>
      </c>
      <c r="F37" s="3" t="s">
        <v>196</v>
      </c>
      <c r="G37" s="3" t="s">
        <v>197</v>
      </c>
      <c r="H37" s="3" t="s">
        <v>198</v>
      </c>
      <c r="I37" s="3" t="s">
        <v>199</v>
      </c>
      <c r="J37" s="3"/>
      <c r="K37" s="3"/>
      <c r="L37" s="3" t="s">
        <v>200</v>
      </c>
      <c r="M37" s="3"/>
      <c r="S37" s="1"/>
      <c r="T37" s="12"/>
    </row>
    <row r="38" spans="1:20" x14ac:dyDescent="0.2">
      <c r="A38" s="2" t="s">
        <v>42</v>
      </c>
      <c r="B38" s="1" t="s">
        <v>132</v>
      </c>
      <c r="C38" s="4">
        <v>21.306703955243101</v>
      </c>
      <c r="D38" s="1">
        <f>(C38-$S$11)/$S$10</f>
        <v>4.0608639872216754</v>
      </c>
      <c r="E38">
        <f>10^D38</f>
        <v>11504.400365633339</v>
      </c>
      <c r="F38" s="24">
        <v>7.6388888888888895E-2</v>
      </c>
      <c r="G38" s="3" t="s">
        <v>201</v>
      </c>
      <c r="H38" s="3" t="s">
        <v>202</v>
      </c>
      <c r="I38" s="1" t="s">
        <v>220</v>
      </c>
      <c r="J38" s="1">
        <f>(E38*50*50)/2</f>
        <v>14380500.457041673</v>
      </c>
      <c r="K38" s="12">
        <f>J38</f>
        <v>14380500.457041673</v>
      </c>
      <c r="L38" s="34">
        <f>AVERAGE(K38:K40)</f>
        <v>13652030.023060551</v>
      </c>
      <c r="M38" s="35" t="s">
        <v>218</v>
      </c>
      <c r="S38" s="1"/>
      <c r="T38" s="12"/>
    </row>
    <row r="39" spans="1:20" x14ac:dyDescent="0.2">
      <c r="A39" s="2" t="s">
        <v>44</v>
      </c>
      <c r="B39" s="1" t="s">
        <v>132</v>
      </c>
      <c r="C39" s="4">
        <v>21.485629443102798</v>
      </c>
      <c r="D39" s="1">
        <f t="shared" ref="D39:D91" si="1">(C39-$S$11)/$S$10</f>
        <v>4.0118668307557614</v>
      </c>
      <c r="E39">
        <f t="shared" ref="E39:E91" si="2">10^D39</f>
        <v>10277.0112219805</v>
      </c>
      <c r="F39" s="24">
        <v>7.6388888888888895E-2</v>
      </c>
      <c r="G39" s="3" t="s">
        <v>201</v>
      </c>
      <c r="H39" s="3" t="s">
        <v>202</v>
      </c>
      <c r="I39" s="1" t="s">
        <v>220</v>
      </c>
      <c r="J39" s="1">
        <f t="shared" ref="J39:J91" si="3">(E39*50*50)/2</f>
        <v>12846264.027475623</v>
      </c>
      <c r="K39" s="12">
        <f t="shared" ref="K39:K91" si="4">J39</f>
        <v>12846264.027475623</v>
      </c>
      <c r="L39" s="35"/>
      <c r="M39" s="35"/>
      <c r="S39" s="1"/>
      <c r="T39" s="12"/>
    </row>
    <row r="40" spans="1:20" x14ac:dyDescent="0.2">
      <c r="A40" s="2" t="s">
        <v>45</v>
      </c>
      <c r="B40" s="1" t="s">
        <v>132</v>
      </c>
      <c r="C40" s="4">
        <v>21.3801947290013</v>
      </c>
      <c r="D40" s="1">
        <f t="shared" si="1"/>
        <v>4.0407391912314301</v>
      </c>
      <c r="E40">
        <f t="shared" si="2"/>
        <v>10983.460467731486</v>
      </c>
      <c r="F40" s="24">
        <v>7.6388888888888895E-2</v>
      </c>
      <c r="G40" s="3" t="s">
        <v>201</v>
      </c>
      <c r="H40" s="3" t="s">
        <v>202</v>
      </c>
      <c r="I40" s="1" t="s">
        <v>220</v>
      </c>
      <c r="J40" s="1">
        <f t="shared" si="3"/>
        <v>13729325.584664356</v>
      </c>
      <c r="K40" s="12">
        <f t="shared" si="4"/>
        <v>13729325.584664356</v>
      </c>
      <c r="L40" s="35"/>
      <c r="M40" s="35"/>
    </row>
    <row r="41" spans="1:20" x14ac:dyDescent="0.2">
      <c r="A41" s="2" t="s">
        <v>46</v>
      </c>
      <c r="B41" s="1" t="s">
        <v>133</v>
      </c>
      <c r="C41" s="4">
        <v>21.473334575800301</v>
      </c>
      <c r="D41" s="1">
        <f t="shared" si="1"/>
        <v>4.0152336710206908</v>
      </c>
      <c r="E41">
        <f t="shared" si="2"/>
        <v>10356.992721011018</v>
      </c>
      <c r="F41" s="24">
        <v>7.6388888888888895E-2</v>
      </c>
      <c r="G41" s="3" t="s">
        <v>201</v>
      </c>
      <c r="H41" s="3" t="s">
        <v>202</v>
      </c>
      <c r="I41" s="1" t="s">
        <v>220</v>
      </c>
      <c r="J41" s="1">
        <f t="shared" si="3"/>
        <v>12946240.901263773</v>
      </c>
      <c r="K41" s="12">
        <f t="shared" si="4"/>
        <v>12946240.901263773</v>
      </c>
      <c r="L41" s="34">
        <f t="shared" ref="L41" si="5">AVERAGE(K41:K43)</f>
        <v>12250272.732663587</v>
      </c>
      <c r="M41" s="35" t="s">
        <v>218</v>
      </c>
    </row>
    <row r="42" spans="1:20" x14ac:dyDescent="0.2">
      <c r="A42" s="2" t="s">
        <v>48</v>
      </c>
      <c r="B42" s="1" t="s">
        <v>133</v>
      </c>
      <c r="C42" s="4">
        <v>21.514317619623</v>
      </c>
      <c r="D42" s="1">
        <f t="shared" si="1"/>
        <v>4.0040108282907338</v>
      </c>
      <c r="E42">
        <f t="shared" si="2"/>
        <v>10092.780501539899</v>
      </c>
      <c r="F42" s="24">
        <v>7.6388888888888895E-2</v>
      </c>
      <c r="G42" s="3" t="s">
        <v>201</v>
      </c>
      <c r="H42" s="3" t="s">
        <v>202</v>
      </c>
      <c r="I42" s="1" t="s">
        <v>220</v>
      </c>
      <c r="J42" s="1">
        <f t="shared" si="3"/>
        <v>12615975.626924874</v>
      </c>
      <c r="K42" s="12">
        <f t="shared" si="4"/>
        <v>12615975.626924874</v>
      </c>
      <c r="L42" s="35"/>
      <c r="M42" s="35"/>
    </row>
    <row r="43" spans="1:20" x14ac:dyDescent="0.2">
      <c r="A43" s="2" t="s">
        <v>49</v>
      </c>
      <c r="B43" s="1" t="s">
        <v>133</v>
      </c>
      <c r="C43" s="4">
        <v>21.7047383576576</v>
      </c>
      <c r="D43" s="1">
        <f t="shared" si="1"/>
        <v>3.9518657996118005</v>
      </c>
      <c r="E43">
        <f t="shared" si="2"/>
        <v>8950.8813358416883</v>
      </c>
      <c r="F43" s="24">
        <v>7.6388888888888895E-2</v>
      </c>
      <c r="G43" s="3" t="s">
        <v>201</v>
      </c>
      <c r="H43" s="3" t="s">
        <v>202</v>
      </c>
      <c r="I43" s="1" t="s">
        <v>220</v>
      </c>
      <c r="J43" s="1">
        <f t="shared" si="3"/>
        <v>11188601.669802111</v>
      </c>
      <c r="K43" s="12">
        <f t="shared" si="4"/>
        <v>11188601.669802111</v>
      </c>
      <c r="L43" s="35"/>
      <c r="M43" s="35"/>
    </row>
    <row r="44" spans="1:20" x14ac:dyDescent="0.2">
      <c r="A44" s="2" t="s">
        <v>50</v>
      </c>
      <c r="B44" s="1" t="s">
        <v>134</v>
      </c>
      <c r="C44" s="4">
        <v>23.0213006897235</v>
      </c>
      <c r="D44" s="1">
        <f t="shared" si="1"/>
        <v>3.5913368925622686</v>
      </c>
      <c r="E44">
        <f t="shared" si="2"/>
        <v>3902.4459130666937</v>
      </c>
      <c r="F44" s="24">
        <v>7.6388888888888895E-2</v>
      </c>
      <c r="G44" s="3" t="s">
        <v>201</v>
      </c>
      <c r="H44" s="3" t="s">
        <v>202</v>
      </c>
      <c r="I44" s="1" t="s">
        <v>220</v>
      </c>
      <c r="J44" s="1">
        <f t="shared" si="3"/>
        <v>4878057.3913333667</v>
      </c>
      <c r="K44" s="12">
        <f t="shared" si="4"/>
        <v>4878057.3913333667</v>
      </c>
      <c r="L44" s="34">
        <f t="shared" ref="L44" si="6">AVERAGE(K44:K46)</f>
        <v>5006125.785665527</v>
      </c>
      <c r="M44" s="35" t="s">
        <v>218</v>
      </c>
    </row>
    <row r="45" spans="1:20" x14ac:dyDescent="0.2">
      <c r="A45" s="2" t="s">
        <v>52</v>
      </c>
      <c r="B45" s="1" t="s">
        <v>134</v>
      </c>
      <c r="C45" s="4">
        <v>22.953407539628699</v>
      </c>
      <c r="D45" s="1">
        <f t="shared" si="1"/>
        <v>3.6099288290043656</v>
      </c>
      <c r="E45">
        <f t="shared" si="2"/>
        <v>4073.1352290482228</v>
      </c>
      <c r="F45" s="24">
        <v>7.6388888888888895E-2</v>
      </c>
      <c r="G45" s="3" t="s">
        <v>201</v>
      </c>
      <c r="H45" s="3" t="s">
        <v>202</v>
      </c>
      <c r="I45" s="1" t="s">
        <v>220</v>
      </c>
      <c r="J45" s="1">
        <f t="shared" si="3"/>
        <v>5091419.0363102779</v>
      </c>
      <c r="K45" s="12">
        <f t="shared" si="4"/>
        <v>5091419.0363102779</v>
      </c>
      <c r="L45" s="35"/>
      <c r="M45" s="35"/>
    </row>
    <row r="46" spans="1:20" x14ac:dyDescent="0.2">
      <c r="A46" s="2" t="s">
        <v>53</v>
      </c>
      <c r="B46" s="1" t="s">
        <v>134</v>
      </c>
      <c r="C46" s="4">
        <v>22.966707196817399</v>
      </c>
      <c r="D46" s="1">
        <f t="shared" si="1"/>
        <v>3.606286835948973</v>
      </c>
      <c r="E46">
        <f t="shared" si="2"/>
        <v>4039.1207434823486</v>
      </c>
      <c r="F46" s="24">
        <v>7.6388888888888895E-2</v>
      </c>
      <c r="G46" s="3" t="s">
        <v>201</v>
      </c>
      <c r="H46" s="3" t="s">
        <v>202</v>
      </c>
      <c r="I46" s="1" t="s">
        <v>220</v>
      </c>
      <c r="J46" s="1">
        <f t="shared" si="3"/>
        <v>5048900.9293529354</v>
      </c>
      <c r="K46" s="12">
        <f t="shared" si="4"/>
        <v>5048900.9293529354</v>
      </c>
      <c r="L46" s="35"/>
      <c r="M46" s="35"/>
    </row>
    <row r="47" spans="1:20" x14ac:dyDescent="0.2">
      <c r="A47" s="2" t="s">
        <v>54</v>
      </c>
      <c r="B47" s="1" t="s">
        <v>135</v>
      </c>
      <c r="C47" s="4">
        <v>21.661033580462099</v>
      </c>
      <c r="D47" s="1">
        <f t="shared" si="1"/>
        <v>3.963833964864115</v>
      </c>
      <c r="E47">
        <f t="shared" si="2"/>
        <v>9200.9774190920925</v>
      </c>
      <c r="F47" s="24">
        <v>7.6388888888888895E-2</v>
      </c>
      <c r="G47" s="3" t="s">
        <v>201</v>
      </c>
      <c r="H47" s="3" t="s">
        <v>202</v>
      </c>
      <c r="I47" s="1" t="s">
        <v>220</v>
      </c>
      <c r="J47" s="1">
        <f t="shared" si="3"/>
        <v>11501221.773865117</v>
      </c>
      <c r="K47" s="12">
        <f t="shared" si="4"/>
        <v>11501221.773865117</v>
      </c>
      <c r="L47" s="34">
        <f t="shared" ref="L47" si="7">AVERAGE(K47:K49)</f>
        <v>11291490.08189722</v>
      </c>
      <c r="M47" s="35" t="s">
        <v>218</v>
      </c>
    </row>
    <row r="48" spans="1:20" x14ac:dyDescent="0.2">
      <c r="A48" s="2" t="s">
        <v>56</v>
      </c>
      <c r="B48" s="1" t="s">
        <v>135</v>
      </c>
      <c r="C48" s="4">
        <v>21.6077439155227</v>
      </c>
      <c r="D48" s="1">
        <f t="shared" si="1"/>
        <v>3.9784268665366773</v>
      </c>
      <c r="E48">
        <f t="shared" si="2"/>
        <v>9515.3959913698327</v>
      </c>
      <c r="F48" s="24">
        <v>7.6388888888888895E-2</v>
      </c>
      <c r="G48" s="3" t="s">
        <v>201</v>
      </c>
      <c r="H48" s="3" t="s">
        <v>202</v>
      </c>
      <c r="I48" s="1" t="s">
        <v>220</v>
      </c>
      <c r="J48" s="1">
        <f t="shared" si="3"/>
        <v>11894244.989212291</v>
      </c>
      <c r="K48" s="12">
        <f t="shared" si="4"/>
        <v>11894244.989212291</v>
      </c>
      <c r="L48" s="35"/>
      <c r="M48" s="35"/>
    </row>
    <row r="49" spans="1:13" x14ac:dyDescent="0.2">
      <c r="A49" s="2" t="s">
        <v>57</v>
      </c>
      <c r="B49" s="1" t="s">
        <v>135</v>
      </c>
      <c r="C49" s="4">
        <v>21.808651997993898</v>
      </c>
      <c r="D49" s="1">
        <f t="shared" si="1"/>
        <v>3.9234099716836259</v>
      </c>
      <c r="E49">
        <f t="shared" si="2"/>
        <v>8383.2027860913986</v>
      </c>
      <c r="F49" s="24">
        <v>7.6388888888888895E-2</v>
      </c>
      <c r="G49" s="3" t="s">
        <v>201</v>
      </c>
      <c r="H49" s="3" t="s">
        <v>202</v>
      </c>
      <c r="I49" s="1" t="s">
        <v>220</v>
      </c>
      <c r="J49" s="1">
        <f t="shared" si="3"/>
        <v>10479003.482614249</v>
      </c>
      <c r="K49" s="12">
        <f t="shared" si="4"/>
        <v>10479003.482614249</v>
      </c>
      <c r="L49" s="35"/>
      <c r="M49" s="35"/>
    </row>
    <row r="50" spans="1:13" x14ac:dyDescent="0.2">
      <c r="A50" s="2" t="s">
        <v>58</v>
      </c>
      <c r="B50" s="1" t="s">
        <v>136</v>
      </c>
      <c r="C50" s="4">
        <v>21.2445561358176</v>
      </c>
      <c r="D50" s="1">
        <f t="shared" si="1"/>
        <v>4.077882615863305</v>
      </c>
      <c r="E50">
        <f t="shared" si="2"/>
        <v>11964.171116531978</v>
      </c>
      <c r="F50" s="24">
        <v>7.6388888888888895E-2</v>
      </c>
      <c r="G50" s="3" t="s">
        <v>201</v>
      </c>
      <c r="H50" s="3" t="s">
        <v>202</v>
      </c>
      <c r="I50" s="1" t="s">
        <v>220</v>
      </c>
      <c r="J50" s="1">
        <f t="shared" si="3"/>
        <v>14955213.895664973</v>
      </c>
      <c r="K50" s="12">
        <f t="shared" si="4"/>
        <v>14955213.895664973</v>
      </c>
      <c r="L50" s="34">
        <f t="shared" ref="L50" si="8">AVERAGE(K50:K52)</f>
        <v>15069400.235329822</v>
      </c>
      <c r="M50" s="35" t="s">
        <v>218</v>
      </c>
    </row>
    <row r="51" spans="1:13" x14ac:dyDescent="0.2">
      <c r="A51" s="2" t="s">
        <v>60</v>
      </c>
      <c r="B51" s="1" t="s">
        <v>136</v>
      </c>
      <c r="C51" s="4">
        <v>21.2739576936318</v>
      </c>
      <c r="D51" s="1">
        <f t="shared" si="1"/>
        <v>4.069831260263852</v>
      </c>
      <c r="E51">
        <f t="shared" si="2"/>
        <v>11744.411517327004</v>
      </c>
      <c r="F51" s="24">
        <v>7.6388888888888895E-2</v>
      </c>
      <c r="G51" s="3" t="s">
        <v>201</v>
      </c>
      <c r="H51" s="3" t="s">
        <v>202</v>
      </c>
      <c r="I51" s="1" t="s">
        <v>220</v>
      </c>
      <c r="J51" s="1">
        <f t="shared" si="3"/>
        <v>14680514.396658756</v>
      </c>
      <c r="K51" s="12">
        <f t="shared" si="4"/>
        <v>14680514.396658756</v>
      </c>
      <c r="L51" s="35"/>
      <c r="M51" s="35"/>
    </row>
    <row r="52" spans="1:13" x14ac:dyDescent="0.2">
      <c r="A52" s="2" t="s">
        <v>61</v>
      </c>
      <c r="B52" s="1" t="s">
        <v>136</v>
      </c>
      <c r="C52" s="4">
        <v>21.180413317670599</v>
      </c>
      <c r="D52" s="1">
        <f t="shared" si="1"/>
        <v>4.0954475571945119</v>
      </c>
      <c r="E52">
        <f t="shared" si="2"/>
        <v>12457.977930932586</v>
      </c>
      <c r="F52" s="24">
        <v>7.6388888888888895E-2</v>
      </c>
      <c r="G52" s="3" t="s">
        <v>201</v>
      </c>
      <c r="H52" s="3" t="s">
        <v>202</v>
      </c>
      <c r="I52" s="1" t="s">
        <v>220</v>
      </c>
      <c r="J52" s="1">
        <f t="shared" si="3"/>
        <v>15572472.413665731</v>
      </c>
      <c r="K52" s="12">
        <f t="shared" si="4"/>
        <v>15572472.413665731</v>
      </c>
      <c r="L52" s="35"/>
      <c r="M52" s="35"/>
    </row>
    <row r="53" spans="1:13" x14ac:dyDescent="0.2">
      <c r="A53" s="2" t="s">
        <v>62</v>
      </c>
      <c r="B53" s="1" t="s">
        <v>137</v>
      </c>
      <c r="C53" s="4">
        <v>22.053950209472799</v>
      </c>
      <c r="D53" s="1">
        <f t="shared" si="1"/>
        <v>3.8562372340685971</v>
      </c>
      <c r="E53">
        <f t="shared" si="2"/>
        <v>7181.8649468402728</v>
      </c>
      <c r="F53" s="24">
        <v>7.6388888888888895E-2</v>
      </c>
      <c r="G53" s="3" t="s">
        <v>201</v>
      </c>
      <c r="H53" s="3" t="s">
        <v>202</v>
      </c>
      <c r="I53" s="1" t="s">
        <v>220</v>
      </c>
      <c r="J53" s="1">
        <f t="shared" si="3"/>
        <v>8977331.1835503411</v>
      </c>
      <c r="K53" s="12">
        <f t="shared" si="4"/>
        <v>8977331.1835503411</v>
      </c>
      <c r="L53" s="34">
        <f t="shared" ref="L53" si="9">AVERAGE(K53:K55)</f>
        <v>9212859.4352703523</v>
      </c>
      <c r="M53" s="35" t="s">
        <v>218</v>
      </c>
    </row>
    <row r="54" spans="1:13" x14ac:dyDescent="0.2">
      <c r="A54" s="2" t="s">
        <v>64</v>
      </c>
      <c r="B54" s="1" t="s">
        <v>137</v>
      </c>
      <c r="C54" s="4">
        <v>21.978996378795401</v>
      </c>
      <c r="D54" s="1">
        <f t="shared" si="1"/>
        <v>3.8767626752080946</v>
      </c>
      <c r="E54">
        <f t="shared" si="2"/>
        <v>7529.4399711725555</v>
      </c>
      <c r="F54" s="24">
        <v>7.6388888888888895E-2</v>
      </c>
      <c r="G54" s="3" t="s">
        <v>201</v>
      </c>
      <c r="H54" s="3" t="s">
        <v>202</v>
      </c>
      <c r="I54" s="1" t="s">
        <v>220</v>
      </c>
      <c r="J54" s="1">
        <f t="shared" si="3"/>
        <v>9411799.9639656954</v>
      </c>
      <c r="K54" s="12">
        <f t="shared" si="4"/>
        <v>9411799.9639656954</v>
      </c>
      <c r="L54" s="35"/>
      <c r="M54" s="35"/>
    </row>
    <row r="55" spans="1:13" x14ac:dyDescent="0.2">
      <c r="A55" s="2" t="s">
        <v>65</v>
      </c>
      <c r="B55" s="1" t="s">
        <v>137</v>
      </c>
      <c r="C55" s="4">
        <v>22.006592353114598</v>
      </c>
      <c r="D55" s="1">
        <f t="shared" si="1"/>
        <v>3.869205762619949</v>
      </c>
      <c r="E55">
        <f t="shared" si="2"/>
        <v>7399.557726636016</v>
      </c>
      <c r="F55" s="24">
        <v>7.6388888888888895E-2</v>
      </c>
      <c r="G55" s="3" t="s">
        <v>201</v>
      </c>
      <c r="H55" s="3" t="s">
        <v>202</v>
      </c>
      <c r="I55" s="1" t="s">
        <v>220</v>
      </c>
      <c r="J55" s="1">
        <f t="shared" si="3"/>
        <v>9249447.1582950186</v>
      </c>
      <c r="K55" s="12">
        <f t="shared" si="4"/>
        <v>9249447.1582950186</v>
      </c>
      <c r="L55" s="35"/>
      <c r="M55" s="35"/>
    </row>
    <row r="56" spans="1:13" x14ac:dyDescent="0.2">
      <c r="A56" s="2" t="s">
        <v>66</v>
      </c>
      <c r="B56" s="1" t="s">
        <v>138</v>
      </c>
      <c r="C56" s="4">
        <v>21.870196612347002</v>
      </c>
      <c r="D56" s="1">
        <f t="shared" si="1"/>
        <v>3.9065565253962089</v>
      </c>
      <c r="E56">
        <f t="shared" si="2"/>
        <v>8064.1115259297185</v>
      </c>
      <c r="F56" s="24">
        <v>7.6388888888888895E-2</v>
      </c>
      <c r="G56" s="3" t="s">
        <v>201</v>
      </c>
      <c r="H56" s="3" t="s">
        <v>202</v>
      </c>
      <c r="I56" s="1" t="s">
        <v>220</v>
      </c>
      <c r="J56" s="1">
        <f t="shared" si="3"/>
        <v>10080139.407412147</v>
      </c>
      <c r="K56" s="12">
        <f t="shared" si="4"/>
        <v>10080139.407412147</v>
      </c>
      <c r="L56" s="34">
        <f t="shared" ref="L56" si="10">AVERAGE(K56:K58)</f>
        <v>10228368.41849323</v>
      </c>
      <c r="M56" s="35" t="s">
        <v>218</v>
      </c>
    </row>
    <row r="57" spans="1:13" x14ac:dyDescent="0.2">
      <c r="A57" s="2" t="s">
        <v>68</v>
      </c>
      <c r="B57" s="1" t="s">
        <v>138</v>
      </c>
      <c r="C57" s="4">
        <v>21.833432219675601</v>
      </c>
      <c r="D57" s="1">
        <f t="shared" si="1"/>
        <v>3.9166241279588321</v>
      </c>
      <c r="E57">
        <f t="shared" si="2"/>
        <v>8253.2334171732437</v>
      </c>
      <c r="F57" s="24">
        <v>7.6388888888888895E-2</v>
      </c>
      <c r="G57" s="3" t="s">
        <v>201</v>
      </c>
      <c r="H57" s="3" t="s">
        <v>202</v>
      </c>
      <c r="I57" s="1" t="s">
        <v>220</v>
      </c>
      <c r="J57" s="1">
        <f t="shared" si="3"/>
        <v>10316541.771466555</v>
      </c>
      <c r="K57" s="12">
        <f t="shared" si="4"/>
        <v>10316541.771466555</v>
      </c>
      <c r="L57" s="35"/>
      <c r="M57" s="35"/>
    </row>
    <row r="58" spans="1:13" x14ac:dyDescent="0.2">
      <c r="A58" s="2" t="s">
        <v>69</v>
      </c>
      <c r="B58" s="1" t="s">
        <v>138</v>
      </c>
      <c r="C58" s="4">
        <v>21.837760583160399</v>
      </c>
      <c r="D58" s="1">
        <f t="shared" si="1"/>
        <v>3.9154388440429244</v>
      </c>
      <c r="E58">
        <f t="shared" si="2"/>
        <v>8230.7392612807907</v>
      </c>
      <c r="F58" s="24">
        <v>7.6388888888888895E-2</v>
      </c>
      <c r="G58" s="3" t="s">
        <v>201</v>
      </c>
      <c r="H58" s="3" t="s">
        <v>202</v>
      </c>
      <c r="I58" s="1" t="s">
        <v>220</v>
      </c>
      <c r="J58" s="1">
        <f t="shared" si="3"/>
        <v>10288424.076600987</v>
      </c>
      <c r="K58" s="12">
        <f t="shared" si="4"/>
        <v>10288424.076600987</v>
      </c>
      <c r="L58" s="35"/>
      <c r="M58" s="35"/>
    </row>
    <row r="59" spans="1:13" x14ac:dyDescent="0.2">
      <c r="A59" s="2" t="s">
        <v>70</v>
      </c>
      <c r="B59" s="1" t="s">
        <v>139</v>
      </c>
      <c r="C59" s="4">
        <v>21.298271053695402</v>
      </c>
      <c r="D59" s="1">
        <f t="shared" si="1"/>
        <v>4.0631732624486805</v>
      </c>
      <c r="E59">
        <f t="shared" si="2"/>
        <v>11565.7356695871</v>
      </c>
      <c r="F59" s="24">
        <v>7.6388888888888895E-2</v>
      </c>
      <c r="G59" s="3" t="s">
        <v>201</v>
      </c>
      <c r="H59" s="3" t="s">
        <v>202</v>
      </c>
      <c r="I59" s="1" t="s">
        <v>220</v>
      </c>
      <c r="J59" s="1">
        <f t="shared" si="3"/>
        <v>14457169.586983876</v>
      </c>
      <c r="K59" s="12">
        <f t="shared" si="4"/>
        <v>14457169.586983876</v>
      </c>
      <c r="L59" s="34">
        <f t="shared" ref="L59" si="11">AVERAGE(K59:K61)</f>
        <v>12165066.222352875</v>
      </c>
      <c r="M59" s="35" t="s">
        <v>218</v>
      </c>
    </row>
    <row r="60" spans="1:13" x14ac:dyDescent="0.2">
      <c r="A60" s="2" t="s">
        <v>72</v>
      </c>
      <c r="B60" s="1" t="s">
        <v>139</v>
      </c>
      <c r="C60" s="4">
        <v>21.478998799192901</v>
      </c>
      <c r="D60" s="1">
        <f t="shared" si="1"/>
        <v>4.0136825737279294</v>
      </c>
      <c r="E60">
        <f t="shared" si="2"/>
        <v>10320.068352066779</v>
      </c>
      <c r="F60" s="24">
        <v>7.6388888888888895E-2</v>
      </c>
      <c r="G60" s="3" t="s">
        <v>201</v>
      </c>
      <c r="H60" s="3" t="s">
        <v>202</v>
      </c>
      <c r="I60" s="1" t="s">
        <v>220</v>
      </c>
      <c r="J60" s="1">
        <f t="shared" si="3"/>
        <v>12900085.440083474</v>
      </c>
      <c r="K60" s="12">
        <f t="shared" si="4"/>
        <v>12900085.440083474</v>
      </c>
      <c r="L60" s="35"/>
      <c r="M60" s="35"/>
    </row>
    <row r="61" spans="1:13" x14ac:dyDescent="0.2">
      <c r="A61" s="2" t="s">
        <v>73</v>
      </c>
      <c r="B61" s="1" t="s">
        <v>139</v>
      </c>
      <c r="C61" s="4">
        <v>22.0258272307805</v>
      </c>
      <c r="D61" s="1">
        <f t="shared" si="1"/>
        <v>3.8639384621259136</v>
      </c>
      <c r="E61">
        <f t="shared" si="2"/>
        <v>7310.3549119930185</v>
      </c>
      <c r="F61" s="24">
        <v>7.6388888888888895E-2</v>
      </c>
      <c r="G61" s="3" t="s">
        <v>201</v>
      </c>
      <c r="H61" s="3" t="s">
        <v>202</v>
      </c>
      <c r="I61" s="1" t="s">
        <v>220</v>
      </c>
      <c r="J61" s="1">
        <f t="shared" si="3"/>
        <v>9137943.6399912741</v>
      </c>
      <c r="K61" s="12">
        <f t="shared" si="4"/>
        <v>9137943.6399912741</v>
      </c>
      <c r="L61" s="35"/>
      <c r="M61" s="35"/>
    </row>
    <row r="62" spans="1:13" x14ac:dyDescent="0.2">
      <c r="A62" s="2" t="s">
        <v>74</v>
      </c>
      <c r="B62" s="1" t="s">
        <v>140</v>
      </c>
      <c r="C62" s="4">
        <v>21.5766585223761</v>
      </c>
      <c r="D62" s="1">
        <f t="shared" si="1"/>
        <v>3.9869393254939096</v>
      </c>
      <c r="E62">
        <f t="shared" si="2"/>
        <v>9703.7438850297858</v>
      </c>
      <c r="F62" s="24">
        <v>7.6388888888888895E-2</v>
      </c>
      <c r="G62" s="3" t="s">
        <v>201</v>
      </c>
      <c r="H62" s="3" t="s">
        <v>202</v>
      </c>
      <c r="I62" s="1" t="s">
        <v>220</v>
      </c>
      <c r="J62" s="1">
        <f t="shared" si="3"/>
        <v>12129679.856287232</v>
      </c>
      <c r="K62" s="12">
        <f t="shared" si="4"/>
        <v>12129679.856287232</v>
      </c>
      <c r="L62" s="34">
        <f t="shared" ref="L62" si="12">AVERAGE(K62:K64)</f>
        <v>11877552.549650671</v>
      </c>
      <c r="M62" s="35" t="s">
        <v>218</v>
      </c>
    </row>
    <row r="63" spans="1:13" x14ac:dyDescent="0.2">
      <c r="A63" s="2" t="s">
        <v>76</v>
      </c>
      <c r="B63" s="1" t="s">
        <v>140</v>
      </c>
      <c r="C63" s="4">
        <v>21.6256071944842</v>
      </c>
      <c r="D63" s="1">
        <f t="shared" si="1"/>
        <v>3.9735351661716787</v>
      </c>
      <c r="E63">
        <f t="shared" si="2"/>
        <v>9408.820130880189</v>
      </c>
      <c r="F63" s="24">
        <v>7.6388888888888895E-2</v>
      </c>
      <c r="G63" s="3" t="s">
        <v>201</v>
      </c>
      <c r="H63" s="3" t="s">
        <v>202</v>
      </c>
      <c r="I63" s="1" t="s">
        <v>220</v>
      </c>
      <c r="J63" s="1">
        <f t="shared" si="3"/>
        <v>11761025.163600236</v>
      </c>
      <c r="K63" s="12">
        <f t="shared" si="4"/>
        <v>11761025.163600236</v>
      </c>
      <c r="L63" s="35"/>
      <c r="M63" s="35"/>
    </row>
    <row r="64" spans="1:13" x14ac:dyDescent="0.2">
      <c r="A64" s="2" t="s">
        <v>77</v>
      </c>
      <c r="B64" s="1" t="s">
        <v>140</v>
      </c>
      <c r="C64" s="4">
        <v>21.6281811512949</v>
      </c>
      <c r="D64" s="1">
        <f t="shared" si="1"/>
        <v>3.9728303109489884</v>
      </c>
      <c r="E64">
        <f t="shared" si="2"/>
        <v>9393.5621032516374</v>
      </c>
      <c r="F64" s="24">
        <v>7.6388888888888895E-2</v>
      </c>
      <c r="G64" s="3" t="s">
        <v>201</v>
      </c>
      <c r="H64" s="3" t="s">
        <v>202</v>
      </c>
      <c r="I64" s="1" t="s">
        <v>220</v>
      </c>
      <c r="J64" s="1">
        <f t="shared" si="3"/>
        <v>11741952.629064547</v>
      </c>
      <c r="K64" s="12">
        <f t="shared" si="4"/>
        <v>11741952.629064547</v>
      </c>
      <c r="L64" s="35"/>
      <c r="M64" s="35"/>
    </row>
    <row r="65" spans="1:13" x14ac:dyDescent="0.2">
      <c r="A65" s="2" t="s">
        <v>78</v>
      </c>
      <c r="B65" s="1" t="s">
        <v>141</v>
      </c>
      <c r="C65" s="4">
        <v>22.083772511515601</v>
      </c>
      <c r="D65" s="1">
        <f t="shared" si="1"/>
        <v>3.8480706613972364</v>
      </c>
      <c r="E65">
        <f t="shared" si="2"/>
        <v>7048.0773459164375</v>
      </c>
      <c r="F65" s="24">
        <v>7.6388888888888895E-2</v>
      </c>
      <c r="G65" s="3" t="s">
        <v>201</v>
      </c>
      <c r="H65" s="3" t="s">
        <v>202</v>
      </c>
      <c r="I65" s="1" t="s">
        <v>220</v>
      </c>
      <c r="J65" s="1">
        <f t="shared" si="3"/>
        <v>8810096.6823955476</v>
      </c>
      <c r="K65" s="12">
        <f t="shared" si="4"/>
        <v>8810096.6823955476</v>
      </c>
      <c r="L65" s="34">
        <f t="shared" ref="L65" si="13">AVERAGE(K65:K67)</f>
        <v>8571706.083974665</v>
      </c>
      <c r="M65" s="35" t="s">
        <v>218</v>
      </c>
    </row>
    <row r="66" spans="1:13" x14ac:dyDescent="0.2">
      <c r="A66" s="2" t="s">
        <v>80</v>
      </c>
      <c r="B66" s="1" t="s">
        <v>141</v>
      </c>
      <c r="C66" s="4">
        <v>22.1787468365265</v>
      </c>
      <c r="D66" s="1">
        <f t="shared" si="1"/>
        <v>3.8220627856134768</v>
      </c>
      <c r="E66">
        <f t="shared" si="2"/>
        <v>6638.3903415485029</v>
      </c>
      <c r="F66" s="24">
        <v>7.6388888888888895E-2</v>
      </c>
      <c r="G66" s="3" t="s">
        <v>201</v>
      </c>
      <c r="H66" s="3" t="s">
        <v>202</v>
      </c>
      <c r="I66" s="1" t="s">
        <v>220</v>
      </c>
      <c r="J66" s="1">
        <f t="shared" si="3"/>
        <v>8297987.926935629</v>
      </c>
      <c r="K66" s="12">
        <f t="shared" si="4"/>
        <v>8297987.926935629</v>
      </c>
      <c r="L66" s="35"/>
      <c r="M66" s="35"/>
    </row>
    <row r="67" spans="1:13" x14ac:dyDescent="0.2">
      <c r="A67" s="2" t="s">
        <v>81</v>
      </c>
      <c r="B67" s="1" t="s">
        <v>141</v>
      </c>
      <c r="C67" s="4">
        <v>22.120754443949199</v>
      </c>
      <c r="D67" s="1">
        <f t="shared" si="1"/>
        <v>3.8379434875019123</v>
      </c>
      <c r="E67">
        <f t="shared" si="2"/>
        <v>6885.6269140742561</v>
      </c>
      <c r="F67" s="24">
        <v>7.6388888888888895E-2</v>
      </c>
      <c r="G67" s="3" t="s">
        <v>201</v>
      </c>
      <c r="H67" s="3" t="s">
        <v>202</v>
      </c>
      <c r="I67" s="1" t="s">
        <v>220</v>
      </c>
      <c r="J67" s="1">
        <f t="shared" si="3"/>
        <v>8607033.6425928194</v>
      </c>
      <c r="K67" s="12">
        <f t="shared" si="4"/>
        <v>8607033.6425928194</v>
      </c>
      <c r="L67" s="35"/>
      <c r="M67" s="35"/>
    </row>
    <row r="68" spans="1:13" x14ac:dyDescent="0.2">
      <c r="A68" s="2" t="s">
        <v>82</v>
      </c>
      <c r="B68" s="1" t="s">
        <v>142</v>
      </c>
      <c r="C68" s="4">
        <v>21.1909682661313</v>
      </c>
      <c r="D68" s="1">
        <f t="shared" si="1"/>
        <v>4.0925571782585379</v>
      </c>
      <c r="E68">
        <f t="shared" si="2"/>
        <v>12375.341102357525</v>
      </c>
      <c r="F68" s="24">
        <v>7.6388888888888895E-2</v>
      </c>
      <c r="G68" s="3" t="s">
        <v>201</v>
      </c>
      <c r="H68" s="3" t="s">
        <v>202</v>
      </c>
      <c r="I68" s="1" t="s">
        <v>220</v>
      </c>
      <c r="J68" s="1">
        <f t="shared" si="3"/>
        <v>15469176.377946906</v>
      </c>
      <c r="K68" s="12">
        <f t="shared" si="4"/>
        <v>15469176.377946906</v>
      </c>
      <c r="L68" s="34">
        <f t="shared" ref="L68" si="14">AVERAGE(K68:K70)</f>
        <v>12907367.423237788</v>
      </c>
      <c r="M68" s="35" t="s">
        <v>218</v>
      </c>
    </row>
    <row r="69" spans="1:13" x14ac:dyDescent="0.2">
      <c r="A69" s="2" t="s">
        <v>84</v>
      </c>
      <c r="B69" s="1" t="s">
        <v>142</v>
      </c>
      <c r="C69" s="4">
        <v>21.570076579276702</v>
      </c>
      <c r="D69" s="1">
        <f t="shared" si="1"/>
        <v>3.9887417321814569</v>
      </c>
      <c r="E69">
        <f t="shared" si="2"/>
        <v>9744.0999970911398</v>
      </c>
      <c r="F69" s="24">
        <v>7.6388888888888895E-2</v>
      </c>
      <c r="G69" s="3" t="s">
        <v>201</v>
      </c>
      <c r="H69" s="3" t="s">
        <v>202</v>
      </c>
      <c r="I69" s="1" t="s">
        <v>220</v>
      </c>
      <c r="J69" s="1">
        <f t="shared" si="3"/>
        <v>12180124.996363925</v>
      </c>
      <c r="K69" s="12">
        <f t="shared" si="4"/>
        <v>12180124.996363925</v>
      </c>
      <c r="L69" s="35"/>
      <c r="M69" s="35"/>
    </row>
    <row r="70" spans="1:13" x14ac:dyDescent="0.2">
      <c r="A70" s="2" t="s">
        <v>85</v>
      </c>
      <c r="B70" s="1" t="s">
        <v>142</v>
      </c>
      <c r="C70" s="4">
        <v>21.7212381507447</v>
      </c>
      <c r="D70" s="1">
        <f t="shared" si="1"/>
        <v>3.9473474777493629</v>
      </c>
      <c r="E70">
        <f t="shared" si="2"/>
        <v>8858.2407163220305</v>
      </c>
      <c r="F70" s="24">
        <v>7.6388888888888895E-2</v>
      </c>
      <c r="G70" s="3" t="s">
        <v>201</v>
      </c>
      <c r="H70" s="3" t="s">
        <v>202</v>
      </c>
      <c r="I70" s="1" t="s">
        <v>220</v>
      </c>
      <c r="J70" s="1">
        <f t="shared" si="3"/>
        <v>11072800.895402538</v>
      </c>
      <c r="K70" s="12">
        <f t="shared" si="4"/>
        <v>11072800.895402538</v>
      </c>
      <c r="L70" s="35"/>
      <c r="M70" s="35"/>
    </row>
    <row r="71" spans="1:13" x14ac:dyDescent="0.2">
      <c r="A71" s="2" t="s">
        <v>86</v>
      </c>
      <c r="B71" s="1" t="s">
        <v>143</v>
      </c>
      <c r="C71" s="4">
        <v>22.044936229258401</v>
      </c>
      <c r="D71" s="1">
        <f t="shared" si="1"/>
        <v>3.8587056325300386</v>
      </c>
      <c r="E71">
        <f t="shared" si="2"/>
        <v>7222.8007177592972</v>
      </c>
      <c r="F71" s="24">
        <v>7.6388888888888895E-2</v>
      </c>
      <c r="G71" s="3" t="s">
        <v>201</v>
      </c>
      <c r="H71" s="3" t="s">
        <v>202</v>
      </c>
      <c r="I71" s="1" t="s">
        <v>220</v>
      </c>
      <c r="J71" s="1">
        <f t="shared" si="3"/>
        <v>9028500.8971991222</v>
      </c>
      <c r="K71" s="12">
        <f t="shared" si="4"/>
        <v>9028500.8971991222</v>
      </c>
      <c r="L71" s="34">
        <f t="shared" ref="L71" si="15">AVERAGE(K71:K73)</f>
        <v>9061432.7001394555</v>
      </c>
      <c r="M71" s="35" t="s">
        <v>218</v>
      </c>
    </row>
    <row r="72" spans="1:13" x14ac:dyDescent="0.2">
      <c r="A72" s="2" t="s">
        <v>88</v>
      </c>
      <c r="B72" s="1" t="s">
        <v>143</v>
      </c>
      <c r="C72" s="4">
        <v>22.068810073518701</v>
      </c>
      <c r="D72" s="1">
        <f t="shared" si="1"/>
        <v>3.8521679922158643</v>
      </c>
      <c r="E72">
        <f t="shared" si="2"/>
        <v>7114.8867589959027</v>
      </c>
      <c r="F72" s="24">
        <v>7.6388888888888895E-2</v>
      </c>
      <c r="G72" s="3" t="s">
        <v>201</v>
      </c>
      <c r="H72" s="3" t="s">
        <v>202</v>
      </c>
      <c r="I72" s="1" t="s">
        <v>220</v>
      </c>
      <c r="J72" s="1">
        <f t="shared" si="3"/>
        <v>8893608.4487448782</v>
      </c>
      <c r="K72" s="12">
        <f t="shared" si="4"/>
        <v>8893608.4487448782</v>
      </c>
      <c r="L72" s="35"/>
      <c r="M72" s="35"/>
    </row>
    <row r="73" spans="1:13" x14ac:dyDescent="0.2">
      <c r="A73" s="2" t="s">
        <v>89</v>
      </c>
      <c r="B73" s="1" t="s">
        <v>143</v>
      </c>
      <c r="C73" s="4">
        <v>22.004409146965799</v>
      </c>
      <c r="D73" s="1">
        <f t="shared" si="1"/>
        <v>3.8698036142427088</v>
      </c>
      <c r="E73">
        <f t="shared" si="2"/>
        <v>7409.7510035794903</v>
      </c>
      <c r="F73" s="24">
        <v>7.6388888888888895E-2</v>
      </c>
      <c r="G73" s="3" t="s">
        <v>201</v>
      </c>
      <c r="H73" s="3" t="s">
        <v>202</v>
      </c>
      <c r="I73" s="1" t="s">
        <v>220</v>
      </c>
      <c r="J73" s="1">
        <f t="shared" si="3"/>
        <v>9262188.7544743624</v>
      </c>
      <c r="K73" s="12">
        <f t="shared" si="4"/>
        <v>9262188.7544743624</v>
      </c>
      <c r="L73" s="35"/>
      <c r="M73" s="35"/>
    </row>
    <row r="74" spans="1:13" x14ac:dyDescent="0.2">
      <c r="A74" s="2" t="s">
        <v>90</v>
      </c>
      <c r="B74" s="1" t="s">
        <v>144</v>
      </c>
      <c r="C74" s="4">
        <v>21.726896131461199</v>
      </c>
      <c r="D74" s="1">
        <f t="shared" si="1"/>
        <v>3.9457980899580334</v>
      </c>
      <c r="E74">
        <f t="shared" si="2"/>
        <v>8826.6943870237883</v>
      </c>
      <c r="F74" s="24">
        <v>7.6388888888888895E-2</v>
      </c>
      <c r="G74" s="3" t="s">
        <v>201</v>
      </c>
      <c r="H74" s="3" t="s">
        <v>202</v>
      </c>
      <c r="I74" s="1" t="s">
        <v>220</v>
      </c>
      <c r="J74" s="1">
        <f t="shared" si="3"/>
        <v>11033367.983779736</v>
      </c>
      <c r="K74" s="12">
        <f t="shared" si="4"/>
        <v>11033367.983779736</v>
      </c>
      <c r="L74" s="34">
        <f t="shared" ref="L74" si="16">AVERAGE(K74:K76)</f>
        <v>10407511.078466259</v>
      </c>
      <c r="M74" s="35" t="s">
        <v>218</v>
      </c>
    </row>
    <row r="75" spans="1:13" x14ac:dyDescent="0.2">
      <c r="A75" s="2" t="s">
        <v>92</v>
      </c>
      <c r="B75" s="1" t="s">
        <v>144</v>
      </c>
      <c r="C75" s="4">
        <v>21.865463453637801</v>
      </c>
      <c r="D75" s="1">
        <f t="shared" si="1"/>
        <v>3.9078526588908091</v>
      </c>
      <c r="E75">
        <f t="shared" si="2"/>
        <v>8088.2144745946989</v>
      </c>
      <c r="F75" s="24">
        <v>7.6388888888888895E-2</v>
      </c>
      <c r="G75" s="3" t="s">
        <v>201</v>
      </c>
      <c r="H75" s="3" t="s">
        <v>202</v>
      </c>
      <c r="I75" s="1" t="s">
        <v>220</v>
      </c>
      <c r="J75" s="1">
        <f t="shared" si="3"/>
        <v>10110268.093243374</v>
      </c>
      <c r="K75" s="12">
        <f t="shared" si="4"/>
        <v>10110268.093243374</v>
      </c>
      <c r="L75" s="35"/>
      <c r="M75" s="35"/>
    </row>
    <row r="76" spans="1:13" x14ac:dyDescent="0.2">
      <c r="A76" s="2" t="s">
        <v>93</v>
      </c>
      <c r="B76" s="1" t="s">
        <v>144</v>
      </c>
      <c r="C76" s="4">
        <v>21.870392070835901</v>
      </c>
      <c r="D76" s="1">
        <f t="shared" si="1"/>
        <v>3.906503000824177</v>
      </c>
      <c r="E76">
        <f t="shared" si="2"/>
        <v>8063.1177267005314</v>
      </c>
      <c r="F76" s="24">
        <v>7.6388888888888895E-2</v>
      </c>
      <c r="G76" s="3" t="s">
        <v>201</v>
      </c>
      <c r="H76" s="3" t="s">
        <v>202</v>
      </c>
      <c r="I76" s="1" t="s">
        <v>220</v>
      </c>
      <c r="J76" s="1">
        <f t="shared" si="3"/>
        <v>10078897.158375666</v>
      </c>
      <c r="K76" s="12">
        <f t="shared" si="4"/>
        <v>10078897.158375666</v>
      </c>
      <c r="L76" s="35"/>
      <c r="M76" s="35"/>
    </row>
    <row r="77" spans="1:13" x14ac:dyDescent="0.2">
      <c r="A77" s="2" t="s">
        <v>94</v>
      </c>
      <c r="B77" s="1" t="s">
        <v>145</v>
      </c>
      <c r="C77" s="4">
        <v>21.717058070080999</v>
      </c>
      <c r="D77" s="1">
        <f t="shared" si="1"/>
        <v>3.9484921557310715</v>
      </c>
      <c r="E77">
        <f t="shared" si="2"/>
        <v>8881.6193410763135</v>
      </c>
      <c r="F77" s="24">
        <v>7.6388888888888895E-2</v>
      </c>
      <c r="G77" s="3" t="s">
        <v>201</v>
      </c>
      <c r="H77" s="3" t="s">
        <v>202</v>
      </c>
      <c r="I77" s="1" t="s">
        <v>220</v>
      </c>
      <c r="J77" s="1">
        <f t="shared" si="3"/>
        <v>11102024.176345391</v>
      </c>
      <c r="K77" s="12">
        <f t="shared" si="4"/>
        <v>11102024.176345391</v>
      </c>
      <c r="L77" s="34">
        <f t="shared" ref="L77" si="17">AVERAGE(K77:K79)</f>
        <v>11262072.197779646</v>
      </c>
      <c r="M77" s="35" t="s">
        <v>218</v>
      </c>
    </row>
    <row r="78" spans="1:13" x14ac:dyDescent="0.2">
      <c r="A78" s="2" t="s">
        <v>96</v>
      </c>
      <c r="B78" s="1" t="s">
        <v>145</v>
      </c>
      <c r="C78" s="4">
        <v>21.650508727034499</v>
      </c>
      <c r="D78" s="1">
        <f t="shared" si="1"/>
        <v>3.9667161025424393</v>
      </c>
      <c r="E78">
        <f t="shared" si="2"/>
        <v>9262.2415451152738</v>
      </c>
      <c r="F78" s="24">
        <v>7.6388888888888895E-2</v>
      </c>
      <c r="G78" s="3" t="s">
        <v>201</v>
      </c>
      <c r="H78" s="3" t="s">
        <v>202</v>
      </c>
      <c r="I78" s="1" t="s">
        <v>220</v>
      </c>
      <c r="J78" s="1">
        <f t="shared" si="3"/>
        <v>11577801.931394093</v>
      </c>
      <c r="K78" s="12">
        <f t="shared" si="4"/>
        <v>11577801.931394093</v>
      </c>
      <c r="L78" s="35"/>
      <c r="M78" s="35"/>
    </row>
    <row r="79" spans="1:13" x14ac:dyDescent="0.2">
      <c r="A79" s="2" t="s">
        <v>97</v>
      </c>
      <c r="B79" s="1" t="s">
        <v>145</v>
      </c>
      <c r="C79" s="4">
        <v>21.7164344607848</v>
      </c>
      <c r="D79" s="1">
        <f t="shared" si="1"/>
        <v>3.9486629256008365</v>
      </c>
      <c r="E79">
        <f t="shared" si="2"/>
        <v>8885.1123884795579</v>
      </c>
      <c r="F79" s="24">
        <v>7.6388888888888895E-2</v>
      </c>
      <c r="G79" s="3" t="s">
        <v>201</v>
      </c>
      <c r="H79" s="3" t="s">
        <v>202</v>
      </c>
      <c r="I79" s="1" t="s">
        <v>220</v>
      </c>
      <c r="J79" s="1">
        <f t="shared" si="3"/>
        <v>11106390.485599447</v>
      </c>
      <c r="K79" s="12">
        <f t="shared" si="4"/>
        <v>11106390.485599447</v>
      </c>
      <c r="L79" s="35"/>
      <c r="M79" s="35"/>
    </row>
    <row r="80" spans="1:13" x14ac:dyDescent="0.2">
      <c r="A80" s="2" t="s">
        <v>98</v>
      </c>
      <c r="B80" s="1" t="s">
        <v>146</v>
      </c>
      <c r="C80" s="4">
        <v>21.501477620568199</v>
      </c>
      <c r="D80" s="1">
        <f t="shared" si="1"/>
        <v>4.0075269480467046</v>
      </c>
      <c r="E80">
        <f t="shared" si="2"/>
        <v>10174.824991845626</v>
      </c>
      <c r="F80" s="24">
        <v>7.6388888888888895E-2</v>
      </c>
      <c r="G80" s="3" t="s">
        <v>201</v>
      </c>
      <c r="H80" s="3" t="s">
        <v>202</v>
      </c>
      <c r="I80" s="1" t="s">
        <v>221</v>
      </c>
      <c r="J80" s="1">
        <f>(E80*50*50)/2.5</f>
        <v>10174824.991845626</v>
      </c>
      <c r="K80" s="12">
        <f t="shared" si="4"/>
        <v>10174824.991845626</v>
      </c>
      <c r="L80" s="34">
        <f t="shared" ref="L80" si="18">AVERAGE(K80:K82)</f>
        <v>9577922.4080619663</v>
      </c>
      <c r="M80" s="35" t="s">
        <v>218</v>
      </c>
    </row>
    <row r="81" spans="1:13" x14ac:dyDescent="0.2">
      <c r="A81" s="2" t="s">
        <v>100</v>
      </c>
      <c r="B81" s="1" t="s">
        <v>146</v>
      </c>
      <c r="C81" s="4">
        <v>21.582165078563101</v>
      </c>
      <c r="D81" s="1">
        <f t="shared" si="1"/>
        <v>3.9854314039657348</v>
      </c>
      <c r="E81">
        <f t="shared" si="2"/>
        <v>9670.109769381359</v>
      </c>
      <c r="F81" s="24">
        <v>7.6388888888888895E-2</v>
      </c>
      <c r="G81" s="3" t="s">
        <v>201</v>
      </c>
      <c r="H81" s="3" t="s">
        <v>202</v>
      </c>
      <c r="I81" s="1" t="s">
        <v>221</v>
      </c>
      <c r="J81" s="1">
        <f t="shared" ref="J81:J82" si="19">(E81*50*50)/2.5</f>
        <v>9670109.7693813592</v>
      </c>
      <c r="K81" s="12">
        <f t="shared" si="4"/>
        <v>9670109.7693813592</v>
      </c>
      <c r="L81" s="35"/>
      <c r="M81" s="35"/>
    </row>
    <row r="82" spans="1:13" x14ac:dyDescent="0.2">
      <c r="A82" s="2" t="s">
        <v>101</v>
      </c>
      <c r="B82" s="1" t="s">
        <v>146</v>
      </c>
      <c r="C82" s="4">
        <v>21.7157705901583</v>
      </c>
      <c r="D82" s="1">
        <f t="shared" si="1"/>
        <v>3.9488447206784905</v>
      </c>
      <c r="E82">
        <f t="shared" si="2"/>
        <v>8888.8324629589133</v>
      </c>
      <c r="F82" s="24">
        <v>7.6388888888888895E-2</v>
      </c>
      <c r="G82" s="3" t="s">
        <v>201</v>
      </c>
      <c r="H82" s="3" t="s">
        <v>202</v>
      </c>
      <c r="I82" s="1" t="s">
        <v>221</v>
      </c>
      <c r="J82" s="1">
        <f t="shared" si="19"/>
        <v>8888832.4629589133</v>
      </c>
      <c r="K82" s="12">
        <f t="shared" si="4"/>
        <v>8888832.4629589133</v>
      </c>
      <c r="L82" s="35"/>
      <c r="M82" s="35"/>
    </row>
    <row r="83" spans="1:13" x14ac:dyDescent="0.2">
      <c r="A83" s="2" t="s">
        <v>102</v>
      </c>
      <c r="B83" s="1" t="s">
        <v>147</v>
      </c>
      <c r="C83" s="4">
        <v>20.641611657480599</v>
      </c>
      <c r="D83" s="1">
        <f t="shared" si="1"/>
        <v>4.2429936087057678</v>
      </c>
      <c r="E83">
        <f t="shared" si="2"/>
        <v>17498.209371974102</v>
      </c>
      <c r="F83" s="24">
        <v>7.6388888888888895E-2</v>
      </c>
      <c r="G83" s="3" t="s">
        <v>201</v>
      </c>
      <c r="H83" s="3" t="s">
        <v>202</v>
      </c>
      <c r="I83" s="1" t="s">
        <v>220</v>
      </c>
      <c r="J83" s="1">
        <f t="shared" si="3"/>
        <v>21872761.714967627</v>
      </c>
      <c r="K83" s="12">
        <f t="shared" si="4"/>
        <v>21872761.714967627</v>
      </c>
      <c r="L83" s="34">
        <f t="shared" ref="L83" si="20">AVERAGE(K83:K85)</f>
        <v>18920442.952935353</v>
      </c>
      <c r="M83" s="35" t="s">
        <v>218</v>
      </c>
    </row>
    <row r="84" spans="1:13" x14ac:dyDescent="0.2">
      <c r="A84" s="2" t="s">
        <v>104</v>
      </c>
      <c r="B84" s="1" t="s">
        <v>147</v>
      </c>
      <c r="C84" s="4">
        <v>20.930204150670701</v>
      </c>
      <c r="D84" s="1">
        <f t="shared" si="1"/>
        <v>4.1639651163826876</v>
      </c>
      <c r="E84">
        <f t="shared" si="2"/>
        <v>14586.970893767857</v>
      </c>
      <c r="F84" s="24">
        <v>7.6388888888888895E-2</v>
      </c>
      <c r="G84" s="3" t="s">
        <v>201</v>
      </c>
      <c r="H84" s="3" t="s">
        <v>202</v>
      </c>
      <c r="I84" s="1" t="s">
        <v>220</v>
      </c>
      <c r="J84" s="1">
        <f t="shared" si="3"/>
        <v>18233713.617209822</v>
      </c>
      <c r="K84" s="12">
        <f t="shared" si="4"/>
        <v>18233713.617209822</v>
      </c>
      <c r="L84" s="35"/>
      <c r="M84" s="35"/>
    </row>
    <row r="85" spans="1:13" x14ac:dyDescent="0.2">
      <c r="A85" s="2" t="s">
        <v>105</v>
      </c>
      <c r="B85" s="1" t="s">
        <v>147</v>
      </c>
      <c r="C85" s="4">
        <v>21.073843321545201</v>
      </c>
      <c r="D85" s="1">
        <f t="shared" si="1"/>
        <v>4.124630804574128</v>
      </c>
      <c r="E85">
        <f t="shared" si="2"/>
        <v>13323.882821302894</v>
      </c>
      <c r="F85" s="24">
        <v>7.6388888888888895E-2</v>
      </c>
      <c r="G85" s="3" t="s">
        <v>201</v>
      </c>
      <c r="H85" s="3" t="s">
        <v>202</v>
      </c>
      <c r="I85" s="1" t="s">
        <v>220</v>
      </c>
      <c r="J85" s="1">
        <f t="shared" si="3"/>
        <v>16654853.526628617</v>
      </c>
      <c r="K85" s="12">
        <f t="shared" si="4"/>
        <v>16654853.526628617</v>
      </c>
      <c r="L85" s="35"/>
      <c r="M85" s="35"/>
    </row>
    <row r="86" spans="1:13" x14ac:dyDescent="0.2">
      <c r="A86" s="2" t="s">
        <v>106</v>
      </c>
      <c r="B86" s="1" t="s">
        <v>148</v>
      </c>
      <c r="C86" s="4">
        <v>22.530183039395201</v>
      </c>
      <c r="D86" s="1">
        <f t="shared" si="1"/>
        <v>3.7258251012806181</v>
      </c>
      <c r="E86">
        <f t="shared" si="2"/>
        <v>5318.9401220640193</v>
      </c>
      <c r="F86" s="24">
        <v>7.6388888888888895E-2</v>
      </c>
      <c r="G86" s="3" t="s">
        <v>201</v>
      </c>
      <c r="H86" s="3" t="s">
        <v>202</v>
      </c>
      <c r="I86" s="1" t="s">
        <v>220</v>
      </c>
      <c r="J86" s="1">
        <f t="shared" si="3"/>
        <v>6648675.1525800237</v>
      </c>
      <c r="K86" s="12">
        <f t="shared" si="4"/>
        <v>6648675.1525800237</v>
      </c>
      <c r="L86" s="34">
        <f t="shared" ref="L86" si="21">AVERAGE(K86:K88)</f>
        <v>6733757.6368144667</v>
      </c>
      <c r="M86" s="35" t="s">
        <v>218</v>
      </c>
    </row>
    <row r="87" spans="1:13" x14ac:dyDescent="0.2">
      <c r="A87" s="2" t="s">
        <v>108</v>
      </c>
      <c r="B87" s="1" t="s">
        <v>148</v>
      </c>
      <c r="C87" s="4">
        <v>22.454008168024298</v>
      </c>
      <c r="D87" s="1">
        <f t="shared" si="1"/>
        <v>3.7466849135744242</v>
      </c>
      <c r="E87">
        <f t="shared" si="2"/>
        <v>5580.6516412456176</v>
      </c>
      <c r="F87" s="24">
        <v>7.6388888888888895E-2</v>
      </c>
      <c r="G87" s="3" t="s">
        <v>201</v>
      </c>
      <c r="H87" s="3" t="s">
        <v>202</v>
      </c>
      <c r="I87" s="1" t="s">
        <v>220</v>
      </c>
      <c r="J87" s="1">
        <f t="shared" si="3"/>
        <v>6975814.5515570212</v>
      </c>
      <c r="K87" s="12">
        <f t="shared" si="4"/>
        <v>6975814.5515570212</v>
      </c>
      <c r="L87" s="35"/>
      <c r="M87" s="35"/>
    </row>
    <row r="88" spans="1:13" x14ac:dyDescent="0.2">
      <c r="A88" s="2" t="s">
        <v>109</v>
      </c>
      <c r="B88" s="1" t="s">
        <v>148</v>
      </c>
      <c r="C88" s="4">
        <v>22.547425110298899</v>
      </c>
      <c r="D88" s="1">
        <f t="shared" si="1"/>
        <v>3.7211035132275661</v>
      </c>
      <c r="E88">
        <f t="shared" si="2"/>
        <v>5261.4265650450825</v>
      </c>
      <c r="F88" s="24">
        <v>7.6388888888888895E-2</v>
      </c>
      <c r="G88" s="3" t="s">
        <v>201</v>
      </c>
      <c r="H88" s="3" t="s">
        <v>202</v>
      </c>
      <c r="I88" s="1" t="s">
        <v>220</v>
      </c>
      <c r="J88" s="1">
        <f t="shared" si="3"/>
        <v>6576783.2063063532</v>
      </c>
      <c r="K88" s="12">
        <f t="shared" si="4"/>
        <v>6576783.2063063532</v>
      </c>
      <c r="L88" s="35"/>
      <c r="M88" s="35"/>
    </row>
    <row r="89" spans="1:13" x14ac:dyDescent="0.2">
      <c r="A89" s="2" t="s">
        <v>110</v>
      </c>
      <c r="B89" s="1" t="s">
        <v>149</v>
      </c>
      <c r="C89" s="4">
        <v>22.080258941050499</v>
      </c>
      <c r="D89" s="1">
        <f t="shared" si="1"/>
        <v>3.8490328214779042</v>
      </c>
      <c r="E89">
        <f t="shared" si="2"/>
        <v>7063.7093569649342</v>
      </c>
      <c r="F89" s="24">
        <v>7.6388888888888895E-2</v>
      </c>
      <c r="G89" s="3" t="s">
        <v>201</v>
      </c>
      <c r="H89" s="3" t="s">
        <v>202</v>
      </c>
      <c r="I89" s="1" t="s">
        <v>220</v>
      </c>
      <c r="J89" s="1">
        <f t="shared" si="3"/>
        <v>8829636.6962061673</v>
      </c>
      <c r="K89" s="12">
        <f t="shared" si="4"/>
        <v>8829636.6962061673</v>
      </c>
      <c r="L89" s="34">
        <f t="shared" ref="L89" si="22">AVERAGE(K89:K91)</f>
        <v>8660725.996944448</v>
      </c>
      <c r="M89" s="35" t="s">
        <v>218</v>
      </c>
    </row>
    <row r="90" spans="1:13" x14ac:dyDescent="0.2">
      <c r="A90" s="2" t="s">
        <v>112</v>
      </c>
      <c r="B90" s="1" t="s">
        <v>149</v>
      </c>
      <c r="C90" s="4">
        <v>22.078304494980699</v>
      </c>
      <c r="D90" s="1">
        <f t="shared" si="1"/>
        <v>3.8495680291838137</v>
      </c>
      <c r="E90">
        <f t="shared" si="2"/>
        <v>7072.419764989374</v>
      </c>
      <c r="F90" s="24">
        <v>7.6388888888888895E-2</v>
      </c>
      <c r="G90" s="3" t="s">
        <v>201</v>
      </c>
      <c r="H90" s="3" t="s">
        <v>202</v>
      </c>
      <c r="I90" s="1" t="s">
        <v>220</v>
      </c>
      <c r="J90" s="1">
        <f t="shared" si="3"/>
        <v>8840524.7062367164</v>
      </c>
      <c r="K90" s="12">
        <f t="shared" si="4"/>
        <v>8840524.7062367164</v>
      </c>
      <c r="L90" s="35"/>
      <c r="M90" s="35"/>
    </row>
    <row r="91" spans="1:13" x14ac:dyDescent="0.2">
      <c r="A91" s="2" t="s">
        <v>113</v>
      </c>
      <c r="B91" s="1" t="s">
        <v>149</v>
      </c>
      <c r="C91" s="4">
        <v>22.176067901208</v>
      </c>
      <c r="D91" s="1">
        <f t="shared" si="1"/>
        <v>3.8227963882685971</v>
      </c>
      <c r="E91">
        <f t="shared" si="2"/>
        <v>6649.6132707123688</v>
      </c>
      <c r="F91" s="24">
        <v>7.6388888888888895E-2</v>
      </c>
      <c r="G91" s="3" t="s">
        <v>201</v>
      </c>
      <c r="H91" s="3" t="s">
        <v>202</v>
      </c>
      <c r="I91" s="1" t="s">
        <v>220</v>
      </c>
      <c r="J91" s="1">
        <f t="shared" si="3"/>
        <v>8312016.5883904612</v>
      </c>
      <c r="K91" s="12">
        <f t="shared" si="4"/>
        <v>8312016.5883904612</v>
      </c>
      <c r="L91" s="35"/>
      <c r="M91" s="35"/>
    </row>
    <row r="92" spans="1:13" x14ac:dyDescent="0.2">
      <c r="L92" s="25"/>
    </row>
    <row r="93" spans="1:13" x14ac:dyDescent="0.2">
      <c r="L93" s="26"/>
    </row>
    <row r="94" spans="1:13" x14ac:dyDescent="0.2">
      <c r="L94" s="26"/>
    </row>
    <row r="95" spans="1:13" x14ac:dyDescent="0.2">
      <c r="L95" s="25"/>
    </row>
    <row r="96" spans="1:13" x14ac:dyDescent="0.2">
      <c r="L96" s="26"/>
    </row>
    <row r="97" spans="12:12" x14ac:dyDescent="0.2">
      <c r="L97" s="26"/>
    </row>
    <row r="98" spans="12:12" x14ac:dyDescent="0.2">
      <c r="L98" s="25"/>
    </row>
    <row r="99" spans="12:12" x14ac:dyDescent="0.2">
      <c r="L99" s="26"/>
    </row>
    <row r="100" spans="12:12" x14ac:dyDescent="0.2">
      <c r="L100" s="26"/>
    </row>
  </sheetData>
  <mergeCells count="37">
    <mergeCell ref="L62:L64"/>
    <mergeCell ref="L65:L67"/>
    <mergeCell ref="L68:L70"/>
    <mergeCell ref="S7:U8"/>
    <mergeCell ref="L38:L40"/>
    <mergeCell ref="L41:L43"/>
    <mergeCell ref="L44:L46"/>
    <mergeCell ref="L47:L49"/>
    <mergeCell ref="L50:L52"/>
    <mergeCell ref="L89:L91"/>
    <mergeCell ref="M38:M40"/>
    <mergeCell ref="M41:M43"/>
    <mergeCell ref="M44:M46"/>
    <mergeCell ref="M47:M49"/>
    <mergeCell ref="M50:M52"/>
    <mergeCell ref="M53:M55"/>
    <mergeCell ref="L71:L73"/>
    <mergeCell ref="L74:L76"/>
    <mergeCell ref="L77:L79"/>
    <mergeCell ref="L80:L82"/>
    <mergeCell ref="L83:L85"/>
    <mergeCell ref="L86:L88"/>
    <mergeCell ref="L53:L55"/>
    <mergeCell ref="L56:L58"/>
    <mergeCell ref="L59:L61"/>
    <mergeCell ref="M89:M91"/>
    <mergeCell ref="M56:M58"/>
    <mergeCell ref="M59:M61"/>
    <mergeCell ref="M62:M64"/>
    <mergeCell ref="M65:M67"/>
    <mergeCell ref="M68:M70"/>
    <mergeCell ref="M71:M73"/>
    <mergeCell ref="M74:M76"/>
    <mergeCell ref="M77:M79"/>
    <mergeCell ref="M80:M82"/>
    <mergeCell ref="M83:M85"/>
    <mergeCell ref="M86:M88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0497E-AFA6-B04B-8420-66988507D40F}">
  <dimension ref="A1:U103"/>
  <sheetViews>
    <sheetView tabSelected="1" zoomScaleNormal="100" workbookViewId="0">
      <selection activeCell="C26" sqref="C26"/>
    </sheetView>
  </sheetViews>
  <sheetFormatPr baseColWidth="10" defaultRowHeight="16" x14ac:dyDescent="0.2"/>
  <cols>
    <col min="1" max="1" width="5" bestFit="1" customWidth="1"/>
    <col min="2" max="2" width="14.33203125" bestFit="1" customWidth="1"/>
    <col min="3" max="3" width="6.6640625" bestFit="1" customWidth="1"/>
    <col min="4" max="4" width="20.5" bestFit="1" customWidth="1"/>
    <col min="6" max="6" width="4.6640625" bestFit="1" customWidth="1"/>
    <col min="7" max="7" width="9.1640625" bestFit="1" customWidth="1"/>
    <col min="8" max="8" width="13" bestFit="1" customWidth="1"/>
    <col min="9" max="9" width="14.33203125" bestFit="1" customWidth="1"/>
    <col min="10" max="10" width="9.1640625" bestFit="1" customWidth="1"/>
    <col min="13" max="13" width="13.1640625" bestFit="1" customWidth="1"/>
    <col min="14" max="14" width="5" bestFit="1" customWidth="1"/>
    <col min="15" max="15" width="8.33203125" bestFit="1" customWidth="1"/>
    <col min="16" max="16" width="9.83203125" bestFit="1" customWidth="1"/>
    <col min="17" max="17" width="5.6640625" bestFit="1" customWidth="1"/>
    <col min="21" max="21" width="13.1640625" bestFit="1" customWidth="1"/>
  </cols>
  <sheetData>
    <row r="1" spans="1:21" x14ac:dyDescent="0.2">
      <c r="A1" s="8" t="s">
        <v>0</v>
      </c>
      <c r="B1" s="8" t="s">
        <v>1</v>
      </c>
      <c r="C1" s="8" t="s">
        <v>130</v>
      </c>
      <c r="D1" s="8" t="s">
        <v>251</v>
      </c>
      <c r="N1" s="1" t="s">
        <v>0</v>
      </c>
      <c r="O1" s="8" t="s">
        <v>1</v>
      </c>
      <c r="P1" s="1" t="s">
        <v>193</v>
      </c>
      <c r="Q1" s="8" t="s">
        <v>251</v>
      </c>
    </row>
    <row r="2" spans="1:21" x14ac:dyDescent="0.2">
      <c r="A2" s="7" t="s">
        <v>2</v>
      </c>
      <c r="B2" s="8" t="s">
        <v>3</v>
      </c>
      <c r="C2" s="14">
        <f>LOG(P2)</f>
        <v>8.0136044023579664</v>
      </c>
      <c r="D2" s="4">
        <v>6.2639905119836401</v>
      </c>
      <c r="N2" s="1" t="s">
        <v>2</v>
      </c>
      <c r="O2" s="8" t="s">
        <v>3</v>
      </c>
      <c r="P2" s="12">
        <v>103182109.45826009</v>
      </c>
      <c r="Q2" s="4">
        <v>6.2639905119836401</v>
      </c>
    </row>
    <row r="3" spans="1:21" x14ac:dyDescent="0.2">
      <c r="A3" s="7" t="s">
        <v>4</v>
      </c>
      <c r="B3" s="8" t="s">
        <v>3</v>
      </c>
      <c r="C3" s="14">
        <f t="shared" ref="C3:C28" si="0">LOG(P3)</f>
        <v>8.0136044023579664</v>
      </c>
      <c r="D3" s="4">
        <v>6.3145624416936501</v>
      </c>
      <c r="N3" s="1" t="s">
        <v>4</v>
      </c>
      <c r="O3" s="8" t="s">
        <v>3</v>
      </c>
      <c r="P3" s="12">
        <v>103182109.45826009</v>
      </c>
      <c r="Q3" s="4">
        <v>6.3145624416936501</v>
      </c>
    </row>
    <row r="4" spans="1:21" x14ac:dyDescent="0.2">
      <c r="A4" s="7" t="s">
        <v>5</v>
      </c>
      <c r="B4" s="8" t="s">
        <v>3</v>
      </c>
      <c r="C4" s="14">
        <f t="shared" si="0"/>
        <v>8.0136044023579664</v>
      </c>
      <c r="D4" s="4">
        <v>6.1973267174163302</v>
      </c>
      <c r="N4" s="1" t="s">
        <v>5</v>
      </c>
      <c r="O4" s="8" t="s">
        <v>3</v>
      </c>
      <c r="P4" s="12">
        <v>103182109.45826009</v>
      </c>
      <c r="Q4" s="4">
        <v>6.1973267174163302</v>
      </c>
    </row>
    <row r="5" spans="1:21" x14ac:dyDescent="0.2">
      <c r="A5" s="7" t="s">
        <v>6</v>
      </c>
      <c r="B5" s="8" t="s">
        <v>7</v>
      </c>
      <c r="C5" s="14">
        <f t="shared" si="0"/>
        <v>7.0136044023579664</v>
      </c>
      <c r="D5" s="4">
        <v>11.138664617093299</v>
      </c>
      <c r="N5" s="1" t="s">
        <v>6</v>
      </c>
      <c r="O5" s="8" t="s">
        <v>7</v>
      </c>
      <c r="P5" s="12">
        <v>10318210.945826009</v>
      </c>
      <c r="Q5" s="4">
        <v>11.138664617093299</v>
      </c>
    </row>
    <row r="6" spans="1:21" ht="17" thickBot="1" x14ac:dyDescent="0.25">
      <c r="A6" s="7" t="s">
        <v>8</v>
      </c>
      <c r="B6" s="8" t="s">
        <v>7</v>
      </c>
      <c r="C6" s="14">
        <f t="shared" si="0"/>
        <v>7.0136044023579664</v>
      </c>
      <c r="D6" s="4">
        <v>11.0201423955835</v>
      </c>
      <c r="N6" s="1" t="s">
        <v>8</v>
      </c>
      <c r="O6" s="8" t="s">
        <v>7</v>
      </c>
      <c r="P6" s="12">
        <v>10318210.945826009</v>
      </c>
      <c r="Q6" s="4">
        <v>11.0201423955835</v>
      </c>
    </row>
    <row r="7" spans="1:21" x14ac:dyDescent="0.2">
      <c r="A7" s="7" t="s">
        <v>9</v>
      </c>
      <c r="B7" s="8" t="s">
        <v>7</v>
      </c>
      <c r="C7" s="14">
        <f t="shared" si="0"/>
        <v>7.0136044023579664</v>
      </c>
      <c r="D7" s="4">
        <v>10.9658209256981</v>
      </c>
      <c r="N7" s="1" t="s">
        <v>9</v>
      </c>
      <c r="O7" s="8" t="s">
        <v>7</v>
      </c>
      <c r="P7" s="12">
        <v>10318210.945826009</v>
      </c>
      <c r="Q7" s="4">
        <v>10.9658209256981</v>
      </c>
      <c r="S7" s="36" t="s">
        <v>241</v>
      </c>
      <c r="T7" s="37"/>
      <c r="U7" s="38"/>
    </row>
    <row r="8" spans="1:21" ht="17" thickBot="1" x14ac:dyDescent="0.25">
      <c r="A8" s="7" t="s">
        <v>10</v>
      </c>
      <c r="B8" s="8" t="s">
        <v>11</v>
      </c>
      <c r="C8" s="14">
        <f t="shared" si="0"/>
        <v>6.0136044023579664</v>
      </c>
      <c r="D8" s="4">
        <v>14.2485576706188</v>
      </c>
      <c r="N8" s="1" t="s">
        <v>10</v>
      </c>
      <c r="O8" s="8" t="s">
        <v>11</v>
      </c>
      <c r="P8" s="12">
        <v>1031821.0945826009</v>
      </c>
      <c r="Q8" s="4">
        <v>14.2485576706188</v>
      </c>
      <c r="S8" s="39"/>
      <c r="T8" s="40"/>
      <c r="U8" s="41"/>
    </row>
    <row r="9" spans="1:21" x14ac:dyDescent="0.2">
      <c r="A9" s="7" t="s">
        <v>12</v>
      </c>
      <c r="B9" s="8" t="s">
        <v>11</v>
      </c>
      <c r="C9" s="14">
        <f t="shared" si="0"/>
        <v>6.0136044023579664</v>
      </c>
      <c r="D9" s="4">
        <v>14.2802182961758</v>
      </c>
      <c r="N9" s="1" t="s">
        <v>12</v>
      </c>
      <c r="O9" s="8" t="s">
        <v>11</v>
      </c>
      <c r="P9" s="12">
        <v>1031821.0945826009</v>
      </c>
      <c r="Q9" s="4">
        <v>14.2802182961758</v>
      </c>
    </row>
    <row r="10" spans="1:21" x14ac:dyDescent="0.2">
      <c r="A10" s="7" t="s">
        <v>13</v>
      </c>
      <c r="B10" s="8" t="s">
        <v>11</v>
      </c>
      <c r="C10" s="14">
        <f t="shared" si="0"/>
        <v>6.0136044023579664</v>
      </c>
      <c r="D10" s="4">
        <v>14.214115837973999</v>
      </c>
      <c r="N10" s="1" t="s">
        <v>13</v>
      </c>
      <c r="O10" s="8" t="s">
        <v>11</v>
      </c>
      <c r="P10" s="12">
        <v>1031821.0945826009</v>
      </c>
      <c r="Q10" s="4">
        <v>14.214115837973999</v>
      </c>
      <c r="S10">
        <f>SLOPE(D2:D28,C2:C28)</f>
        <v>-3.6330239575348937</v>
      </c>
    </row>
    <row r="11" spans="1:21" x14ac:dyDescent="0.2">
      <c r="A11" s="7" t="s">
        <v>14</v>
      </c>
      <c r="B11" s="8" t="s">
        <v>15</v>
      </c>
      <c r="C11" s="14">
        <f t="shared" si="0"/>
        <v>5.0136044023579664</v>
      </c>
      <c r="D11" s="4">
        <v>17.756122703963001</v>
      </c>
      <c r="N11" s="1" t="s">
        <v>14</v>
      </c>
      <c r="O11" s="8" t="s">
        <v>15</v>
      </c>
      <c r="P11" s="12">
        <v>103182.10945826009</v>
      </c>
      <c r="Q11" s="4">
        <v>17.756122703963001</v>
      </c>
      <c r="S11">
        <f>INTERCEPT(D2:D28,C2:C28)</f>
        <v>36.041568629383711</v>
      </c>
    </row>
    <row r="12" spans="1:21" x14ac:dyDescent="0.2">
      <c r="A12" s="7" t="s">
        <v>16</v>
      </c>
      <c r="B12" s="8" t="s">
        <v>15</v>
      </c>
      <c r="C12" s="14">
        <f t="shared" si="0"/>
        <v>5.0136044023579664</v>
      </c>
      <c r="D12" s="4">
        <v>17.6866588701285</v>
      </c>
      <c r="N12" s="1" t="s">
        <v>16</v>
      </c>
      <c r="O12" s="8" t="s">
        <v>15</v>
      </c>
      <c r="P12" s="12">
        <v>103182.10945826009</v>
      </c>
      <c r="Q12" s="4">
        <v>17.6866588701285</v>
      </c>
      <c r="S12">
        <f>-1+10^(-1/S10)</f>
        <v>0.8847458485431412</v>
      </c>
    </row>
    <row r="13" spans="1:21" x14ac:dyDescent="0.2">
      <c r="A13" s="7" t="s">
        <v>17</v>
      </c>
      <c r="B13" s="8" t="s">
        <v>15</v>
      </c>
      <c r="C13" s="14">
        <f t="shared" si="0"/>
        <v>5.0136044023579664</v>
      </c>
      <c r="D13" s="4">
        <v>17.625993016475501</v>
      </c>
      <c r="N13" s="1" t="s">
        <v>17</v>
      </c>
      <c r="O13" s="8" t="s">
        <v>15</v>
      </c>
      <c r="P13" s="12">
        <v>103182.10945826009</v>
      </c>
      <c r="Q13" s="4">
        <v>17.625993016475501</v>
      </c>
    </row>
    <row r="14" spans="1:21" x14ac:dyDescent="0.2">
      <c r="A14" s="7" t="s">
        <v>18</v>
      </c>
      <c r="B14" s="8" t="s">
        <v>19</v>
      </c>
      <c r="C14" s="14">
        <f t="shared" si="0"/>
        <v>4.0136044023579664</v>
      </c>
      <c r="D14" s="4">
        <v>21.851364026713298</v>
      </c>
      <c r="N14" s="1" t="s">
        <v>18</v>
      </c>
      <c r="O14" s="8" t="s">
        <v>19</v>
      </c>
      <c r="P14" s="12">
        <v>10318.210945826009</v>
      </c>
      <c r="Q14" s="4">
        <v>21.851364026713298</v>
      </c>
    </row>
    <row r="15" spans="1:21" x14ac:dyDescent="0.2">
      <c r="A15" s="7" t="s">
        <v>20</v>
      </c>
      <c r="B15" s="8" t="s">
        <v>19</v>
      </c>
      <c r="C15" s="14">
        <f t="shared" si="0"/>
        <v>4.0136044023579664</v>
      </c>
      <c r="D15" s="4">
        <v>21.752111338462399</v>
      </c>
      <c r="N15" s="1" t="s">
        <v>20</v>
      </c>
      <c r="O15" s="8" t="s">
        <v>19</v>
      </c>
      <c r="P15" s="12">
        <v>10318.210945826009</v>
      </c>
      <c r="Q15" s="4">
        <v>21.752111338462399</v>
      </c>
    </row>
    <row r="16" spans="1:21" x14ac:dyDescent="0.2">
      <c r="A16" s="7" t="s">
        <v>21</v>
      </c>
      <c r="B16" s="8" t="s">
        <v>19</v>
      </c>
      <c r="C16" s="14">
        <f t="shared" si="0"/>
        <v>4.0136044023579664</v>
      </c>
      <c r="D16" s="4">
        <v>21.6940419344145</v>
      </c>
      <c r="N16" s="1" t="s">
        <v>21</v>
      </c>
      <c r="O16" s="8" t="s">
        <v>19</v>
      </c>
      <c r="P16" s="12">
        <v>10318.210945826009</v>
      </c>
      <c r="Q16" s="4">
        <v>21.6940419344145</v>
      </c>
    </row>
    <row r="17" spans="1:17" x14ac:dyDescent="0.2">
      <c r="A17" s="7" t="s">
        <v>22</v>
      </c>
      <c r="B17" s="8" t="s">
        <v>23</v>
      </c>
      <c r="C17" s="14">
        <f t="shared" si="0"/>
        <v>3.0136044023579664</v>
      </c>
      <c r="D17" s="4">
        <v>25.530343536770602</v>
      </c>
      <c r="N17" s="1" t="s">
        <v>22</v>
      </c>
      <c r="O17" s="8" t="s">
        <v>23</v>
      </c>
      <c r="P17" s="12">
        <v>1031.8210945826008</v>
      </c>
      <c r="Q17" s="4">
        <v>25.530343536770602</v>
      </c>
    </row>
    <row r="18" spans="1:17" x14ac:dyDescent="0.2">
      <c r="A18" s="7" t="s">
        <v>24</v>
      </c>
      <c r="B18" s="8" t="s">
        <v>23</v>
      </c>
      <c r="C18" s="14">
        <f t="shared" si="0"/>
        <v>3.0136044023579664</v>
      </c>
      <c r="D18" s="4">
        <v>25.336761019544198</v>
      </c>
      <c r="N18" s="1" t="s">
        <v>24</v>
      </c>
      <c r="O18" s="8" t="s">
        <v>23</v>
      </c>
      <c r="P18" s="12">
        <v>1031.8210945826008</v>
      </c>
      <c r="Q18" s="4">
        <v>25.336761019544198</v>
      </c>
    </row>
    <row r="19" spans="1:17" x14ac:dyDescent="0.2">
      <c r="A19" s="7" t="s">
        <v>25</v>
      </c>
      <c r="B19" s="8" t="s">
        <v>23</v>
      </c>
      <c r="C19" s="14">
        <f t="shared" si="0"/>
        <v>3.0136044023579664</v>
      </c>
      <c r="D19" s="4">
        <v>25.416255997274401</v>
      </c>
      <c r="N19" s="1" t="s">
        <v>25</v>
      </c>
      <c r="O19" s="8" t="s">
        <v>23</v>
      </c>
      <c r="P19" s="12">
        <v>1031.8210945826008</v>
      </c>
      <c r="Q19" s="4">
        <v>25.416255997274401</v>
      </c>
    </row>
    <row r="20" spans="1:17" x14ac:dyDescent="0.2">
      <c r="A20" s="7" t="s">
        <v>26</v>
      </c>
      <c r="B20" s="8" t="s">
        <v>27</v>
      </c>
      <c r="C20" s="14">
        <f t="shared" si="0"/>
        <v>2.0136044023579664</v>
      </c>
      <c r="D20" s="4">
        <v>28.652283259493601</v>
      </c>
      <c r="N20" s="1" t="s">
        <v>26</v>
      </c>
      <c r="O20" s="8" t="s">
        <v>27</v>
      </c>
      <c r="P20" s="12">
        <v>103.18210945826009</v>
      </c>
      <c r="Q20" s="4">
        <v>28.652283259493601</v>
      </c>
    </row>
    <row r="21" spans="1:17" x14ac:dyDescent="0.2">
      <c r="A21" s="7" t="s">
        <v>28</v>
      </c>
      <c r="B21" s="8" t="s">
        <v>27</v>
      </c>
      <c r="C21" s="14">
        <f t="shared" si="0"/>
        <v>2.0136044023579664</v>
      </c>
      <c r="D21" s="4">
        <v>28.597177303911501</v>
      </c>
      <c r="N21" s="1" t="s">
        <v>28</v>
      </c>
      <c r="O21" s="8" t="s">
        <v>27</v>
      </c>
      <c r="P21" s="12">
        <v>103.18210945826009</v>
      </c>
      <c r="Q21" s="4">
        <v>28.597177303911501</v>
      </c>
    </row>
    <row r="22" spans="1:17" x14ac:dyDescent="0.2">
      <c r="A22" s="7" t="s">
        <v>29</v>
      </c>
      <c r="B22" s="8" t="s">
        <v>27</v>
      </c>
      <c r="C22" s="14">
        <f t="shared" si="0"/>
        <v>2.0136044023579664</v>
      </c>
      <c r="D22" s="4">
        <v>28.402364097377699</v>
      </c>
      <c r="N22" s="1" t="s">
        <v>29</v>
      </c>
      <c r="O22" s="8" t="s">
        <v>27</v>
      </c>
      <c r="P22" s="12">
        <v>103.18210945826009</v>
      </c>
      <c r="Q22" s="4">
        <v>28.402364097377699</v>
      </c>
    </row>
    <row r="23" spans="1:17" x14ac:dyDescent="0.2">
      <c r="A23" s="7" t="s">
        <v>30</v>
      </c>
      <c r="B23" s="8" t="s">
        <v>31</v>
      </c>
      <c r="C23" s="14">
        <f t="shared" si="0"/>
        <v>1.0136044023579664</v>
      </c>
      <c r="D23" s="4">
        <v>33.030351462906303</v>
      </c>
      <c r="N23" s="1" t="s">
        <v>30</v>
      </c>
      <c r="O23" s="8" t="s">
        <v>31</v>
      </c>
      <c r="P23" s="12">
        <v>10.318210945826008</v>
      </c>
      <c r="Q23" s="4">
        <v>33.030351462906303</v>
      </c>
    </row>
    <row r="24" spans="1:17" x14ac:dyDescent="0.2">
      <c r="A24" s="7" t="s">
        <v>32</v>
      </c>
      <c r="B24" s="8" t="s">
        <v>31</v>
      </c>
      <c r="C24" s="14">
        <f t="shared" si="0"/>
        <v>1.0136044023579664</v>
      </c>
      <c r="D24" s="4">
        <v>32.849713639848098</v>
      </c>
      <c r="N24" s="1" t="s">
        <v>32</v>
      </c>
      <c r="O24" s="8" t="s">
        <v>31</v>
      </c>
      <c r="P24" s="12">
        <v>10.318210945826008</v>
      </c>
      <c r="Q24" s="4">
        <v>32.849713639848098</v>
      </c>
    </row>
    <row r="25" spans="1:17" x14ac:dyDescent="0.2">
      <c r="A25" s="7" t="s">
        <v>33</v>
      </c>
      <c r="B25" s="8" t="s">
        <v>31</v>
      </c>
      <c r="C25" s="14">
        <f t="shared" si="0"/>
        <v>1.0136044023579664</v>
      </c>
      <c r="D25" s="4">
        <v>32.636315032816803</v>
      </c>
      <c r="N25" s="1" t="s">
        <v>33</v>
      </c>
      <c r="O25" s="8" t="s">
        <v>31</v>
      </c>
      <c r="P25" s="12">
        <v>10.318210945826008</v>
      </c>
      <c r="Q25" s="4">
        <v>32.636315032816803</v>
      </c>
    </row>
    <row r="26" spans="1:17" x14ac:dyDescent="0.2">
      <c r="A26" s="7" t="s">
        <v>34</v>
      </c>
      <c r="B26" s="8" t="s">
        <v>35</v>
      </c>
      <c r="C26" s="14">
        <f t="shared" si="0"/>
        <v>1.3604402357966342E-2</v>
      </c>
      <c r="D26" s="4">
        <v>35.694197036031298</v>
      </c>
      <c r="F26" s="1"/>
      <c r="G26" s="12"/>
      <c r="H26" s="1"/>
      <c r="N26" s="1" t="s">
        <v>34</v>
      </c>
      <c r="O26" s="8" t="s">
        <v>35</v>
      </c>
      <c r="P26" s="12">
        <v>1.0318210945826007</v>
      </c>
      <c r="Q26" s="4">
        <v>35.694197036031298</v>
      </c>
    </row>
    <row r="27" spans="1:17" x14ac:dyDescent="0.2">
      <c r="A27" s="7" t="s">
        <v>36</v>
      </c>
      <c r="B27" s="8" t="s">
        <v>35</v>
      </c>
      <c r="C27" s="14">
        <f t="shared" si="0"/>
        <v>1.3604402357966342E-2</v>
      </c>
      <c r="D27" s="4">
        <v>35.125045834967302</v>
      </c>
      <c r="F27" s="1"/>
      <c r="G27" s="12"/>
      <c r="H27" s="1"/>
      <c r="N27" s="1" t="s">
        <v>36</v>
      </c>
      <c r="O27" s="8" t="s">
        <v>35</v>
      </c>
      <c r="P27" s="12">
        <v>1.0318210945826007</v>
      </c>
      <c r="Q27" s="4">
        <v>35.125045834967302</v>
      </c>
    </row>
    <row r="28" spans="1:17" x14ac:dyDescent="0.2">
      <c r="A28" s="7" t="s">
        <v>37</v>
      </c>
      <c r="B28" s="8" t="s">
        <v>35</v>
      </c>
      <c r="C28" s="14">
        <f t="shared" si="0"/>
        <v>1.3604402357966342E-2</v>
      </c>
      <c r="D28" s="4">
        <v>35.140787822505402</v>
      </c>
      <c r="F28" s="1"/>
      <c r="G28" s="12"/>
      <c r="H28" s="1"/>
      <c r="N28" s="1" t="s">
        <v>37</v>
      </c>
      <c r="O28" s="8" t="s">
        <v>35</v>
      </c>
      <c r="P28" s="12">
        <v>1.0318210945826007</v>
      </c>
      <c r="Q28" s="4">
        <v>35.140787822505402</v>
      </c>
    </row>
    <row r="29" spans="1:17" x14ac:dyDescent="0.2">
      <c r="A29" s="7" t="s">
        <v>38</v>
      </c>
      <c r="B29" s="8" t="s">
        <v>39</v>
      </c>
      <c r="C29" s="8" t="s">
        <v>131</v>
      </c>
      <c r="D29" s="4"/>
      <c r="N29" s="1" t="s">
        <v>38</v>
      </c>
      <c r="O29" s="8" t="s">
        <v>39</v>
      </c>
      <c r="P29" s="1" t="s">
        <v>131</v>
      </c>
      <c r="Q29" s="4"/>
    </row>
    <row r="30" spans="1:17" x14ac:dyDescent="0.2">
      <c r="A30" s="7" t="s">
        <v>40</v>
      </c>
      <c r="B30" s="8" t="s">
        <v>39</v>
      </c>
      <c r="C30" s="8" t="s">
        <v>131</v>
      </c>
      <c r="D30" s="4"/>
      <c r="N30" s="1" t="s">
        <v>40</v>
      </c>
      <c r="O30" s="8" t="s">
        <v>39</v>
      </c>
      <c r="P30" s="1" t="s">
        <v>131</v>
      </c>
      <c r="Q30" s="4"/>
    </row>
    <row r="31" spans="1:17" x14ac:dyDescent="0.2">
      <c r="A31" s="7" t="s">
        <v>41</v>
      </c>
      <c r="B31" s="8" t="s">
        <v>39</v>
      </c>
      <c r="C31" s="8" t="s">
        <v>131</v>
      </c>
      <c r="D31" s="4"/>
      <c r="N31" s="1" t="s">
        <v>41</v>
      </c>
      <c r="O31" s="8" t="s">
        <v>39</v>
      </c>
      <c r="P31" s="1" t="s">
        <v>131</v>
      </c>
      <c r="Q31" s="4"/>
    </row>
    <row r="37" spans="1:21" x14ac:dyDescent="0.2">
      <c r="A37" s="8" t="s">
        <v>0</v>
      </c>
      <c r="B37" s="8" t="s">
        <v>1</v>
      </c>
      <c r="C37" s="8" t="s">
        <v>251</v>
      </c>
      <c r="D37" t="s">
        <v>241</v>
      </c>
      <c r="E37" s="3" t="s">
        <v>195</v>
      </c>
      <c r="F37" s="3" t="s">
        <v>196</v>
      </c>
      <c r="G37" s="3" t="s">
        <v>197</v>
      </c>
      <c r="H37" s="3" t="s">
        <v>198</v>
      </c>
      <c r="I37" s="3" t="s">
        <v>199</v>
      </c>
      <c r="J37" s="3"/>
      <c r="K37" s="3"/>
      <c r="L37" s="3" t="s">
        <v>200</v>
      </c>
      <c r="S37" s="1"/>
      <c r="T37" s="12"/>
      <c r="U37" s="1"/>
    </row>
    <row r="38" spans="1:21" x14ac:dyDescent="0.2">
      <c r="A38" s="7" t="s">
        <v>42</v>
      </c>
      <c r="B38" s="8" t="s">
        <v>150</v>
      </c>
      <c r="C38" s="4">
        <v>37.473061180779297</v>
      </c>
      <c r="D38" s="1">
        <f>(C38-$S$11)/$S$10</f>
        <v>-0.3940223263396514</v>
      </c>
      <c r="E38">
        <f>10^D38</f>
        <v>0.40362464277878657</v>
      </c>
      <c r="F38" s="24">
        <v>7.6388888888888895E-2</v>
      </c>
      <c r="G38" s="3" t="s">
        <v>201</v>
      </c>
      <c r="H38" s="3" t="s">
        <v>202</v>
      </c>
      <c r="I38" s="12" t="s">
        <v>204</v>
      </c>
      <c r="J38" s="30">
        <f>(E38*50*50)/5</f>
        <v>201.81232138939328</v>
      </c>
      <c r="K38" s="12">
        <f>J38</f>
        <v>201.81232138939328</v>
      </c>
      <c r="L38" s="34">
        <f>AVERAGE(K38:K40)</f>
        <v>201.81232138939328</v>
      </c>
      <c r="M38" s="35" t="s">
        <v>218</v>
      </c>
      <c r="S38" s="1"/>
      <c r="T38" s="12"/>
      <c r="U38" s="1"/>
    </row>
    <row r="39" spans="1:21" x14ac:dyDescent="0.2">
      <c r="A39" s="7" t="s">
        <v>44</v>
      </c>
      <c r="B39" s="8" t="s">
        <v>150</v>
      </c>
      <c r="C39" s="4"/>
      <c r="D39" s="1"/>
      <c r="F39" s="24">
        <v>7.6388888888888895E-2</v>
      </c>
      <c r="G39" s="3" t="s">
        <v>201</v>
      </c>
      <c r="H39" s="3" t="s">
        <v>202</v>
      </c>
      <c r="I39" s="12" t="s">
        <v>204</v>
      </c>
      <c r="J39" s="30"/>
      <c r="K39" s="12"/>
      <c r="L39" s="35"/>
      <c r="M39" s="35"/>
      <c r="S39" s="1"/>
      <c r="T39" s="12"/>
      <c r="U39" s="1"/>
    </row>
    <row r="40" spans="1:21" x14ac:dyDescent="0.2">
      <c r="A40" s="7" t="s">
        <v>45</v>
      </c>
      <c r="B40" s="8" t="s">
        <v>150</v>
      </c>
      <c r="C40" s="4"/>
      <c r="D40" s="1"/>
      <c r="F40" s="24">
        <v>7.6388888888888895E-2</v>
      </c>
      <c r="G40" s="3" t="s">
        <v>201</v>
      </c>
      <c r="H40" s="3" t="s">
        <v>202</v>
      </c>
      <c r="I40" s="12" t="s">
        <v>204</v>
      </c>
      <c r="J40" s="30"/>
      <c r="K40" s="12"/>
      <c r="L40" s="35"/>
      <c r="M40" s="35"/>
    </row>
    <row r="41" spans="1:21" x14ac:dyDescent="0.2">
      <c r="A41" s="7" t="s">
        <v>46</v>
      </c>
      <c r="B41" s="8" t="s">
        <v>151</v>
      </c>
      <c r="C41" s="4">
        <v>22.424618049249499</v>
      </c>
      <c r="D41" s="1">
        <f>(C41-$S$11)/$S$10</f>
        <v>3.7481037117557809</v>
      </c>
      <c r="E41">
        <f t="shared" ref="E41:E102" si="1">10^D41</f>
        <v>5598.9129045125528</v>
      </c>
      <c r="F41" s="24">
        <v>7.6388888888888895E-2</v>
      </c>
      <c r="G41" s="3" t="s">
        <v>201</v>
      </c>
      <c r="H41" s="3" t="s">
        <v>202</v>
      </c>
      <c r="I41" s="1" t="s">
        <v>220</v>
      </c>
      <c r="J41" s="30">
        <f>(E41*50*50)/2</f>
        <v>6998641.1306406911</v>
      </c>
      <c r="K41" s="12">
        <f t="shared" ref="K41:K102" si="2">J41</f>
        <v>6998641.1306406911</v>
      </c>
      <c r="L41" s="34">
        <f t="shared" ref="L41" si="3">AVERAGE(K41:K43)</f>
        <v>6749744.9813941168</v>
      </c>
      <c r="M41" s="35" t="s">
        <v>218</v>
      </c>
    </row>
    <row r="42" spans="1:21" x14ac:dyDescent="0.2">
      <c r="A42" s="7" t="s">
        <v>48</v>
      </c>
      <c r="B42" s="8" t="s">
        <v>151</v>
      </c>
      <c r="C42" s="4">
        <v>22.562423455585002</v>
      </c>
      <c r="D42" s="1">
        <f t="shared" ref="D42:D103" si="4">(C42-$S$11)/$S$10</f>
        <v>3.7101723884432292</v>
      </c>
      <c r="E42">
        <f t="shared" si="1"/>
        <v>5130.6499911554793</v>
      </c>
      <c r="F42" s="24">
        <v>7.6388888888888895E-2</v>
      </c>
      <c r="G42" s="3" t="s">
        <v>201</v>
      </c>
      <c r="H42" s="3" t="s">
        <v>202</v>
      </c>
      <c r="I42" s="1" t="s">
        <v>220</v>
      </c>
      <c r="J42" s="30">
        <f t="shared" ref="J42:J76" si="5">(E42*50*50)/2</f>
        <v>6413312.4889443489</v>
      </c>
      <c r="K42" s="12">
        <f t="shared" si="2"/>
        <v>6413312.4889443489</v>
      </c>
      <c r="L42" s="35"/>
      <c r="M42" s="35"/>
    </row>
    <row r="43" spans="1:21" x14ac:dyDescent="0.2">
      <c r="A43" s="7" t="s">
        <v>49</v>
      </c>
      <c r="B43" s="8" t="s">
        <v>151</v>
      </c>
      <c r="C43" s="4">
        <v>22.461421581580002</v>
      </c>
      <c r="D43" s="1">
        <f t="shared" si="4"/>
        <v>3.7379734366018913</v>
      </c>
      <c r="E43">
        <f t="shared" si="1"/>
        <v>5469.8250596778462</v>
      </c>
      <c r="F43" s="24">
        <v>7.6388888888888895E-2</v>
      </c>
      <c r="G43" s="3" t="s">
        <v>201</v>
      </c>
      <c r="H43" s="3" t="s">
        <v>202</v>
      </c>
      <c r="I43" s="1" t="s">
        <v>220</v>
      </c>
      <c r="J43" s="30">
        <f t="shared" si="5"/>
        <v>6837281.3245973084</v>
      </c>
      <c r="K43" s="12">
        <f t="shared" si="2"/>
        <v>6837281.3245973084</v>
      </c>
      <c r="L43" s="35"/>
      <c r="M43" s="35"/>
    </row>
    <row r="44" spans="1:21" x14ac:dyDescent="0.2">
      <c r="A44" s="5" t="s">
        <v>50</v>
      </c>
      <c r="B44" s="6" t="s">
        <v>152</v>
      </c>
      <c r="C44" s="11">
        <v>32.9460800166623</v>
      </c>
      <c r="D44" s="6">
        <f t="shared" si="4"/>
        <v>0.85204189372364747</v>
      </c>
      <c r="E44" s="29">
        <f t="shared" si="1"/>
        <v>7.1128212336579857</v>
      </c>
      <c r="F44" s="27">
        <v>7.6388888888888895E-2</v>
      </c>
      <c r="G44" s="28" t="s">
        <v>201</v>
      </c>
      <c r="H44" s="28" t="s">
        <v>202</v>
      </c>
      <c r="I44" s="6" t="s">
        <v>220</v>
      </c>
      <c r="J44" s="31">
        <f t="shared" si="5"/>
        <v>8891.0265420724827</v>
      </c>
      <c r="K44" s="33">
        <f t="shared" si="2"/>
        <v>8891.0265420724827</v>
      </c>
      <c r="L44" s="42">
        <f t="shared" ref="L44" si="6">AVERAGE(K44:K46)</f>
        <v>10492.656256418139</v>
      </c>
      <c r="M44" s="43" t="s">
        <v>218</v>
      </c>
    </row>
    <row r="45" spans="1:21" x14ac:dyDescent="0.2">
      <c r="A45" s="5" t="s">
        <v>52</v>
      </c>
      <c r="B45" s="6" t="s">
        <v>152</v>
      </c>
      <c r="C45" s="11">
        <v>32.322619940371602</v>
      </c>
      <c r="D45" s="6">
        <f t="shared" si="4"/>
        <v>1.0236510225315214</v>
      </c>
      <c r="E45" s="29">
        <f t="shared" si="1"/>
        <v>10.559686442679494</v>
      </c>
      <c r="F45" s="27">
        <v>7.6388888888888895E-2</v>
      </c>
      <c r="G45" s="28" t="s">
        <v>201</v>
      </c>
      <c r="H45" s="28" t="s">
        <v>202</v>
      </c>
      <c r="I45" s="6" t="s">
        <v>220</v>
      </c>
      <c r="J45" s="31">
        <f t="shared" si="5"/>
        <v>13199.608053349368</v>
      </c>
      <c r="K45" s="33">
        <f t="shared" si="2"/>
        <v>13199.608053349368</v>
      </c>
      <c r="L45" s="43"/>
      <c r="M45" s="43"/>
    </row>
    <row r="46" spans="1:21" x14ac:dyDescent="0.2">
      <c r="A46" s="5" t="s">
        <v>53</v>
      </c>
      <c r="B46" s="6" t="s">
        <v>152</v>
      </c>
      <c r="C46" s="11">
        <v>32.860375631520597</v>
      </c>
      <c r="D46" s="6">
        <f t="shared" si="4"/>
        <v>0.8756322653103672</v>
      </c>
      <c r="E46" s="29">
        <f t="shared" si="1"/>
        <v>7.5098673390660524</v>
      </c>
      <c r="F46" s="27">
        <v>7.6388888888888895E-2</v>
      </c>
      <c r="G46" s="28" t="s">
        <v>201</v>
      </c>
      <c r="H46" s="28" t="s">
        <v>202</v>
      </c>
      <c r="I46" s="6" t="s">
        <v>220</v>
      </c>
      <c r="J46" s="31">
        <f t="shared" si="5"/>
        <v>9387.3341738325653</v>
      </c>
      <c r="K46" s="33">
        <f t="shared" si="2"/>
        <v>9387.3341738325653</v>
      </c>
      <c r="L46" s="43"/>
      <c r="M46" s="43"/>
    </row>
    <row r="47" spans="1:21" x14ac:dyDescent="0.2">
      <c r="A47" s="7" t="s">
        <v>54</v>
      </c>
      <c r="B47" s="8" t="s">
        <v>153</v>
      </c>
      <c r="C47" s="4">
        <v>22.104216136649502</v>
      </c>
      <c r="D47" s="1">
        <f t="shared" si="4"/>
        <v>3.8362952338445586</v>
      </c>
      <c r="E47">
        <f t="shared" si="1"/>
        <v>6859.5438049642735</v>
      </c>
      <c r="F47" s="24">
        <v>7.6388888888888895E-2</v>
      </c>
      <c r="G47" s="3" t="s">
        <v>201</v>
      </c>
      <c r="H47" s="3" t="s">
        <v>202</v>
      </c>
      <c r="I47" s="1" t="s">
        <v>220</v>
      </c>
      <c r="J47" s="30">
        <f t="shared" si="5"/>
        <v>8574429.7562053408</v>
      </c>
      <c r="K47" s="12">
        <f t="shared" si="2"/>
        <v>8574429.7562053408</v>
      </c>
      <c r="L47" s="34">
        <f t="shared" ref="L47" si="7">AVERAGE(K47:K49)</f>
        <v>8643249.7265826985</v>
      </c>
      <c r="M47" s="35" t="s">
        <v>218</v>
      </c>
    </row>
    <row r="48" spans="1:21" x14ac:dyDescent="0.2">
      <c r="A48" s="7" t="s">
        <v>56</v>
      </c>
      <c r="B48" s="8" t="s">
        <v>153</v>
      </c>
      <c r="C48" s="4">
        <v>22.122403406861299</v>
      </c>
      <c r="D48" s="1">
        <f t="shared" si="4"/>
        <v>3.8312891368784001</v>
      </c>
      <c r="E48">
        <f t="shared" si="1"/>
        <v>6780.928059683838</v>
      </c>
      <c r="F48" s="24">
        <v>7.6388888888888895E-2</v>
      </c>
      <c r="G48" s="3" t="s">
        <v>201</v>
      </c>
      <c r="H48" s="3" t="s">
        <v>202</v>
      </c>
      <c r="I48" s="1" t="s">
        <v>220</v>
      </c>
      <c r="J48" s="30">
        <f t="shared" si="5"/>
        <v>8476160.0746047981</v>
      </c>
      <c r="K48" s="12">
        <f t="shared" si="2"/>
        <v>8476160.0746047981</v>
      </c>
      <c r="L48" s="35"/>
      <c r="M48" s="35"/>
    </row>
    <row r="49" spans="1:13" x14ac:dyDescent="0.2">
      <c r="A49" s="7" t="s">
        <v>57</v>
      </c>
      <c r="B49" s="8" t="s">
        <v>153</v>
      </c>
      <c r="C49" s="4">
        <v>22.049115503768402</v>
      </c>
      <c r="D49" s="1">
        <f t="shared" si="4"/>
        <v>3.8514618370723799</v>
      </c>
      <c r="E49">
        <f t="shared" si="1"/>
        <v>7103.3274791503673</v>
      </c>
      <c r="F49" s="24">
        <v>7.6388888888888895E-2</v>
      </c>
      <c r="G49" s="3" t="s">
        <v>201</v>
      </c>
      <c r="H49" s="3" t="s">
        <v>202</v>
      </c>
      <c r="I49" s="1" t="s">
        <v>220</v>
      </c>
      <c r="J49" s="30">
        <f t="shared" si="5"/>
        <v>8879159.3489379585</v>
      </c>
      <c r="K49" s="12">
        <f t="shared" si="2"/>
        <v>8879159.3489379585</v>
      </c>
      <c r="L49" s="35"/>
      <c r="M49" s="35"/>
    </row>
    <row r="50" spans="1:13" x14ac:dyDescent="0.2">
      <c r="A50" s="7" t="s">
        <v>58</v>
      </c>
      <c r="B50" s="8" t="s">
        <v>154</v>
      </c>
      <c r="C50" s="4">
        <v>22.202198703277698</v>
      </c>
      <c r="D50" s="1">
        <f t="shared" si="4"/>
        <v>3.8093252584814783</v>
      </c>
      <c r="E50">
        <f t="shared" si="1"/>
        <v>6446.5188734086123</v>
      </c>
      <c r="F50" s="24">
        <v>7.6388888888888895E-2</v>
      </c>
      <c r="G50" s="3" t="s">
        <v>201</v>
      </c>
      <c r="H50" s="3" t="s">
        <v>202</v>
      </c>
      <c r="I50" s="1" t="s">
        <v>220</v>
      </c>
      <c r="J50" s="30">
        <f t="shared" si="5"/>
        <v>8058148.5917607658</v>
      </c>
      <c r="K50" s="12">
        <f t="shared" si="2"/>
        <v>8058148.5917607658</v>
      </c>
      <c r="L50" s="34">
        <f t="shared" ref="L50" si="8">AVERAGE(K50:K52)</f>
        <v>7882664.3802929437</v>
      </c>
      <c r="M50" s="35" t="s">
        <v>218</v>
      </c>
    </row>
    <row r="51" spans="1:13" x14ac:dyDescent="0.2">
      <c r="A51" s="7" t="s">
        <v>60</v>
      </c>
      <c r="B51" s="8" t="s">
        <v>154</v>
      </c>
      <c r="C51" s="4">
        <v>22.2133842615258</v>
      </c>
      <c r="D51" s="1">
        <f t="shared" si="4"/>
        <v>3.806246402305784</v>
      </c>
      <c r="E51">
        <f t="shared" si="1"/>
        <v>6400.9789987984068</v>
      </c>
      <c r="F51" s="24">
        <v>7.6388888888888895E-2</v>
      </c>
      <c r="G51" s="3" t="s">
        <v>201</v>
      </c>
      <c r="H51" s="3" t="s">
        <v>202</v>
      </c>
      <c r="I51" s="1" t="s">
        <v>220</v>
      </c>
      <c r="J51" s="30">
        <f t="shared" si="5"/>
        <v>8001223.7484980086</v>
      </c>
      <c r="K51" s="12">
        <f t="shared" si="2"/>
        <v>8001223.7484980086</v>
      </c>
      <c r="L51" s="35"/>
      <c r="M51" s="35"/>
    </row>
    <row r="52" spans="1:13" x14ac:dyDescent="0.2">
      <c r="A52" s="7" t="s">
        <v>61</v>
      </c>
      <c r="B52" s="8" t="s">
        <v>154</v>
      </c>
      <c r="C52" s="4">
        <v>22.296920428268798</v>
      </c>
      <c r="D52" s="1">
        <f t="shared" si="4"/>
        <v>3.7832528388943061</v>
      </c>
      <c r="E52">
        <f t="shared" si="1"/>
        <v>6070.8966404960447</v>
      </c>
      <c r="F52" s="24">
        <v>7.6388888888888895E-2</v>
      </c>
      <c r="G52" s="3" t="s">
        <v>201</v>
      </c>
      <c r="H52" s="3" t="s">
        <v>202</v>
      </c>
      <c r="I52" s="1" t="s">
        <v>220</v>
      </c>
      <c r="J52" s="30">
        <f t="shared" si="5"/>
        <v>7588620.8006200558</v>
      </c>
      <c r="K52" s="12">
        <f t="shared" si="2"/>
        <v>7588620.8006200558</v>
      </c>
      <c r="L52" s="35"/>
      <c r="M52" s="35"/>
    </row>
    <row r="53" spans="1:13" x14ac:dyDescent="0.2">
      <c r="A53" s="7" t="s">
        <v>62</v>
      </c>
      <c r="B53" s="8" t="s">
        <v>155</v>
      </c>
      <c r="C53" s="4">
        <v>21.452138960219902</v>
      </c>
      <c r="D53" s="1">
        <f t="shared" si="4"/>
        <v>4.0157812994613824</v>
      </c>
      <c r="E53">
        <f t="shared" si="1"/>
        <v>10370.060723169403</v>
      </c>
      <c r="F53" s="24">
        <v>7.6388888888888895E-2</v>
      </c>
      <c r="G53" s="3" t="s">
        <v>201</v>
      </c>
      <c r="H53" s="3" t="s">
        <v>202</v>
      </c>
      <c r="I53" s="1" t="s">
        <v>220</v>
      </c>
      <c r="J53" s="30">
        <f t="shared" si="5"/>
        <v>12962575.903961753</v>
      </c>
      <c r="K53" s="12">
        <f t="shared" si="2"/>
        <v>12962575.903961753</v>
      </c>
      <c r="L53" s="34">
        <f t="shared" ref="L53" si="9">AVERAGE(K53:K55)</f>
        <v>12659499.561883464</v>
      </c>
      <c r="M53" s="35" t="s">
        <v>218</v>
      </c>
    </row>
    <row r="54" spans="1:13" x14ac:dyDescent="0.2">
      <c r="A54" s="7" t="s">
        <v>64</v>
      </c>
      <c r="B54" s="8" t="s">
        <v>155</v>
      </c>
      <c r="C54" s="4">
        <v>21.518082537885199</v>
      </c>
      <c r="D54" s="1">
        <f t="shared" si="4"/>
        <v>3.9976301453715419</v>
      </c>
      <c r="E54">
        <f t="shared" si="1"/>
        <v>9945.5806930522704</v>
      </c>
      <c r="F54" s="24">
        <v>7.6388888888888895E-2</v>
      </c>
      <c r="G54" s="3" t="s">
        <v>201</v>
      </c>
      <c r="H54" s="3" t="s">
        <v>202</v>
      </c>
      <c r="I54" s="1" t="s">
        <v>220</v>
      </c>
      <c r="J54" s="30">
        <f t="shared" si="5"/>
        <v>12431975.866315337</v>
      </c>
      <c r="K54" s="12">
        <f t="shared" si="2"/>
        <v>12431975.866315337</v>
      </c>
      <c r="L54" s="35"/>
      <c r="M54" s="35"/>
    </row>
    <row r="55" spans="1:13" x14ac:dyDescent="0.2">
      <c r="A55" s="7" t="s">
        <v>65</v>
      </c>
      <c r="B55" s="8" t="s">
        <v>155</v>
      </c>
      <c r="C55" s="4">
        <v>21.4989120906354</v>
      </c>
      <c r="D55" s="1">
        <f t="shared" si="4"/>
        <v>4.0029068645657659</v>
      </c>
      <c r="E55">
        <f t="shared" si="1"/>
        <v>10067.157532298641</v>
      </c>
      <c r="F55" s="24">
        <v>7.6388888888888895E-2</v>
      </c>
      <c r="G55" s="3" t="s">
        <v>201</v>
      </c>
      <c r="H55" s="3" t="s">
        <v>202</v>
      </c>
      <c r="I55" s="1" t="s">
        <v>220</v>
      </c>
      <c r="J55" s="30">
        <f t="shared" si="5"/>
        <v>12583946.915373301</v>
      </c>
      <c r="K55" s="12">
        <f t="shared" si="2"/>
        <v>12583946.915373301</v>
      </c>
      <c r="L55" s="35"/>
      <c r="M55" s="35"/>
    </row>
    <row r="56" spans="1:13" x14ac:dyDescent="0.2">
      <c r="A56" s="7" t="s">
        <v>66</v>
      </c>
      <c r="B56" s="8" t="s">
        <v>156</v>
      </c>
      <c r="C56" s="4">
        <v>22.226199522184999</v>
      </c>
      <c r="D56" s="1">
        <f t="shared" si="4"/>
        <v>3.8027189659857954</v>
      </c>
      <c r="E56">
        <f t="shared" si="1"/>
        <v>6349.1993919151719</v>
      </c>
      <c r="F56" s="24">
        <v>7.6388888888888895E-2</v>
      </c>
      <c r="G56" s="3" t="s">
        <v>201</v>
      </c>
      <c r="H56" s="3" t="s">
        <v>202</v>
      </c>
      <c r="I56" s="1" t="s">
        <v>220</v>
      </c>
      <c r="J56" s="30">
        <f t="shared" si="5"/>
        <v>7936499.2398939645</v>
      </c>
      <c r="K56" s="12">
        <f t="shared" si="2"/>
        <v>7936499.2398939645</v>
      </c>
      <c r="L56" s="34">
        <f t="shared" ref="L56" si="10">AVERAGE(K56:K58)</f>
        <v>7866850.8077624477</v>
      </c>
      <c r="M56" s="35" t="s">
        <v>218</v>
      </c>
    </row>
    <row r="57" spans="1:13" x14ac:dyDescent="0.2">
      <c r="A57" s="7" t="s">
        <v>68</v>
      </c>
      <c r="B57" s="8" t="s">
        <v>156</v>
      </c>
      <c r="C57" s="4">
        <v>22.238504558329598</v>
      </c>
      <c r="D57" s="1">
        <f t="shared" si="4"/>
        <v>3.7993319703897219</v>
      </c>
      <c r="E57">
        <f t="shared" si="1"/>
        <v>6299.8755508744907</v>
      </c>
      <c r="F57" s="24">
        <v>7.6388888888888895E-2</v>
      </c>
      <c r="G57" s="3" t="s">
        <v>201</v>
      </c>
      <c r="H57" s="3" t="s">
        <v>202</v>
      </c>
      <c r="I57" s="1" t="s">
        <v>220</v>
      </c>
      <c r="J57" s="30">
        <f t="shared" si="5"/>
        <v>7874844.4385931129</v>
      </c>
      <c r="K57" s="12">
        <f t="shared" si="2"/>
        <v>7874844.4385931129</v>
      </c>
      <c r="L57" s="35"/>
      <c r="M57" s="35"/>
    </row>
    <row r="58" spans="1:13" x14ac:dyDescent="0.2">
      <c r="A58" s="7" t="s">
        <v>69</v>
      </c>
      <c r="B58" s="8" t="s">
        <v>156</v>
      </c>
      <c r="C58" s="4">
        <v>22.2557564835564</v>
      </c>
      <c r="D58" s="1">
        <f t="shared" si="4"/>
        <v>3.7945833297453295</v>
      </c>
      <c r="E58">
        <f t="shared" si="1"/>
        <v>6231.3669958402124</v>
      </c>
      <c r="F58" s="24">
        <v>7.6388888888888895E-2</v>
      </c>
      <c r="G58" s="3" t="s">
        <v>201</v>
      </c>
      <c r="H58" s="3" t="s">
        <v>202</v>
      </c>
      <c r="I58" s="1" t="s">
        <v>220</v>
      </c>
      <c r="J58" s="30">
        <f t="shared" si="5"/>
        <v>7789208.7448002659</v>
      </c>
      <c r="K58" s="12">
        <f t="shared" si="2"/>
        <v>7789208.7448002659</v>
      </c>
      <c r="L58" s="35"/>
      <c r="M58" s="35"/>
    </row>
    <row r="59" spans="1:13" x14ac:dyDescent="0.2">
      <c r="A59" s="7" t="s">
        <v>70</v>
      </c>
      <c r="B59" s="8" t="s">
        <v>157</v>
      </c>
      <c r="C59" s="4">
        <v>21.863692962131299</v>
      </c>
      <c r="D59" s="1">
        <f t="shared" si="4"/>
        <v>3.9024999099847633</v>
      </c>
      <c r="E59">
        <f t="shared" si="1"/>
        <v>7989.1377607833374</v>
      </c>
      <c r="F59" s="24">
        <v>7.6388888888888895E-2</v>
      </c>
      <c r="G59" s="3" t="s">
        <v>201</v>
      </c>
      <c r="H59" s="3" t="s">
        <v>202</v>
      </c>
      <c r="I59" s="1" t="s">
        <v>220</v>
      </c>
      <c r="J59" s="30">
        <f t="shared" si="5"/>
        <v>9986422.2009791713</v>
      </c>
      <c r="K59" s="12">
        <f t="shared" si="2"/>
        <v>9986422.2009791713</v>
      </c>
      <c r="L59" s="34">
        <f t="shared" ref="L59" si="11">AVERAGE(K59:K61)</f>
        <v>10512440.02845135</v>
      </c>
      <c r="M59" s="35" t="s">
        <v>218</v>
      </c>
    </row>
    <row r="60" spans="1:13" x14ac:dyDescent="0.2">
      <c r="A60" s="7" t="s">
        <v>72</v>
      </c>
      <c r="B60" s="8" t="s">
        <v>157</v>
      </c>
      <c r="C60" s="4">
        <v>21.727663086337699</v>
      </c>
      <c r="D60" s="1">
        <f t="shared" si="4"/>
        <v>3.9399425135523711</v>
      </c>
      <c r="E60">
        <f t="shared" si="1"/>
        <v>8708.4831036744617</v>
      </c>
      <c r="F60" s="24">
        <v>7.6388888888888895E-2</v>
      </c>
      <c r="G60" s="3" t="s">
        <v>201</v>
      </c>
      <c r="H60" s="3" t="s">
        <v>202</v>
      </c>
      <c r="I60" s="1" t="s">
        <v>220</v>
      </c>
      <c r="J60" s="30">
        <f t="shared" si="5"/>
        <v>10885603.879593076</v>
      </c>
      <c r="K60" s="12">
        <f t="shared" si="2"/>
        <v>10885603.879593076</v>
      </c>
      <c r="L60" s="35"/>
      <c r="M60" s="35"/>
    </row>
    <row r="61" spans="1:13" x14ac:dyDescent="0.2">
      <c r="A61" s="7" t="s">
        <v>73</v>
      </c>
      <c r="B61" s="8" t="s">
        <v>157</v>
      </c>
      <c r="C61" s="4">
        <v>21.7599232296749</v>
      </c>
      <c r="D61" s="1">
        <f t="shared" si="4"/>
        <v>3.9310628189193939</v>
      </c>
      <c r="E61">
        <f t="shared" si="1"/>
        <v>8532.2352038254412</v>
      </c>
      <c r="F61" s="24">
        <v>7.6388888888888895E-2</v>
      </c>
      <c r="G61" s="3" t="s">
        <v>201</v>
      </c>
      <c r="H61" s="3" t="s">
        <v>202</v>
      </c>
      <c r="I61" s="1" t="s">
        <v>220</v>
      </c>
      <c r="J61" s="30">
        <f t="shared" si="5"/>
        <v>10665294.004781801</v>
      </c>
      <c r="K61" s="12">
        <f t="shared" si="2"/>
        <v>10665294.004781801</v>
      </c>
      <c r="L61" s="35"/>
      <c r="M61" s="35"/>
    </row>
    <row r="62" spans="1:13" x14ac:dyDescent="0.2">
      <c r="A62" s="7" t="s">
        <v>74</v>
      </c>
      <c r="B62" s="8" t="s">
        <v>158</v>
      </c>
      <c r="C62" s="4">
        <v>22.089824919991699</v>
      </c>
      <c r="D62" s="1">
        <f t="shared" si="4"/>
        <v>3.8402564564585622</v>
      </c>
      <c r="E62">
        <f t="shared" si="1"/>
        <v>6922.396266218313</v>
      </c>
      <c r="F62" s="24">
        <v>7.6388888888888895E-2</v>
      </c>
      <c r="G62" s="3" t="s">
        <v>201</v>
      </c>
      <c r="H62" s="3" t="s">
        <v>202</v>
      </c>
      <c r="I62" s="1" t="s">
        <v>220</v>
      </c>
      <c r="J62" s="30">
        <f t="shared" si="5"/>
        <v>8652995.332772892</v>
      </c>
      <c r="K62" s="12">
        <f t="shared" si="2"/>
        <v>8652995.332772892</v>
      </c>
      <c r="L62" s="34">
        <f t="shared" ref="L62" si="12">AVERAGE(K62:K64)</f>
        <v>8871039.9395050183</v>
      </c>
      <c r="M62" s="35" t="s">
        <v>218</v>
      </c>
    </row>
    <row r="63" spans="1:13" x14ac:dyDescent="0.2">
      <c r="A63" s="7" t="s">
        <v>76</v>
      </c>
      <c r="B63" s="8" t="s">
        <v>158</v>
      </c>
      <c r="C63" s="4">
        <v>22.0369166943861</v>
      </c>
      <c r="D63" s="1">
        <f t="shared" si="4"/>
        <v>3.8548195934551863</v>
      </c>
      <c r="E63">
        <f t="shared" si="1"/>
        <v>7158.459850025326</v>
      </c>
      <c r="F63" s="24">
        <v>7.6388888888888895E-2</v>
      </c>
      <c r="G63" s="3" t="s">
        <v>201</v>
      </c>
      <c r="H63" s="3" t="s">
        <v>202</v>
      </c>
      <c r="I63" s="1" t="s">
        <v>220</v>
      </c>
      <c r="J63" s="30">
        <f t="shared" si="5"/>
        <v>8948074.8125316575</v>
      </c>
      <c r="K63" s="12">
        <f t="shared" si="2"/>
        <v>8948074.8125316575</v>
      </c>
      <c r="L63" s="35"/>
      <c r="M63" s="35"/>
    </row>
    <row r="64" spans="1:13" x14ac:dyDescent="0.2">
      <c r="A64" s="7" t="s">
        <v>77</v>
      </c>
      <c r="B64" s="8" t="s">
        <v>158</v>
      </c>
      <c r="C64" s="4">
        <v>22.025676225914701</v>
      </c>
      <c r="D64" s="1">
        <f t="shared" si="4"/>
        <v>3.8579135638233382</v>
      </c>
      <c r="E64">
        <f t="shared" si="1"/>
        <v>7209.6397385684068</v>
      </c>
      <c r="F64" s="24">
        <v>7.6388888888888895E-2</v>
      </c>
      <c r="G64" s="3" t="s">
        <v>201</v>
      </c>
      <c r="H64" s="3" t="s">
        <v>202</v>
      </c>
      <c r="I64" s="1" t="s">
        <v>220</v>
      </c>
      <c r="J64" s="30">
        <f t="shared" si="5"/>
        <v>9012049.6732105073</v>
      </c>
      <c r="K64" s="12">
        <f t="shared" si="2"/>
        <v>9012049.6732105073</v>
      </c>
      <c r="L64" s="35"/>
      <c r="M64" s="35"/>
    </row>
    <row r="65" spans="1:13" x14ac:dyDescent="0.2">
      <c r="A65" s="7" t="s">
        <v>78</v>
      </c>
      <c r="B65" s="8" t="s">
        <v>159</v>
      </c>
      <c r="C65" s="4">
        <v>21.295352063880301</v>
      </c>
      <c r="D65" s="1">
        <f t="shared" si="4"/>
        <v>4.058937330958071</v>
      </c>
      <c r="E65">
        <f t="shared" si="1"/>
        <v>11453.476549354602</v>
      </c>
      <c r="F65" s="24">
        <v>7.6388888888888895E-2</v>
      </c>
      <c r="G65" s="3" t="s">
        <v>201</v>
      </c>
      <c r="H65" s="3" t="s">
        <v>202</v>
      </c>
      <c r="I65" s="1" t="s">
        <v>221</v>
      </c>
      <c r="J65" s="30">
        <f>(E65*50*50)/2.5</f>
        <v>11453476.549354602</v>
      </c>
      <c r="K65" s="12">
        <f t="shared" si="2"/>
        <v>11453476.549354602</v>
      </c>
      <c r="L65" s="34">
        <f t="shared" ref="L65" si="13">AVERAGE(K65:K67)</f>
        <v>12037274.324632404</v>
      </c>
      <c r="M65" s="35" t="s">
        <v>218</v>
      </c>
    </row>
    <row r="66" spans="1:13" x14ac:dyDescent="0.2">
      <c r="A66" s="7" t="s">
        <v>80</v>
      </c>
      <c r="B66" s="8" t="s">
        <v>159</v>
      </c>
      <c r="C66" s="4">
        <v>21.253035570275799</v>
      </c>
      <c r="D66" s="1">
        <f t="shared" si="4"/>
        <v>4.0705850641134607</v>
      </c>
      <c r="E66">
        <f t="shared" si="1"/>
        <v>11764.813964236588</v>
      </c>
      <c r="F66" s="24">
        <v>7.6388888888888895E-2</v>
      </c>
      <c r="G66" s="3" t="s">
        <v>201</v>
      </c>
      <c r="H66" s="3" t="s">
        <v>202</v>
      </c>
      <c r="I66" s="1" t="s">
        <v>221</v>
      </c>
      <c r="J66" s="30">
        <f>(E66*50*50)/2.5</f>
        <v>11764813.964236589</v>
      </c>
      <c r="K66" s="12">
        <f t="shared" si="2"/>
        <v>11764813.964236589</v>
      </c>
      <c r="L66" s="35"/>
      <c r="M66" s="35"/>
    </row>
    <row r="67" spans="1:13" x14ac:dyDescent="0.2">
      <c r="A67" s="7" t="s">
        <v>81</v>
      </c>
      <c r="B67" s="8" t="s">
        <v>159</v>
      </c>
      <c r="C67" s="4">
        <v>21.1084889770489</v>
      </c>
      <c r="D67" s="1">
        <f t="shared" si="4"/>
        <v>4.110371917962059</v>
      </c>
      <c r="E67">
        <f t="shared" si="1"/>
        <v>12893.532460306016</v>
      </c>
      <c r="F67" s="24">
        <v>7.6388888888888895E-2</v>
      </c>
      <c r="G67" s="3" t="s">
        <v>201</v>
      </c>
      <c r="H67" s="3" t="s">
        <v>202</v>
      </c>
      <c r="I67" s="1" t="s">
        <v>221</v>
      </c>
      <c r="J67" s="30">
        <f>(E67*50*50)/2.5</f>
        <v>12893532.460306017</v>
      </c>
      <c r="K67" s="12">
        <f t="shared" si="2"/>
        <v>12893532.460306017</v>
      </c>
      <c r="L67" s="35"/>
      <c r="M67" s="35"/>
    </row>
    <row r="68" spans="1:13" x14ac:dyDescent="0.2">
      <c r="A68" s="7" t="s">
        <v>82</v>
      </c>
      <c r="B68" s="8" t="s">
        <v>160</v>
      </c>
      <c r="C68" s="4">
        <v>22.067055070942899</v>
      </c>
      <c r="D68" s="1">
        <f t="shared" si="4"/>
        <v>3.8465239210596622</v>
      </c>
      <c r="E68">
        <f t="shared" si="1"/>
        <v>7023.0202565942736</v>
      </c>
      <c r="F68" s="24">
        <v>7.6388888888888895E-2</v>
      </c>
      <c r="G68" s="3" t="s">
        <v>201</v>
      </c>
      <c r="H68" s="3" t="s">
        <v>202</v>
      </c>
      <c r="I68" s="1" t="s">
        <v>220</v>
      </c>
      <c r="J68" s="30">
        <f>(E68*50*50)/2</f>
        <v>8778775.3207428418</v>
      </c>
      <c r="K68" s="12">
        <f t="shared" si="2"/>
        <v>8778775.3207428418</v>
      </c>
      <c r="L68" s="34">
        <f t="shared" ref="L68" si="14">AVERAGE(K68:K70)</f>
        <v>8583235.1736740824</v>
      </c>
      <c r="M68" s="35" t="s">
        <v>218</v>
      </c>
    </row>
    <row r="69" spans="1:13" x14ac:dyDescent="0.2">
      <c r="A69" s="7" t="s">
        <v>84</v>
      </c>
      <c r="B69" s="8" t="s">
        <v>160</v>
      </c>
      <c r="C69" s="4">
        <v>22.145224674615498</v>
      </c>
      <c r="D69" s="1">
        <f t="shared" si="4"/>
        <v>3.8250075191349033</v>
      </c>
      <c r="E69">
        <f t="shared" si="1"/>
        <v>6683.5548900640915</v>
      </c>
      <c r="F69" s="24">
        <v>7.6388888888888895E-2</v>
      </c>
      <c r="G69" s="3" t="s">
        <v>201</v>
      </c>
      <c r="H69" s="3" t="s">
        <v>202</v>
      </c>
      <c r="I69" s="1" t="s">
        <v>220</v>
      </c>
      <c r="J69" s="30">
        <f t="shared" si="5"/>
        <v>8354443.612580115</v>
      </c>
      <c r="K69" s="12">
        <f t="shared" si="2"/>
        <v>8354443.612580115</v>
      </c>
      <c r="L69" s="35"/>
      <c r="M69" s="35"/>
    </row>
    <row r="70" spans="1:13" x14ac:dyDescent="0.2">
      <c r="A70" s="7" t="s">
        <v>85</v>
      </c>
      <c r="B70" s="8" t="s">
        <v>160</v>
      </c>
      <c r="C70" s="4">
        <v>22.096496071618802</v>
      </c>
      <c r="D70" s="1">
        <f t="shared" si="4"/>
        <v>3.838420203324787</v>
      </c>
      <c r="E70">
        <f t="shared" si="1"/>
        <v>6893.1892701594315</v>
      </c>
      <c r="F70" s="24">
        <v>7.6388888888888895E-2</v>
      </c>
      <c r="G70" s="3" t="s">
        <v>201</v>
      </c>
      <c r="H70" s="3" t="s">
        <v>202</v>
      </c>
      <c r="I70" s="1" t="s">
        <v>220</v>
      </c>
      <c r="J70" s="30">
        <f t="shared" si="5"/>
        <v>8616486.5876992885</v>
      </c>
      <c r="K70" s="12">
        <f t="shared" si="2"/>
        <v>8616486.5876992885</v>
      </c>
      <c r="L70" s="35"/>
      <c r="M70" s="35"/>
    </row>
    <row r="71" spans="1:13" x14ac:dyDescent="0.2">
      <c r="A71" s="7" t="s">
        <v>86</v>
      </c>
      <c r="B71" s="8" t="s">
        <v>161</v>
      </c>
      <c r="C71" s="4">
        <v>22.319834470550301</v>
      </c>
      <c r="D71" s="1">
        <f t="shared" si="4"/>
        <v>3.7769456847028287</v>
      </c>
      <c r="E71">
        <f t="shared" si="1"/>
        <v>5983.3675903877729</v>
      </c>
      <c r="F71" s="24">
        <v>7.6388888888888895E-2</v>
      </c>
      <c r="G71" s="3" t="s">
        <v>201</v>
      </c>
      <c r="H71" s="3" t="s">
        <v>202</v>
      </c>
      <c r="I71" s="1" t="s">
        <v>220</v>
      </c>
      <c r="J71" s="30">
        <f t="shared" si="5"/>
        <v>7479209.4879847169</v>
      </c>
      <c r="K71" s="12">
        <f t="shared" si="2"/>
        <v>7479209.4879847169</v>
      </c>
      <c r="L71" s="34">
        <f t="shared" ref="L71" si="15">AVERAGE(K71:K73)</f>
        <v>7722871.8024956472</v>
      </c>
      <c r="M71" s="35" t="s">
        <v>218</v>
      </c>
    </row>
    <row r="72" spans="1:13" x14ac:dyDescent="0.2">
      <c r="A72" s="7" t="s">
        <v>88</v>
      </c>
      <c r="B72" s="8" t="s">
        <v>161</v>
      </c>
      <c r="C72" s="4">
        <v>22.1202549013531</v>
      </c>
      <c r="D72" s="1">
        <f t="shared" si="4"/>
        <v>3.8318805190254248</v>
      </c>
      <c r="E72">
        <f t="shared" si="1"/>
        <v>6790.1679913597363</v>
      </c>
      <c r="F72" s="24">
        <v>7.6388888888888895E-2</v>
      </c>
      <c r="G72" s="3" t="s">
        <v>201</v>
      </c>
      <c r="H72" s="3" t="s">
        <v>202</v>
      </c>
      <c r="I72" s="1" t="s">
        <v>220</v>
      </c>
      <c r="J72" s="30">
        <f t="shared" si="5"/>
        <v>8487709.9891996719</v>
      </c>
      <c r="K72" s="12">
        <f t="shared" si="2"/>
        <v>8487709.9891996719</v>
      </c>
      <c r="L72" s="35"/>
      <c r="M72" s="35"/>
    </row>
    <row r="73" spans="1:13" x14ac:dyDescent="0.2">
      <c r="A73" s="7" t="s">
        <v>89</v>
      </c>
      <c r="B73" s="8" t="s">
        <v>161</v>
      </c>
      <c r="C73" s="4">
        <v>22.379492055603301</v>
      </c>
      <c r="D73" s="1">
        <f t="shared" si="4"/>
        <v>3.7605247676512721</v>
      </c>
      <c r="E73">
        <f t="shared" si="1"/>
        <v>5761.3567442420426</v>
      </c>
      <c r="F73" s="24">
        <v>7.6388888888888895E-2</v>
      </c>
      <c r="G73" s="3" t="s">
        <v>201</v>
      </c>
      <c r="H73" s="3" t="s">
        <v>202</v>
      </c>
      <c r="I73" s="1" t="s">
        <v>220</v>
      </c>
      <c r="J73" s="30">
        <f t="shared" si="5"/>
        <v>7201695.9303025538</v>
      </c>
      <c r="K73" s="12">
        <f t="shared" si="2"/>
        <v>7201695.9303025538</v>
      </c>
      <c r="L73" s="35"/>
      <c r="M73" s="35"/>
    </row>
    <row r="74" spans="1:13" x14ac:dyDescent="0.2">
      <c r="A74" s="7" t="s">
        <v>90</v>
      </c>
      <c r="B74" s="8" t="s">
        <v>162</v>
      </c>
      <c r="C74" s="4">
        <v>23.1156637129065</v>
      </c>
      <c r="D74" s="1">
        <f t="shared" si="4"/>
        <v>3.557891461097821</v>
      </c>
      <c r="E74">
        <f t="shared" si="1"/>
        <v>3613.1955035161664</v>
      </c>
      <c r="F74" s="24">
        <v>7.6388888888888895E-2</v>
      </c>
      <c r="G74" s="3" t="s">
        <v>201</v>
      </c>
      <c r="H74" s="3" t="s">
        <v>202</v>
      </c>
      <c r="I74" s="1" t="s">
        <v>220</v>
      </c>
      <c r="J74" s="30">
        <f t="shared" si="5"/>
        <v>4516494.3793952083</v>
      </c>
      <c r="K74" s="12">
        <f t="shared" si="2"/>
        <v>4516494.3793952083</v>
      </c>
      <c r="L74" s="34">
        <f t="shared" ref="L74" si="16">AVERAGE(K74:K76)</f>
        <v>3724542.4631000385</v>
      </c>
      <c r="M74" s="35" t="s">
        <v>218</v>
      </c>
    </row>
    <row r="75" spans="1:13" x14ac:dyDescent="0.2">
      <c r="A75" s="7" t="s">
        <v>92</v>
      </c>
      <c r="B75" s="8" t="s">
        <v>162</v>
      </c>
      <c r="C75" s="4">
        <v>23.689113481121201</v>
      </c>
      <c r="D75" s="1">
        <f t="shared" si="4"/>
        <v>3.4000478093857631</v>
      </c>
      <c r="E75">
        <f t="shared" si="1"/>
        <v>2512.1629681979466</v>
      </c>
      <c r="F75" s="24">
        <v>7.6388888888888895E-2</v>
      </c>
      <c r="G75" s="3" t="s">
        <v>201</v>
      </c>
      <c r="H75" s="3" t="s">
        <v>202</v>
      </c>
      <c r="I75" s="1" t="s">
        <v>220</v>
      </c>
      <c r="J75" s="30">
        <f t="shared" si="5"/>
        <v>3140203.7102474333</v>
      </c>
      <c r="K75" s="12">
        <f t="shared" si="2"/>
        <v>3140203.7102474333</v>
      </c>
      <c r="L75" s="35"/>
      <c r="M75" s="35"/>
    </row>
    <row r="76" spans="1:13" x14ac:dyDescent="0.2">
      <c r="A76" s="7" t="s">
        <v>93</v>
      </c>
      <c r="B76" s="8" t="s">
        <v>162</v>
      </c>
      <c r="C76" s="4">
        <v>23.510347574744699</v>
      </c>
      <c r="D76" s="1">
        <f t="shared" si="4"/>
        <v>3.4492536248348302</v>
      </c>
      <c r="E76">
        <f t="shared" si="1"/>
        <v>2813.5434397259778</v>
      </c>
      <c r="F76" s="24">
        <v>7.6388888888888895E-2</v>
      </c>
      <c r="G76" s="3" t="s">
        <v>201</v>
      </c>
      <c r="H76" s="3" t="s">
        <v>202</v>
      </c>
      <c r="I76" s="1" t="s">
        <v>220</v>
      </c>
      <c r="J76" s="30">
        <f t="shared" si="5"/>
        <v>3516929.2996574724</v>
      </c>
      <c r="K76" s="12">
        <f t="shared" si="2"/>
        <v>3516929.2996574724</v>
      </c>
      <c r="L76" s="35"/>
      <c r="M76" s="35"/>
    </row>
    <row r="77" spans="1:13" x14ac:dyDescent="0.2">
      <c r="A77" s="7" t="s">
        <v>94</v>
      </c>
      <c r="B77" s="8" t="s">
        <v>163</v>
      </c>
      <c r="C77" s="4">
        <v>35.178068336821902</v>
      </c>
      <c r="D77" s="1">
        <f t="shared" si="4"/>
        <v>0.23768086934051441</v>
      </c>
      <c r="E77">
        <f t="shared" si="1"/>
        <v>1.7285457129541448</v>
      </c>
      <c r="F77" s="24">
        <v>7.6388888888888895E-2</v>
      </c>
      <c r="G77" s="3" t="s">
        <v>201</v>
      </c>
      <c r="H77" s="3" t="s">
        <v>202</v>
      </c>
      <c r="I77" s="1" t="s">
        <v>242</v>
      </c>
      <c r="J77" s="32">
        <f>(E77*50*50)/247.9*1000</f>
        <v>17431.884963232602</v>
      </c>
      <c r="K77" s="12">
        <f t="shared" si="2"/>
        <v>17431.884963232602</v>
      </c>
      <c r="L77" s="34">
        <f t="shared" ref="L77" si="17">AVERAGE(K77:K79)</f>
        <v>11363.317179943646</v>
      </c>
      <c r="M77" s="35" t="s">
        <v>218</v>
      </c>
    </row>
    <row r="78" spans="1:13" x14ac:dyDescent="0.2">
      <c r="A78" s="7" t="s">
        <v>96</v>
      </c>
      <c r="B78" s="8" t="s">
        <v>163</v>
      </c>
      <c r="C78" s="4">
        <v>35.810808844997602</v>
      </c>
      <c r="D78" s="1">
        <f t="shared" si="4"/>
        <v>6.3517275713944291E-2</v>
      </c>
      <c r="E78">
        <f t="shared" si="1"/>
        <v>1.1574900747442745</v>
      </c>
      <c r="F78" s="24">
        <v>7.6388888888888895E-2</v>
      </c>
      <c r="G78" s="3" t="s">
        <v>201</v>
      </c>
      <c r="H78" s="3" t="s">
        <v>202</v>
      </c>
      <c r="I78" s="1" t="s">
        <v>242</v>
      </c>
      <c r="J78" s="32">
        <f t="shared" ref="J78:J79" si="18">(E78*50*50)/247.9*1000</f>
        <v>11672.953557324267</v>
      </c>
      <c r="K78" s="12">
        <f t="shared" si="2"/>
        <v>11672.953557324267</v>
      </c>
      <c r="L78" s="35"/>
      <c r="M78" s="35"/>
    </row>
    <row r="79" spans="1:13" x14ac:dyDescent="0.2">
      <c r="A79" s="7" t="s">
        <v>97</v>
      </c>
      <c r="B79" s="8" t="s">
        <v>163</v>
      </c>
      <c r="C79" s="4">
        <v>37.153232082885303</v>
      </c>
      <c r="D79" s="1">
        <f t="shared" si="4"/>
        <v>-0.30598847309993682</v>
      </c>
      <c r="E79">
        <f t="shared" si="1"/>
        <v>0.49432380699121636</v>
      </c>
      <c r="F79" s="24">
        <v>7.6388888888888895E-2</v>
      </c>
      <c r="G79" s="3" t="s">
        <v>201</v>
      </c>
      <c r="H79" s="3" t="s">
        <v>202</v>
      </c>
      <c r="I79" s="1" t="s">
        <v>242</v>
      </c>
      <c r="J79" s="32">
        <f t="shared" si="18"/>
        <v>4985.1130192740657</v>
      </c>
      <c r="K79" s="12">
        <f t="shared" si="2"/>
        <v>4985.1130192740657</v>
      </c>
      <c r="L79" s="35"/>
      <c r="M79" s="35"/>
    </row>
    <row r="80" spans="1:13" x14ac:dyDescent="0.2">
      <c r="A80" s="7" t="s">
        <v>98</v>
      </c>
      <c r="B80" s="8" t="s">
        <v>164</v>
      </c>
      <c r="C80" s="4"/>
      <c r="D80" s="1"/>
      <c r="F80" s="24">
        <v>7.6388888888888895E-2</v>
      </c>
      <c r="G80" s="3" t="s">
        <v>201</v>
      </c>
      <c r="H80" s="3" t="s">
        <v>202</v>
      </c>
      <c r="I80" s="1" t="s">
        <v>243</v>
      </c>
      <c r="J80" s="32"/>
      <c r="K80" s="12"/>
      <c r="L80" s="34">
        <f t="shared" ref="L80" si="19">AVERAGE(K80:K82)</f>
        <v>49447.947473166671</v>
      </c>
      <c r="M80" s="35" t="s">
        <v>218</v>
      </c>
    </row>
    <row r="81" spans="1:13" x14ac:dyDescent="0.2">
      <c r="A81" s="7" t="s">
        <v>100</v>
      </c>
      <c r="B81" s="8" t="s">
        <v>164</v>
      </c>
      <c r="C81" s="4">
        <v>33.464985207264597</v>
      </c>
      <c r="D81" s="1">
        <f t="shared" si="4"/>
        <v>0.70921178947231511</v>
      </c>
      <c r="E81">
        <f t="shared" si="1"/>
        <v>5.1193142483628913</v>
      </c>
      <c r="F81" s="24">
        <v>7.6388888888888895E-2</v>
      </c>
      <c r="G81" s="3" t="s">
        <v>201</v>
      </c>
      <c r="H81" s="3" t="s">
        <v>202</v>
      </c>
      <c r="I81" s="1" t="s">
        <v>243</v>
      </c>
      <c r="J81" s="32">
        <f t="shared" ref="J81:J82" si="20">(E81*50*50)/247.6*1000</f>
        <v>51689.360342920954</v>
      </c>
      <c r="K81" s="12">
        <f t="shared" si="2"/>
        <v>51689.360342920954</v>
      </c>
      <c r="L81" s="35"/>
      <c r="M81" s="35"/>
    </row>
    <row r="82" spans="1:13" x14ac:dyDescent="0.2">
      <c r="A82" s="7" t="s">
        <v>101</v>
      </c>
      <c r="B82" s="8" t="s">
        <v>164</v>
      </c>
      <c r="C82" s="4">
        <v>33.608122854150601</v>
      </c>
      <c r="D82" s="1">
        <f t="shared" si="4"/>
        <v>0.6698127520425905</v>
      </c>
      <c r="E82">
        <f t="shared" si="1"/>
        <v>4.6753351871219619</v>
      </c>
      <c r="F82" s="24">
        <v>7.6388888888888895E-2</v>
      </c>
      <c r="G82" s="3" t="s">
        <v>201</v>
      </c>
      <c r="H82" s="3" t="s">
        <v>202</v>
      </c>
      <c r="I82" s="1" t="s">
        <v>243</v>
      </c>
      <c r="J82" s="32">
        <f t="shared" si="20"/>
        <v>47206.534603412387</v>
      </c>
      <c r="K82" s="12">
        <f t="shared" si="2"/>
        <v>47206.534603412387</v>
      </c>
      <c r="L82" s="35"/>
      <c r="M82" s="35"/>
    </row>
    <row r="83" spans="1:13" x14ac:dyDescent="0.2">
      <c r="A83" s="7" t="s">
        <v>102</v>
      </c>
      <c r="B83" s="8" t="s">
        <v>165</v>
      </c>
      <c r="C83" s="4">
        <v>35.075682503698701</v>
      </c>
      <c r="D83" s="1">
        <f t="shared" si="4"/>
        <v>0.26586285611515492</v>
      </c>
      <c r="E83">
        <f t="shared" si="1"/>
        <v>1.8444328821109024</v>
      </c>
      <c r="F83" s="24">
        <v>7.6388888888888895E-2</v>
      </c>
      <c r="G83" s="3" t="s">
        <v>201</v>
      </c>
      <c r="H83" s="3" t="s">
        <v>202</v>
      </c>
      <c r="I83" s="1" t="s">
        <v>244</v>
      </c>
      <c r="J83" s="32">
        <f>(E83*50*50)/231.4*1000</f>
        <v>19926.889391863682</v>
      </c>
      <c r="K83" s="12">
        <f t="shared" si="2"/>
        <v>19926.889391863682</v>
      </c>
      <c r="L83" s="34">
        <f t="shared" ref="L83" si="21">AVERAGE(K83:K85)</f>
        <v>20540.815316730721</v>
      </c>
      <c r="M83" s="35" t="s">
        <v>218</v>
      </c>
    </row>
    <row r="84" spans="1:13" x14ac:dyDescent="0.2">
      <c r="A84" s="7" t="s">
        <v>104</v>
      </c>
      <c r="B84" s="8" t="s">
        <v>165</v>
      </c>
      <c r="C84" s="4">
        <v>35.712660773025</v>
      </c>
      <c r="D84" s="1">
        <f t="shared" si="4"/>
        <v>9.053280688572285E-2</v>
      </c>
      <c r="E84">
        <f t="shared" si="1"/>
        <v>1.2317790316057311</v>
      </c>
      <c r="F84" s="24">
        <v>7.6388888888888895E-2</v>
      </c>
      <c r="G84" s="3" t="s">
        <v>201</v>
      </c>
      <c r="H84" s="3" t="s">
        <v>202</v>
      </c>
      <c r="I84" s="1" t="s">
        <v>244</v>
      </c>
      <c r="J84" s="32">
        <f t="shared" ref="J84:J85" si="22">(E84*50*50)/231.4*1000</f>
        <v>13307.897921410233</v>
      </c>
      <c r="K84" s="12">
        <f t="shared" si="2"/>
        <v>13307.897921410233</v>
      </c>
      <c r="L84" s="35"/>
      <c r="M84" s="35"/>
    </row>
    <row r="85" spans="1:13" x14ac:dyDescent="0.2">
      <c r="A85" s="7" t="s">
        <v>105</v>
      </c>
      <c r="B85" s="8" t="s">
        <v>165</v>
      </c>
      <c r="C85" s="4">
        <v>34.5173228191411</v>
      </c>
      <c r="D85" s="1">
        <f t="shared" si="4"/>
        <v>0.41955292011805334</v>
      </c>
      <c r="E85">
        <f t="shared" si="1"/>
        <v>2.6275616834331528</v>
      </c>
      <c r="F85" s="24">
        <v>7.6388888888888895E-2</v>
      </c>
      <c r="G85" s="3" t="s">
        <v>201</v>
      </c>
      <c r="H85" s="3" t="s">
        <v>202</v>
      </c>
      <c r="I85" s="1" t="s">
        <v>244</v>
      </c>
      <c r="J85" s="32">
        <f t="shared" si="22"/>
        <v>28387.658636918244</v>
      </c>
      <c r="K85" s="12">
        <f t="shared" si="2"/>
        <v>28387.658636918244</v>
      </c>
      <c r="L85" s="35"/>
      <c r="M85" s="35"/>
    </row>
    <row r="86" spans="1:13" x14ac:dyDescent="0.2">
      <c r="A86" s="7" t="s">
        <v>106</v>
      </c>
      <c r="B86" s="8" t="s">
        <v>166</v>
      </c>
      <c r="C86" s="4">
        <v>34.499133775128598</v>
      </c>
      <c r="D86" s="1">
        <f t="shared" si="4"/>
        <v>0.42455950532781439</v>
      </c>
      <c r="E86">
        <f t="shared" si="1"/>
        <v>2.6580277171457389</v>
      </c>
      <c r="F86" s="24">
        <v>7.6388888888888895E-2</v>
      </c>
      <c r="G86" s="3" t="s">
        <v>201</v>
      </c>
      <c r="H86" s="3" t="s">
        <v>202</v>
      </c>
      <c r="I86" s="1" t="s">
        <v>245</v>
      </c>
      <c r="J86" s="32">
        <f>(E86*50*50)/259.8*1000</f>
        <v>25577.633921725741</v>
      </c>
      <c r="K86" s="12">
        <f t="shared" si="2"/>
        <v>25577.633921725741</v>
      </c>
      <c r="L86" s="34">
        <f t="shared" ref="L86" si="23">AVERAGE(K86:K88)</f>
        <v>24818.197781493302</v>
      </c>
      <c r="M86" s="35" t="s">
        <v>218</v>
      </c>
    </row>
    <row r="87" spans="1:13" x14ac:dyDescent="0.2">
      <c r="A87" s="7" t="s">
        <v>108</v>
      </c>
      <c r="B87" s="8" t="s">
        <v>166</v>
      </c>
      <c r="C87" s="4">
        <v>35.065722742539798</v>
      </c>
      <c r="D87" s="1">
        <f t="shared" si="4"/>
        <v>0.26860430821547671</v>
      </c>
      <c r="E87">
        <f t="shared" si="1"/>
        <v>1.8561125543093995</v>
      </c>
      <c r="F87" s="24">
        <v>7.6388888888888895E-2</v>
      </c>
      <c r="G87" s="3" t="s">
        <v>201</v>
      </c>
      <c r="H87" s="3" t="s">
        <v>202</v>
      </c>
      <c r="I87" s="1" t="s">
        <v>245</v>
      </c>
      <c r="J87" s="32">
        <f t="shared" ref="J87:J88" si="24">(E87*50*50)/259.8*1000</f>
        <v>17860.975310906459</v>
      </c>
      <c r="K87" s="12">
        <f t="shared" si="2"/>
        <v>17860.975310906459</v>
      </c>
      <c r="L87" s="35"/>
      <c r="M87" s="35"/>
    </row>
    <row r="88" spans="1:13" x14ac:dyDescent="0.2">
      <c r="A88" s="7" t="s">
        <v>109</v>
      </c>
      <c r="B88" s="8" t="s">
        <v>166</v>
      </c>
      <c r="C88" s="4">
        <v>34.1949581239788</v>
      </c>
      <c r="D88" s="1">
        <f t="shared" si="4"/>
        <v>0.50828470359383116</v>
      </c>
      <c r="E88">
        <f t="shared" si="1"/>
        <v>3.2231810689032137</v>
      </c>
      <c r="F88" s="24">
        <v>7.6388888888888895E-2</v>
      </c>
      <c r="G88" s="3" t="s">
        <v>201</v>
      </c>
      <c r="H88" s="3" t="s">
        <v>202</v>
      </c>
      <c r="I88" s="1" t="s">
        <v>245</v>
      </c>
      <c r="J88" s="32">
        <f t="shared" si="24"/>
        <v>31015.984111847705</v>
      </c>
      <c r="K88" s="12">
        <f t="shared" si="2"/>
        <v>31015.984111847705</v>
      </c>
      <c r="L88" s="35"/>
      <c r="M88" s="35"/>
    </row>
    <row r="89" spans="1:13" x14ac:dyDescent="0.2">
      <c r="A89" s="7" t="s">
        <v>110</v>
      </c>
      <c r="B89" s="8" t="s">
        <v>167</v>
      </c>
      <c r="C89" s="4">
        <v>35.2638208129205</v>
      </c>
      <c r="D89" s="1">
        <f t="shared" si="4"/>
        <v>0.21407726058347676</v>
      </c>
      <c r="E89">
        <f t="shared" si="1"/>
        <v>1.637107735463698</v>
      </c>
      <c r="F89" s="24">
        <v>7.6388888888888895E-2</v>
      </c>
      <c r="G89" s="3" t="s">
        <v>201</v>
      </c>
      <c r="H89" s="3" t="s">
        <v>202</v>
      </c>
      <c r="I89" s="1" t="s">
        <v>246</v>
      </c>
      <c r="J89" s="32">
        <f>(E89*50*50)/236.5*1000</f>
        <v>17305.578598982011</v>
      </c>
      <c r="K89" s="12">
        <f t="shared" si="2"/>
        <v>17305.578598982011</v>
      </c>
      <c r="L89" s="34">
        <f t="shared" ref="L89" si="25">AVERAGE(K89:K91)</f>
        <v>23476.702176329269</v>
      </c>
      <c r="M89" s="35" t="s">
        <v>218</v>
      </c>
    </row>
    <row r="90" spans="1:13" x14ac:dyDescent="0.2">
      <c r="A90" s="7" t="s">
        <v>112</v>
      </c>
      <c r="B90" s="8" t="s">
        <v>167</v>
      </c>
      <c r="C90" s="4">
        <v>35.772219389374897</v>
      </c>
      <c r="D90" s="1">
        <f t="shared" si="4"/>
        <v>7.4139131246350354E-2</v>
      </c>
      <c r="E90">
        <f t="shared" si="1"/>
        <v>1.1861486837171924</v>
      </c>
      <c r="F90" s="24">
        <v>7.6388888888888895E-2</v>
      </c>
      <c r="G90" s="3" t="s">
        <v>201</v>
      </c>
      <c r="H90" s="3" t="s">
        <v>202</v>
      </c>
      <c r="I90" s="1" t="s">
        <v>246</v>
      </c>
      <c r="J90" s="32">
        <f t="shared" ref="J90:J91" si="26">(E90*50*50)/236.5*1000</f>
        <v>12538.569595319159</v>
      </c>
      <c r="K90" s="12">
        <f t="shared" si="2"/>
        <v>12538.569595319159</v>
      </c>
      <c r="L90" s="35"/>
      <c r="M90" s="35"/>
    </row>
    <row r="91" spans="1:13" x14ac:dyDescent="0.2">
      <c r="A91" s="7" t="s">
        <v>113</v>
      </c>
      <c r="B91" s="8" t="s">
        <v>167</v>
      </c>
      <c r="C91" s="4">
        <v>33.9189128329879</v>
      </c>
      <c r="D91" s="1">
        <f t="shared" si="4"/>
        <v>0.58426694159101877</v>
      </c>
      <c r="E91">
        <f t="shared" si="1"/>
        <v>3.8394316584613564</v>
      </c>
      <c r="F91" s="24">
        <v>7.6388888888888895E-2</v>
      </c>
      <c r="G91" s="3" t="s">
        <v>201</v>
      </c>
      <c r="H91" s="3" t="s">
        <v>202</v>
      </c>
      <c r="I91" s="1" t="s">
        <v>246</v>
      </c>
      <c r="J91" s="32">
        <f t="shared" si="26"/>
        <v>40585.958334686635</v>
      </c>
      <c r="K91" s="12">
        <f t="shared" si="2"/>
        <v>40585.958334686635</v>
      </c>
      <c r="L91" s="35"/>
      <c r="M91" s="35"/>
    </row>
    <row r="92" spans="1:13" x14ac:dyDescent="0.2">
      <c r="A92" s="7" t="s">
        <v>114</v>
      </c>
      <c r="B92" s="8" t="s">
        <v>168</v>
      </c>
      <c r="C92" s="4"/>
      <c r="D92" s="1"/>
      <c r="F92" s="24">
        <v>7.6388888888888895E-2</v>
      </c>
      <c r="G92" s="3" t="s">
        <v>201</v>
      </c>
      <c r="H92" s="3" t="s">
        <v>202</v>
      </c>
      <c r="I92" s="1" t="s">
        <v>247</v>
      </c>
      <c r="J92" s="32"/>
      <c r="K92" s="12"/>
      <c r="L92" s="34">
        <f t="shared" ref="L92" si="27">AVERAGE(K92:K94)</f>
        <v>27984.375147852043</v>
      </c>
      <c r="M92" s="35" t="s">
        <v>218</v>
      </c>
    </row>
    <row r="93" spans="1:13" x14ac:dyDescent="0.2">
      <c r="A93" s="7" t="s">
        <v>116</v>
      </c>
      <c r="B93" s="8" t="s">
        <v>168</v>
      </c>
      <c r="C93" s="4">
        <v>34.579343233483598</v>
      </c>
      <c r="D93" s="1">
        <f t="shared" si="4"/>
        <v>0.4024816276995522</v>
      </c>
      <c r="E93">
        <f t="shared" si="1"/>
        <v>2.5262808366296321</v>
      </c>
      <c r="F93" s="24">
        <v>7.6388888888888895E-2</v>
      </c>
      <c r="G93" s="3" t="s">
        <v>201</v>
      </c>
      <c r="H93" s="3" t="s">
        <v>202</v>
      </c>
      <c r="I93" s="1" t="s">
        <v>247</v>
      </c>
      <c r="J93" s="32">
        <f t="shared" ref="J93:J94" si="28">(E93*50*50)/241.8*1000</f>
        <v>26119.528914698429</v>
      </c>
      <c r="K93" s="12">
        <f t="shared" si="2"/>
        <v>26119.528914698429</v>
      </c>
      <c r="L93" s="35"/>
      <c r="M93" s="35"/>
    </row>
    <row r="94" spans="1:13" x14ac:dyDescent="0.2">
      <c r="A94" s="7" t="s">
        <v>117</v>
      </c>
      <c r="B94" s="8" t="s">
        <v>168</v>
      </c>
      <c r="C94" s="4">
        <v>34.368745309911297</v>
      </c>
      <c r="D94" s="1">
        <f t="shared" si="4"/>
        <v>0.46044929486440012</v>
      </c>
      <c r="E94">
        <f t="shared" si="1"/>
        <v>2.8870166919708673</v>
      </c>
      <c r="F94" s="24">
        <v>7.6388888888888895E-2</v>
      </c>
      <c r="G94" s="3" t="s">
        <v>201</v>
      </c>
      <c r="H94" s="3" t="s">
        <v>202</v>
      </c>
      <c r="I94" s="1" t="s">
        <v>247</v>
      </c>
      <c r="J94" s="32">
        <f t="shared" si="28"/>
        <v>29849.22138100566</v>
      </c>
      <c r="K94" s="12">
        <f t="shared" si="2"/>
        <v>29849.22138100566</v>
      </c>
      <c r="L94" s="35"/>
      <c r="M94" s="35"/>
    </row>
    <row r="95" spans="1:13" x14ac:dyDescent="0.2">
      <c r="A95" s="7" t="s">
        <v>118</v>
      </c>
      <c r="B95" s="8" t="s">
        <v>169</v>
      </c>
      <c r="C95" s="4">
        <v>35.1416229849142</v>
      </c>
      <c r="D95" s="1">
        <f t="shared" si="4"/>
        <v>0.24771255433177741</v>
      </c>
      <c r="E95">
        <f t="shared" si="1"/>
        <v>1.7689377672752116</v>
      </c>
      <c r="F95" s="24">
        <v>7.6388888888888895E-2</v>
      </c>
      <c r="G95" s="3" t="s">
        <v>201</v>
      </c>
      <c r="H95" s="3" t="s">
        <v>202</v>
      </c>
      <c r="I95" s="1" t="s">
        <v>248</v>
      </c>
      <c r="J95" s="32">
        <f>(E95*50*50)/232.2*1000</f>
        <v>19045.41093104233</v>
      </c>
      <c r="K95" s="12">
        <f t="shared" si="2"/>
        <v>19045.41093104233</v>
      </c>
      <c r="L95" s="34">
        <f t="shared" ref="L95" si="29">AVERAGE(K95:K97)</f>
        <v>24124.551644750802</v>
      </c>
      <c r="M95" s="35" t="s">
        <v>218</v>
      </c>
    </row>
    <row r="96" spans="1:13" x14ac:dyDescent="0.2">
      <c r="A96" s="7" t="s">
        <v>120</v>
      </c>
      <c r="B96" s="8" t="s">
        <v>169</v>
      </c>
      <c r="C96" s="4">
        <v>34.864255285914702</v>
      </c>
      <c r="D96" s="1">
        <f t="shared" si="4"/>
        <v>0.32405878882996658</v>
      </c>
      <c r="E96">
        <f t="shared" si="1"/>
        <v>2.1089136064094176</v>
      </c>
      <c r="F96" s="24">
        <v>7.6388888888888895E-2</v>
      </c>
      <c r="G96" s="3" t="s">
        <v>201</v>
      </c>
      <c r="H96" s="3" t="s">
        <v>202</v>
      </c>
      <c r="I96" s="1" t="s">
        <v>248</v>
      </c>
      <c r="J96" s="32">
        <f t="shared" ref="J96:J97" si="30">(E96*50*50)/232.2*1000</f>
        <v>22705.788182702607</v>
      </c>
      <c r="K96" s="12">
        <f t="shared" si="2"/>
        <v>22705.788182702607</v>
      </c>
      <c r="L96" s="35"/>
      <c r="M96" s="35"/>
    </row>
    <row r="97" spans="1:13" x14ac:dyDescent="0.2">
      <c r="A97" s="7" t="s">
        <v>121</v>
      </c>
      <c r="B97" s="8" t="s">
        <v>169</v>
      </c>
      <c r="C97" s="4">
        <v>34.392312995656802</v>
      </c>
      <c r="D97" s="1">
        <f t="shared" si="4"/>
        <v>0.45396222348227355</v>
      </c>
      <c r="E97">
        <f t="shared" si="1"/>
        <v>2.8442136966087337</v>
      </c>
      <c r="F97" s="24">
        <v>7.6388888888888895E-2</v>
      </c>
      <c r="G97" s="3" t="s">
        <v>201</v>
      </c>
      <c r="H97" s="3" t="s">
        <v>202</v>
      </c>
      <c r="I97" s="1" t="s">
        <v>248</v>
      </c>
      <c r="J97" s="32">
        <f t="shared" si="30"/>
        <v>30622.455820507472</v>
      </c>
      <c r="K97" s="12">
        <f t="shared" si="2"/>
        <v>30622.455820507472</v>
      </c>
      <c r="L97" s="35"/>
      <c r="M97" s="35"/>
    </row>
    <row r="98" spans="1:13" x14ac:dyDescent="0.2">
      <c r="A98" s="7" t="s">
        <v>122</v>
      </c>
      <c r="B98" s="8" t="s">
        <v>170</v>
      </c>
      <c r="C98" s="4">
        <v>34.440796103393801</v>
      </c>
      <c r="D98" s="1">
        <f t="shared" si="4"/>
        <v>0.4406171125488747</v>
      </c>
      <c r="E98">
        <f t="shared" si="1"/>
        <v>2.758145117923847</v>
      </c>
      <c r="F98" s="24">
        <v>7.6388888888888895E-2</v>
      </c>
      <c r="G98" s="3" t="s">
        <v>201</v>
      </c>
      <c r="H98" s="3" t="s">
        <v>202</v>
      </c>
      <c r="I98" s="1" t="s">
        <v>249</v>
      </c>
      <c r="J98" s="32">
        <f>(E98*50*50)/253.5*1000</f>
        <v>27200.642188598096</v>
      </c>
      <c r="K98" s="12">
        <f t="shared" si="2"/>
        <v>27200.642188598096</v>
      </c>
      <c r="L98" s="34">
        <f t="shared" ref="L98" si="31">AVERAGE(K98:K100)</f>
        <v>43629.399750675926</v>
      </c>
      <c r="M98" s="35" t="s">
        <v>218</v>
      </c>
    </row>
    <row r="99" spans="1:13" x14ac:dyDescent="0.2">
      <c r="A99" s="7" t="s">
        <v>124</v>
      </c>
      <c r="B99" s="8" t="s">
        <v>170</v>
      </c>
      <c r="C99" s="4">
        <v>33.0750536949188</v>
      </c>
      <c r="D99" s="1">
        <f t="shared" si="4"/>
        <v>0.81654152825289172</v>
      </c>
      <c r="E99">
        <f t="shared" si="1"/>
        <v>6.5545295878005021</v>
      </c>
      <c r="F99" s="24">
        <v>7.6388888888888895E-2</v>
      </c>
      <c r="G99" s="3" t="s">
        <v>201</v>
      </c>
      <c r="H99" s="3" t="s">
        <v>202</v>
      </c>
      <c r="I99" s="1" t="s">
        <v>249</v>
      </c>
      <c r="J99" s="32">
        <f t="shared" ref="J99:J100" si="32">(E99*50*50)/253.5*1000</f>
        <v>64640.331240636115</v>
      </c>
      <c r="K99" s="12">
        <f t="shared" si="2"/>
        <v>64640.331240636115</v>
      </c>
      <c r="L99" s="35"/>
      <c r="M99" s="35"/>
    </row>
    <row r="100" spans="1:13" x14ac:dyDescent="0.2">
      <c r="A100" s="7" t="s">
        <v>125</v>
      </c>
      <c r="B100" s="8" t="s">
        <v>170</v>
      </c>
      <c r="C100" s="4">
        <v>33.870371282302003</v>
      </c>
      <c r="D100" s="1">
        <f t="shared" si="4"/>
        <v>0.59762813910947221</v>
      </c>
      <c r="E100">
        <f t="shared" si="1"/>
        <v>3.9593886984312672</v>
      </c>
      <c r="F100" s="24">
        <v>7.6388888888888895E-2</v>
      </c>
      <c r="G100" s="3" t="s">
        <v>201</v>
      </c>
      <c r="H100" s="3" t="s">
        <v>202</v>
      </c>
      <c r="I100" s="1" t="s">
        <v>249</v>
      </c>
      <c r="J100" s="32">
        <f t="shared" si="32"/>
        <v>39047.225822793567</v>
      </c>
      <c r="K100" s="12">
        <f t="shared" si="2"/>
        <v>39047.225822793567</v>
      </c>
      <c r="L100" s="35"/>
      <c r="M100" s="35"/>
    </row>
    <row r="101" spans="1:13" x14ac:dyDescent="0.2">
      <c r="A101" s="7" t="s">
        <v>126</v>
      </c>
      <c r="B101" s="8" t="s">
        <v>171</v>
      </c>
      <c r="C101" s="4">
        <v>35.209359659096798</v>
      </c>
      <c r="D101" s="1">
        <f t="shared" si="4"/>
        <v>0.22906784541316103</v>
      </c>
      <c r="E101">
        <f t="shared" si="1"/>
        <v>1.6946025102982174</v>
      </c>
      <c r="F101" s="24">
        <v>7.6388888888888895E-2</v>
      </c>
      <c r="G101" s="3" t="s">
        <v>201</v>
      </c>
      <c r="H101" s="3" t="s">
        <v>202</v>
      </c>
      <c r="I101" s="1" t="s">
        <v>250</v>
      </c>
      <c r="J101" s="32">
        <f>(E101*50*50)/245.1*1000</f>
        <v>17284.807326583206</v>
      </c>
      <c r="K101" s="12">
        <f t="shared" si="2"/>
        <v>17284.807326583206</v>
      </c>
      <c r="L101" s="34">
        <f t="shared" ref="L101" si="33">AVERAGE(K101:K103)</f>
        <v>19754.110303613041</v>
      </c>
      <c r="M101" s="35" t="s">
        <v>218</v>
      </c>
    </row>
    <row r="102" spans="1:13" x14ac:dyDescent="0.2">
      <c r="A102" s="7" t="s">
        <v>128</v>
      </c>
      <c r="B102" s="8" t="s">
        <v>171</v>
      </c>
      <c r="C102" s="4">
        <v>35.266077191567597</v>
      </c>
      <c r="D102" s="1">
        <f t="shared" si="4"/>
        <v>0.2134561860534239</v>
      </c>
      <c r="E102">
        <f t="shared" si="1"/>
        <v>1.6347682186623627</v>
      </c>
      <c r="F102" s="24">
        <v>7.6388888888888895E-2</v>
      </c>
      <c r="G102" s="3" t="s">
        <v>201</v>
      </c>
      <c r="H102" s="3" t="s">
        <v>202</v>
      </c>
      <c r="I102" s="1" t="s">
        <v>250</v>
      </c>
      <c r="J102" s="32">
        <f t="shared" ref="J102:J103" si="34">(E102*50*50)/245.1*1000</f>
        <v>16674.502434336624</v>
      </c>
      <c r="K102" s="12">
        <f t="shared" si="2"/>
        <v>16674.502434336624</v>
      </c>
      <c r="L102" s="35"/>
      <c r="M102" s="35"/>
    </row>
    <row r="103" spans="1:13" x14ac:dyDescent="0.2">
      <c r="A103" s="7" t="s">
        <v>129</v>
      </c>
      <c r="B103" s="8" t="s">
        <v>171</v>
      </c>
      <c r="C103" s="4">
        <v>34.608065726944297</v>
      </c>
      <c r="D103" s="1">
        <f t="shared" si="4"/>
        <v>0.39457568108416374</v>
      </c>
      <c r="E103">
        <f t="shared" ref="E103" si="35">10^D103</f>
        <v>2.4807081935380877</v>
      </c>
      <c r="F103" s="24">
        <v>7.6388888888888895E-2</v>
      </c>
      <c r="G103" s="3" t="s">
        <v>201</v>
      </c>
      <c r="H103" s="3" t="s">
        <v>202</v>
      </c>
      <c r="I103" s="1" t="s">
        <v>250</v>
      </c>
      <c r="J103" s="32">
        <f t="shared" si="34"/>
        <v>25303.021149919296</v>
      </c>
      <c r="K103" s="12">
        <f t="shared" ref="K103" si="36">J103</f>
        <v>25303.021149919296</v>
      </c>
      <c r="L103" s="35"/>
      <c r="M103" s="35"/>
    </row>
  </sheetData>
  <mergeCells count="45">
    <mergeCell ref="L44:L46"/>
    <mergeCell ref="M44:M46"/>
    <mergeCell ref="S7:U8"/>
    <mergeCell ref="L38:L40"/>
    <mergeCell ref="M38:M40"/>
    <mergeCell ref="L41:L43"/>
    <mergeCell ref="M41:M43"/>
    <mergeCell ref="L47:L49"/>
    <mergeCell ref="M47:M49"/>
    <mergeCell ref="L50:L52"/>
    <mergeCell ref="M50:M52"/>
    <mergeCell ref="L53:L55"/>
    <mergeCell ref="M53:M55"/>
    <mergeCell ref="L56:L58"/>
    <mergeCell ref="M56:M58"/>
    <mergeCell ref="L59:L61"/>
    <mergeCell ref="M59:M61"/>
    <mergeCell ref="L62:L64"/>
    <mergeCell ref="M62:M64"/>
    <mergeCell ref="L65:L67"/>
    <mergeCell ref="M65:M67"/>
    <mergeCell ref="L68:L70"/>
    <mergeCell ref="M68:M70"/>
    <mergeCell ref="L71:L73"/>
    <mergeCell ref="M71:M73"/>
    <mergeCell ref="L74:L76"/>
    <mergeCell ref="M74:M76"/>
    <mergeCell ref="L77:L79"/>
    <mergeCell ref="M77:M79"/>
    <mergeCell ref="L80:L82"/>
    <mergeCell ref="M80:M82"/>
    <mergeCell ref="L83:L85"/>
    <mergeCell ref="M83:M85"/>
    <mergeCell ref="L86:L88"/>
    <mergeCell ref="M86:M88"/>
    <mergeCell ref="L89:L91"/>
    <mergeCell ref="M89:M91"/>
    <mergeCell ref="L101:L103"/>
    <mergeCell ref="M101:M103"/>
    <mergeCell ref="L92:L94"/>
    <mergeCell ref="M92:M94"/>
    <mergeCell ref="L95:L97"/>
    <mergeCell ref="M95:M97"/>
    <mergeCell ref="L98:L100"/>
    <mergeCell ref="M98:M100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0ED6A-B828-0D4B-B02A-A5A50D2BB8BD}">
  <dimension ref="A1:U103"/>
  <sheetViews>
    <sheetView workbookViewId="0">
      <selection activeCell="D41" sqref="D41:D103"/>
    </sheetView>
  </sheetViews>
  <sheetFormatPr baseColWidth="10" defaultRowHeight="16" x14ac:dyDescent="0.2"/>
  <cols>
    <col min="1" max="1" width="5" bestFit="1" customWidth="1"/>
    <col min="2" max="2" width="15.33203125" bestFit="1" customWidth="1"/>
    <col min="3" max="3" width="6.6640625" bestFit="1" customWidth="1"/>
    <col min="4" max="4" width="21.6640625" bestFit="1" customWidth="1"/>
    <col min="6" max="6" width="4.6640625" bestFit="1" customWidth="1"/>
    <col min="7" max="7" width="9.1640625" bestFit="1" customWidth="1"/>
    <col min="8" max="8" width="13" bestFit="1" customWidth="1"/>
    <col min="9" max="9" width="14.33203125" bestFit="1" customWidth="1"/>
    <col min="13" max="13" width="13.1640625" bestFit="1" customWidth="1"/>
    <col min="14" max="14" width="5" bestFit="1" customWidth="1"/>
    <col min="15" max="15" width="8.33203125" bestFit="1" customWidth="1"/>
    <col min="16" max="16" width="9.83203125" bestFit="1" customWidth="1"/>
    <col min="17" max="17" width="5.6640625" bestFit="1" customWidth="1"/>
    <col min="21" max="21" width="13.1640625" bestFit="1" customWidth="1"/>
  </cols>
  <sheetData>
    <row r="1" spans="1:21" x14ac:dyDescent="0.2">
      <c r="A1" s="9" t="s">
        <v>0</v>
      </c>
      <c r="B1" s="9" t="s">
        <v>1</v>
      </c>
      <c r="C1" s="9" t="s">
        <v>130</v>
      </c>
      <c r="D1" s="9" t="s">
        <v>251</v>
      </c>
      <c r="N1" s="1" t="s">
        <v>0</v>
      </c>
      <c r="O1" s="9" t="s">
        <v>1</v>
      </c>
      <c r="P1" s="1" t="s">
        <v>193</v>
      </c>
      <c r="Q1" s="9" t="s">
        <v>251</v>
      </c>
    </row>
    <row r="2" spans="1:21" x14ac:dyDescent="0.2">
      <c r="A2" s="10" t="s">
        <v>2</v>
      </c>
      <c r="B2" s="9" t="s">
        <v>3</v>
      </c>
      <c r="C2" s="13">
        <f>LOG(P2)</f>
        <v>8.0136044023579664</v>
      </c>
      <c r="D2" s="4">
        <v>6.2676901937823004</v>
      </c>
      <c r="N2" s="1" t="s">
        <v>2</v>
      </c>
      <c r="O2" s="9" t="s">
        <v>3</v>
      </c>
      <c r="P2" s="12">
        <v>103182109.45826009</v>
      </c>
      <c r="Q2" s="4">
        <v>6.2676901937823004</v>
      </c>
    </row>
    <row r="3" spans="1:21" x14ac:dyDescent="0.2">
      <c r="A3" s="10" t="s">
        <v>4</v>
      </c>
      <c r="B3" s="9" t="s">
        <v>3</v>
      </c>
      <c r="C3" s="13">
        <f t="shared" ref="C3:C28" si="0">LOG(P3)</f>
        <v>8.0136044023579664</v>
      </c>
      <c r="D3" s="4">
        <v>6.3347800968342396</v>
      </c>
      <c r="N3" s="1" t="s">
        <v>4</v>
      </c>
      <c r="O3" s="9" t="s">
        <v>3</v>
      </c>
      <c r="P3" s="12">
        <v>103182109.45826009</v>
      </c>
      <c r="Q3" s="4">
        <v>6.3347800968342396</v>
      </c>
    </row>
    <row r="4" spans="1:21" x14ac:dyDescent="0.2">
      <c r="A4" s="10" t="s">
        <v>5</v>
      </c>
      <c r="B4" s="9" t="s">
        <v>3</v>
      </c>
      <c r="C4" s="13">
        <f t="shared" si="0"/>
        <v>8.0136044023579664</v>
      </c>
      <c r="D4" s="4">
        <v>6.1794986063076696</v>
      </c>
      <c r="N4" s="1" t="s">
        <v>5</v>
      </c>
      <c r="O4" s="9" t="s">
        <v>3</v>
      </c>
      <c r="P4" s="12">
        <v>103182109.45826009</v>
      </c>
      <c r="Q4" s="4">
        <v>6.1794986063076696</v>
      </c>
    </row>
    <row r="5" spans="1:21" x14ac:dyDescent="0.2">
      <c r="A5" s="10" t="s">
        <v>6</v>
      </c>
      <c r="B5" s="9" t="s">
        <v>7</v>
      </c>
      <c r="C5" s="13">
        <f t="shared" si="0"/>
        <v>7.0136044023579664</v>
      </c>
      <c r="D5" s="4">
        <v>10.8676086051646</v>
      </c>
      <c r="N5" s="1" t="s">
        <v>6</v>
      </c>
      <c r="O5" s="9" t="s">
        <v>7</v>
      </c>
      <c r="P5" s="12">
        <v>10318210.945826009</v>
      </c>
      <c r="Q5" s="4">
        <v>10.8676086051646</v>
      </c>
    </row>
    <row r="6" spans="1:21" ht="17" thickBot="1" x14ac:dyDescent="0.25">
      <c r="A6" s="10" t="s">
        <v>8</v>
      </c>
      <c r="B6" s="9" t="s">
        <v>7</v>
      </c>
      <c r="C6" s="13">
        <f t="shared" si="0"/>
        <v>7.0136044023579664</v>
      </c>
      <c r="D6" s="4">
        <v>10.7980593695662</v>
      </c>
      <c r="N6" s="1" t="s">
        <v>8</v>
      </c>
      <c r="O6" s="9" t="s">
        <v>7</v>
      </c>
      <c r="P6" s="12">
        <v>10318210.945826009</v>
      </c>
      <c r="Q6" s="4">
        <v>10.7980593695662</v>
      </c>
    </row>
    <row r="7" spans="1:21" x14ac:dyDescent="0.2">
      <c r="A7" s="10" t="s">
        <v>9</v>
      </c>
      <c r="B7" s="9" t="s">
        <v>7</v>
      </c>
      <c r="C7" s="13">
        <f t="shared" si="0"/>
        <v>7.0136044023579664</v>
      </c>
      <c r="D7" s="4">
        <v>10.8621506764357</v>
      </c>
      <c r="N7" s="1" t="s">
        <v>9</v>
      </c>
      <c r="O7" s="9" t="s">
        <v>7</v>
      </c>
      <c r="P7" s="12">
        <v>10318210.945826009</v>
      </c>
      <c r="Q7" s="4">
        <v>10.8621506764357</v>
      </c>
      <c r="S7" s="36" t="s">
        <v>222</v>
      </c>
      <c r="T7" s="37"/>
      <c r="U7" s="38"/>
    </row>
    <row r="8" spans="1:21" ht="17" thickBot="1" x14ac:dyDescent="0.25">
      <c r="A8" s="10" t="s">
        <v>10</v>
      </c>
      <c r="B8" s="9" t="s">
        <v>11</v>
      </c>
      <c r="C8" s="13">
        <f t="shared" si="0"/>
        <v>6.0136044023579664</v>
      </c>
      <c r="D8" s="4">
        <v>14.4044904126793</v>
      </c>
      <c r="N8" s="1" t="s">
        <v>10</v>
      </c>
      <c r="O8" s="9" t="s">
        <v>11</v>
      </c>
      <c r="P8" s="12">
        <v>1031821.0945826009</v>
      </c>
      <c r="Q8" s="4">
        <v>14.4044904126793</v>
      </c>
      <c r="S8" s="39"/>
      <c r="T8" s="40"/>
      <c r="U8" s="41"/>
    </row>
    <row r="9" spans="1:21" x14ac:dyDescent="0.2">
      <c r="A9" s="10" t="s">
        <v>12</v>
      </c>
      <c r="B9" s="9" t="s">
        <v>11</v>
      </c>
      <c r="C9" s="13">
        <f t="shared" si="0"/>
        <v>6.0136044023579664</v>
      </c>
      <c r="D9" s="4">
        <v>14.269999747559501</v>
      </c>
      <c r="N9" s="1" t="s">
        <v>12</v>
      </c>
      <c r="O9" s="9" t="s">
        <v>11</v>
      </c>
      <c r="P9" s="12">
        <v>1031821.0945826009</v>
      </c>
      <c r="Q9" s="4">
        <v>14.269999747559501</v>
      </c>
    </row>
    <row r="10" spans="1:21" x14ac:dyDescent="0.2">
      <c r="A10" s="10" t="s">
        <v>13</v>
      </c>
      <c r="B10" s="9" t="s">
        <v>11</v>
      </c>
      <c r="C10" s="13">
        <f t="shared" si="0"/>
        <v>6.0136044023579664</v>
      </c>
      <c r="D10" s="4">
        <v>14.4078195990596</v>
      </c>
      <c r="N10" s="1" t="s">
        <v>13</v>
      </c>
      <c r="O10" s="9" t="s">
        <v>11</v>
      </c>
      <c r="P10" s="12">
        <v>1031821.0945826009</v>
      </c>
      <c r="Q10" s="4">
        <v>14.4078195990596</v>
      </c>
      <c r="S10">
        <f>SLOPE(D2:D28,C2:C28)</f>
        <v>-3.716066896758059</v>
      </c>
    </row>
    <row r="11" spans="1:21" x14ac:dyDescent="0.2">
      <c r="A11" s="10" t="s">
        <v>14</v>
      </c>
      <c r="B11" s="9" t="s">
        <v>15</v>
      </c>
      <c r="C11" s="13">
        <f t="shared" si="0"/>
        <v>5.0136044023579664</v>
      </c>
      <c r="D11" s="4">
        <v>17.5133540879545</v>
      </c>
      <c r="N11" s="1" t="s">
        <v>14</v>
      </c>
      <c r="O11" s="9" t="s">
        <v>15</v>
      </c>
      <c r="P11" s="12">
        <v>103182.10945826009</v>
      </c>
      <c r="Q11" s="4">
        <v>17.5133540879545</v>
      </c>
      <c r="S11">
        <f>INTERCEPT(D2:D28,C2:C28)</f>
        <v>36.482767709791403</v>
      </c>
    </row>
    <row r="12" spans="1:21" x14ac:dyDescent="0.2">
      <c r="A12" s="10" t="s">
        <v>16</v>
      </c>
      <c r="B12" s="9" t="s">
        <v>15</v>
      </c>
      <c r="C12" s="13">
        <f t="shared" si="0"/>
        <v>5.0136044023579664</v>
      </c>
      <c r="D12" s="4">
        <v>17.541465472393099</v>
      </c>
      <c r="N12" s="1" t="s">
        <v>16</v>
      </c>
      <c r="O12" s="9" t="s">
        <v>15</v>
      </c>
      <c r="P12" s="12">
        <v>103182.10945826009</v>
      </c>
      <c r="Q12" s="4">
        <v>17.541465472393099</v>
      </c>
    </row>
    <row r="13" spans="1:21" x14ac:dyDescent="0.2">
      <c r="A13" s="10" t="s">
        <v>17</v>
      </c>
      <c r="B13" s="9" t="s">
        <v>15</v>
      </c>
      <c r="C13" s="13">
        <f t="shared" si="0"/>
        <v>5.0136044023579664</v>
      </c>
      <c r="D13" s="4">
        <v>17.562187858600499</v>
      </c>
      <c r="N13" s="1" t="s">
        <v>17</v>
      </c>
      <c r="O13" s="9" t="s">
        <v>15</v>
      </c>
      <c r="P13" s="12">
        <v>103182.10945826009</v>
      </c>
      <c r="Q13" s="4">
        <v>17.562187858600499</v>
      </c>
    </row>
    <row r="14" spans="1:21" x14ac:dyDescent="0.2">
      <c r="A14" s="10" t="s">
        <v>18</v>
      </c>
      <c r="B14" s="9" t="s">
        <v>19</v>
      </c>
      <c r="C14" s="13">
        <f t="shared" si="0"/>
        <v>4.0136044023579664</v>
      </c>
      <c r="D14" s="4">
        <v>21.764403959949</v>
      </c>
      <c r="N14" s="1" t="s">
        <v>18</v>
      </c>
      <c r="O14" s="9" t="s">
        <v>19</v>
      </c>
      <c r="P14" s="12">
        <v>10318.210945826009</v>
      </c>
      <c r="Q14" s="4">
        <v>21.764403959949</v>
      </c>
    </row>
    <row r="15" spans="1:21" x14ac:dyDescent="0.2">
      <c r="A15" s="10" t="s">
        <v>20</v>
      </c>
      <c r="B15" s="9" t="s">
        <v>19</v>
      </c>
      <c r="C15" s="13">
        <f t="shared" si="0"/>
        <v>4.0136044023579664</v>
      </c>
      <c r="D15" s="4">
        <v>21.5950590291129</v>
      </c>
      <c r="N15" s="1" t="s">
        <v>20</v>
      </c>
      <c r="O15" s="9" t="s">
        <v>19</v>
      </c>
      <c r="P15" s="12">
        <v>10318.210945826009</v>
      </c>
      <c r="Q15" s="4">
        <v>21.5950590291129</v>
      </c>
    </row>
    <row r="16" spans="1:21" x14ac:dyDescent="0.2">
      <c r="A16" s="10" t="s">
        <v>21</v>
      </c>
      <c r="B16" s="9" t="s">
        <v>19</v>
      </c>
      <c r="C16" s="13">
        <f t="shared" si="0"/>
        <v>4.0136044023579664</v>
      </c>
      <c r="D16" s="4">
        <v>21.706366252363502</v>
      </c>
      <c r="N16" s="1" t="s">
        <v>21</v>
      </c>
      <c r="O16" s="9" t="s">
        <v>19</v>
      </c>
      <c r="P16" s="12">
        <v>10318.210945826009</v>
      </c>
      <c r="Q16" s="4">
        <v>21.706366252363502</v>
      </c>
    </row>
    <row r="17" spans="1:17" x14ac:dyDescent="0.2">
      <c r="A17" s="10" t="s">
        <v>22</v>
      </c>
      <c r="B17" s="9" t="s">
        <v>23</v>
      </c>
      <c r="C17" s="13">
        <f t="shared" si="0"/>
        <v>3.0136044023579664</v>
      </c>
      <c r="D17" s="4">
        <v>25.880058780131701</v>
      </c>
      <c r="N17" s="1" t="s">
        <v>22</v>
      </c>
      <c r="O17" s="9" t="s">
        <v>23</v>
      </c>
      <c r="P17" s="12">
        <v>1031.8210945826008</v>
      </c>
      <c r="Q17" s="4">
        <v>25.880058780131701</v>
      </c>
    </row>
    <row r="18" spans="1:17" x14ac:dyDescent="0.2">
      <c r="A18" s="10" t="s">
        <v>24</v>
      </c>
      <c r="B18" s="9" t="s">
        <v>23</v>
      </c>
      <c r="C18" s="13">
        <f t="shared" si="0"/>
        <v>3.0136044023579664</v>
      </c>
      <c r="D18" s="4">
        <v>25.509223061625001</v>
      </c>
      <c r="N18" s="1" t="s">
        <v>24</v>
      </c>
      <c r="O18" s="9" t="s">
        <v>23</v>
      </c>
      <c r="P18" s="12">
        <v>1031.8210945826008</v>
      </c>
      <c r="Q18" s="4">
        <v>25.509223061625001</v>
      </c>
    </row>
    <row r="19" spans="1:17" x14ac:dyDescent="0.2">
      <c r="A19" s="10" t="s">
        <v>25</v>
      </c>
      <c r="B19" s="9" t="s">
        <v>23</v>
      </c>
      <c r="C19" s="13">
        <f t="shared" si="0"/>
        <v>3.0136044023579664</v>
      </c>
      <c r="D19" s="4">
        <v>25.5721048457929</v>
      </c>
      <c r="N19" s="1" t="s">
        <v>25</v>
      </c>
      <c r="O19" s="9" t="s">
        <v>23</v>
      </c>
      <c r="P19" s="12">
        <v>1031.8210945826008</v>
      </c>
      <c r="Q19" s="4">
        <v>25.5721048457929</v>
      </c>
    </row>
    <row r="20" spans="1:17" x14ac:dyDescent="0.2">
      <c r="A20" s="10" t="s">
        <v>26</v>
      </c>
      <c r="B20" s="9" t="s">
        <v>27</v>
      </c>
      <c r="C20" s="13">
        <f t="shared" si="0"/>
        <v>2.0136044023579664</v>
      </c>
      <c r="D20" s="4">
        <v>28.441883491665401</v>
      </c>
      <c r="N20" s="1" t="s">
        <v>26</v>
      </c>
      <c r="O20" s="9" t="s">
        <v>27</v>
      </c>
      <c r="P20" s="12">
        <v>103.18210945826009</v>
      </c>
      <c r="Q20" s="4">
        <v>28.441883491665401</v>
      </c>
    </row>
    <row r="21" spans="1:17" x14ac:dyDescent="0.2">
      <c r="A21" s="10" t="s">
        <v>28</v>
      </c>
      <c r="B21" s="9" t="s">
        <v>27</v>
      </c>
      <c r="C21" s="13">
        <f t="shared" si="0"/>
        <v>2.0136044023579664</v>
      </c>
      <c r="D21" s="4">
        <v>28.603810378335702</v>
      </c>
      <c r="N21" s="1" t="s">
        <v>28</v>
      </c>
      <c r="O21" s="9" t="s">
        <v>27</v>
      </c>
      <c r="P21" s="12">
        <v>103.18210945826009</v>
      </c>
      <c r="Q21" s="4">
        <v>28.603810378335702</v>
      </c>
    </row>
    <row r="22" spans="1:17" x14ac:dyDescent="0.2">
      <c r="A22" s="10" t="s">
        <v>29</v>
      </c>
      <c r="B22" s="9" t="s">
        <v>27</v>
      </c>
      <c r="C22" s="13">
        <f t="shared" si="0"/>
        <v>2.0136044023579664</v>
      </c>
      <c r="D22" s="4">
        <v>28.463925482200299</v>
      </c>
      <c r="N22" s="1" t="s">
        <v>29</v>
      </c>
      <c r="O22" s="9" t="s">
        <v>27</v>
      </c>
      <c r="P22" s="12">
        <v>103.18210945826009</v>
      </c>
      <c r="Q22" s="4">
        <v>28.463925482200299</v>
      </c>
    </row>
    <row r="23" spans="1:17" x14ac:dyDescent="0.2">
      <c r="A23" s="10" t="s">
        <v>30</v>
      </c>
      <c r="B23" s="9" t="s">
        <v>31</v>
      </c>
      <c r="C23" s="13">
        <f t="shared" si="0"/>
        <v>1.0136044023579664</v>
      </c>
      <c r="D23" s="4">
        <v>33.189883849729803</v>
      </c>
      <c r="N23" s="1" t="s">
        <v>30</v>
      </c>
      <c r="O23" s="9" t="s">
        <v>31</v>
      </c>
      <c r="P23" s="12">
        <v>10.318210945826008</v>
      </c>
      <c r="Q23" s="4">
        <v>33.189883849729803</v>
      </c>
    </row>
    <row r="24" spans="1:17" x14ac:dyDescent="0.2">
      <c r="A24" s="10" t="s">
        <v>32</v>
      </c>
      <c r="B24" s="9" t="s">
        <v>31</v>
      </c>
      <c r="C24" s="13">
        <f t="shared" si="0"/>
        <v>1.0136044023579664</v>
      </c>
      <c r="D24" s="4">
        <v>33.296232829065801</v>
      </c>
      <c r="N24" s="1" t="s">
        <v>32</v>
      </c>
      <c r="O24" s="9" t="s">
        <v>31</v>
      </c>
      <c r="P24" s="12">
        <v>10.318210945826008</v>
      </c>
      <c r="Q24" s="4">
        <v>33.296232829065801</v>
      </c>
    </row>
    <row r="25" spans="1:17" x14ac:dyDescent="0.2">
      <c r="A25" s="10" t="s">
        <v>33</v>
      </c>
      <c r="B25" s="9" t="s">
        <v>31</v>
      </c>
      <c r="C25" s="13">
        <f t="shared" si="0"/>
        <v>1.0136044023579664</v>
      </c>
      <c r="D25" s="4">
        <v>32.263836166617402</v>
      </c>
      <c r="N25" s="1" t="s">
        <v>33</v>
      </c>
      <c r="O25" s="9" t="s">
        <v>31</v>
      </c>
      <c r="P25" s="12">
        <v>10.318210945826008</v>
      </c>
      <c r="Q25" s="4">
        <v>32.263836166617402</v>
      </c>
    </row>
    <row r="26" spans="1:17" x14ac:dyDescent="0.2">
      <c r="A26" s="10" t="s">
        <v>34</v>
      </c>
      <c r="B26" s="9" t="s">
        <v>35</v>
      </c>
      <c r="C26" s="13">
        <f t="shared" si="0"/>
        <v>1.3604402357966342E-2</v>
      </c>
      <c r="D26" s="4">
        <v>36.417221125309702</v>
      </c>
      <c r="G26" s="1"/>
      <c r="H26" s="12"/>
      <c r="I26" s="1"/>
      <c r="N26" s="1" t="s">
        <v>34</v>
      </c>
      <c r="O26" s="9" t="s">
        <v>35</v>
      </c>
      <c r="P26" s="12">
        <v>1.0318210945826007</v>
      </c>
      <c r="Q26" s="4">
        <v>36.417221125309702</v>
      </c>
    </row>
    <row r="27" spans="1:17" x14ac:dyDescent="0.2">
      <c r="A27" s="10" t="s">
        <v>36</v>
      </c>
      <c r="B27" s="9" t="s">
        <v>35</v>
      </c>
      <c r="C27" s="13">
        <f t="shared" si="0"/>
        <v>1.3604402357966342E-2</v>
      </c>
      <c r="D27" s="4">
        <v>36.228445516197603</v>
      </c>
      <c r="G27" s="1"/>
      <c r="H27" s="12"/>
      <c r="I27" s="1"/>
      <c r="N27" s="1" t="s">
        <v>36</v>
      </c>
      <c r="O27" s="9" t="s">
        <v>35</v>
      </c>
      <c r="P27" s="12">
        <v>1.0318210945826007</v>
      </c>
      <c r="Q27" s="4">
        <v>36.228445516197603</v>
      </c>
    </row>
    <row r="28" spans="1:17" x14ac:dyDescent="0.2">
      <c r="A28" s="10" t="s">
        <v>37</v>
      </c>
      <c r="B28" s="9" t="s">
        <v>35</v>
      </c>
      <c r="C28" s="13">
        <f t="shared" si="0"/>
        <v>1.3604402357966342E-2</v>
      </c>
      <c r="D28" s="4">
        <v>36.392962350242797</v>
      </c>
      <c r="G28" s="1"/>
      <c r="H28" s="12"/>
      <c r="I28" s="1"/>
      <c r="N28" s="1" t="s">
        <v>37</v>
      </c>
      <c r="O28" s="9" t="s">
        <v>35</v>
      </c>
      <c r="P28" s="12">
        <v>1.0318210945826007</v>
      </c>
      <c r="Q28" s="4">
        <v>36.392962350242797</v>
      </c>
    </row>
    <row r="29" spans="1:17" x14ac:dyDescent="0.2">
      <c r="A29" s="10" t="s">
        <v>38</v>
      </c>
      <c r="B29" s="9" t="s">
        <v>39</v>
      </c>
      <c r="C29" s="9" t="s">
        <v>131</v>
      </c>
      <c r="D29" s="4"/>
      <c r="N29" s="1" t="s">
        <v>38</v>
      </c>
      <c r="O29" s="9" t="s">
        <v>39</v>
      </c>
      <c r="P29" s="1" t="s">
        <v>131</v>
      </c>
      <c r="Q29" s="4"/>
    </row>
    <row r="30" spans="1:17" x14ac:dyDescent="0.2">
      <c r="A30" s="10" t="s">
        <v>40</v>
      </c>
      <c r="B30" s="9" t="s">
        <v>39</v>
      </c>
      <c r="C30" s="9" t="s">
        <v>131</v>
      </c>
      <c r="D30" s="4"/>
      <c r="N30" s="1" t="s">
        <v>40</v>
      </c>
      <c r="O30" s="9" t="s">
        <v>39</v>
      </c>
      <c r="P30" s="1" t="s">
        <v>131</v>
      </c>
      <c r="Q30" s="4"/>
    </row>
    <row r="31" spans="1:17" x14ac:dyDescent="0.2">
      <c r="A31" s="10" t="s">
        <v>41</v>
      </c>
      <c r="B31" s="9" t="s">
        <v>39</v>
      </c>
      <c r="C31" s="9" t="s">
        <v>131</v>
      </c>
      <c r="D31" s="4"/>
      <c r="N31" s="1" t="s">
        <v>41</v>
      </c>
      <c r="O31" s="9" t="s">
        <v>39</v>
      </c>
      <c r="P31" s="1" t="s">
        <v>131</v>
      </c>
      <c r="Q31" s="4"/>
    </row>
    <row r="32" spans="1:17" x14ac:dyDescent="0.2">
      <c r="A32" s="10" t="s">
        <v>42</v>
      </c>
      <c r="B32" s="9" t="s">
        <v>39</v>
      </c>
      <c r="C32" s="9" t="s">
        <v>131</v>
      </c>
      <c r="D32" s="4"/>
      <c r="N32" s="10" t="s">
        <v>42</v>
      </c>
      <c r="O32" s="9" t="s">
        <v>39</v>
      </c>
      <c r="P32" s="1" t="s">
        <v>131</v>
      </c>
      <c r="Q32" s="4"/>
    </row>
    <row r="33" spans="1:20" x14ac:dyDescent="0.2">
      <c r="A33" s="10" t="s">
        <v>44</v>
      </c>
      <c r="B33" s="9" t="s">
        <v>39</v>
      </c>
      <c r="C33" s="9" t="s">
        <v>131</v>
      </c>
      <c r="D33" s="4"/>
      <c r="F33" s="20"/>
      <c r="N33" s="10" t="s">
        <v>44</v>
      </c>
      <c r="O33" s="9" t="s">
        <v>39</v>
      </c>
      <c r="P33" s="1" t="s">
        <v>131</v>
      </c>
      <c r="Q33" s="4"/>
    </row>
    <row r="34" spans="1:20" x14ac:dyDescent="0.2">
      <c r="A34" s="10" t="s">
        <v>45</v>
      </c>
      <c r="B34" s="9" t="s">
        <v>39</v>
      </c>
      <c r="C34" s="9" t="s">
        <v>131</v>
      </c>
      <c r="D34" s="4"/>
      <c r="N34" s="10" t="s">
        <v>45</v>
      </c>
      <c r="O34" s="9" t="s">
        <v>39</v>
      </c>
      <c r="P34" s="1" t="s">
        <v>131</v>
      </c>
      <c r="Q34" s="4"/>
    </row>
    <row r="37" spans="1:20" x14ac:dyDescent="0.2">
      <c r="S37" s="1"/>
      <c r="T37" s="12"/>
    </row>
    <row r="38" spans="1:20" x14ac:dyDescent="0.2">
      <c r="S38" s="1"/>
      <c r="T38" s="12"/>
    </row>
    <row r="39" spans="1:20" x14ac:dyDescent="0.2">
      <c r="S39" s="1"/>
      <c r="T39" s="12"/>
    </row>
    <row r="40" spans="1:20" x14ac:dyDescent="0.2">
      <c r="A40" s="9" t="s">
        <v>0</v>
      </c>
      <c r="B40" s="9" t="s">
        <v>1</v>
      </c>
      <c r="C40" s="9" t="s">
        <v>251</v>
      </c>
      <c r="D40" t="s">
        <v>222</v>
      </c>
      <c r="E40" s="3" t="s">
        <v>195</v>
      </c>
      <c r="F40" s="3" t="s">
        <v>196</v>
      </c>
      <c r="G40" s="3" t="s">
        <v>197</v>
      </c>
      <c r="H40" s="3" t="s">
        <v>198</v>
      </c>
      <c r="I40" s="3" t="s">
        <v>199</v>
      </c>
      <c r="J40" s="3"/>
      <c r="K40" s="3"/>
      <c r="L40" s="3" t="s">
        <v>200</v>
      </c>
      <c r="M40" s="3"/>
    </row>
    <row r="41" spans="1:20" x14ac:dyDescent="0.2">
      <c r="A41" s="10" t="s">
        <v>50</v>
      </c>
      <c r="B41" s="9" t="s">
        <v>173</v>
      </c>
      <c r="C41" s="4">
        <v>35.4490157157448</v>
      </c>
      <c r="D41" s="1">
        <f>(C41-$S$11)/$S$10</f>
        <v>0.2781844414449216</v>
      </c>
      <c r="E41" s="1">
        <f>10^D41</f>
        <v>1.897511608345269</v>
      </c>
      <c r="F41" s="24">
        <v>7.6388888888888895E-2</v>
      </c>
      <c r="G41" s="3" t="s">
        <v>201</v>
      </c>
      <c r="H41" s="3" t="s">
        <v>202</v>
      </c>
      <c r="I41" s="1" t="s">
        <v>223</v>
      </c>
      <c r="J41" s="1">
        <f>(E41*50*50)/245.2*1000</f>
        <v>19346.570231905273</v>
      </c>
      <c r="K41" s="12">
        <f>J41</f>
        <v>19346.570231905273</v>
      </c>
      <c r="L41" s="34">
        <f>AVERAGE(K41:K43)</f>
        <v>23989.028588689154</v>
      </c>
      <c r="M41" s="35" t="s">
        <v>240</v>
      </c>
    </row>
    <row r="42" spans="1:20" x14ac:dyDescent="0.2">
      <c r="A42" s="10" t="s">
        <v>66</v>
      </c>
      <c r="B42" s="9" t="s">
        <v>173</v>
      </c>
      <c r="C42" s="4">
        <v>35.264711608691798</v>
      </c>
      <c r="D42" s="1">
        <f t="shared" ref="D42:D103" si="1">(C42-$S$11)/$S$10</f>
        <v>0.32778099397571459</v>
      </c>
      <c r="E42" s="1">
        <f t="shared" ref="E42:E103" si="2">10^D42</f>
        <v>2.1270661385557612</v>
      </c>
      <c r="F42" s="24">
        <v>7.6388888888888895E-2</v>
      </c>
      <c r="G42" s="3" t="s">
        <v>201</v>
      </c>
      <c r="H42" s="3" t="s">
        <v>202</v>
      </c>
      <c r="I42" s="1" t="s">
        <v>223</v>
      </c>
      <c r="J42" s="1">
        <f t="shared" ref="J42:J43" si="3">(E42*50*50)/245.2*1000</f>
        <v>21687.052799304256</v>
      </c>
      <c r="K42" s="12">
        <f t="shared" ref="K42:K103" si="4">J42</f>
        <v>21687.052799304256</v>
      </c>
      <c r="L42" s="34"/>
      <c r="M42" s="35"/>
    </row>
    <row r="43" spans="1:20" x14ac:dyDescent="0.2">
      <c r="A43" s="10" t="s">
        <v>82</v>
      </c>
      <c r="B43" s="9" t="s">
        <v>173</v>
      </c>
      <c r="C43" s="4">
        <v>34.691590037944302</v>
      </c>
      <c r="D43" s="1">
        <f t="shared" si="1"/>
        <v>0.48200899542732839</v>
      </c>
      <c r="E43" s="1">
        <f t="shared" si="2"/>
        <v>3.0339540250348662</v>
      </c>
      <c r="F43" s="24">
        <v>7.6388888888888895E-2</v>
      </c>
      <c r="G43" s="3" t="s">
        <v>201</v>
      </c>
      <c r="H43" s="3" t="s">
        <v>202</v>
      </c>
      <c r="I43" s="1" t="s">
        <v>223</v>
      </c>
      <c r="J43" s="1">
        <f t="shared" si="3"/>
        <v>30933.462734857934</v>
      </c>
      <c r="K43" s="12">
        <f t="shared" si="4"/>
        <v>30933.462734857934</v>
      </c>
      <c r="L43" s="34"/>
      <c r="M43" s="35"/>
    </row>
    <row r="44" spans="1:20" x14ac:dyDescent="0.2">
      <c r="A44" s="10" t="s">
        <v>64</v>
      </c>
      <c r="B44" s="9" t="s">
        <v>183</v>
      </c>
      <c r="C44" s="4">
        <v>35.286030135069097</v>
      </c>
      <c r="D44" s="1">
        <f t="shared" si="1"/>
        <v>0.32204414182273039</v>
      </c>
      <c r="E44" s="1">
        <f t="shared" si="2"/>
        <v>2.0991532313514476</v>
      </c>
      <c r="F44" s="24">
        <v>7.6388888888888895E-2</v>
      </c>
      <c r="G44" s="3" t="s">
        <v>201</v>
      </c>
      <c r="H44" s="3" t="s">
        <v>202</v>
      </c>
      <c r="I44" s="1" t="s">
        <v>224</v>
      </c>
      <c r="J44" s="1">
        <f>(E44*50*50)/256.8*1000</f>
        <v>20435.681769387149</v>
      </c>
      <c r="K44" s="12">
        <f t="shared" si="4"/>
        <v>20435.681769387149</v>
      </c>
      <c r="L44" s="34">
        <f t="shared" ref="L44" si="5">AVERAGE(K44:K46)</f>
        <v>22006.694736336754</v>
      </c>
      <c r="M44" s="35" t="s">
        <v>240</v>
      </c>
    </row>
    <row r="45" spans="1:20" x14ac:dyDescent="0.2">
      <c r="A45" s="10" t="s">
        <v>80</v>
      </c>
      <c r="B45" s="9" t="s">
        <v>183</v>
      </c>
      <c r="C45" s="4">
        <v>35.540287569196103</v>
      </c>
      <c r="D45" s="1">
        <f t="shared" si="1"/>
        <v>0.25362302853523205</v>
      </c>
      <c r="E45" s="1">
        <f t="shared" si="2"/>
        <v>1.7931764580316496</v>
      </c>
      <c r="F45" s="24">
        <v>7.6388888888888895E-2</v>
      </c>
      <c r="G45" s="3" t="s">
        <v>201</v>
      </c>
      <c r="H45" s="3" t="s">
        <v>202</v>
      </c>
      <c r="I45" s="1" t="s">
        <v>224</v>
      </c>
      <c r="J45" s="1">
        <f t="shared" ref="J45:J46" si="6">(E45*50*50)/256.8*1000</f>
        <v>17456.93592320531</v>
      </c>
      <c r="K45" s="12">
        <f t="shared" si="4"/>
        <v>17456.93592320531</v>
      </c>
      <c r="L45" s="34"/>
      <c r="M45" s="35"/>
    </row>
    <row r="46" spans="1:20" x14ac:dyDescent="0.2">
      <c r="A46" s="10" t="s">
        <v>96</v>
      </c>
      <c r="B46" s="9" t="s">
        <v>183</v>
      </c>
      <c r="C46" s="4">
        <v>34.770457494465198</v>
      </c>
      <c r="D46" s="1">
        <f t="shared" si="1"/>
        <v>0.46078562708869564</v>
      </c>
      <c r="E46" s="1">
        <f t="shared" si="2"/>
        <v>2.8892533605664381</v>
      </c>
      <c r="F46" s="24">
        <v>7.6388888888888895E-2</v>
      </c>
      <c r="G46" s="3" t="s">
        <v>201</v>
      </c>
      <c r="H46" s="3" t="s">
        <v>202</v>
      </c>
      <c r="I46" s="1" t="s">
        <v>224</v>
      </c>
      <c r="J46" s="1">
        <f t="shared" si="6"/>
        <v>28127.466516417811</v>
      </c>
      <c r="K46" s="12">
        <f t="shared" si="4"/>
        <v>28127.466516417811</v>
      </c>
      <c r="L46" s="34"/>
      <c r="M46" s="35"/>
    </row>
    <row r="47" spans="1:20" x14ac:dyDescent="0.2">
      <c r="A47" s="10" t="s">
        <v>52</v>
      </c>
      <c r="B47" s="9" t="s">
        <v>174</v>
      </c>
      <c r="C47" s="4">
        <v>35.024844072419903</v>
      </c>
      <c r="D47" s="1">
        <f t="shared" si="1"/>
        <v>0.39232976097481198</v>
      </c>
      <c r="E47" s="1">
        <f t="shared" si="2"/>
        <v>2.4679125186392326</v>
      </c>
      <c r="F47" s="24">
        <v>7.6388888888888895E-2</v>
      </c>
      <c r="G47" s="3" t="s">
        <v>201</v>
      </c>
      <c r="H47" s="3" t="s">
        <v>202</v>
      </c>
      <c r="I47" s="1" t="s">
        <v>210</v>
      </c>
      <c r="J47" s="1">
        <f>(E47*50*50)/250.8*1000</f>
        <v>24600.403893931743</v>
      </c>
      <c r="K47" s="12">
        <f t="shared" si="4"/>
        <v>24600.403893931743</v>
      </c>
      <c r="L47" s="34">
        <f t="shared" ref="L47" si="7">AVERAGE(K47:K49)</f>
        <v>33483.940669505006</v>
      </c>
      <c r="M47" s="35" t="s">
        <v>240</v>
      </c>
    </row>
    <row r="48" spans="1:20" x14ac:dyDescent="0.2">
      <c r="A48" s="10" t="s">
        <v>68</v>
      </c>
      <c r="B48" s="9" t="s">
        <v>174</v>
      </c>
      <c r="C48" s="4">
        <v>35.035287754364198</v>
      </c>
      <c r="D48" s="1">
        <f t="shared" si="1"/>
        <v>0.38951934818234946</v>
      </c>
      <c r="E48" s="1">
        <f t="shared" si="2"/>
        <v>2.451993689745589</v>
      </c>
      <c r="F48" s="24">
        <v>7.6388888888888895E-2</v>
      </c>
      <c r="G48" s="3" t="s">
        <v>201</v>
      </c>
      <c r="H48" s="3" t="s">
        <v>202</v>
      </c>
      <c r="I48" s="1" t="s">
        <v>210</v>
      </c>
      <c r="J48" s="1">
        <f t="shared" ref="J48:J49" si="8">(E48*50*50)/250.8*1000</f>
        <v>24441.723382631466</v>
      </c>
      <c r="K48" s="12">
        <f t="shared" si="4"/>
        <v>24441.723382631466</v>
      </c>
      <c r="L48" s="34"/>
      <c r="M48" s="35"/>
    </row>
    <row r="49" spans="1:13" x14ac:dyDescent="0.2">
      <c r="A49" s="10" t="s">
        <v>84</v>
      </c>
      <c r="B49" s="9" t="s">
        <v>174</v>
      </c>
      <c r="C49" s="4">
        <v>33.835320699975298</v>
      </c>
      <c r="D49" s="1">
        <f t="shared" si="1"/>
        <v>0.71243254854366833</v>
      </c>
      <c r="E49" s="1">
        <f t="shared" si="2"/>
        <v>5.1574205755094056</v>
      </c>
      <c r="F49" s="24">
        <v>7.6388888888888895E-2</v>
      </c>
      <c r="G49" s="3" t="s">
        <v>201</v>
      </c>
      <c r="H49" s="3" t="s">
        <v>202</v>
      </c>
      <c r="I49" s="1" t="s">
        <v>210</v>
      </c>
      <c r="J49" s="1">
        <f t="shared" si="8"/>
        <v>51409.694731951808</v>
      </c>
      <c r="K49" s="12">
        <f t="shared" si="4"/>
        <v>51409.694731951808</v>
      </c>
      <c r="L49" s="34"/>
      <c r="M49" s="35"/>
    </row>
    <row r="50" spans="1:13" x14ac:dyDescent="0.2">
      <c r="A50" s="10" t="s">
        <v>65</v>
      </c>
      <c r="B50" s="9" t="s">
        <v>184</v>
      </c>
      <c r="C50" s="4">
        <v>34.816296702636201</v>
      </c>
      <c r="D50" s="1">
        <f t="shared" si="1"/>
        <v>0.44845021724690998</v>
      </c>
      <c r="E50" s="1">
        <f t="shared" si="2"/>
        <v>2.8083434366462194</v>
      </c>
      <c r="F50" s="24">
        <v>7.6388888888888895E-2</v>
      </c>
      <c r="G50" s="3" t="s">
        <v>201</v>
      </c>
      <c r="H50" s="3" t="s">
        <v>202</v>
      </c>
      <c r="I50" s="1" t="s">
        <v>225</v>
      </c>
      <c r="J50" s="1">
        <f>(E50*50*50)/250.1*1000</f>
        <v>28072.205484268492</v>
      </c>
      <c r="K50" s="12">
        <f t="shared" si="4"/>
        <v>28072.205484268492</v>
      </c>
      <c r="L50" s="34">
        <f t="shared" ref="L50" si="9">AVERAGE(K50:K52)</f>
        <v>26523.401818384376</v>
      </c>
      <c r="M50" s="35" t="s">
        <v>240</v>
      </c>
    </row>
    <row r="51" spans="1:13" x14ac:dyDescent="0.2">
      <c r="A51" s="10" t="s">
        <v>81</v>
      </c>
      <c r="B51" s="9" t="s">
        <v>184</v>
      </c>
      <c r="C51" s="4">
        <v>35.094651331931402</v>
      </c>
      <c r="D51" s="1">
        <f t="shared" si="1"/>
        <v>0.37354450725066612</v>
      </c>
      <c r="E51" s="1">
        <f t="shared" si="2"/>
        <v>2.3634395961265073</v>
      </c>
      <c r="F51" s="24">
        <v>7.6388888888888895E-2</v>
      </c>
      <c r="G51" s="3" t="s">
        <v>201</v>
      </c>
      <c r="H51" s="3" t="s">
        <v>202</v>
      </c>
      <c r="I51" s="1" t="s">
        <v>225</v>
      </c>
      <c r="J51" s="1">
        <f t="shared" ref="J51:J52" si="10">(E51*50*50)/250.1*1000</f>
        <v>23624.945982871926</v>
      </c>
      <c r="K51" s="12">
        <f t="shared" si="4"/>
        <v>23624.945982871926</v>
      </c>
      <c r="L51" s="34"/>
      <c r="M51" s="35"/>
    </row>
    <row r="52" spans="1:13" x14ac:dyDescent="0.2">
      <c r="A52" s="10" t="s">
        <v>97</v>
      </c>
      <c r="B52" s="9" t="s">
        <v>184</v>
      </c>
      <c r="C52" s="4">
        <v>34.827786700454801</v>
      </c>
      <c r="D52" s="1">
        <f t="shared" si="1"/>
        <v>0.44535823905119337</v>
      </c>
      <c r="E52" s="1">
        <f t="shared" si="2"/>
        <v>2.7884203209607916</v>
      </c>
      <c r="F52" s="24">
        <v>7.6388888888888895E-2</v>
      </c>
      <c r="G52" s="3" t="s">
        <v>201</v>
      </c>
      <c r="H52" s="3" t="s">
        <v>202</v>
      </c>
      <c r="I52" s="1" t="s">
        <v>225</v>
      </c>
      <c r="J52" s="1">
        <f t="shared" si="10"/>
        <v>27873.053988012711</v>
      </c>
      <c r="K52" s="12">
        <f t="shared" si="4"/>
        <v>27873.053988012711</v>
      </c>
      <c r="L52" s="34"/>
      <c r="M52" s="35"/>
    </row>
    <row r="53" spans="1:13" x14ac:dyDescent="0.2">
      <c r="A53" s="10" t="s">
        <v>53</v>
      </c>
      <c r="B53" s="9" t="s">
        <v>175</v>
      </c>
      <c r="C53" s="4">
        <v>34.626169692135598</v>
      </c>
      <c r="D53" s="1">
        <f t="shared" si="1"/>
        <v>0.49961372312094915</v>
      </c>
      <c r="E53" s="1">
        <f t="shared" si="2"/>
        <v>3.159466268985804</v>
      </c>
      <c r="F53" s="24">
        <v>7.6388888888888895E-2</v>
      </c>
      <c r="G53" s="3" t="s">
        <v>201</v>
      </c>
      <c r="H53" s="3" t="s">
        <v>202</v>
      </c>
      <c r="I53" s="1" t="s">
        <v>226</v>
      </c>
      <c r="J53" s="1">
        <f>(E53*50*50)/252.9*1000</f>
        <v>31232.367229990152</v>
      </c>
      <c r="K53" s="12">
        <f t="shared" si="4"/>
        <v>31232.367229990152</v>
      </c>
      <c r="L53" s="34">
        <f t="shared" ref="L53" si="11">AVERAGE(K53:K55)</f>
        <v>42711.771346537076</v>
      </c>
      <c r="M53" s="35" t="s">
        <v>240</v>
      </c>
    </row>
    <row r="54" spans="1:13" x14ac:dyDescent="0.2">
      <c r="A54" s="10" t="s">
        <v>69</v>
      </c>
      <c r="B54" s="9" t="s">
        <v>175</v>
      </c>
      <c r="C54" s="4">
        <v>33.696359226249697</v>
      </c>
      <c r="D54" s="1">
        <f t="shared" si="1"/>
        <v>0.74982732037805933</v>
      </c>
      <c r="E54" s="1">
        <f t="shared" si="2"/>
        <v>5.6211777736939972</v>
      </c>
      <c r="F54" s="24">
        <v>7.6388888888888895E-2</v>
      </c>
      <c r="G54" s="3" t="s">
        <v>201</v>
      </c>
      <c r="H54" s="3" t="s">
        <v>202</v>
      </c>
      <c r="I54" s="1" t="s">
        <v>226</v>
      </c>
      <c r="J54" s="1">
        <f t="shared" ref="J54:J55" si="12">(E54*50*50)/252.9*1000</f>
        <v>55567.198237386285</v>
      </c>
      <c r="K54" s="12">
        <f t="shared" si="4"/>
        <v>55567.198237386285</v>
      </c>
      <c r="L54" s="34"/>
      <c r="M54" s="35"/>
    </row>
    <row r="55" spans="1:13" x14ac:dyDescent="0.2">
      <c r="A55" s="10" t="s">
        <v>85</v>
      </c>
      <c r="B55" s="9" t="s">
        <v>175</v>
      </c>
      <c r="C55" s="4">
        <v>34.1738466683965</v>
      </c>
      <c r="D55" s="1">
        <f t="shared" si="1"/>
        <v>0.62133462758951774</v>
      </c>
      <c r="E55" s="1">
        <f t="shared" si="2"/>
        <v>4.1815243255672723</v>
      </c>
      <c r="F55" s="24">
        <v>7.6388888888888895E-2</v>
      </c>
      <c r="G55" s="3" t="s">
        <v>201</v>
      </c>
      <c r="H55" s="3" t="s">
        <v>202</v>
      </c>
      <c r="I55" s="1" t="s">
        <v>226</v>
      </c>
      <c r="J55" s="1">
        <f t="shared" si="12"/>
        <v>41335.748572234799</v>
      </c>
      <c r="K55" s="12">
        <f t="shared" si="4"/>
        <v>41335.748572234799</v>
      </c>
      <c r="L55" s="34"/>
      <c r="M55" s="35"/>
    </row>
    <row r="56" spans="1:13" x14ac:dyDescent="0.2">
      <c r="A56" s="10" t="s">
        <v>98</v>
      </c>
      <c r="B56" s="9" t="s">
        <v>185</v>
      </c>
      <c r="C56" s="4">
        <v>34.124075390520701</v>
      </c>
      <c r="D56" s="1">
        <f t="shared" si="1"/>
        <v>0.63472816415884581</v>
      </c>
      <c r="E56" s="1">
        <f t="shared" si="2"/>
        <v>4.3124906269559915</v>
      </c>
      <c r="F56" s="24">
        <v>7.6388888888888895E-2</v>
      </c>
      <c r="G56" s="3" t="s">
        <v>201</v>
      </c>
      <c r="H56" s="3" t="s">
        <v>202</v>
      </c>
      <c r="I56" s="1" t="s">
        <v>227</v>
      </c>
      <c r="J56" s="1">
        <f>(E56*50*50)/245.3*1000</f>
        <v>43951.188615531915</v>
      </c>
      <c r="K56" s="12">
        <f t="shared" si="4"/>
        <v>43951.188615531915</v>
      </c>
      <c r="L56" s="34">
        <f t="shared" ref="L56:L68" si="13">AVERAGE(K56:K58)</f>
        <v>42762.234649544429</v>
      </c>
      <c r="M56" s="35" t="s">
        <v>240</v>
      </c>
    </row>
    <row r="57" spans="1:13" x14ac:dyDescent="0.2">
      <c r="A57" s="10" t="s">
        <v>100</v>
      </c>
      <c r="B57" s="9" t="s">
        <v>185</v>
      </c>
      <c r="C57" s="4">
        <v>34.3579082290412</v>
      </c>
      <c r="D57" s="1">
        <f t="shared" si="1"/>
        <v>0.57180334471479932</v>
      </c>
      <c r="E57" s="1">
        <f t="shared" si="2"/>
        <v>3.7308118258856808</v>
      </c>
      <c r="F57" s="24">
        <v>7.6388888888888895E-2</v>
      </c>
      <c r="G57" s="3" t="s">
        <v>201</v>
      </c>
      <c r="H57" s="3" t="s">
        <v>202</v>
      </c>
      <c r="I57" s="1" t="s">
        <v>227</v>
      </c>
      <c r="J57" s="1">
        <f t="shared" ref="J57:J58" si="14">(E57*50*50)/245.3*1000</f>
        <v>38022.94971347005</v>
      </c>
      <c r="K57" s="12">
        <f t="shared" si="4"/>
        <v>38022.94971347005</v>
      </c>
      <c r="L57" s="34"/>
      <c r="M57" s="35"/>
    </row>
    <row r="58" spans="1:13" x14ac:dyDescent="0.2">
      <c r="A58" s="10" t="s">
        <v>101</v>
      </c>
      <c r="B58" s="9" t="s">
        <v>185</v>
      </c>
      <c r="C58" s="4">
        <v>34.039615819252901</v>
      </c>
      <c r="D58" s="1">
        <f t="shared" si="1"/>
        <v>0.65745638020400998</v>
      </c>
      <c r="E58" s="1">
        <f t="shared" si="2"/>
        <v>4.5441889385982259</v>
      </c>
      <c r="F58" s="24">
        <v>7.6388888888888895E-2</v>
      </c>
      <c r="G58" s="3" t="s">
        <v>201</v>
      </c>
      <c r="H58" s="3" t="s">
        <v>202</v>
      </c>
      <c r="I58" s="1" t="s">
        <v>227</v>
      </c>
      <c r="J58" s="1">
        <f t="shared" si="14"/>
        <v>46312.565619631328</v>
      </c>
      <c r="K58" s="12">
        <f t="shared" si="4"/>
        <v>46312.565619631328</v>
      </c>
      <c r="L58" s="34"/>
      <c r="M58" s="35"/>
    </row>
    <row r="59" spans="1:13" x14ac:dyDescent="0.2">
      <c r="A59" s="10" t="s">
        <v>54</v>
      </c>
      <c r="B59" s="9" t="s">
        <v>176</v>
      </c>
      <c r="C59" s="4">
        <v>33.500506165284598</v>
      </c>
      <c r="D59" s="1">
        <f t="shared" si="1"/>
        <v>0.80253171629083586</v>
      </c>
      <c r="E59" s="1">
        <f t="shared" si="2"/>
        <v>6.3464624716070714</v>
      </c>
      <c r="F59" s="24">
        <v>7.6388888888888895E-2</v>
      </c>
      <c r="G59" s="3" t="s">
        <v>201</v>
      </c>
      <c r="H59" s="3" t="s">
        <v>202</v>
      </c>
      <c r="I59" s="1" t="s">
        <v>224</v>
      </c>
      <c r="J59" s="1">
        <f>(E59*50*50)/256.8*1000</f>
        <v>61784.09727031806</v>
      </c>
      <c r="K59" s="12">
        <f t="shared" si="4"/>
        <v>61784.09727031806</v>
      </c>
      <c r="L59" s="34">
        <f t="shared" ref="L59:L71" si="15">AVERAGE(K59:K61)</f>
        <v>62954.307662736574</v>
      </c>
      <c r="M59" s="35" t="s">
        <v>240</v>
      </c>
    </row>
    <row r="60" spans="1:13" x14ac:dyDescent="0.2">
      <c r="A60" s="10" t="s">
        <v>70</v>
      </c>
      <c r="B60" s="9" t="s">
        <v>176</v>
      </c>
      <c r="C60" s="4">
        <v>33.293664444686698</v>
      </c>
      <c r="D60" s="1">
        <f t="shared" si="1"/>
        <v>0.85819317943035878</v>
      </c>
      <c r="E60" s="1">
        <f t="shared" si="2"/>
        <v>7.2142830784712153</v>
      </c>
      <c r="F60" s="24">
        <v>7.6388888888888895E-2</v>
      </c>
      <c r="G60" s="3" t="s">
        <v>201</v>
      </c>
      <c r="H60" s="3" t="s">
        <v>202</v>
      </c>
      <c r="I60" s="1" t="s">
        <v>224</v>
      </c>
      <c r="J60" s="1">
        <f t="shared" ref="J60:J61" si="16">(E60*50*50)/256.8*1000</f>
        <v>70232.506605054674</v>
      </c>
      <c r="K60" s="12">
        <f t="shared" si="4"/>
        <v>70232.506605054674</v>
      </c>
      <c r="L60" s="34"/>
      <c r="M60" s="35"/>
    </row>
    <row r="61" spans="1:13" x14ac:dyDescent="0.2">
      <c r="A61" s="10" t="s">
        <v>86</v>
      </c>
      <c r="B61" s="9" t="s">
        <v>176</v>
      </c>
      <c r="C61" s="4">
        <v>33.634932495367799</v>
      </c>
      <c r="D61" s="1">
        <f t="shared" si="1"/>
        <v>0.76635735941893013</v>
      </c>
      <c r="E61" s="1">
        <f t="shared" si="2"/>
        <v>5.8392538992706156</v>
      </c>
      <c r="F61" s="24">
        <v>7.6388888888888895E-2</v>
      </c>
      <c r="G61" s="3" t="s">
        <v>201</v>
      </c>
      <c r="H61" s="3" t="s">
        <v>202</v>
      </c>
      <c r="I61" s="1" t="s">
        <v>224</v>
      </c>
      <c r="J61" s="1">
        <f t="shared" si="16"/>
        <v>56846.319112836994</v>
      </c>
      <c r="K61" s="12">
        <f t="shared" si="4"/>
        <v>56846.319112836994</v>
      </c>
      <c r="L61" s="34"/>
      <c r="M61" s="35"/>
    </row>
    <row r="62" spans="1:13" x14ac:dyDescent="0.2">
      <c r="A62" s="10" t="s">
        <v>102</v>
      </c>
      <c r="B62" s="9" t="s">
        <v>186</v>
      </c>
      <c r="C62" s="4">
        <v>33.951384194760699</v>
      </c>
      <c r="D62" s="1">
        <f t="shared" si="1"/>
        <v>0.68119966226633688</v>
      </c>
      <c r="E62" s="1">
        <f t="shared" si="2"/>
        <v>4.7995405169049254</v>
      </c>
      <c r="F62" s="24">
        <v>7.6388888888888895E-2</v>
      </c>
      <c r="G62" s="3" t="s">
        <v>201</v>
      </c>
      <c r="H62" s="3" t="s">
        <v>202</v>
      </c>
      <c r="I62" s="1" t="s">
        <v>228</v>
      </c>
      <c r="J62" s="1">
        <f>(E62*50*50)/250.3*1000</f>
        <v>47937.879713393173</v>
      </c>
      <c r="K62" s="12">
        <f t="shared" si="4"/>
        <v>47937.879713393173</v>
      </c>
      <c r="L62" s="34">
        <f t="shared" ref="L62:L74" si="17">AVERAGE(K62:K64)</f>
        <v>47727.576593878584</v>
      </c>
      <c r="M62" s="35" t="s">
        <v>240</v>
      </c>
    </row>
    <row r="63" spans="1:13" x14ac:dyDescent="0.2">
      <c r="A63" s="10" t="s">
        <v>104</v>
      </c>
      <c r="B63" s="9" t="s">
        <v>186</v>
      </c>
      <c r="C63" s="4">
        <v>33.216985813925</v>
      </c>
      <c r="D63" s="1">
        <f t="shared" si="1"/>
        <v>0.87882753098861344</v>
      </c>
      <c r="E63" s="1">
        <f t="shared" si="2"/>
        <v>7.5653239775085384</v>
      </c>
      <c r="F63" s="24">
        <v>7.6388888888888895E-2</v>
      </c>
      <c r="G63" s="3" t="s">
        <v>201</v>
      </c>
      <c r="H63" s="3" t="s">
        <v>202</v>
      </c>
      <c r="I63" s="1" t="s">
        <v>228</v>
      </c>
      <c r="J63" s="1">
        <f t="shared" ref="J63:J64" si="18">(E63*50*50)/250.3*1000</f>
        <v>75562.564697448441</v>
      </c>
      <c r="K63" s="12">
        <f t="shared" si="4"/>
        <v>75562.564697448441</v>
      </c>
      <c r="L63" s="34"/>
      <c r="M63" s="35"/>
    </row>
    <row r="64" spans="1:13" x14ac:dyDescent="0.2">
      <c r="A64" s="10" t="s">
        <v>105</v>
      </c>
      <c r="B64" s="9" t="s">
        <v>186</v>
      </c>
      <c r="C64" s="4">
        <v>35.388027909056099</v>
      </c>
      <c r="D64" s="1">
        <f t="shared" si="1"/>
        <v>0.29459636522969174</v>
      </c>
      <c r="E64" s="1">
        <f t="shared" si="2"/>
        <v>1.9705904113239063</v>
      </c>
      <c r="F64" s="24">
        <v>7.6388888888888895E-2</v>
      </c>
      <c r="G64" s="3" t="s">
        <v>201</v>
      </c>
      <c r="H64" s="3" t="s">
        <v>202</v>
      </c>
      <c r="I64" s="1" t="s">
        <v>228</v>
      </c>
      <c r="J64" s="1">
        <f t="shared" si="18"/>
        <v>19682.28537079411</v>
      </c>
      <c r="K64" s="12">
        <f t="shared" si="4"/>
        <v>19682.28537079411</v>
      </c>
      <c r="L64" s="34"/>
      <c r="M64" s="35"/>
    </row>
    <row r="65" spans="1:13" x14ac:dyDescent="0.2">
      <c r="A65" s="10" t="s">
        <v>56</v>
      </c>
      <c r="B65" s="9" t="s">
        <v>177</v>
      </c>
      <c r="C65" s="4">
        <v>36.343674542254597</v>
      </c>
      <c r="D65" s="1">
        <f t="shared" si="1"/>
        <v>3.7430210865728251E-2</v>
      </c>
      <c r="E65" s="1">
        <f t="shared" si="2"/>
        <v>1.0900093188051718</v>
      </c>
      <c r="F65" s="24">
        <v>7.6388888888888895E-2</v>
      </c>
      <c r="G65" s="3" t="s">
        <v>201</v>
      </c>
      <c r="H65" s="3" t="s">
        <v>202</v>
      </c>
      <c r="I65" s="1" t="s">
        <v>229</v>
      </c>
      <c r="J65" s="1">
        <f>(E65*50*50)/244.3*1000</f>
        <v>11154.413823221161</v>
      </c>
      <c r="K65" s="12">
        <f t="shared" si="4"/>
        <v>11154.413823221161</v>
      </c>
      <c r="L65" s="34">
        <f t="shared" ref="L65" si="19">AVERAGE(K65:K67)</f>
        <v>14931.093407991333</v>
      </c>
      <c r="M65" s="35" t="s">
        <v>240</v>
      </c>
    </row>
    <row r="66" spans="1:13" x14ac:dyDescent="0.2">
      <c r="A66" s="10" t="s">
        <v>72</v>
      </c>
      <c r="B66" s="9" t="s">
        <v>177</v>
      </c>
      <c r="C66" s="4">
        <v>36.234501599139399</v>
      </c>
      <c r="D66" s="1">
        <f t="shared" si="1"/>
        <v>6.6808837824904183E-2</v>
      </c>
      <c r="E66" s="1">
        <f t="shared" si="2"/>
        <v>1.1662961387848163</v>
      </c>
      <c r="F66" s="24">
        <v>7.6388888888888895E-2</v>
      </c>
      <c r="G66" s="3" t="s">
        <v>201</v>
      </c>
      <c r="H66" s="3" t="s">
        <v>202</v>
      </c>
      <c r="I66" s="1" t="s">
        <v>229</v>
      </c>
      <c r="J66" s="1">
        <f t="shared" ref="J66:J67" si="20">(E66*50*50)/244.3*1000</f>
        <v>11935.081240122967</v>
      </c>
      <c r="K66" s="12">
        <f t="shared" si="4"/>
        <v>11935.081240122967</v>
      </c>
      <c r="L66" s="34"/>
      <c r="M66" s="35"/>
    </row>
    <row r="67" spans="1:13" x14ac:dyDescent="0.2">
      <c r="A67" s="10" t="s">
        <v>88</v>
      </c>
      <c r="B67" s="9" t="s">
        <v>177</v>
      </c>
      <c r="C67" s="4">
        <v>35.2694014852351</v>
      </c>
      <c r="D67" s="1">
        <f t="shared" si="1"/>
        <v>0.32651894012318727</v>
      </c>
      <c r="E67" s="1">
        <f t="shared" si="2"/>
        <v>2.1208938858967508</v>
      </c>
      <c r="F67" s="24">
        <v>7.6388888888888895E-2</v>
      </c>
      <c r="G67" s="3" t="s">
        <v>201</v>
      </c>
      <c r="H67" s="3" t="s">
        <v>202</v>
      </c>
      <c r="I67" s="1" t="s">
        <v>229</v>
      </c>
      <c r="J67" s="1">
        <f t="shared" si="20"/>
        <v>21703.785160629868</v>
      </c>
      <c r="K67" s="12">
        <f t="shared" si="4"/>
        <v>21703.785160629868</v>
      </c>
      <c r="L67" s="34"/>
      <c r="M67" s="35"/>
    </row>
    <row r="68" spans="1:13" x14ac:dyDescent="0.2">
      <c r="A68" s="10" t="s">
        <v>106</v>
      </c>
      <c r="B68" s="9" t="s">
        <v>187</v>
      </c>
      <c r="C68" s="4">
        <v>35.057639926364601</v>
      </c>
      <c r="D68" s="1">
        <f t="shared" si="1"/>
        <v>0.38350434021252439</v>
      </c>
      <c r="E68" s="1">
        <f t="shared" si="2"/>
        <v>2.4182675052705558</v>
      </c>
      <c r="F68" s="24">
        <v>7.6388888888888895E-2</v>
      </c>
      <c r="G68" s="3" t="s">
        <v>201</v>
      </c>
      <c r="H68" s="3" t="s">
        <v>202</v>
      </c>
      <c r="I68" s="1" t="s">
        <v>230</v>
      </c>
      <c r="J68" s="1">
        <f>(E68*50*50)/243.2*1000</f>
        <v>24858.835374902916</v>
      </c>
      <c r="K68" s="12">
        <f t="shared" si="4"/>
        <v>24858.835374902916</v>
      </c>
      <c r="L68" s="34">
        <f t="shared" si="13"/>
        <v>21005.294162217364</v>
      </c>
      <c r="M68" s="35" t="s">
        <v>240</v>
      </c>
    </row>
    <row r="69" spans="1:13" x14ac:dyDescent="0.2">
      <c r="A69" s="10" t="s">
        <v>108</v>
      </c>
      <c r="B69" s="9" t="s">
        <v>187</v>
      </c>
      <c r="C69" s="4">
        <v>35.626224910713802</v>
      </c>
      <c r="D69" s="1">
        <f t="shared" si="1"/>
        <v>0.23049714197149132</v>
      </c>
      <c r="E69" s="1">
        <f t="shared" si="2"/>
        <v>1.7001887649117808</v>
      </c>
      <c r="F69" s="24">
        <v>7.6388888888888895E-2</v>
      </c>
      <c r="G69" s="3" t="s">
        <v>201</v>
      </c>
      <c r="H69" s="3" t="s">
        <v>202</v>
      </c>
      <c r="I69" s="1" t="s">
        <v>230</v>
      </c>
      <c r="J69" s="1">
        <f t="shared" ref="J69:J70" si="21">(E69*50*50)/243.2*1000</f>
        <v>17477.269376149063</v>
      </c>
      <c r="K69" s="12">
        <f t="shared" si="4"/>
        <v>17477.269376149063</v>
      </c>
      <c r="L69" s="34"/>
      <c r="M69" s="35"/>
    </row>
    <row r="70" spans="1:13" x14ac:dyDescent="0.2">
      <c r="A70" s="10" t="s">
        <v>109</v>
      </c>
      <c r="B70" s="9" t="s">
        <v>187</v>
      </c>
      <c r="C70" s="4">
        <v>35.354683405238397</v>
      </c>
      <c r="D70" s="1">
        <f t="shared" si="1"/>
        <v>0.3035694286174343</v>
      </c>
      <c r="E70" s="1">
        <f t="shared" si="2"/>
        <v>2.0117287781191782</v>
      </c>
      <c r="F70" s="24">
        <v>7.6388888888888895E-2</v>
      </c>
      <c r="G70" s="3" t="s">
        <v>201</v>
      </c>
      <c r="H70" s="3" t="s">
        <v>202</v>
      </c>
      <c r="I70" s="1" t="s">
        <v>230</v>
      </c>
      <c r="J70" s="1">
        <f t="shared" si="21"/>
        <v>20679.777735600106</v>
      </c>
      <c r="K70" s="12">
        <f t="shared" si="4"/>
        <v>20679.777735600106</v>
      </c>
      <c r="L70" s="34"/>
      <c r="M70" s="35"/>
    </row>
    <row r="71" spans="1:13" x14ac:dyDescent="0.2">
      <c r="A71" s="10" t="s">
        <v>57</v>
      </c>
      <c r="B71" s="9" t="s">
        <v>178</v>
      </c>
      <c r="C71" s="4">
        <v>35.213825356846499</v>
      </c>
      <c r="D71" s="1">
        <f t="shared" si="1"/>
        <v>0.34147457195992487</v>
      </c>
      <c r="E71" s="1">
        <f t="shared" si="2"/>
        <v>2.1952024157794523</v>
      </c>
      <c r="F71" s="24">
        <v>7.6388888888888895E-2</v>
      </c>
      <c r="G71" s="3" t="s">
        <v>201</v>
      </c>
      <c r="H71" s="3" t="s">
        <v>202</v>
      </c>
      <c r="I71" s="1" t="s">
        <v>231</v>
      </c>
      <c r="J71" s="1">
        <f>(E71*50*50)/251*1000</f>
        <v>21864.565894217652</v>
      </c>
      <c r="K71" s="12">
        <f t="shared" si="4"/>
        <v>21864.565894217652</v>
      </c>
      <c r="L71" s="34">
        <f t="shared" si="15"/>
        <v>22837.800733785534</v>
      </c>
      <c r="M71" s="35" t="s">
        <v>240</v>
      </c>
    </row>
    <row r="72" spans="1:13" x14ac:dyDescent="0.2">
      <c r="A72" s="10" t="s">
        <v>73</v>
      </c>
      <c r="B72" s="9" t="s">
        <v>178</v>
      </c>
      <c r="C72" s="4">
        <v>34.502431536450104</v>
      </c>
      <c r="D72" s="1">
        <f t="shared" si="1"/>
        <v>0.53291187386022809</v>
      </c>
      <c r="E72" s="1">
        <f t="shared" si="2"/>
        <v>3.4112368448456394</v>
      </c>
      <c r="F72" s="24">
        <v>7.6388888888888895E-2</v>
      </c>
      <c r="G72" s="3" t="s">
        <v>201</v>
      </c>
      <c r="H72" s="3" t="s">
        <v>202</v>
      </c>
      <c r="I72" s="1" t="s">
        <v>231</v>
      </c>
      <c r="J72" s="1">
        <f t="shared" ref="J72:J73" si="22">(E72*50*50)/251*1000</f>
        <v>33976.462598064136</v>
      </c>
      <c r="K72" s="12">
        <f t="shared" si="4"/>
        <v>33976.462598064136</v>
      </c>
      <c r="L72" s="34"/>
      <c r="M72" s="35"/>
    </row>
    <row r="73" spans="1:13" x14ac:dyDescent="0.2">
      <c r="A73" s="10" t="s">
        <v>89</v>
      </c>
      <c r="B73" s="9" t="s">
        <v>178</v>
      </c>
      <c r="C73" s="4">
        <v>36.094098012920902</v>
      </c>
      <c r="D73" s="1">
        <f t="shared" si="1"/>
        <v>0.10459168461406899</v>
      </c>
      <c r="E73" s="1">
        <f t="shared" si="2"/>
        <v>1.2723063203911107</v>
      </c>
      <c r="F73" s="24">
        <v>7.6388888888888895E-2</v>
      </c>
      <c r="G73" s="3" t="s">
        <v>201</v>
      </c>
      <c r="H73" s="3" t="s">
        <v>202</v>
      </c>
      <c r="I73" s="1" t="s">
        <v>231</v>
      </c>
      <c r="J73" s="1">
        <f t="shared" si="22"/>
        <v>12672.373709074807</v>
      </c>
      <c r="K73" s="12">
        <f t="shared" si="4"/>
        <v>12672.373709074807</v>
      </c>
      <c r="L73" s="34"/>
      <c r="M73" s="35"/>
    </row>
    <row r="74" spans="1:13" x14ac:dyDescent="0.2">
      <c r="A74" s="10" t="s">
        <v>110</v>
      </c>
      <c r="B74" s="9" t="s">
        <v>188</v>
      </c>
      <c r="C74" s="4">
        <v>34.780251930757103</v>
      </c>
      <c r="D74" s="1">
        <f t="shared" si="1"/>
        <v>0.45814992741912025</v>
      </c>
      <c r="E74" s="1">
        <f t="shared" si="2"/>
        <v>2.8717718058209831</v>
      </c>
      <c r="F74" s="24">
        <v>7.6388888888888895E-2</v>
      </c>
      <c r="G74" s="3" t="s">
        <v>201</v>
      </c>
      <c r="H74" s="3" t="s">
        <v>202</v>
      </c>
      <c r="I74" s="1" t="s">
        <v>232</v>
      </c>
      <c r="J74" s="1">
        <f>(E74*50*50)/257.9*1000</f>
        <v>27838.036116915308</v>
      </c>
      <c r="K74" s="12">
        <f t="shared" si="4"/>
        <v>27838.036116915308</v>
      </c>
      <c r="L74" s="34">
        <f t="shared" si="17"/>
        <v>24355.638677366278</v>
      </c>
      <c r="M74" s="35" t="s">
        <v>240</v>
      </c>
    </row>
    <row r="75" spans="1:13" x14ac:dyDescent="0.2">
      <c r="A75" s="10" t="s">
        <v>112</v>
      </c>
      <c r="B75" s="9" t="s">
        <v>188</v>
      </c>
      <c r="C75" s="4">
        <v>35.345067944542002</v>
      </c>
      <c r="D75" s="1">
        <f t="shared" si="1"/>
        <v>0.30615696564610934</v>
      </c>
      <c r="E75" s="1">
        <f t="shared" si="2"/>
        <v>2.0237504840877643</v>
      </c>
      <c r="F75" s="24">
        <v>7.6388888888888895E-2</v>
      </c>
      <c r="G75" s="3" t="s">
        <v>201</v>
      </c>
      <c r="H75" s="3" t="s">
        <v>202</v>
      </c>
      <c r="I75" s="1" t="s">
        <v>232</v>
      </c>
      <c r="J75" s="1">
        <f t="shared" ref="J75:J76" si="23">(E75*50*50)/257.9*1000</f>
        <v>19617.589027605314</v>
      </c>
      <c r="K75" s="12">
        <f t="shared" si="4"/>
        <v>19617.589027605314</v>
      </c>
      <c r="L75" s="34"/>
      <c r="M75" s="35"/>
    </row>
    <row r="76" spans="1:13" x14ac:dyDescent="0.2">
      <c r="A76" s="10" t="s">
        <v>113</v>
      </c>
      <c r="B76" s="9" t="s">
        <v>188</v>
      </c>
      <c r="C76" s="4">
        <v>34.914800029990197</v>
      </c>
      <c r="D76" s="1">
        <f t="shared" si="1"/>
        <v>0.42194280225932435</v>
      </c>
      <c r="E76" s="1">
        <f t="shared" si="2"/>
        <v>2.6420607679625676</v>
      </c>
      <c r="F76" s="24">
        <v>7.6388888888888895E-2</v>
      </c>
      <c r="G76" s="3" t="s">
        <v>201</v>
      </c>
      <c r="H76" s="3" t="s">
        <v>202</v>
      </c>
      <c r="I76" s="1" t="s">
        <v>232</v>
      </c>
      <c r="J76" s="1">
        <f t="shared" si="23"/>
        <v>25611.290887578209</v>
      </c>
      <c r="K76" s="12">
        <f t="shared" si="4"/>
        <v>25611.290887578209</v>
      </c>
      <c r="L76" s="34"/>
      <c r="M76" s="35"/>
    </row>
    <row r="77" spans="1:13" x14ac:dyDescent="0.2">
      <c r="A77" s="10" t="s">
        <v>58</v>
      </c>
      <c r="B77" s="9" t="s">
        <v>179</v>
      </c>
      <c r="C77" s="4">
        <v>35.5320021974618</v>
      </c>
      <c r="D77" s="1">
        <f t="shared" si="1"/>
        <v>0.2558526363341474</v>
      </c>
      <c r="E77" s="1">
        <f t="shared" si="2"/>
        <v>1.8024060493878551</v>
      </c>
      <c r="F77" s="24">
        <v>7.6388888888888895E-2</v>
      </c>
      <c r="G77" s="3" t="s">
        <v>201</v>
      </c>
      <c r="H77" s="3" t="s">
        <v>202</v>
      </c>
      <c r="I77" s="1" t="s">
        <v>233</v>
      </c>
      <c r="J77" s="1">
        <f>(E77*50*50)/251.3*1000</f>
        <v>17930.820228689368</v>
      </c>
      <c r="K77" s="12">
        <f t="shared" si="4"/>
        <v>17930.820228689368</v>
      </c>
      <c r="L77" s="34">
        <f t="shared" ref="L77" si="24">AVERAGE(K77:K79)</f>
        <v>25315.645150872078</v>
      </c>
      <c r="M77" s="35" t="s">
        <v>240</v>
      </c>
    </row>
    <row r="78" spans="1:13" x14ac:dyDescent="0.2">
      <c r="A78" s="10" t="s">
        <v>74</v>
      </c>
      <c r="B78" s="9" t="s">
        <v>179</v>
      </c>
      <c r="C78" s="4">
        <v>34.376586778257597</v>
      </c>
      <c r="D78" s="1">
        <f t="shared" si="1"/>
        <v>0.56677691496115534</v>
      </c>
      <c r="E78" s="1">
        <f t="shared" si="2"/>
        <v>3.6878811367474693</v>
      </c>
      <c r="F78" s="24">
        <v>7.6388888888888895E-2</v>
      </c>
      <c r="G78" s="3" t="s">
        <v>201</v>
      </c>
      <c r="H78" s="3" t="s">
        <v>202</v>
      </c>
      <c r="I78" s="1" t="s">
        <v>233</v>
      </c>
      <c r="J78" s="1">
        <f t="shared" ref="J78:J79" si="25">(E78*50*50)/251.3*1000</f>
        <v>36688.033592792177</v>
      </c>
      <c r="K78" s="12">
        <f t="shared" si="4"/>
        <v>36688.033592792177</v>
      </c>
      <c r="L78" s="34"/>
      <c r="M78" s="35"/>
    </row>
    <row r="79" spans="1:13" x14ac:dyDescent="0.2">
      <c r="A79" s="10" t="s">
        <v>90</v>
      </c>
      <c r="B79" s="9" t="s">
        <v>179</v>
      </c>
      <c r="C79" s="4">
        <v>35.251990470324003</v>
      </c>
      <c r="D79" s="1">
        <f t="shared" si="1"/>
        <v>0.3312042742129172</v>
      </c>
      <c r="E79" s="1">
        <f t="shared" si="2"/>
        <v>2.143898765561659</v>
      </c>
      <c r="F79" s="24">
        <v>7.6388888888888895E-2</v>
      </c>
      <c r="G79" s="3" t="s">
        <v>201</v>
      </c>
      <c r="H79" s="3" t="s">
        <v>202</v>
      </c>
      <c r="I79" s="1" t="s">
        <v>233</v>
      </c>
      <c r="J79" s="1">
        <f t="shared" si="25"/>
        <v>21328.08163113469</v>
      </c>
      <c r="K79" s="12">
        <f t="shared" si="4"/>
        <v>21328.08163113469</v>
      </c>
      <c r="L79" s="34"/>
      <c r="M79" s="35"/>
    </row>
    <row r="80" spans="1:13" x14ac:dyDescent="0.2">
      <c r="A80" s="10" t="s">
        <v>114</v>
      </c>
      <c r="B80" s="9" t="s">
        <v>189</v>
      </c>
      <c r="C80" s="4">
        <v>34.864978115905302</v>
      </c>
      <c r="D80" s="1">
        <f t="shared" si="1"/>
        <v>0.43534996511970231</v>
      </c>
      <c r="E80" s="1">
        <f t="shared" si="2"/>
        <v>2.7248962116449125</v>
      </c>
      <c r="F80" s="24">
        <v>7.6388888888888895E-2</v>
      </c>
      <c r="G80" s="3" t="s">
        <v>201</v>
      </c>
      <c r="H80" s="3" t="s">
        <v>202</v>
      </c>
      <c r="I80" s="1" t="s">
        <v>234</v>
      </c>
      <c r="J80" s="1">
        <f>(E80*50*50)/255.8*1000</f>
        <v>26631.120129445979</v>
      </c>
      <c r="K80" s="12">
        <f t="shared" si="4"/>
        <v>26631.120129445979</v>
      </c>
      <c r="L80" s="34">
        <f>AVERAGE(K80:K82)</f>
        <v>28355.129059847317</v>
      </c>
      <c r="M80" s="35" t="s">
        <v>240</v>
      </c>
    </row>
    <row r="81" spans="1:13" x14ac:dyDescent="0.2">
      <c r="A81" s="10" t="s">
        <v>116</v>
      </c>
      <c r="B81" s="9" t="s">
        <v>189</v>
      </c>
      <c r="C81" s="4">
        <v>35.074343037067699</v>
      </c>
      <c r="D81" s="1">
        <f t="shared" si="1"/>
        <v>0.37900950436399056</v>
      </c>
      <c r="E81" s="1">
        <f t="shared" si="2"/>
        <v>2.3933681337528947</v>
      </c>
      <c r="F81" s="24">
        <v>7.6388888888888895E-2</v>
      </c>
      <c r="G81" s="3" t="s">
        <v>201</v>
      </c>
      <c r="H81" s="3" t="s">
        <v>202</v>
      </c>
      <c r="I81" s="1" t="s">
        <v>234</v>
      </c>
      <c r="J81" s="1">
        <f t="shared" ref="J81:J82" si="26">(E81*50*50)/255.8*1000</f>
        <v>23391.009907670978</v>
      </c>
      <c r="K81" s="12">
        <f t="shared" si="4"/>
        <v>23391.009907670978</v>
      </c>
      <c r="L81" s="34"/>
      <c r="M81" s="35"/>
    </row>
    <row r="82" spans="1:13" x14ac:dyDescent="0.2">
      <c r="A82" s="10" t="s">
        <v>117</v>
      </c>
      <c r="B82" s="9" t="s">
        <v>189</v>
      </c>
      <c r="C82" s="4">
        <v>34.421967082619801</v>
      </c>
      <c r="D82" s="1">
        <f t="shared" si="1"/>
        <v>0.55456499692442818</v>
      </c>
      <c r="E82" s="1">
        <f t="shared" si="2"/>
        <v>3.5856260708129266</v>
      </c>
      <c r="F82" s="24">
        <v>7.6388888888888895E-2</v>
      </c>
      <c r="G82" s="3" t="s">
        <v>201</v>
      </c>
      <c r="H82" s="3" t="s">
        <v>202</v>
      </c>
      <c r="I82" s="1" t="s">
        <v>234</v>
      </c>
      <c r="J82" s="1">
        <f t="shared" si="26"/>
        <v>35043.257142425005</v>
      </c>
      <c r="K82" s="12">
        <f t="shared" si="4"/>
        <v>35043.257142425005</v>
      </c>
      <c r="L82" s="34"/>
      <c r="M82" s="35"/>
    </row>
    <row r="83" spans="1:13" x14ac:dyDescent="0.2">
      <c r="A83" s="10" t="s">
        <v>60</v>
      </c>
      <c r="B83" s="9" t="s">
        <v>180</v>
      </c>
      <c r="C83" s="4">
        <v>34.082251076403502</v>
      </c>
      <c r="D83" s="1">
        <f t="shared" si="1"/>
        <v>0.64598315909816939</v>
      </c>
      <c r="E83" s="1">
        <f t="shared" si="2"/>
        <v>4.425712101763069</v>
      </c>
      <c r="F83" s="24">
        <v>7.6388888888888895E-2</v>
      </c>
      <c r="G83" s="3" t="s">
        <v>201</v>
      </c>
      <c r="H83" s="3" t="s">
        <v>202</v>
      </c>
      <c r="I83" s="1" t="s">
        <v>235</v>
      </c>
      <c r="J83" s="1">
        <f>(E83*50*50)/251.7*1000</f>
        <v>43958.205222120276</v>
      </c>
      <c r="K83" s="12">
        <f t="shared" si="4"/>
        <v>43958.205222120276</v>
      </c>
      <c r="L83" s="34">
        <f t="shared" ref="L83" si="27">AVERAGE(K83:K85)</f>
        <v>44776.459908757788</v>
      </c>
      <c r="M83" s="35" t="s">
        <v>240</v>
      </c>
    </row>
    <row r="84" spans="1:13" x14ac:dyDescent="0.2">
      <c r="A84" s="10" t="s">
        <v>76</v>
      </c>
      <c r="B84" s="9" t="s">
        <v>180</v>
      </c>
      <c r="C84" s="4">
        <v>34.115698605215101</v>
      </c>
      <c r="D84" s="1">
        <f t="shared" si="1"/>
        <v>0.63698237150718717</v>
      </c>
      <c r="E84" s="1">
        <f t="shared" si="2"/>
        <v>4.3349328205917805</v>
      </c>
      <c r="F84" s="24">
        <v>7.6388888888888895E-2</v>
      </c>
      <c r="G84" s="3" t="s">
        <v>201</v>
      </c>
      <c r="H84" s="3" t="s">
        <v>202</v>
      </c>
      <c r="I84" s="1" t="s">
        <v>235</v>
      </c>
      <c r="J84" s="1">
        <f t="shared" ref="J84:J85" si="28">(E84*50*50)/251.7*1000</f>
        <v>43056.543708698664</v>
      </c>
      <c r="K84" s="12">
        <f t="shared" si="4"/>
        <v>43056.543708698664</v>
      </c>
      <c r="L84" s="34"/>
      <c r="M84" s="35"/>
    </row>
    <row r="85" spans="1:13" x14ac:dyDescent="0.2">
      <c r="A85" s="10" t="s">
        <v>92</v>
      </c>
      <c r="B85" s="9" t="s">
        <v>180</v>
      </c>
      <c r="C85" s="4">
        <v>33.963502288269403</v>
      </c>
      <c r="D85" s="1">
        <f t="shared" si="1"/>
        <v>0.67793866243899903</v>
      </c>
      <c r="E85" s="1">
        <f t="shared" si="2"/>
        <v>4.7636370284863512</v>
      </c>
      <c r="F85" s="24">
        <v>7.6388888888888895E-2</v>
      </c>
      <c r="G85" s="3" t="s">
        <v>201</v>
      </c>
      <c r="H85" s="3" t="s">
        <v>202</v>
      </c>
      <c r="I85" s="1" t="s">
        <v>235</v>
      </c>
      <c r="J85" s="1">
        <f t="shared" si="28"/>
        <v>47314.630795454425</v>
      </c>
      <c r="K85" s="12">
        <f t="shared" si="4"/>
        <v>47314.630795454425</v>
      </c>
      <c r="L85" s="34"/>
      <c r="M85" s="35"/>
    </row>
    <row r="86" spans="1:13" x14ac:dyDescent="0.2">
      <c r="A86" s="10" t="s">
        <v>118</v>
      </c>
      <c r="B86" s="9" t="s">
        <v>190</v>
      </c>
      <c r="C86" s="4">
        <v>34.273388204062599</v>
      </c>
      <c r="D86" s="1">
        <f t="shared" si="1"/>
        <v>0.59454782895762559</v>
      </c>
      <c r="E86" s="1">
        <f t="shared" si="2"/>
        <v>3.9314053918725693</v>
      </c>
      <c r="F86" s="24">
        <v>7.6388888888888895E-2</v>
      </c>
      <c r="G86" s="3" t="s">
        <v>201</v>
      </c>
      <c r="H86" s="3" t="s">
        <v>202</v>
      </c>
      <c r="I86" s="1" t="s">
        <v>236</v>
      </c>
      <c r="J86" s="1">
        <f>(E86*50*50)/255.7*1000</f>
        <v>38437.674930314519</v>
      </c>
      <c r="K86" s="12">
        <f t="shared" si="4"/>
        <v>38437.674930314519</v>
      </c>
      <c r="L86" s="34">
        <f t="shared" ref="L86" si="29">AVERAGE(K86:K88)</f>
        <v>24169.369088354561</v>
      </c>
      <c r="M86" s="35" t="s">
        <v>240</v>
      </c>
    </row>
    <row r="87" spans="1:13" x14ac:dyDescent="0.2">
      <c r="A87" s="10" t="s">
        <v>120</v>
      </c>
      <c r="B87" s="9" t="s">
        <v>190</v>
      </c>
      <c r="C87" s="4">
        <v>35.498044310668</v>
      </c>
      <c r="D87" s="1">
        <f t="shared" si="1"/>
        <v>0.26499076213684092</v>
      </c>
      <c r="E87" s="1">
        <f t="shared" si="2"/>
        <v>1.8407328468867261</v>
      </c>
      <c r="F87" s="24">
        <v>7.6388888888888895E-2</v>
      </c>
      <c r="G87" s="3" t="s">
        <v>201</v>
      </c>
      <c r="H87" s="3" t="s">
        <v>202</v>
      </c>
      <c r="I87" s="1" t="s">
        <v>236</v>
      </c>
      <c r="J87" s="1">
        <f t="shared" ref="J87:J88" si="30">(E87*50*50)/255.7*1000</f>
        <v>17996.996938665685</v>
      </c>
      <c r="K87" s="12">
        <f t="shared" si="4"/>
        <v>17996.996938665685</v>
      </c>
      <c r="L87" s="34"/>
      <c r="M87" s="35"/>
    </row>
    <row r="88" spans="1:13" x14ac:dyDescent="0.2">
      <c r="A88" s="10" t="s">
        <v>121</v>
      </c>
      <c r="B88" s="9" t="s">
        <v>190</v>
      </c>
      <c r="C88" s="4">
        <v>35.680470991039499</v>
      </c>
      <c r="D88" s="1">
        <f t="shared" si="1"/>
        <v>0.21589942835847156</v>
      </c>
      <c r="E88" s="1">
        <f t="shared" si="2"/>
        <v>1.6439909723114172</v>
      </c>
      <c r="F88" s="24">
        <v>7.6388888888888895E-2</v>
      </c>
      <c r="G88" s="3" t="s">
        <v>201</v>
      </c>
      <c r="H88" s="3" t="s">
        <v>202</v>
      </c>
      <c r="I88" s="1" t="s">
        <v>236</v>
      </c>
      <c r="J88" s="1">
        <f t="shared" si="30"/>
        <v>16073.435396083469</v>
      </c>
      <c r="K88" s="12">
        <f t="shared" si="4"/>
        <v>16073.435396083469</v>
      </c>
      <c r="L88" s="34"/>
      <c r="M88" s="35"/>
    </row>
    <row r="89" spans="1:13" x14ac:dyDescent="0.2">
      <c r="A89" s="10" t="s">
        <v>61</v>
      </c>
      <c r="B89" s="9" t="s">
        <v>181</v>
      </c>
      <c r="C89" s="4">
        <v>35.114854551245301</v>
      </c>
      <c r="D89" s="1">
        <f t="shared" si="1"/>
        <v>0.36810778614870626</v>
      </c>
      <c r="E89" s="1">
        <f t="shared" si="2"/>
        <v>2.3340372675945549</v>
      </c>
      <c r="F89" s="24">
        <v>7.6388888888888895E-2</v>
      </c>
      <c r="G89" s="3" t="s">
        <v>201</v>
      </c>
      <c r="H89" s="3" t="s">
        <v>202</v>
      </c>
      <c r="I89" s="1" t="s">
        <v>227</v>
      </c>
      <c r="J89" s="1">
        <f>(E89*50*50)/245.3*1000</f>
        <v>23787.579164233131</v>
      </c>
      <c r="K89" s="12">
        <f t="shared" si="4"/>
        <v>23787.579164233131</v>
      </c>
      <c r="L89" s="34">
        <f t="shared" ref="L89" si="31">AVERAGE(K89:K91)</f>
        <v>27719.809380721435</v>
      </c>
      <c r="M89" s="35" t="s">
        <v>240</v>
      </c>
    </row>
    <row r="90" spans="1:13" x14ac:dyDescent="0.2">
      <c r="A90" s="10" t="s">
        <v>77</v>
      </c>
      <c r="B90" s="9" t="s">
        <v>181</v>
      </c>
      <c r="C90" s="4">
        <v>34.683240026202597</v>
      </c>
      <c r="D90" s="1">
        <f t="shared" si="1"/>
        <v>0.48425599796352853</v>
      </c>
      <c r="E90" s="1">
        <f t="shared" si="2"/>
        <v>3.0496921225677354</v>
      </c>
      <c r="F90" s="24">
        <v>7.6388888888888895E-2</v>
      </c>
      <c r="G90" s="3" t="s">
        <v>201</v>
      </c>
      <c r="H90" s="3" t="s">
        <v>202</v>
      </c>
      <c r="I90" s="1" t="s">
        <v>227</v>
      </c>
      <c r="J90" s="1">
        <f t="shared" ref="J90:J91" si="32">(E90*50*50)/245.3*1000</f>
        <v>31081.248701261062</v>
      </c>
      <c r="K90" s="12">
        <f t="shared" si="4"/>
        <v>31081.248701261062</v>
      </c>
      <c r="L90" s="34"/>
      <c r="M90" s="35"/>
    </row>
    <row r="91" spans="1:13" x14ac:dyDescent="0.2">
      <c r="A91" s="10" t="s">
        <v>93</v>
      </c>
      <c r="B91" s="9" t="s">
        <v>181</v>
      </c>
      <c r="C91" s="4">
        <v>34.835064754961799</v>
      </c>
      <c r="D91" s="1">
        <f t="shared" si="1"/>
        <v>0.44339970205247925</v>
      </c>
      <c r="E91" s="1">
        <f t="shared" si="2"/>
        <v>2.7758736991468713</v>
      </c>
      <c r="F91" s="24">
        <v>7.6388888888888895E-2</v>
      </c>
      <c r="G91" s="3" t="s">
        <v>201</v>
      </c>
      <c r="H91" s="3" t="s">
        <v>202</v>
      </c>
      <c r="I91" s="1" t="s">
        <v>227</v>
      </c>
      <c r="J91" s="1">
        <f t="shared" si="32"/>
        <v>28290.600276670113</v>
      </c>
      <c r="K91" s="12">
        <f t="shared" si="4"/>
        <v>28290.600276670113</v>
      </c>
      <c r="L91" s="34"/>
      <c r="M91" s="35"/>
    </row>
    <row r="92" spans="1:13" x14ac:dyDescent="0.2">
      <c r="A92" s="10" t="s">
        <v>122</v>
      </c>
      <c r="B92" s="9" t="s">
        <v>191</v>
      </c>
      <c r="C92" s="4">
        <v>34.441330327526401</v>
      </c>
      <c r="D92" s="1">
        <f t="shared" si="1"/>
        <v>0.54935431438168569</v>
      </c>
      <c r="E92" s="1">
        <f t="shared" si="2"/>
        <v>3.5428626376613965</v>
      </c>
      <c r="F92" s="24">
        <v>7.6388888888888895E-2</v>
      </c>
      <c r="G92" s="3" t="s">
        <v>201</v>
      </c>
      <c r="H92" s="3" t="s">
        <v>202</v>
      </c>
      <c r="I92" s="1" t="s">
        <v>237</v>
      </c>
      <c r="J92" s="1">
        <f>(E92*50*50)/253.1*1000</f>
        <v>34994.69219341562</v>
      </c>
      <c r="K92" s="12">
        <f t="shared" si="4"/>
        <v>34994.69219341562</v>
      </c>
      <c r="L92" s="34">
        <f t="shared" ref="L92" si="33">AVERAGE(K92:K94)</f>
        <v>36922.431709481672</v>
      </c>
      <c r="M92" s="35" t="s">
        <v>240</v>
      </c>
    </row>
    <row r="93" spans="1:13" x14ac:dyDescent="0.2">
      <c r="A93" s="10" t="s">
        <v>124</v>
      </c>
      <c r="B93" s="9" t="s">
        <v>191</v>
      </c>
      <c r="C93" s="4">
        <v>34.011071953441203</v>
      </c>
      <c r="D93" s="1">
        <f t="shared" si="1"/>
        <v>0.66513758363891062</v>
      </c>
      <c r="E93" s="1">
        <f t="shared" si="2"/>
        <v>4.6252752600368137</v>
      </c>
      <c r="F93" s="24">
        <v>7.6388888888888895E-2</v>
      </c>
      <c r="G93" s="3" t="s">
        <v>201</v>
      </c>
      <c r="H93" s="3" t="s">
        <v>202</v>
      </c>
      <c r="I93" s="1" t="s">
        <v>237</v>
      </c>
      <c r="J93" s="1">
        <f t="shared" ref="J93:J94" si="34">(E93*50*50)/253.1*1000</f>
        <v>45686.243184875675</v>
      </c>
      <c r="K93" s="12">
        <f t="shared" si="4"/>
        <v>45686.243184875675</v>
      </c>
      <c r="L93" s="34"/>
      <c r="M93" s="35"/>
    </row>
    <row r="94" spans="1:13" x14ac:dyDescent="0.2">
      <c r="A94" s="10" t="s">
        <v>125</v>
      </c>
      <c r="B94" s="9" t="s">
        <v>191</v>
      </c>
      <c r="C94" s="4">
        <v>34.685225213458303</v>
      </c>
      <c r="D94" s="1">
        <f t="shared" si="1"/>
        <v>0.48372178065505178</v>
      </c>
      <c r="E94" s="1">
        <f t="shared" si="2"/>
        <v>3.0459430611055645</v>
      </c>
      <c r="F94" s="24">
        <v>7.6388888888888895E-2</v>
      </c>
      <c r="G94" s="3" t="s">
        <v>201</v>
      </c>
      <c r="H94" s="3" t="s">
        <v>202</v>
      </c>
      <c r="I94" s="1" t="s">
        <v>237</v>
      </c>
      <c r="J94" s="1">
        <f t="shared" si="34"/>
        <v>30086.359750153737</v>
      </c>
      <c r="K94" s="12">
        <f t="shared" si="4"/>
        <v>30086.359750153737</v>
      </c>
      <c r="L94" s="34"/>
      <c r="M94" s="35"/>
    </row>
    <row r="95" spans="1:13" x14ac:dyDescent="0.2">
      <c r="A95" s="10" t="s">
        <v>46</v>
      </c>
      <c r="B95" s="9" t="s">
        <v>172</v>
      </c>
      <c r="C95" s="4">
        <v>35.1827309008087</v>
      </c>
      <c r="D95" s="1">
        <f t="shared" si="1"/>
        <v>0.34984214361610955</v>
      </c>
      <c r="E95" s="1">
        <f t="shared" si="2"/>
        <v>2.237907561099346</v>
      </c>
      <c r="F95" s="24">
        <v>7.6388888888888895E-2</v>
      </c>
      <c r="G95" s="3" t="s">
        <v>201</v>
      </c>
      <c r="H95" s="3" t="s">
        <v>202</v>
      </c>
      <c r="I95" s="1" t="s">
        <v>211</v>
      </c>
      <c r="J95" s="1">
        <f>(E95*50*50)/246.7*1000</f>
        <v>22678.430898858391</v>
      </c>
      <c r="K95" s="12">
        <f t="shared" si="4"/>
        <v>22678.430898858391</v>
      </c>
      <c r="L95" s="34">
        <f t="shared" ref="L95" si="35">AVERAGE(K95:K97)</f>
        <v>19978.29992078766</v>
      </c>
      <c r="M95" s="35" t="s">
        <v>240</v>
      </c>
    </row>
    <row r="96" spans="1:13" x14ac:dyDescent="0.2">
      <c r="A96" s="10" t="s">
        <v>48</v>
      </c>
      <c r="B96" s="9" t="s">
        <v>172</v>
      </c>
      <c r="C96" s="4">
        <v>35.005262678214997</v>
      </c>
      <c r="D96" s="1">
        <f t="shared" si="1"/>
        <v>0.39759914786932365</v>
      </c>
      <c r="E96" s="1">
        <f t="shared" si="2"/>
        <v>2.4980386172992946</v>
      </c>
      <c r="F96" s="24">
        <v>7.6388888888888895E-2</v>
      </c>
      <c r="G96" s="3" t="s">
        <v>201</v>
      </c>
      <c r="H96" s="3" t="s">
        <v>202</v>
      </c>
      <c r="I96" s="1" t="s">
        <v>211</v>
      </c>
      <c r="J96" s="1">
        <f t="shared" ref="J96:J97" si="36">(E96*50*50)/246.7*1000</f>
        <v>25314.538075590743</v>
      </c>
      <c r="K96" s="12">
        <f t="shared" si="4"/>
        <v>25314.538075590743</v>
      </c>
      <c r="L96" s="34"/>
      <c r="M96" s="35"/>
    </row>
    <row r="97" spans="1:13" x14ac:dyDescent="0.2">
      <c r="A97" s="10" t="s">
        <v>49</v>
      </c>
      <c r="B97" s="9" t="s">
        <v>172</v>
      </c>
      <c r="C97" s="4">
        <v>36.217798425455896</v>
      </c>
      <c r="D97" s="1">
        <f t="shared" si="1"/>
        <v>7.1303690621573379E-2</v>
      </c>
      <c r="E97" s="1">
        <f t="shared" si="2"/>
        <v>1.178429730151338</v>
      </c>
      <c r="F97" s="24">
        <v>7.6388888888888895E-2</v>
      </c>
      <c r="G97" s="3" t="s">
        <v>201</v>
      </c>
      <c r="H97" s="3" t="s">
        <v>202</v>
      </c>
      <c r="I97" s="1" t="s">
        <v>211</v>
      </c>
      <c r="J97" s="1">
        <f t="shared" si="36"/>
        <v>11941.930787913841</v>
      </c>
      <c r="K97" s="12">
        <f t="shared" si="4"/>
        <v>11941.930787913841</v>
      </c>
      <c r="L97" s="34"/>
      <c r="M97" s="35"/>
    </row>
    <row r="98" spans="1:13" x14ac:dyDescent="0.2">
      <c r="A98" s="10" t="s">
        <v>62</v>
      </c>
      <c r="B98" s="9" t="s">
        <v>182</v>
      </c>
      <c r="C98" s="4">
        <v>35.921277597530199</v>
      </c>
      <c r="D98" s="1">
        <f t="shared" si="1"/>
        <v>0.15109795594666356</v>
      </c>
      <c r="E98" s="1">
        <f t="shared" si="2"/>
        <v>1.4161131509537943</v>
      </c>
      <c r="F98" s="24">
        <v>7.6388888888888895E-2</v>
      </c>
      <c r="G98" s="3" t="s">
        <v>201</v>
      </c>
      <c r="H98" s="3" t="s">
        <v>202</v>
      </c>
      <c r="I98" s="1" t="s">
        <v>238</v>
      </c>
      <c r="J98" s="1">
        <f>(E98*50*50)/255.2*1000</f>
        <v>13872.581807932938</v>
      </c>
      <c r="K98" s="12">
        <f t="shared" si="4"/>
        <v>13872.581807932938</v>
      </c>
      <c r="L98" s="34">
        <f t="shared" ref="L98" si="37">AVERAGE(K98:K100)</f>
        <v>19358.469572065947</v>
      </c>
      <c r="M98" s="35" t="s">
        <v>240</v>
      </c>
    </row>
    <row r="99" spans="1:13" x14ac:dyDescent="0.2">
      <c r="A99" s="10" t="s">
        <v>78</v>
      </c>
      <c r="B99" s="9" t="s">
        <v>182</v>
      </c>
      <c r="C99" s="4">
        <v>35.512609178674403</v>
      </c>
      <c r="D99" s="1">
        <f t="shared" si="1"/>
        <v>0.26107133107947506</v>
      </c>
      <c r="E99" s="1">
        <f t="shared" si="2"/>
        <v>1.8241952942774786</v>
      </c>
      <c r="F99" s="24">
        <v>7.6388888888888895E-2</v>
      </c>
      <c r="G99" s="3" t="s">
        <v>201</v>
      </c>
      <c r="H99" s="3" t="s">
        <v>202</v>
      </c>
      <c r="I99" s="1" t="s">
        <v>238</v>
      </c>
      <c r="J99" s="1">
        <f t="shared" ref="J99:J100" si="38">(E99*50*50)/255.2*1000</f>
        <v>17870.251707263706</v>
      </c>
      <c r="K99" s="12">
        <f t="shared" si="4"/>
        <v>17870.251707263706</v>
      </c>
      <c r="L99" s="34"/>
      <c r="M99" s="35"/>
    </row>
    <row r="100" spans="1:13" x14ac:dyDescent="0.2">
      <c r="A100" s="10" t="s">
        <v>94</v>
      </c>
      <c r="B100" s="9" t="s">
        <v>182</v>
      </c>
      <c r="C100" s="4">
        <v>34.886962258482797</v>
      </c>
      <c r="D100" s="1">
        <f t="shared" si="1"/>
        <v>0.42943399450123099</v>
      </c>
      <c r="E100" s="1">
        <f t="shared" si="2"/>
        <v>2.6880292765182019</v>
      </c>
      <c r="F100" s="24">
        <v>7.6388888888888895E-2</v>
      </c>
      <c r="G100" s="3" t="s">
        <v>201</v>
      </c>
      <c r="H100" s="3" t="s">
        <v>202</v>
      </c>
      <c r="I100" s="1" t="s">
        <v>238</v>
      </c>
      <c r="J100" s="1">
        <f t="shared" si="38"/>
        <v>26332.575201001197</v>
      </c>
      <c r="K100" s="12">
        <f t="shared" si="4"/>
        <v>26332.575201001197</v>
      </c>
      <c r="L100" s="34"/>
      <c r="M100" s="35"/>
    </row>
    <row r="101" spans="1:13" x14ac:dyDescent="0.2">
      <c r="A101" s="10" t="s">
        <v>126</v>
      </c>
      <c r="B101" s="9" t="s">
        <v>192</v>
      </c>
      <c r="C101" s="4">
        <v>36.800143496018997</v>
      </c>
      <c r="D101" s="1">
        <f t="shared" si="1"/>
        <v>-8.5406370510841947E-2</v>
      </c>
      <c r="E101" s="1">
        <f t="shared" si="2"/>
        <v>0.82147363513621519</v>
      </c>
      <c r="F101" s="24">
        <v>7.6388888888888895E-2</v>
      </c>
      <c r="G101" s="3" t="s">
        <v>201</v>
      </c>
      <c r="H101" s="3" t="s">
        <v>202</v>
      </c>
      <c r="I101" s="1" t="s">
        <v>239</v>
      </c>
      <c r="J101" s="1">
        <f>(E101*50*50)/255.5*1000</f>
        <v>8037.9024964404607</v>
      </c>
      <c r="K101" s="12">
        <f t="shared" si="4"/>
        <v>8037.9024964404607</v>
      </c>
      <c r="L101" s="34">
        <f t="shared" ref="L101" si="39">AVERAGE(K101:K103)</f>
        <v>21838.563334427829</v>
      </c>
      <c r="M101" s="35" t="s">
        <v>240</v>
      </c>
    </row>
    <row r="102" spans="1:13" x14ac:dyDescent="0.2">
      <c r="A102" s="10" t="s">
        <v>128</v>
      </c>
      <c r="B102" s="9" t="s">
        <v>192</v>
      </c>
      <c r="C102" s="4">
        <v>34.759758345672402</v>
      </c>
      <c r="D102" s="1">
        <f t="shared" si="1"/>
        <v>0.46366478644993575</v>
      </c>
      <c r="E102" s="1">
        <f t="shared" si="2"/>
        <v>2.9084713254062482</v>
      </c>
      <c r="F102" s="24">
        <v>7.6388888888888895E-2</v>
      </c>
      <c r="G102" s="3" t="s">
        <v>201</v>
      </c>
      <c r="H102" s="3" t="s">
        <v>202</v>
      </c>
      <c r="I102" s="1" t="s">
        <v>239</v>
      </c>
      <c r="J102" s="1">
        <f t="shared" ref="J102:J103" si="40">(E102*50*50)/255.5*1000</f>
        <v>28458.623536264662</v>
      </c>
      <c r="K102" s="12">
        <f t="shared" si="4"/>
        <v>28458.623536264662</v>
      </c>
      <c r="L102" s="34"/>
      <c r="M102" s="35"/>
    </row>
    <row r="103" spans="1:13" x14ac:dyDescent="0.2">
      <c r="A103" s="10" t="s">
        <v>129</v>
      </c>
      <c r="B103" s="9" t="s">
        <v>192</v>
      </c>
      <c r="C103" s="4">
        <v>34.728279521449302</v>
      </c>
      <c r="D103" s="1">
        <f t="shared" si="1"/>
        <v>0.47213579224656521</v>
      </c>
      <c r="E103" s="1">
        <f t="shared" si="2"/>
        <v>2.9657585577931092</v>
      </c>
      <c r="F103" s="24">
        <v>7.6388888888888895E-2</v>
      </c>
      <c r="G103" s="3" t="s">
        <v>201</v>
      </c>
      <c r="H103" s="3" t="s">
        <v>202</v>
      </c>
      <c r="I103" s="1" t="s">
        <v>239</v>
      </c>
      <c r="J103" s="1">
        <f t="shared" si="40"/>
        <v>29019.163970578367</v>
      </c>
      <c r="K103" s="12">
        <f t="shared" si="4"/>
        <v>29019.163970578367</v>
      </c>
      <c r="L103" s="34"/>
      <c r="M103" s="35"/>
    </row>
  </sheetData>
  <mergeCells count="43">
    <mergeCell ref="L47:L49"/>
    <mergeCell ref="M47:M49"/>
    <mergeCell ref="S7:U8"/>
    <mergeCell ref="L41:L43"/>
    <mergeCell ref="M41:M43"/>
    <mergeCell ref="L44:L46"/>
    <mergeCell ref="M44:M46"/>
    <mergeCell ref="L50:L52"/>
    <mergeCell ref="M50:M52"/>
    <mergeCell ref="L53:L55"/>
    <mergeCell ref="M53:M55"/>
    <mergeCell ref="L56:L58"/>
    <mergeCell ref="M56:M58"/>
    <mergeCell ref="L59:L61"/>
    <mergeCell ref="M59:M61"/>
    <mergeCell ref="L62:L64"/>
    <mergeCell ref="M62:M64"/>
    <mergeCell ref="L65:L67"/>
    <mergeCell ref="M65:M67"/>
    <mergeCell ref="L68:L70"/>
    <mergeCell ref="M68:M70"/>
    <mergeCell ref="L71:L73"/>
    <mergeCell ref="M71:M73"/>
    <mergeCell ref="L74:L76"/>
    <mergeCell ref="M74:M76"/>
    <mergeCell ref="L77:L79"/>
    <mergeCell ref="M77:M79"/>
    <mergeCell ref="L80:L82"/>
    <mergeCell ref="M80:M82"/>
    <mergeCell ref="L83:L85"/>
    <mergeCell ref="M83:M85"/>
    <mergeCell ref="L86:L88"/>
    <mergeCell ref="M86:M88"/>
    <mergeCell ref="L89:L91"/>
    <mergeCell ref="M89:M91"/>
    <mergeCell ref="L92:L94"/>
    <mergeCell ref="M92:M94"/>
    <mergeCell ref="L95:L97"/>
    <mergeCell ref="M95:M97"/>
    <mergeCell ref="L98:L100"/>
    <mergeCell ref="M98:M100"/>
    <mergeCell ref="L101:L103"/>
    <mergeCell ref="M101:M10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ermF - plate 1</vt:lpstr>
      <vt:lpstr>ermF - plate 2</vt:lpstr>
      <vt:lpstr>ermF - plate 3</vt:lpstr>
      <vt:lpstr>ermF - plate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Alt, Laura M [ABE]</dc:creator>
  <cp:lastModifiedBy>Alt, Laura M [ABE]</cp:lastModifiedBy>
  <dcterms:created xsi:type="dcterms:W3CDTF">2019-06-06T16:33:49Z</dcterms:created>
  <dcterms:modified xsi:type="dcterms:W3CDTF">2021-06-01T16:26:24Z</dcterms:modified>
</cp:coreProperties>
</file>