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Desktop/STRIPS/Flume/Flume Run 3 - 05:02:19/qPCR/Raw Data/tetM/"/>
    </mc:Choice>
  </mc:AlternateContent>
  <xr:revisionPtr revIDLastSave="0" documentId="8_{50C63836-E9D9-A94A-B306-C9D71CC39B81}" xr6:coauthVersionLast="47" xr6:coauthVersionMax="47" xr10:uidLastSave="{00000000-0000-0000-0000-000000000000}"/>
  <bookViews>
    <workbookView xWindow="30320" yWindow="2560" windowWidth="28800" windowHeight="16160" xr2:uid="{E33A7C95-C185-5049-BDDE-D4ACED0802D1}"/>
  </bookViews>
  <sheets>
    <sheet name="tetM - plate 1" sheetId="2" r:id="rId1"/>
    <sheet name="tetM - plate 2" sheetId="4" r:id="rId2"/>
    <sheet name="tetM - plate 3" sheetId="6" r:id="rId3"/>
    <sheet name="tetM - plate 4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0" i="2" l="1"/>
  <c r="D44" i="2" s="1"/>
  <c r="S10" i="6"/>
  <c r="S12" i="6" s="1"/>
  <c r="S12" i="4"/>
  <c r="S11" i="2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80" i="4"/>
  <c r="D81" i="4"/>
  <c r="D82" i="4"/>
  <c r="D83" i="4"/>
  <c r="D84" i="4"/>
  <c r="D85" i="4"/>
  <c r="D86" i="4"/>
  <c r="D87" i="4"/>
  <c r="D88" i="4"/>
  <c r="D89" i="4"/>
  <c r="D90" i="4"/>
  <c r="D91" i="4"/>
  <c r="D38" i="4"/>
  <c r="S11" i="4"/>
  <c r="S10" i="4"/>
  <c r="D40" i="6"/>
  <c r="D41" i="6"/>
  <c r="D43" i="6"/>
  <c r="D44" i="6"/>
  <c r="D45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38" i="6"/>
  <c r="S11" i="6"/>
  <c r="D41" i="8"/>
  <c r="S11" i="8"/>
  <c r="S10" i="8"/>
  <c r="S12" i="2" l="1"/>
  <c r="D95" i="2"/>
  <c r="E95" i="2" s="1"/>
  <c r="J95" i="2" s="1"/>
  <c r="K95" i="2" s="1"/>
  <c r="D39" i="6"/>
  <c r="D46" i="6"/>
  <c r="D42" i="6"/>
  <c r="E42" i="6" s="1"/>
  <c r="J42" i="6" s="1"/>
  <c r="K42" i="6" s="1"/>
  <c r="D74" i="2"/>
  <c r="E74" i="2" s="1"/>
  <c r="J74" i="2" s="1"/>
  <c r="K74" i="2" s="1"/>
  <c r="D64" i="2"/>
  <c r="D50" i="2"/>
  <c r="D82" i="2"/>
  <c r="D55" i="2"/>
  <c r="D39" i="2"/>
  <c r="D99" i="2"/>
  <c r="D89" i="2"/>
  <c r="D79" i="2"/>
  <c r="E79" i="2" s="1"/>
  <c r="J79" i="2" s="1"/>
  <c r="K79" i="2" s="1"/>
  <c r="D68" i="2"/>
  <c r="D60" i="2"/>
  <c r="D52" i="2"/>
  <c r="D83" i="2"/>
  <c r="E83" i="2" s="1"/>
  <c r="J83" i="2" s="1"/>
  <c r="K83" i="2" s="1"/>
  <c r="D56" i="2"/>
  <c r="D93" i="2"/>
  <c r="D71" i="2"/>
  <c r="D63" i="2"/>
  <c r="E63" i="2" s="1"/>
  <c r="J63" i="2" s="1"/>
  <c r="K63" i="2" s="1"/>
  <c r="D43" i="2"/>
  <c r="D98" i="2"/>
  <c r="D87" i="2"/>
  <c r="D78" i="2"/>
  <c r="E78" i="2" s="1"/>
  <c r="J78" i="2" s="1"/>
  <c r="K78" i="2" s="1"/>
  <c r="D67" i="2"/>
  <c r="D59" i="2"/>
  <c r="D51" i="2"/>
  <c r="D38" i="2"/>
  <c r="E38" i="2" s="1"/>
  <c r="J38" i="2" s="1"/>
  <c r="K38" i="2" s="1"/>
  <c r="D46" i="2"/>
  <c r="D102" i="2"/>
  <c r="D97" i="2"/>
  <c r="D92" i="2"/>
  <c r="E92" i="2" s="1"/>
  <c r="J92" i="2" s="1"/>
  <c r="K92" i="2" s="1"/>
  <c r="D86" i="2"/>
  <c r="D81" i="2"/>
  <c r="D77" i="2"/>
  <c r="D70" i="2"/>
  <c r="E70" i="2" s="1"/>
  <c r="J70" i="2" s="1"/>
  <c r="K70" i="2" s="1"/>
  <c r="D66" i="2"/>
  <c r="D62" i="2"/>
  <c r="D58" i="2"/>
  <c r="D54" i="2"/>
  <c r="E54" i="2" s="1"/>
  <c r="J54" i="2" s="1"/>
  <c r="K54" i="2" s="1"/>
  <c r="D103" i="2"/>
  <c r="D40" i="2"/>
  <c r="D45" i="2"/>
  <c r="D100" i="2"/>
  <c r="D96" i="2"/>
  <c r="D90" i="2"/>
  <c r="D84" i="2"/>
  <c r="D80" i="2"/>
  <c r="E80" i="2" s="1"/>
  <c r="J80" i="2" s="1"/>
  <c r="K80" i="2" s="1"/>
  <c r="D75" i="2"/>
  <c r="D69" i="2"/>
  <c r="D65" i="2"/>
  <c r="D61" i="2"/>
  <c r="E61" i="2" s="1"/>
  <c r="J61" i="2" s="1"/>
  <c r="K61" i="2" s="1"/>
  <c r="D57" i="2"/>
  <c r="D53" i="2"/>
  <c r="E53" i="2" s="1"/>
  <c r="J53" i="2" s="1"/>
  <c r="K53" i="2" s="1"/>
  <c r="J95" i="8"/>
  <c r="K95" i="8" s="1"/>
  <c r="J94" i="8"/>
  <c r="K94" i="8" s="1"/>
  <c r="J86" i="8"/>
  <c r="K86" i="8" s="1"/>
  <c r="L86" i="8" s="1"/>
  <c r="J85" i="8"/>
  <c r="K85" i="8" s="1"/>
  <c r="J78" i="8"/>
  <c r="K78" i="8" s="1"/>
  <c r="K76" i="8"/>
  <c r="J72" i="8"/>
  <c r="K72" i="8" s="1"/>
  <c r="J69" i="8"/>
  <c r="K69" i="8" s="1"/>
  <c r="J64" i="8"/>
  <c r="K64" i="8" s="1"/>
  <c r="J62" i="8"/>
  <c r="K62" i="8" s="1"/>
  <c r="J60" i="8"/>
  <c r="K60" i="8" s="1"/>
  <c r="J56" i="8"/>
  <c r="K56" i="8" s="1"/>
  <c r="K52" i="8"/>
  <c r="J47" i="8"/>
  <c r="K47" i="8" s="1"/>
  <c r="J44" i="8"/>
  <c r="K44" i="8" s="1"/>
  <c r="E45" i="8"/>
  <c r="J45" i="8" s="1"/>
  <c r="K45" i="8" s="1"/>
  <c r="E49" i="8"/>
  <c r="J49" i="8" s="1"/>
  <c r="K49" i="8" s="1"/>
  <c r="E50" i="8"/>
  <c r="J50" i="8" s="1"/>
  <c r="K50" i="8" s="1"/>
  <c r="E53" i="8"/>
  <c r="J53" i="8" s="1"/>
  <c r="K53" i="8" s="1"/>
  <c r="E54" i="8"/>
  <c r="J54" i="8" s="1"/>
  <c r="K54" i="8" s="1"/>
  <c r="E55" i="8"/>
  <c r="J55" i="8" s="1"/>
  <c r="K55" i="8" s="1"/>
  <c r="E58" i="8"/>
  <c r="J58" i="8" s="1"/>
  <c r="K58" i="8" s="1"/>
  <c r="E59" i="8"/>
  <c r="J59" i="8" s="1"/>
  <c r="K59" i="8" s="1"/>
  <c r="L59" i="8" s="1"/>
  <c r="E61" i="8"/>
  <c r="J61" i="8" s="1"/>
  <c r="K61" i="8" s="1"/>
  <c r="E62" i="8"/>
  <c r="E63" i="8"/>
  <c r="J63" i="8" s="1"/>
  <c r="K63" i="8" s="1"/>
  <c r="E66" i="8"/>
  <c r="J66" i="8" s="1"/>
  <c r="K66" i="8" s="1"/>
  <c r="E70" i="8"/>
  <c r="J70" i="8" s="1"/>
  <c r="K70" i="8" s="1"/>
  <c r="E71" i="8"/>
  <c r="J71" i="8" s="1"/>
  <c r="K71" i="8" s="1"/>
  <c r="E74" i="8"/>
  <c r="J74" i="8" s="1"/>
  <c r="K74" i="8" s="1"/>
  <c r="E75" i="8"/>
  <c r="J75" i="8" s="1"/>
  <c r="K75" i="8" s="1"/>
  <c r="E77" i="8"/>
  <c r="J77" i="8" s="1"/>
  <c r="K77" i="8" s="1"/>
  <c r="E78" i="8"/>
  <c r="E79" i="8"/>
  <c r="J79" i="8" s="1"/>
  <c r="K79" i="8" s="1"/>
  <c r="E81" i="8"/>
  <c r="J81" i="8" s="1"/>
  <c r="K81" i="8" s="1"/>
  <c r="E82" i="8"/>
  <c r="J82" i="8" s="1"/>
  <c r="K82" i="8" s="1"/>
  <c r="E86" i="8"/>
  <c r="E87" i="8"/>
  <c r="J87" i="8" s="1"/>
  <c r="K87" i="8" s="1"/>
  <c r="E90" i="8"/>
  <c r="J90" i="8" s="1"/>
  <c r="K90" i="8" s="1"/>
  <c r="E91" i="8"/>
  <c r="J91" i="8" s="1"/>
  <c r="K91" i="8" s="1"/>
  <c r="E94" i="8"/>
  <c r="E95" i="8"/>
  <c r="E97" i="8"/>
  <c r="J97" i="8" s="1"/>
  <c r="K97" i="8" s="1"/>
  <c r="E98" i="8"/>
  <c r="J98" i="8" s="1"/>
  <c r="K98" i="8" s="1"/>
  <c r="E102" i="8"/>
  <c r="J102" i="8" s="1"/>
  <c r="K102" i="8" s="1"/>
  <c r="E103" i="8"/>
  <c r="J103" i="8" s="1"/>
  <c r="K103" i="8" s="1"/>
  <c r="D55" i="8"/>
  <c r="D56" i="8"/>
  <c r="E56" i="8" s="1"/>
  <c r="D57" i="8"/>
  <c r="E57" i="8" s="1"/>
  <c r="J57" i="8" s="1"/>
  <c r="K57" i="8" s="1"/>
  <c r="D58" i="8"/>
  <c r="D59" i="8"/>
  <c r="D60" i="8"/>
  <c r="E60" i="8" s="1"/>
  <c r="D61" i="8"/>
  <c r="D62" i="8"/>
  <c r="D63" i="8"/>
  <c r="D64" i="8"/>
  <c r="E64" i="8" s="1"/>
  <c r="D65" i="8"/>
  <c r="E65" i="8" s="1"/>
  <c r="J65" i="8" s="1"/>
  <c r="K65" i="8" s="1"/>
  <c r="L65" i="8" s="1"/>
  <c r="D66" i="8"/>
  <c r="D67" i="8"/>
  <c r="E67" i="8" s="1"/>
  <c r="J67" i="8" s="1"/>
  <c r="K67" i="8" s="1"/>
  <c r="D68" i="8"/>
  <c r="E68" i="8" s="1"/>
  <c r="J68" i="8" s="1"/>
  <c r="K68" i="8" s="1"/>
  <c r="D69" i="8"/>
  <c r="E69" i="8" s="1"/>
  <c r="D70" i="8"/>
  <c r="D71" i="8"/>
  <c r="D72" i="8"/>
  <c r="E72" i="8" s="1"/>
  <c r="D73" i="8"/>
  <c r="E73" i="8" s="1"/>
  <c r="J73" i="8" s="1"/>
  <c r="K73" i="8" s="1"/>
  <c r="D74" i="8"/>
  <c r="D75" i="8"/>
  <c r="D76" i="8"/>
  <c r="E76" i="8" s="1"/>
  <c r="J76" i="8" s="1"/>
  <c r="D77" i="8"/>
  <c r="D78" i="8"/>
  <c r="D79" i="8"/>
  <c r="D80" i="8"/>
  <c r="E80" i="8" s="1"/>
  <c r="J80" i="8" s="1"/>
  <c r="K80" i="8" s="1"/>
  <c r="D81" i="8"/>
  <c r="D82" i="8"/>
  <c r="D83" i="8"/>
  <c r="E83" i="8" s="1"/>
  <c r="J83" i="8" s="1"/>
  <c r="K83" i="8" s="1"/>
  <c r="D84" i="8"/>
  <c r="E84" i="8" s="1"/>
  <c r="J84" i="8" s="1"/>
  <c r="K84" i="8" s="1"/>
  <c r="D85" i="8"/>
  <c r="E85" i="8" s="1"/>
  <c r="D86" i="8"/>
  <c r="D87" i="8"/>
  <c r="D88" i="8"/>
  <c r="E88" i="8" s="1"/>
  <c r="J88" i="8" s="1"/>
  <c r="K88" i="8" s="1"/>
  <c r="D89" i="8"/>
  <c r="E89" i="8" s="1"/>
  <c r="J89" i="8" s="1"/>
  <c r="K89" i="8" s="1"/>
  <c r="D90" i="8"/>
  <c r="D91" i="8"/>
  <c r="D92" i="8"/>
  <c r="E92" i="8" s="1"/>
  <c r="J92" i="8" s="1"/>
  <c r="K92" i="8" s="1"/>
  <c r="D93" i="8"/>
  <c r="E93" i="8" s="1"/>
  <c r="J93" i="8" s="1"/>
  <c r="K93" i="8" s="1"/>
  <c r="D94" i="8"/>
  <c r="D95" i="8"/>
  <c r="D96" i="8"/>
  <c r="E96" i="8" s="1"/>
  <c r="J96" i="8" s="1"/>
  <c r="K96" i="8" s="1"/>
  <c r="D97" i="8"/>
  <c r="D98" i="8"/>
  <c r="D99" i="8"/>
  <c r="E99" i="8" s="1"/>
  <c r="J99" i="8" s="1"/>
  <c r="K99" i="8" s="1"/>
  <c r="D100" i="8"/>
  <c r="E100" i="8" s="1"/>
  <c r="J100" i="8" s="1"/>
  <c r="K100" i="8" s="1"/>
  <c r="D101" i="8"/>
  <c r="E101" i="8" s="1"/>
  <c r="J101" i="8" s="1"/>
  <c r="K101" i="8" s="1"/>
  <c r="D102" i="8"/>
  <c r="D103" i="8"/>
  <c r="D42" i="8"/>
  <c r="E42" i="8" s="1"/>
  <c r="J42" i="8" s="1"/>
  <c r="K42" i="8" s="1"/>
  <c r="D43" i="8"/>
  <c r="E43" i="8" s="1"/>
  <c r="J43" i="8" s="1"/>
  <c r="K43" i="8" s="1"/>
  <c r="D44" i="8"/>
  <c r="E44" i="8" s="1"/>
  <c r="D45" i="8"/>
  <c r="D46" i="8"/>
  <c r="E46" i="8" s="1"/>
  <c r="J46" i="8" s="1"/>
  <c r="K46" i="8" s="1"/>
  <c r="D47" i="8"/>
  <c r="E47" i="8" s="1"/>
  <c r="D48" i="8"/>
  <c r="E48" i="8" s="1"/>
  <c r="J48" i="8" s="1"/>
  <c r="K48" i="8" s="1"/>
  <c r="D49" i="8"/>
  <c r="D50" i="8"/>
  <c r="D51" i="8"/>
  <c r="E51" i="8" s="1"/>
  <c r="J51" i="8" s="1"/>
  <c r="K51" i="8" s="1"/>
  <c r="D52" i="8"/>
  <c r="E52" i="8" s="1"/>
  <c r="J52" i="8" s="1"/>
  <c r="D53" i="8"/>
  <c r="D54" i="8"/>
  <c r="E41" i="8"/>
  <c r="J41" i="8" s="1"/>
  <c r="K41" i="8" s="1"/>
  <c r="J99" i="6"/>
  <c r="K99" i="6" s="1"/>
  <c r="J53" i="6"/>
  <c r="K53" i="6" s="1"/>
  <c r="E39" i="6"/>
  <c r="J39" i="6" s="1"/>
  <c r="K39" i="6" s="1"/>
  <c r="E43" i="6"/>
  <c r="J43" i="6" s="1"/>
  <c r="K43" i="6" s="1"/>
  <c r="E47" i="6"/>
  <c r="J47" i="6" s="1"/>
  <c r="K47" i="6" s="1"/>
  <c r="E51" i="6"/>
  <c r="J51" i="6" s="1"/>
  <c r="K51" i="6" s="1"/>
  <c r="E54" i="6"/>
  <c r="J54" i="6" s="1"/>
  <c r="K54" i="6" s="1"/>
  <c r="E55" i="6"/>
  <c r="J55" i="6" s="1"/>
  <c r="K55" i="6" s="1"/>
  <c r="E58" i="6"/>
  <c r="J58" i="6" s="1"/>
  <c r="K58" i="6" s="1"/>
  <c r="E59" i="6"/>
  <c r="J59" i="6" s="1"/>
  <c r="K59" i="6" s="1"/>
  <c r="E63" i="6"/>
  <c r="J63" i="6" s="1"/>
  <c r="K63" i="6" s="1"/>
  <c r="E67" i="6"/>
  <c r="J67" i="6" s="1"/>
  <c r="K67" i="6" s="1"/>
  <c r="E70" i="6"/>
  <c r="J70" i="6" s="1"/>
  <c r="K70" i="6" s="1"/>
  <c r="E71" i="6"/>
  <c r="J71" i="6" s="1"/>
  <c r="K71" i="6" s="1"/>
  <c r="E74" i="6"/>
  <c r="J74" i="6" s="1"/>
  <c r="K74" i="6" s="1"/>
  <c r="E75" i="6"/>
  <c r="J75" i="6" s="1"/>
  <c r="K75" i="6" s="1"/>
  <c r="E79" i="6"/>
  <c r="J79" i="6" s="1"/>
  <c r="K79" i="6" s="1"/>
  <c r="E83" i="6"/>
  <c r="J83" i="6" s="1"/>
  <c r="K83" i="6" s="1"/>
  <c r="E86" i="6"/>
  <c r="J86" i="6" s="1"/>
  <c r="K86" i="6" s="1"/>
  <c r="E87" i="6"/>
  <c r="J87" i="6" s="1"/>
  <c r="K87" i="6" s="1"/>
  <c r="E90" i="6"/>
  <c r="J90" i="6" s="1"/>
  <c r="K90" i="6" s="1"/>
  <c r="E91" i="6"/>
  <c r="J91" i="6" s="1"/>
  <c r="K91" i="6" s="1"/>
  <c r="E95" i="6"/>
  <c r="J95" i="6" s="1"/>
  <c r="K95" i="6" s="1"/>
  <c r="E99" i="6"/>
  <c r="E102" i="6"/>
  <c r="J102" i="6" s="1"/>
  <c r="K102" i="6" s="1"/>
  <c r="E103" i="6"/>
  <c r="J103" i="6" s="1"/>
  <c r="K103" i="6" s="1"/>
  <c r="E40" i="6"/>
  <c r="J40" i="6" s="1"/>
  <c r="K40" i="6" s="1"/>
  <c r="E41" i="6"/>
  <c r="J41" i="6" s="1"/>
  <c r="K41" i="6" s="1"/>
  <c r="E44" i="6"/>
  <c r="J44" i="6" s="1"/>
  <c r="K44" i="6" s="1"/>
  <c r="E45" i="6"/>
  <c r="J45" i="6" s="1"/>
  <c r="K45" i="6" s="1"/>
  <c r="E46" i="6"/>
  <c r="J46" i="6" s="1"/>
  <c r="K46" i="6" s="1"/>
  <c r="E48" i="6"/>
  <c r="J48" i="6" s="1"/>
  <c r="K48" i="6" s="1"/>
  <c r="E49" i="6"/>
  <c r="J49" i="6" s="1"/>
  <c r="K49" i="6" s="1"/>
  <c r="E50" i="6"/>
  <c r="J50" i="6" s="1"/>
  <c r="K50" i="6" s="1"/>
  <c r="E52" i="6"/>
  <c r="J52" i="6" s="1"/>
  <c r="K52" i="6" s="1"/>
  <c r="E53" i="6"/>
  <c r="E56" i="6"/>
  <c r="J56" i="6" s="1"/>
  <c r="K56" i="6" s="1"/>
  <c r="E57" i="6"/>
  <c r="J57" i="6" s="1"/>
  <c r="K57" i="6" s="1"/>
  <c r="E60" i="6"/>
  <c r="J60" i="6" s="1"/>
  <c r="K60" i="6" s="1"/>
  <c r="E61" i="6"/>
  <c r="J61" i="6" s="1"/>
  <c r="K61" i="6" s="1"/>
  <c r="E62" i="6"/>
  <c r="J62" i="6" s="1"/>
  <c r="K62" i="6" s="1"/>
  <c r="E64" i="6"/>
  <c r="J64" i="6" s="1"/>
  <c r="K64" i="6" s="1"/>
  <c r="E65" i="6"/>
  <c r="J65" i="6" s="1"/>
  <c r="K65" i="6" s="1"/>
  <c r="E66" i="6"/>
  <c r="J66" i="6" s="1"/>
  <c r="K66" i="6" s="1"/>
  <c r="E68" i="6"/>
  <c r="J68" i="6" s="1"/>
  <c r="K68" i="6" s="1"/>
  <c r="E69" i="6"/>
  <c r="J69" i="6" s="1"/>
  <c r="K69" i="6" s="1"/>
  <c r="E72" i="6"/>
  <c r="J72" i="6" s="1"/>
  <c r="K72" i="6" s="1"/>
  <c r="E73" i="6"/>
  <c r="J73" i="6" s="1"/>
  <c r="K73" i="6" s="1"/>
  <c r="E76" i="6"/>
  <c r="J76" i="6" s="1"/>
  <c r="K76" i="6" s="1"/>
  <c r="E77" i="6"/>
  <c r="J77" i="6" s="1"/>
  <c r="K77" i="6" s="1"/>
  <c r="E78" i="6"/>
  <c r="J78" i="6" s="1"/>
  <c r="K78" i="6" s="1"/>
  <c r="E80" i="6"/>
  <c r="J80" i="6" s="1"/>
  <c r="K80" i="6" s="1"/>
  <c r="E81" i="6"/>
  <c r="J81" i="6" s="1"/>
  <c r="K81" i="6" s="1"/>
  <c r="E82" i="6"/>
  <c r="J82" i="6" s="1"/>
  <c r="K82" i="6" s="1"/>
  <c r="E84" i="6"/>
  <c r="J84" i="6" s="1"/>
  <c r="K84" i="6" s="1"/>
  <c r="E85" i="6"/>
  <c r="J85" i="6" s="1"/>
  <c r="K85" i="6" s="1"/>
  <c r="E88" i="6"/>
  <c r="J88" i="6" s="1"/>
  <c r="K88" i="6" s="1"/>
  <c r="E89" i="6"/>
  <c r="J89" i="6" s="1"/>
  <c r="K89" i="6" s="1"/>
  <c r="E92" i="6"/>
  <c r="J92" i="6" s="1"/>
  <c r="K92" i="6" s="1"/>
  <c r="E93" i="6"/>
  <c r="J93" i="6" s="1"/>
  <c r="K93" i="6" s="1"/>
  <c r="E94" i="6"/>
  <c r="J94" i="6" s="1"/>
  <c r="K94" i="6" s="1"/>
  <c r="E96" i="6"/>
  <c r="J96" i="6" s="1"/>
  <c r="K96" i="6" s="1"/>
  <c r="E97" i="6"/>
  <c r="J97" i="6" s="1"/>
  <c r="K97" i="6" s="1"/>
  <c r="E98" i="6"/>
  <c r="J98" i="6" s="1"/>
  <c r="K98" i="6" s="1"/>
  <c r="E100" i="6"/>
  <c r="J100" i="6" s="1"/>
  <c r="K100" i="6" s="1"/>
  <c r="E101" i="6"/>
  <c r="J101" i="6" s="1"/>
  <c r="K101" i="6" s="1"/>
  <c r="E38" i="6"/>
  <c r="J38" i="6" s="1"/>
  <c r="K38" i="6" s="1"/>
  <c r="E40" i="4"/>
  <c r="J40" i="4" s="1"/>
  <c r="K40" i="4" s="1"/>
  <c r="E44" i="4"/>
  <c r="J44" i="4" s="1"/>
  <c r="K44" i="4" s="1"/>
  <c r="E48" i="4"/>
  <c r="J48" i="4" s="1"/>
  <c r="K48" i="4" s="1"/>
  <c r="E52" i="4"/>
  <c r="J52" i="4" s="1"/>
  <c r="K52" i="4" s="1"/>
  <c r="E56" i="4"/>
  <c r="J56" i="4" s="1"/>
  <c r="K56" i="4" s="1"/>
  <c r="E60" i="4"/>
  <c r="J60" i="4" s="1"/>
  <c r="K60" i="4" s="1"/>
  <c r="E64" i="4"/>
  <c r="J64" i="4" s="1"/>
  <c r="K64" i="4" s="1"/>
  <c r="E68" i="4"/>
  <c r="J68" i="4" s="1"/>
  <c r="K68" i="4" s="1"/>
  <c r="E72" i="4"/>
  <c r="J72" i="4" s="1"/>
  <c r="K72" i="4" s="1"/>
  <c r="E76" i="4"/>
  <c r="J76" i="4" s="1"/>
  <c r="K76" i="4" s="1"/>
  <c r="E81" i="4"/>
  <c r="J81" i="4" s="1"/>
  <c r="K81" i="4" s="1"/>
  <c r="E85" i="4"/>
  <c r="J85" i="4" s="1"/>
  <c r="K85" i="4" s="1"/>
  <c r="E89" i="4"/>
  <c r="J89" i="4" s="1"/>
  <c r="K89" i="4" s="1"/>
  <c r="E39" i="4"/>
  <c r="J39" i="4" s="1"/>
  <c r="K39" i="4" s="1"/>
  <c r="E41" i="4"/>
  <c r="J41" i="4" s="1"/>
  <c r="K41" i="4" s="1"/>
  <c r="E42" i="4"/>
  <c r="J42" i="4" s="1"/>
  <c r="K42" i="4" s="1"/>
  <c r="E43" i="4"/>
  <c r="J43" i="4" s="1"/>
  <c r="K43" i="4" s="1"/>
  <c r="E45" i="4"/>
  <c r="J45" i="4" s="1"/>
  <c r="K45" i="4" s="1"/>
  <c r="E46" i="4"/>
  <c r="J46" i="4" s="1"/>
  <c r="K46" i="4" s="1"/>
  <c r="E47" i="4"/>
  <c r="J47" i="4" s="1"/>
  <c r="K47" i="4" s="1"/>
  <c r="E49" i="4"/>
  <c r="J49" i="4" s="1"/>
  <c r="K49" i="4" s="1"/>
  <c r="E50" i="4"/>
  <c r="J50" i="4" s="1"/>
  <c r="K50" i="4" s="1"/>
  <c r="E51" i="4"/>
  <c r="J51" i="4" s="1"/>
  <c r="K51" i="4" s="1"/>
  <c r="E53" i="4"/>
  <c r="J53" i="4" s="1"/>
  <c r="K53" i="4" s="1"/>
  <c r="E54" i="4"/>
  <c r="J54" i="4" s="1"/>
  <c r="K54" i="4" s="1"/>
  <c r="E55" i="4"/>
  <c r="J55" i="4" s="1"/>
  <c r="K55" i="4" s="1"/>
  <c r="E57" i="4"/>
  <c r="J57" i="4" s="1"/>
  <c r="K57" i="4" s="1"/>
  <c r="E58" i="4"/>
  <c r="J58" i="4" s="1"/>
  <c r="K58" i="4" s="1"/>
  <c r="E59" i="4"/>
  <c r="J59" i="4" s="1"/>
  <c r="K59" i="4" s="1"/>
  <c r="E61" i="4"/>
  <c r="J61" i="4" s="1"/>
  <c r="K61" i="4" s="1"/>
  <c r="E62" i="4"/>
  <c r="J62" i="4" s="1"/>
  <c r="K62" i="4" s="1"/>
  <c r="E63" i="4"/>
  <c r="J63" i="4" s="1"/>
  <c r="K63" i="4" s="1"/>
  <c r="E65" i="4"/>
  <c r="J65" i="4" s="1"/>
  <c r="K65" i="4" s="1"/>
  <c r="E66" i="4"/>
  <c r="J66" i="4" s="1"/>
  <c r="K66" i="4" s="1"/>
  <c r="E67" i="4"/>
  <c r="J67" i="4" s="1"/>
  <c r="K67" i="4" s="1"/>
  <c r="E69" i="4"/>
  <c r="J69" i="4" s="1"/>
  <c r="K69" i="4" s="1"/>
  <c r="E70" i="4"/>
  <c r="J70" i="4" s="1"/>
  <c r="K70" i="4" s="1"/>
  <c r="E71" i="4"/>
  <c r="J71" i="4" s="1"/>
  <c r="K71" i="4" s="1"/>
  <c r="E73" i="4"/>
  <c r="J73" i="4" s="1"/>
  <c r="K73" i="4" s="1"/>
  <c r="E74" i="4"/>
  <c r="J74" i="4" s="1"/>
  <c r="K74" i="4" s="1"/>
  <c r="E75" i="4"/>
  <c r="J75" i="4" s="1"/>
  <c r="K75" i="4" s="1"/>
  <c r="E77" i="4"/>
  <c r="J77" i="4" s="1"/>
  <c r="K77" i="4" s="1"/>
  <c r="E78" i="4"/>
  <c r="J78" i="4" s="1"/>
  <c r="K78" i="4" s="1"/>
  <c r="E80" i="4"/>
  <c r="J80" i="4" s="1"/>
  <c r="K80" i="4" s="1"/>
  <c r="E82" i="4"/>
  <c r="J82" i="4" s="1"/>
  <c r="K82" i="4" s="1"/>
  <c r="E83" i="4"/>
  <c r="J83" i="4" s="1"/>
  <c r="K83" i="4" s="1"/>
  <c r="E84" i="4"/>
  <c r="J84" i="4" s="1"/>
  <c r="K84" i="4" s="1"/>
  <c r="E86" i="4"/>
  <c r="J86" i="4" s="1"/>
  <c r="K86" i="4" s="1"/>
  <c r="E87" i="4"/>
  <c r="J87" i="4" s="1"/>
  <c r="K87" i="4" s="1"/>
  <c r="E88" i="4"/>
  <c r="J88" i="4" s="1"/>
  <c r="K88" i="4" s="1"/>
  <c r="E90" i="4"/>
  <c r="J90" i="4" s="1"/>
  <c r="K90" i="4" s="1"/>
  <c r="E91" i="4"/>
  <c r="J91" i="4" s="1"/>
  <c r="K91" i="4" s="1"/>
  <c r="E38" i="4"/>
  <c r="J38" i="4" s="1"/>
  <c r="K38" i="4" s="1"/>
  <c r="E40" i="2"/>
  <c r="J40" i="2" s="1"/>
  <c r="K40" i="2" s="1"/>
  <c r="E46" i="2"/>
  <c r="J46" i="2" s="1"/>
  <c r="K46" i="2" s="1"/>
  <c r="E50" i="2"/>
  <c r="J50" i="2" s="1"/>
  <c r="K50" i="2" s="1"/>
  <c r="E57" i="2"/>
  <c r="J57" i="2" s="1"/>
  <c r="K57" i="2" s="1"/>
  <c r="E65" i="2"/>
  <c r="J65" i="2" s="1"/>
  <c r="K65" i="2" s="1"/>
  <c r="E66" i="2"/>
  <c r="J66" i="2" s="1"/>
  <c r="K66" i="2" s="1"/>
  <c r="E69" i="2"/>
  <c r="J69" i="2" s="1"/>
  <c r="K69" i="2" s="1"/>
  <c r="E75" i="2"/>
  <c r="J75" i="2" s="1"/>
  <c r="K75" i="2" s="1"/>
  <c r="E84" i="2"/>
  <c r="J84" i="2" s="1"/>
  <c r="K84" i="2" s="1"/>
  <c r="E86" i="2"/>
  <c r="J86" i="2" s="1"/>
  <c r="K86" i="2" s="1"/>
  <c r="E90" i="2"/>
  <c r="J90" i="2" s="1"/>
  <c r="K90" i="2" s="1"/>
  <c r="E97" i="2"/>
  <c r="J97" i="2" s="1"/>
  <c r="K97" i="2" s="1"/>
  <c r="E39" i="2"/>
  <c r="J39" i="2" s="1"/>
  <c r="K39" i="2" s="1"/>
  <c r="E43" i="2"/>
  <c r="J43" i="2" s="1"/>
  <c r="K43" i="2" s="1"/>
  <c r="L41" i="2" s="1"/>
  <c r="E44" i="2"/>
  <c r="J44" i="2" s="1"/>
  <c r="K44" i="2" s="1"/>
  <c r="E45" i="2"/>
  <c r="J45" i="2" s="1"/>
  <c r="K45" i="2" s="1"/>
  <c r="E51" i="2"/>
  <c r="J51" i="2" s="1"/>
  <c r="K51" i="2" s="1"/>
  <c r="E52" i="2"/>
  <c r="J52" i="2" s="1"/>
  <c r="K52" i="2" s="1"/>
  <c r="E55" i="2"/>
  <c r="J55" i="2" s="1"/>
  <c r="K55" i="2" s="1"/>
  <c r="E56" i="2"/>
  <c r="J56" i="2" s="1"/>
  <c r="K56" i="2" s="1"/>
  <c r="E58" i="2"/>
  <c r="J58" i="2" s="1"/>
  <c r="K58" i="2" s="1"/>
  <c r="E59" i="2"/>
  <c r="J59" i="2" s="1"/>
  <c r="K59" i="2" s="1"/>
  <c r="E60" i="2"/>
  <c r="J60" i="2" s="1"/>
  <c r="K60" i="2" s="1"/>
  <c r="E62" i="2"/>
  <c r="J62" i="2" s="1"/>
  <c r="K62" i="2" s="1"/>
  <c r="E64" i="2"/>
  <c r="J64" i="2" s="1"/>
  <c r="K64" i="2" s="1"/>
  <c r="E67" i="2"/>
  <c r="J67" i="2" s="1"/>
  <c r="K67" i="2" s="1"/>
  <c r="E68" i="2"/>
  <c r="J68" i="2" s="1"/>
  <c r="K68" i="2" s="1"/>
  <c r="E71" i="2"/>
  <c r="J71" i="2" s="1"/>
  <c r="K71" i="2" s="1"/>
  <c r="E77" i="2"/>
  <c r="J77" i="2" s="1"/>
  <c r="K77" i="2" s="1"/>
  <c r="E81" i="2"/>
  <c r="J81" i="2" s="1"/>
  <c r="K81" i="2" s="1"/>
  <c r="E82" i="2"/>
  <c r="J82" i="2" s="1"/>
  <c r="K82" i="2" s="1"/>
  <c r="E87" i="2"/>
  <c r="J87" i="2" s="1"/>
  <c r="K87" i="2" s="1"/>
  <c r="E89" i="2"/>
  <c r="J89" i="2" s="1"/>
  <c r="K89" i="2" s="1"/>
  <c r="E93" i="2"/>
  <c r="J93" i="2" s="1"/>
  <c r="K93" i="2" s="1"/>
  <c r="E96" i="2"/>
  <c r="J96" i="2" s="1"/>
  <c r="K96" i="2" s="1"/>
  <c r="E98" i="2"/>
  <c r="J98" i="2" s="1"/>
  <c r="K98" i="2" s="1"/>
  <c r="E99" i="2"/>
  <c r="J99" i="2" s="1"/>
  <c r="K99" i="2" s="1"/>
  <c r="E100" i="2"/>
  <c r="J100" i="2" s="1"/>
  <c r="K100" i="2" s="1"/>
  <c r="E102" i="2"/>
  <c r="J102" i="2" s="1"/>
  <c r="K102" i="2" s="1"/>
  <c r="E103" i="2"/>
  <c r="J103" i="2" s="1"/>
  <c r="K103" i="2" s="1"/>
  <c r="L101" i="2" l="1"/>
  <c r="L92" i="2"/>
  <c r="L56" i="2"/>
  <c r="L89" i="2"/>
  <c r="L44" i="4"/>
  <c r="L59" i="4"/>
  <c r="L59" i="6"/>
  <c r="L44" i="2"/>
  <c r="L50" i="2"/>
  <c r="L95" i="2"/>
  <c r="L50" i="4"/>
  <c r="L98" i="8"/>
  <c r="L98" i="2"/>
  <c r="L77" i="2"/>
  <c r="L62" i="2"/>
  <c r="L38" i="4"/>
  <c r="L47" i="4"/>
  <c r="L53" i="2"/>
  <c r="L74" i="4"/>
  <c r="L38" i="6"/>
  <c r="L53" i="4"/>
  <c r="L83" i="6"/>
  <c r="L50" i="6"/>
  <c r="L56" i="8"/>
  <c r="L41" i="4"/>
  <c r="L86" i="6"/>
  <c r="L62" i="6"/>
  <c r="L101" i="8"/>
  <c r="L53" i="8"/>
  <c r="L83" i="4"/>
  <c r="L74" i="6"/>
  <c r="L71" i="6"/>
  <c r="L98" i="6"/>
  <c r="L95" i="6"/>
  <c r="L86" i="4"/>
  <c r="L47" i="6"/>
  <c r="L71" i="8"/>
  <c r="L50" i="8"/>
  <c r="L62" i="8"/>
  <c r="L44" i="8"/>
  <c r="L92" i="8"/>
  <c r="L41" i="8"/>
  <c r="L47" i="8"/>
  <c r="L80" i="8"/>
  <c r="L89" i="8"/>
  <c r="L95" i="8"/>
  <c r="L68" i="8"/>
  <c r="L74" i="8"/>
  <c r="L77" i="8"/>
  <c r="L83" i="8"/>
  <c r="L53" i="6"/>
  <c r="L56" i="6"/>
  <c r="L77" i="6"/>
  <c r="L80" i="6"/>
  <c r="L101" i="6"/>
  <c r="L41" i="6"/>
  <c r="L44" i="6"/>
  <c r="L65" i="6"/>
  <c r="L68" i="6"/>
  <c r="L89" i="6"/>
  <c r="L92" i="6"/>
  <c r="L80" i="4"/>
  <c r="L89" i="4"/>
  <c r="L68" i="4"/>
  <c r="L77" i="4"/>
  <c r="L56" i="4"/>
  <c r="L62" i="4"/>
  <c r="L65" i="4"/>
  <c r="L71" i="4"/>
  <c r="L83" i="2"/>
  <c r="L38" i="2"/>
  <c r="L71" i="2"/>
  <c r="L80" i="2"/>
  <c r="L86" i="2"/>
  <c r="L59" i="2"/>
  <c r="L65" i="2"/>
  <c r="L68" i="2"/>
  <c r="L74" i="2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" i="8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" i="4"/>
  <c r="P4" i="2" l="1"/>
  <c r="P3" i="2"/>
  <c r="C3" i="2" s="1"/>
  <c r="P2" i="2"/>
  <c r="C2" i="2" s="1"/>
  <c r="P7" i="2" l="1"/>
  <c r="C7" i="2" s="1"/>
  <c r="P5" i="2"/>
  <c r="C5" i="2" s="1"/>
  <c r="C4" i="2"/>
  <c r="P8" i="2"/>
  <c r="C8" i="2" s="1"/>
  <c r="P9" i="2"/>
  <c r="C9" i="2" s="1"/>
  <c r="P10" i="2"/>
  <c r="C10" i="2" s="1"/>
  <c r="P6" i="2"/>
  <c r="C6" i="2" s="1"/>
  <c r="P12" i="2" l="1"/>
  <c r="C12" i="2" s="1"/>
  <c r="P13" i="2"/>
  <c r="C13" i="2" s="1"/>
  <c r="P11" i="2"/>
  <c r="C11" i="2" s="1"/>
  <c r="P16" i="2" l="1"/>
  <c r="C16" i="2" s="1"/>
  <c r="P15" i="2"/>
  <c r="C15" i="2" s="1"/>
  <c r="P14" i="2"/>
  <c r="C14" i="2" s="1"/>
  <c r="P17" i="2" l="1"/>
  <c r="C17" i="2" s="1"/>
  <c r="P19" i="2"/>
  <c r="C19" i="2" s="1"/>
  <c r="P18" i="2"/>
  <c r="C18" i="2" s="1"/>
  <c r="P20" i="2" l="1"/>
  <c r="C20" i="2" s="1"/>
  <c r="P21" i="2"/>
  <c r="P22" i="2"/>
  <c r="C22" i="2" s="1"/>
  <c r="C21" i="2" l="1"/>
  <c r="P24" i="2"/>
  <c r="C24" i="2" s="1"/>
  <c r="P23" i="2"/>
  <c r="C23" i="2" s="1"/>
  <c r="P25" i="2"/>
  <c r="C25" i="2" s="1"/>
  <c r="P28" i="2" l="1"/>
  <c r="C28" i="2" s="1"/>
  <c r="P27" i="2"/>
  <c r="C27" i="2" s="1"/>
  <c r="P26" i="2"/>
  <c r="C26" i="2" s="1"/>
</calcChain>
</file>

<file path=xl/sharedStrings.xml><?xml version="1.0" encoding="utf-8"?>
<sst xmlns="http://schemas.openxmlformats.org/spreadsheetml/2006/main" count="1886" uniqueCount="254">
  <si>
    <t>Well</t>
  </si>
  <si>
    <t>Sample</t>
  </si>
  <si>
    <t>A01</t>
  </si>
  <si>
    <t>Std 10^8</t>
  </si>
  <si>
    <t>A02</t>
  </si>
  <si>
    <t>A03</t>
  </si>
  <si>
    <t>A04</t>
  </si>
  <si>
    <t>Std 10^7</t>
  </si>
  <si>
    <t>A05</t>
  </si>
  <si>
    <t>A06</t>
  </si>
  <si>
    <t>A07</t>
  </si>
  <si>
    <t>Std 10^6</t>
  </si>
  <si>
    <t>A08</t>
  </si>
  <si>
    <t>A09</t>
  </si>
  <si>
    <t>A10</t>
  </si>
  <si>
    <t>Std 10^5</t>
  </si>
  <si>
    <t>A11</t>
  </si>
  <si>
    <t>A12</t>
  </si>
  <si>
    <t>B01</t>
  </si>
  <si>
    <t>Std 10^4</t>
  </si>
  <si>
    <t>B02</t>
  </si>
  <si>
    <t>B03</t>
  </si>
  <si>
    <t>B04</t>
  </si>
  <si>
    <t>Std 10^3</t>
  </si>
  <si>
    <t>B05</t>
  </si>
  <si>
    <t>B06</t>
  </si>
  <si>
    <t>B07</t>
  </si>
  <si>
    <t>Std 10^2</t>
  </si>
  <si>
    <t>B08</t>
  </si>
  <si>
    <t>B09</t>
  </si>
  <si>
    <t>B10</t>
  </si>
  <si>
    <t>Std 10^1</t>
  </si>
  <si>
    <t>B11</t>
  </si>
  <si>
    <t>B12</t>
  </si>
  <si>
    <t>C01</t>
  </si>
  <si>
    <t>Std 10^0</t>
  </si>
  <si>
    <t>C02</t>
  </si>
  <si>
    <t>C03</t>
  </si>
  <si>
    <t>C04</t>
  </si>
  <si>
    <t>NTC</t>
  </si>
  <si>
    <t>C05</t>
  </si>
  <si>
    <t>C06</t>
  </si>
  <si>
    <t>C07</t>
  </si>
  <si>
    <t>Holding Tank</t>
  </si>
  <si>
    <t>C08</t>
  </si>
  <si>
    <t>C09</t>
  </si>
  <si>
    <t>C10</t>
  </si>
  <si>
    <t>Source Water</t>
  </si>
  <si>
    <t>C11</t>
  </si>
  <si>
    <t>C12</t>
  </si>
  <si>
    <t>D01</t>
  </si>
  <si>
    <t>Pre-Upstream</t>
  </si>
  <si>
    <t>D02</t>
  </si>
  <si>
    <t>D03</t>
  </si>
  <si>
    <t>D04</t>
  </si>
  <si>
    <t>Pre-Downstream</t>
  </si>
  <si>
    <t>D05</t>
  </si>
  <si>
    <t>D06</t>
  </si>
  <si>
    <t>D07</t>
  </si>
  <si>
    <t>Manure_a</t>
  </si>
  <si>
    <t>D08</t>
  </si>
  <si>
    <t>D09</t>
  </si>
  <si>
    <t>D10</t>
  </si>
  <si>
    <t>Manure_b</t>
  </si>
  <si>
    <t>D11</t>
  </si>
  <si>
    <t>D12</t>
  </si>
  <si>
    <t>E01</t>
  </si>
  <si>
    <t>Manure_c</t>
  </si>
  <si>
    <t>E02</t>
  </si>
  <si>
    <t>E03</t>
  </si>
  <si>
    <t>E04</t>
  </si>
  <si>
    <t>Manure_d</t>
  </si>
  <si>
    <t>E05</t>
  </si>
  <si>
    <t>E06</t>
  </si>
  <si>
    <t>E07</t>
  </si>
  <si>
    <t>Manure_e</t>
  </si>
  <si>
    <t>E08</t>
  </si>
  <si>
    <t>E09</t>
  </si>
  <si>
    <t>E10</t>
  </si>
  <si>
    <t>Manure_f</t>
  </si>
  <si>
    <t>E11</t>
  </si>
  <si>
    <t>E12</t>
  </si>
  <si>
    <t>F01</t>
  </si>
  <si>
    <t>Pre-Soil Sample 1_a</t>
  </si>
  <si>
    <t>F02</t>
  </si>
  <si>
    <t>F03</t>
  </si>
  <si>
    <t>F04</t>
  </si>
  <si>
    <t>Pre-Soil Sample 1_b</t>
  </si>
  <si>
    <t>F05</t>
  </si>
  <si>
    <t>F06</t>
  </si>
  <si>
    <t>F07</t>
  </si>
  <si>
    <t>Pre-Soil Sample 1_c</t>
  </si>
  <si>
    <t>F08</t>
  </si>
  <si>
    <t>F09</t>
  </si>
  <si>
    <t>F10</t>
  </si>
  <si>
    <t>Pre-Soil Sample 2_a</t>
  </si>
  <si>
    <t>F11</t>
  </si>
  <si>
    <t>F12</t>
  </si>
  <si>
    <t>G01</t>
  </si>
  <si>
    <t>Pre-Soil Sample 2_b</t>
  </si>
  <si>
    <t>G02</t>
  </si>
  <si>
    <t>G03</t>
  </si>
  <si>
    <t>G04</t>
  </si>
  <si>
    <t>Pre-Soil Sample 2_c</t>
  </si>
  <si>
    <t>G05</t>
  </si>
  <si>
    <t>G06</t>
  </si>
  <si>
    <t>G07</t>
  </si>
  <si>
    <t>Pre-Soil Sample 3_a</t>
  </si>
  <si>
    <t>G08</t>
  </si>
  <si>
    <t>G09</t>
  </si>
  <si>
    <t>G10</t>
  </si>
  <si>
    <t>Pre-Soil Sample 3_b</t>
  </si>
  <si>
    <t>G11</t>
  </si>
  <si>
    <t>G12</t>
  </si>
  <si>
    <t>H01</t>
  </si>
  <si>
    <t>Pre-Soil Sample 3_c</t>
  </si>
  <si>
    <t>H02</t>
  </si>
  <si>
    <t>H03</t>
  </si>
  <si>
    <t>H04</t>
  </si>
  <si>
    <t>Pre-Soil Sample 4_a</t>
  </si>
  <si>
    <t>H05</t>
  </si>
  <si>
    <t>H06</t>
  </si>
  <si>
    <t>H07</t>
  </si>
  <si>
    <t>Pre-Soil Sample 4_b</t>
  </si>
  <si>
    <t>H08</t>
  </si>
  <si>
    <t>H09</t>
  </si>
  <si>
    <t>H10</t>
  </si>
  <si>
    <t>Pre-Soil Sample 4_c</t>
  </si>
  <si>
    <t>H11</t>
  </si>
  <si>
    <t>H12</t>
  </si>
  <si>
    <t>Log</t>
  </si>
  <si>
    <t>NA</t>
  </si>
  <si>
    <t>Upstream 1</t>
  </si>
  <si>
    <t>Upstream 2</t>
  </si>
  <si>
    <t>Upstream 3</t>
  </si>
  <si>
    <t>Upstream 4</t>
  </si>
  <si>
    <t>Upstream 5</t>
  </si>
  <si>
    <t>Upstream 6</t>
  </si>
  <si>
    <t>Upstream 7</t>
  </si>
  <si>
    <t>Upstream 8</t>
  </si>
  <si>
    <t>Upstream 9</t>
  </si>
  <si>
    <t>Downstream 1</t>
  </si>
  <si>
    <t>Downstream 2</t>
  </si>
  <si>
    <t>Downstream 3</t>
  </si>
  <si>
    <t>Downstream 4</t>
  </si>
  <si>
    <t>Downstream 5</t>
  </si>
  <si>
    <t>Downstream 6</t>
  </si>
  <si>
    <t>Downstream 7</t>
  </si>
  <si>
    <t>Downstream 8</t>
  </si>
  <si>
    <t>Downstream 9</t>
  </si>
  <si>
    <t>Pre-Infiltration</t>
  </si>
  <si>
    <t>Infiltration 1</t>
  </si>
  <si>
    <t>Infiltration 2</t>
  </si>
  <si>
    <t>Infiltration 3</t>
  </si>
  <si>
    <t>Infiltration 4</t>
  </si>
  <si>
    <t>Infiltration 5</t>
  </si>
  <si>
    <t>Infiltration 6</t>
  </si>
  <si>
    <t>Infiltration 7</t>
  </si>
  <si>
    <t>Infiltration 8</t>
  </si>
  <si>
    <t>Infiltration 9</t>
  </si>
  <si>
    <t>Infiltration 10</t>
  </si>
  <si>
    <t>Infiltration 11</t>
  </si>
  <si>
    <t>Infiltration 12</t>
  </si>
  <si>
    <t>Soil Sample 1_a</t>
  </si>
  <si>
    <t>Soil Sample 2_a</t>
  </si>
  <si>
    <t>Soil Sample 3_a</t>
  </si>
  <si>
    <t>Soil Sample 4_a</t>
  </si>
  <si>
    <t>Soil Sample 5_a</t>
  </si>
  <si>
    <t>Soil Sample 6_a</t>
  </si>
  <si>
    <t>Soil Sample 7_a</t>
  </si>
  <si>
    <t>Soil Sample 8_a</t>
  </si>
  <si>
    <t>Soil Sample 9_a</t>
  </si>
  <si>
    <t>Soil Sample 1_b</t>
  </si>
  <si>
    <t>Soil Sample 1_c</t>
  </si>
  <si>
    <t>Soil Sample 2_b</t>
  </si>
  <si>
    <t>Soil Sample 2_c</t>
  </si>
  <si>
    <t>Soil Sample 3_b</t>
  </si>
  <si>
    <t>Soil Sample 3_c</t>
  </si>
  <si>
    <t>Soil Sample 4_b</t>
  </si>
  <si>
    <t>Soil Sample 4_c</t>
  </si>
  <si>
    <t>Soil Sample 5_b</t>
  </si>
  <si>
    <t>Soil Sample 5_c</t>
  </si>
  <si>
    <t>Soil Sample 6_b</t>
  </si>
  <si>
    <t>Soil Sample 6_c</t>
  </si>
  <si>
    <t>Soil Sample 7_b</t>
  </si>
  <si>
    <t>Soil Sample 7_c</t>
  </si>
  <si>
    <t>Soil Sample 8_b</t>
  </si>
  <si>
    <t>Soil Sample 8_c</t>
  </si>
  <si>
    <t>Soil Sample 9_b</t>
  </si>
  <si>
    <t>Soil Sample 9_c</t>
  </si>
  <si>
    <t>Soil Sample 10_a</t>
  </si>
  <si>
    <t>Soil Sample 10_b</t>
  </si>
  <si>
    <t>Soil Sample 10_c</t>
  </si>
  <si>
    <t>log</t>
  </si>
  <si>
    <t>Copies/rxn</t>
  </si>
  <si>
    <t>x = (y - 38.11) / -3.6854</t>
  </si>
  <si>
    <t>Cq</t>
  </si>
  <si>
    <t>10^</t>
  </si>
  <si>
    <t>Dil</t>
  </si>
  <si>
    <t>DNA used</t>
  </si>
  <si>
    <t>DNA extracted</t>
  </si>
  <si>
    <t>Sample Amount</t>
  </si>
  <si>
    <t>Avg</t>
  </si>
  <si>
    <t>2 uL</t>
  </si>
  <si>
    <t>100 uL</t>
  </si>
  <si>
    <t>75 mL</t>
  </si>
  <si>
    <t>500 mL</t>
  </si>
  <si>
    <t>250 uL</t>
  </si>
  <si>
    <t>234.4 mg</t>
  </si>
  <si>
    <t>250.2 mg</t>
  </si>
  <si>
    <t>251.9 mg</t>
  </si>
  <si>
    <t>256.4 mg</t>
  </si>
  <si>
    <t>250.8 mg</t>
  </si>
  <si>
    <t>246.7 mg</t>
  </si>
  <si>
    <t>236 mg</t>
  </si>
  <si>
    <t>246.8 mg</t>
  </si>
  <si>
    <t>249.9mg</t>
  </si>
  <si>
    <t>221.3 mg</t>
  </si>
  <si>
    <t>250.6 mg</t>
  </si>
  <si>
    <t>243.3 mg</t>
  </si>
  <si>
    <t>copies/100 mL</t>
  </si>
  <si>
    <t>copies/1 mL</t>
  </si>
  <si>
    <t>copies/1 g ww</t>
  </si>
  <si>
    <t>x = (y - 38.816) / -3.7155</t>
  </si>
  <si>
    <t>200 mL</t>
  </si>
  <si>
    <t>250 mL</t>
  </si>
  <si>
    <t>x = (y - 38.53) / -3.6539</t>
  </si>
  <si>
    <t>247.9 mg</t>
  </si>
  <si>
    <t>247.6 mg</t>
  </si>
  <si>
    <t>231.4 mg</t>
  </si>
  <si>
    <t>259.8 mg</t>
  </si>
  <si>
    <t>236.5 mg</t>
  </si>
  <si>
    <t>241.8 mg</t>
  </si>
  <si>
    <t>232.2 mg</t>
  </si>
  <si>
    <t>253.5 mg</t>
  </si>
  <si>
    <t>245.1 mg</t>
  </si>
  <si>
    <t>x = (y - 38.971) / -3.6564</t>
  </si>
  <si>
    <t>245.2 mg</t>
  </si>
  <si>
    <t>256.8 mg</t>
  </si>
  <si>
    <t>250.1 mg</t>
  </si>
  <si>
    <t>252.9 mg</t>
  </si>
  <si>
    <t>245.3 mg</t>
  </si>
  <si>
    <t>250.3 mg</t>
  </si>
  <si>
    <t>244.3 mg</t>
  </si>
  <si>
    <t>243.2 mg</t>
  </si>
  <si>
    <t>251 mg</t>
  </si>
  <si>
    <t>257.9 mg</t>
  </si>
  <si>
    <t>251.3 mg</t>
  </si>
  <si>
    <t>255.8 mg</t>
  </si>
  <si>
    <t>251.7 mg</t>
  </si>
  <si>
    <t>255.7 mg</t>
  </si>
  <si>
    <t>253.1 mg</t>
  </si>
  <si>
    <t>255.2 mg</t>
  </si>
  <si>
    <t>255.5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</si>
</sst>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;\-###0.00"/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2" borderId="0" xfId="0" applyFill="1"/>
    <xf numFmtId="1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55586669624044"/>
                  <c:y val="-0.63483373172103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'tetM - plate 1'!$C$2:$C$25</c:f>
              <c:numCache>
                <c:formatCode>0.0000</c:formatCode>
                <c:ptCount val="24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  <c:pt idx="18">
                  <c:v>2.0136044023579664</c:v>
                </c:pt>
                <c:pt idx="19">
                  <c:v>2.0136044023579664</c:v>
                </c:pt>
                <c:pt idx="20">
                  <c:v>2.0136044023579664</c:v>
                </c:pt>
                <c:pt idx="21">
                  <c:v>1.0136044023579664</c:v>
                </c:pt>
                <c:pt idx="22">
                  <c:v>1.0136044023579664</c:v>
                </c:pt>
                <c:pt idx="23">
                  <c:v>1.0136044023579664</c:v>
                </c:pt>
              </c:numCache>
            </c:numRef>
          </c:xVal>
          <c:yVal>
            <c:numRef>
              <c:f>'tetM - plate 1'!$D$2:$D$25</c:f>
              <c:numCache>
                <c:formatCode>###0.00;\-###0.00</c:formatCode>
                <c:ptCount val="24"/>
                <c:pt idx="0">
                  <c:v>8.5751043054707399</c:v>
                </c:pt>
                <c:pt idx="1">
                  <c:v>8.4548237352308497</c:v>
                </c:pt>
                <c:pt idx="2">
                  <c:v>8.4722449408396603</c:v>
                </c:pt>
                <c:pt idx="3">
                  <c:v>12.1440184638627</c:v>
                </c:pt>
                <c:pt idx="4">
                  <c:v>12.1436137718265</c:v>
                </c:pt>
                <c:pt idx="5">
                  <c:v>12.1134138843464</c:v>
                </c:pt>
                <c:pt idx="6">
                  <c:v>16.0832044369761</c:v>
                </c:pt>
                <c:pt idx="7">
                  <c:v>15.9947927383127</c:v>
                </c:pt>
                <c:pt idx="8">
                  <c:v>15.973164267781501</c:v>
                </c:pt>
                <c:pt idx="9">
                  <c:v>19.781403063694</c:v>
                </c:pt>
                <c:pt idx="10">
                  <c:v>19.896317513940701</c:v>
                </c:pt>
                <c:pt idx="11">
                  <c:v>19.893723664613699</c:v>
                </c:pt>
                <c:pt idx="12">
                  <c:v>23.4097488359489</c:v>
                </c:pt>
                <c:pt idx="13">
                  <c:v>23.186151319106798</c:v>
                </c:pt>
                <c:pt idx="14">
                  <c:v>23.302255967235499</c:v>
                </c:pt>
                <c:pt idx="15">
                  <c:v>27.2910485743955</c:v>
                </c:pt>
                <c:pt idx="16">
                  <c:v>26.943870293550201</c:v>
                </c:pt>
                <c:pt idx="17">
                  <c:v>27.2908130892089</c:v>
                </c:pt>
                <c:pt idx="18">
                  <c:v>30.3678262657569</c:v>
                </c:pt>
                <c:pt idx="19">
                  <c:v>30.362958045381099</c:v>
                </c:pt>
                <c:pt idx="20">
                  <c:v>30.598285141316499</c:v>
                </c:pt>
                <c:pt idx="21">
                  <c:v>35.182022232903599</c:v>
                </c:pt>
                <c:pt idx="22">
                  <c:v>36.0099619196478</c:v>
                </c:pt>
                <c:pt idx="23">
                  <c:v>33.719737591457204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F-0D4C-A525-9C3D31306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76895"/>
        <c:axId val="253477711"/>
      </c:scatterChart>
      <c:valAx>
        <c:axId val="25347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77711"/>
        <c:crosses val="autoZero"/>
        <c:crossBetween val="midCat"/>
      </c:valAx>
      <c:valAx>
        <c:axId val="2534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7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13523725471269"/>
                  <c:y val="-0.648457175611669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'tetM - plate 1'!$Q$2:$Q$22</c:f>
              <c:numCache>
                <c:formatCode>###0.00;\-###0.00</c:formatCode>
                <c:ptCount val="21"/>
                <c:pt idx="0">
                  <c:v>8.5751043054707399</c:v>
                </c:pt>
                <c:pt idx="1">
                  <c:v>8.4548237352308497</c:v>
                </c:pt>
                <c:pt idx="2">
                  <c:v>8.4722449408396603</c:v>
                </c:pt>
                <c:pt idx="3">
                  <c:v>12.1440184638627</c:v>
                </c:pt>
                <c:pt idx="4">
                  <c:v>12.1436137718265</c:v>
                </c:pt>
                <c:pt idx="5">
                  <c:v>12.1134138843464</c:v>
                </c:pt>
                <c:pt idx="6">
                  <c:v>16.0832044369761</c:v>
                </c:pt>
                <c:pt idx="7">
                  <c:v>15.9947927383127</c:v>
                </c:pt>
                <c:pt idx="8">
                  <c:v>15.973164267781501</c:v>
                </c:pt>
                <c:pt idx="9">
                  <c:v>19.781403063694</c:v>
                </c:pt>
                <c:pt idx="10">
                  <c:v>19.896317513940701</c:v>
                </c:pt>
                <c:pt idx="11">
                  <c:v>19.893723664613699</c:v>
                </c:pt>
                <c:pt idx="12">
                  <c:v>23.4097488359489</c:v>
                </c:pt>
                <c:pt idx="13">
                  <c:v>23.186151319106798</c:v>
                </c:pt>
                <c:pt idx="14">
                  <c:v>23.302255967235499</c:v>
                </c:pt>
                <c:pt idx="15">
                  <c:v>27.2910485743955</c:v>
                </c:pt>
                <c:pt idx="16">
                  <c:v>26.943870293550201</c:v>
                </c:pt>
                <c:pt idx="17">
                  <c:v>27.2908130892089</c:v>
                </c:pt>
                <c:pt idx="18">
                  <c:v>30.3678262657569</c:v>
                </c:pt>
                <c:pt idx="19">
                  <c:v>30.362958045381099</c:v>
                </c:pt>
                <c:pt idx="20">
                  <c:v>30.598285141316499</c:v>
                </c:pt>
              </c:numCache>
            </c:numRef>
          </c:xVal>
          <c:yVal>
            <c:numRef>
              <c:f>'tetM - plate 1'!$P$2:$P$22</c:f>
              <c:numCache>
                <c:formatCode>0.00E+00</c:formatCode>
                <c:ptCount val="21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  <c:pt idx="18">
                  <c:v>103.18210945826009</c:v>
                </c:pt>
                <c:pt idx="19">
                  <c:v>103.18210945826009</c:v>
                </c:pt>
                <c:pt idx="20">
                  <c:v>103.18210945826009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A-3F4F-8B9F-365CCF995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837967"/>
        <c:axId val="210204319"/>
      </c:scatterChart>
      <c:valAx>
        <c:axId val="23683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4319"/>
        <c:crosses val="autoZero"/>
        <c:crossBetween val="midCat"/>
      </c:valAx>
      <c:valAx>
        <c:axId val="210204319"/>
        <c:scaling>
          <c:logBase val="10"/>
          <c:orientation val="minMax"/>
          <c:max val="104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3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179352580927384"/>
                  <c:y val="-0.66249599008457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'tetM - plate 2'!$C$2:$C$22</c:f>
              <c:numCache>
                <c:formatCode>0.0000</c:formatCode>
                <c:ptCount val="21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  <c:pt idx="18">
                  <c:v>2.0136044023579664</c:v>
                </c:pt>
                <c:pt idx="19">
                  <c:v>2.0136044023579664</c:v>
                </c:pt>
                <c:pt idx="20">
                  <c:v>2.0136044023579664</c:v>
                </c:pt>
              </c:numCache>
            </c:numRef>
          </c:xVal>
          <c:yVal>
            <c:numRef>
              <c:f>'tetM - plate 2'!$D$2:$D$22</c:f>
              <c:numCache>
                <c:formatCode>###0.00;\-###0.00</c:formatCode>
                <c:ptCount val="21"/>
                <c:pt idx="0">
                  <c:v>8.9058225163849407</c:v>
                </c:pt>
                <c:pt idx="1">
                  <c:v>8.9038908683107802</c:v>
                </c:pt>
                <c:pt idx="2">
                  <c:v>8.7940698147487399</c:v>
                </c:pt>
                <c:pt idx="3">
                  <c:v>12.820103556845901</c:v>
                </c:pt>
                <c:pt idx="4">
                  <c:v>12.8688048233081</c:v>
                </c:pt>
                <c:pt idx="5">
                  <c:v>12.8425024304275</c:v>
                </c:pt>
                <c:pt idx="6">
                  <c:v>16.453649594543801</c:v>
                </c:pt>
                <c:pt idx="7">
                  <c:v>16.560928078162501</c:v>
                </c:pt>
                <c:pt idx="8">
                  <c:v>16.5476741547274</c:v>
                </c:pt>
                <c:pt idx="9">
                  <c:v>20.456911253408698</c:v>
                </c:pt>
                <c:pt idx="10">
                  <c:v>20.439266611550401</c:v>
                </c:pt>
                <c:pt idx="11">
                  <c:v>20.342526360432799</c:v>
                </c:pt>
                <c:pt idx="12">
                  <c:v>23.928789464946</c:v>
                </c:pt>
                <c:pt idx="13">
                  <c:v>23.725733983439</c:v>
                </c:pt>
                <c:pt idx="14">
                  <c:v>23.848456542954001</c:v>
                </c:pt>
                <c:pt idx="15">
                  <c:v>27.560338961953502</c:v>
                </c:pt>
                <c:pt idx="16">
                  <c:v>27.6760306559881</c:v>
                </c:pt>
                <c:pt idx="17">
                  <c:v>27.237559152768601</c:v>
                </c:pt>
                <c:pt idx="18">
                  <c:v>31.512090823927199</c:v>
                </c:pt>
                <c:pt idx="19">
                  <c:v>31.3471156996148</c:v>
                </c:pt>
                <c:pt idx="20">
                  <c:v>31.170366798527699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3-254F-BAAB-202D4B5C5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81247"/>
        <c:axId val="159857455"/>
      </c:scatterChart>
      <c:valAx>
        <c:axId val="25568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7455"/>
        <c:crosses val="autoZero"/>
        <c:crossBetween val="midCat"/>
      </c:valAx>
      <c:valAx>
        <c:axId val="15985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8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2212492733710299"/>
                  <c:y val="-0.67385648492051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'tetM - plate 2'!$Q$2:$Q$22</c:f>
              <c:numCache>
                <c:formatCode>###0.00;\-###0.00</c:formatCode>
                <c:ptCount val="21"/>
                <c:pt idx="0">
                  <c:v>8.9058225163849407</c:v>
                </c:pt>
                <c:pt idx="1">
                  <c:v>8.9038908683107802</c:v>
                </c:pt>
                <c:pt idx="2">
                  <c:v>8.7940698147487399</c:v>
                </c:pt>
                <c:pt idx="3">
                  <c:v>12.820103556845901</c:v>
                </c:pt>
                <c:pt idx="4">
                  <c:v>12.8688048233081</c:v>
                </c:pt>
                <c:pt idx="5">
                  <c:v>12.8425024304275</c:v>
                </c:pt>
                <c:pt idx="6">
                  <c:v>16.453649594543801</c:v>
                </c:pt>
                <c:pt idx="7">
                  <c:v>16.560928078162501</c:v>
                </c:pt>
                <c:pt idx="8">
                  <c:v>16.5476741547274</c:v>
                </c:pt>
                <c:pt idx="9">
                  <c:v>20.456911253408698</c:v>
                </c:pt>
                <c:pt idx="10">
                  <c:v>20.439266611550401</c:v>
                </c:pt>
                <c:pt idx="11">
                  <c:v>20.342526360432799</c:v>
                </c:pt>
                <c:pt idx="12">
                  <c:v>23.928789464946</c:v>
                </c:pt>
                <c:pt idx="13">
                  <c:v>23.725733983439</c:v>
                </c:pt>
                <c:pt idx="14">
                  <c:v>23.848456542954001</c:v>
                </c:pt>
                <c:pt idx="15">
                  <c:v>27.560338961953502</c:v>
                </c:pt>
                <c:pt idx="16">
                  <c:v>27.6760306559881</c:v>
                </c:pt>
                <c:pt idx="17">
                  <c:v>27.237559152768601</c:v>
                </c:pt>
                <c:pt idx="18">
                  <c:v>31.512090823927199</c:v>
                </c:pt>
                <c:pt idx="19">
                  <c:v>31.3471156996148</c:v>
                </c:pt>
                <c:pt idx="20">
                  <c:v>31.170366798527699</c:v>
                </c:pt>
              </c:numCache>
            </c:numRef>
          </c:xVal>
          <c:yVal>
            <c:numRef>
              <c:f>'tetM - plate 2'!$P$2:$P$22</c:f>
              <c:numCache>
                <c:formatCode>0.00E+00</c:formatCode>
                <c:ptCount val="21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  <c:pt idx="18">
                  <c:v>103.18210945826009</c:v>
                </c:pt>
                <c:pt idx="19">
                  <c:v>103.18210945826009</c:v>
                </c:pt>
                <c:pt idx="20">
                  <c:v>103.18210945826009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5-E547-A700-0D297E74D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660143"/>
        <c:axId val="213230287"/>
      </c:scatterChart>
      <c:valAx>
        <c:axId val="27966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0287"/>
        <c:crosses val="autoZero"/>
        <c:crossBetween val="midCat"/>
      </c:valAx>
      <c:valAx>
        <c:axId val="2132302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6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107089891599138"/>
                  <c:y val="-0.673436753241665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'tetM - plate 3'!$C$2:$C$25</c:f>
              <c:numCache>
                <c:formatCode>0.0000</c:formatCode>
                <c:ptCount val="24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  <c:pt idx="18">
                  <c:v>2.0136044023579664</c:v>
                </c:pt>
                <c:pt idx="19">
                  <c:v>2.0136044023579664</c:v>
                </c:pt>
                <c:pt idx="20">
                  <c:v>2.0136044023579664</c:v>
                </c:pt>
                <c:pt idx="21">
                  <c:v>1.0136044023579664</c:v>
                </c:pt>
                <c:pt idx="22">
                  <c:v>1.0136044023579664</c:v>
                </c:pt>
                <c:pt idx="23">
                  <c:v>1.0136044023579664</c:v>
                </c:pt>
              </c:numCache>
            </c:numRef>
          </c:xVal>
          <c:yVal>
            <c:numRef>
              <c:f>'tetM - plate 3'!$D$2:$D$25</c:f>
              <c:numCache>
                <c:formatCode>###0.00;\-###0.00</c:formatCode>
                <c:ptCount val="24"/>
                <c:pt idx="0">
                  <c:v>8.8202613492078896</c:v>
                </c:pt>
                <c:pt idx="1">
                  <c:v>8.8502333047224102</c:v>
                </c:pt>
                <c:pt idx="2">
                  <c:v>8.7940739282833498</c:v>
                </c:pt>
                <c:pt idx="3">
                  <c:v>13.179480897339699</c:v>
                </c:pt>
                <c:pt idx="4">
                  <c:v>13.1216578194074</c:v>
                </c:pt>
                <c:pt idx="5">
                  <c:v>13.1185341966425</c:v>
                </c:pt>
                <c:pt idx="6">
                  <c:v>16.455743613727201</c:v>
                </c:pt>
                <c:pt idx="7">
                  <c:v>16.604994016302101</c:v>
                </c:pt>
                <c:pt idx="8">
                  <c:v>16.435767519454</c:v>
                </c:pt>
                <c:pt idx="9">
                  <c:v>20.521823006614401</c:v>
                </c:pt>
                <c:pt idx="10">
                  <c:v>20.501181443698901</c:v>
                </c:pt>
                <c:pt idx="11">
                  <c:v>20.383344684397699</c:v>
                </c:pt>
                <c:pt idx="12">
                  <c:v>24.023494650840799</c:v>
                </c:pt>
                <c:pt idx="13">
                  <c:v>23.983347141894601</c:v>
                </c:pt>
                <c:pt idx="14">
                  <c:v>23.741020130304499</c:v>
                </c:pt>
                <c:pt idx="15">
                  <c:v>27.790895383293801</c:v>
                </c:pt>
                <c:pt idx="16">
                  <c:v>27.503796842520099</c:v>
                </c:pt>
                <c:pt idx="17">
                  <c:v>27.669904266280501</c:v>
                </c:pt>
                <c:pt idx="18">
                  <c:v>32.201518320240901</c:v>
                </c:pt>
                <c:pt idx="19">
                  <c:v>31.531977061589199</c:v>
                </c:pt>
                <c:pt idx="20">
                  <c:v>30.998408953188498</c:v>
                </c:pt>
                <c:pt idx="21">
                  <c:v>34.987671311844601</c:v>
                </c:pt>
                <c:pt idx="22">
                  <c:v>34.060076615160497</c:v>
                </c:pt>
                <c:pt idx="23">
                  <c:v>33.625881491019399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A-EC4E-8B84-2E948573F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91087"/>
        <c:axId val="236072671"/>
      </c:scatterChart>
      <c:valAx>
        <c:axId val="21299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72671"/>
        <c:crosses val="autoZero"/>
        <c:crossBetween val="midCat"/>
      </c:valAx>
      <c:valAx>
        <c:axId val="2360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792889525172991"/>
                  <c:y val="-0.76838073812202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'tetM - plate 3'!$Q$2:$Q$25</c:f>
              <c:numCache>
                <c:formatCode>###0.00;\-###0.00</c:formatCode>
                <c:ptCount val="24"/>
                <c:pt idx="0">
                  <c:v>8.8202613492078896</c:v>
                </c:pt>
                <c:pt idx="1">
                  <c:v>8.8502333047224102</c:v>
                </c:pt>
                <c:pt idx="2">
                  <c:v>8.7940739282833498</c:v>
                </c:pt>
                <c:pt idx="3">
                  <c:v>13.179480897339699</c:v>
                </c:pt>
                <c:pt idx="4">
                  <c:v>13.1216578194074</c:v>
                </c:pt>
                <c:pt idx="5">
                  <c:v>13.1185341966425</c:v>
                </c:pt>
                <c:pt idx="6">
                  <c:v>16.455743613727201</c:v>
                </c:pt>
                <c:pt idx="7">
                  <c:v>16.604994016302101</c:v>
                </c:pt>
                <c:pt idx="8">
                  <c:v>16.435767519454</c:v>
                </c:pt>
                <c:pt idx="9">
                  <c:v>20.521823006614401</c:v>
                </c:pt>
                <c:pt idx="10">
                  <c:v>20.501181443698901</c:v>
                </c:pt>
                <c:pt idx="11">
                  <c:v>20.383344684397699</c:v>
                </c:pt>
                <c:pt idx="12">
                  <c:v>24.023494650840799</c:v>
                </c:pt>
                <c:pt idx="13">
                  <c:v>23.983347141894601</c:v>
                </c:pt>
                <c:pt idx="14">
                  <c:v>23.741020130304499</c:v>
                </c:pt>
                <c:pt idx="15">
                  <c:v>27.790895383293801</c:v>
                </c:pt>
                <c:pt idx="16">
                  <c:v>27.503796842520099</c:v>
                </c:pt>
                <c:pt idx="17">
                  <c:v>27.669904266280501</c:v>
                </c:pt>
                <c:pt idx="18">
                  <c:v>32.201518320240901</c:v>
                </c:pt>
                <c:pt idx="19">
                  <c:v>31.531977061589199</c:v>
                </c:pt>
                <c:pt idx="20">
                  <c:v>30.998408953188498</c:v>
                </c:pt>
                <c:pt idx="21">
                  <c:v>34.987671311844601</c:v>
                </c:pt>
                <c:pt idx="22">
                  <c:v>34.060076615160497</c:v>
                </c:pt>
                <c:pt idx="23">
                  <c:v>33.625881491019399</c:v>
                </c:pt>
              </c:numCache>
            </c:numRef>
          </c:xVal>
          <c:yVal>
            <c:numRef>
              <c:f>'tetM - plate 3'!$P$2:$P$25</c:f>
              <c:numCache>
                <c:formatCode>0.00E+00</c:formatCode>
                <c:ptCount val="24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  <c:pt idx="18">
                  <c:v>103.18210945826009</c:v>
                </c:pt>
                <c:pt idx="19">
                  <c:v>103.18210945826009</c:v>
                </c:pt>
                <c:pt idx="20">
                  <c:v>103.18210945826009</c:v>
                </c:pt>
                <c:pt idx="21">
                  <c:v>10.318210945826008</c:v>
                </c:pt>
                <c:pt idx="22">
                  <c:v>10.318210945826008</c:v>
                </c:pt>
                <c:pt idx="23">
                  <c:v>10.318210945826008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7-EA44-BA0A-76A98A971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8991"/>
        <c:axId val="283199823"/>
      </c:scatterChart>
      <c:valAx>
        <c:axId val="21340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99823"/>
        <c:crosses val="autoZero"/>
        <c:crossBetween val="midCat"/>
      </c:valAx>
      <c:valAx>
        <c:axId val="2831998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15266841644794"/>
                  <c:y val="-0.61711759988334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'tetM - plate 4'!$C$2:$C$22</c:f>
              <c:numCache>
                <c:formatCode>0.0000</c:formatCode>
                <c:ptCount val="21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  <c:pt idx="18">
                  <c:v>2.0136044023579664</c:v>
                </c:pt>
                <c:pt idx="19">
                  <c:v>2.0136044023579664</c:v>
                </c:pt>
                <c:pt idx="20">
                  <c:v>2.0136044023579664</c:v>
                </c:pt>
              </c:numCache>
            </c:numRef>
          </c:xVal>
          <c:yVal>
            <c:numRef>
              <c:f>'tetM - plate 4'!$D$2:$D$22</c:f>
              <c:numCache>
                <c:formatCode>###0.00;\-###0.00</c:formatCode>
                <c:ptCount val="21"/>
                <c:pt idx="0">
                  <c:v>8.4361493156315905</c:v>
                </c:pt>
                <c:pt idx="1">
                  <c:v>8.7289814880461698</c:v>
                </c:pt>
                <c:pt idx="2">
                  <c:v>8.7777945621547993</c:v>
                </c:pt>
                <c:pt idx="3">
                  <c:v>14.9915959336826</c:v>
                </c:pt>
                <c:pt idx="4">
                  <c:v>14.971993148585801</c:v>
                </c:pt>
                <c:pt idx="5">
                  <c:v>14.872623047651</c:v>
                </c:pt>
                <c:pt idx="6">
                  <c:v>16.6921716190318</c:v>
                </c:pt>
                <c:pt idx="7">
                  <c:v>16.730024584029501</c:v>
                </c:pt>
                <c:pt idx="8">
                  <c:v>16.703148552234701</c:v>
                </c:pt>
                <c:pt idx="9">
                  <c:v>20.679540360270401</c:v>
                </c:pt>
                <c:pt idx="10">
                  <c:v>20.736042190671501</c:v>
                </c:pt>
                <c:pt idx="11">
                  <c:v>20.666906292585299</c:v>
                </c:pt>
                <c:pt idx="12">
                  <c:v>23.865565850206401</c:v>
                </c:pt>
                <c:pt idx="13">
                  <c:v>23.826438365097001</c:v>
                </c:pt>
                <c:pt idx="14">
                  <c:v>23.882598798986098</c:v>
                </c:pt>
                <c:pt idx="15">
                  <c:v>27.866037433115899</c:v>
                </c:pt>
                <c:pt idx="16">
                  <c:v>27.521428455892998</c:v>
                </c:pt>
                <c:pt idx="17">
                  <c:v>27.9874500378045</c:v>
                </c:pt>
                <c:pt idx="18">
                  <c:v>31.383480348416398</c:v>
                </c:pt>
                <c:pt idx="19">
                  <c:v>32.017241463002598</c:v>
                </c:pt>
                <c:pt idx="20">
                  <c:v>32.079559924855801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A-5746-B8D3-26090AB81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509215"/>
        <c:axId val="1240933231"/>
      </c:scatterChart>
      <c:valAx>
        <c:axId val="124050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33231"/>
        <c:crosses val="autoZero"/>
        <c:crossBetween val="midCat"/>
      </c:valAx>
      <c:valAx>
        <c:axId val="124093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Curve Plate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887171018516303E-2"/>
                  <c:y val="-0.69194596842345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'tetM - plate 4'!$P$2:$P$22</c:f>
              <c:numCache>
                <c:formatCode>###0.00;\-###0.00</c:formatCode>
                <c:ptCount val="21"/>
                <c:pt idx="0">
                  <c:v>8.4361493156315905</c:v>
                </c:pt>
                <c:pt idx="1">
                  <c:v>8.7289814880461698</c:v>
                </c:pt>
                <c:pt idx="2">
                  <c:v>8.7777945621547993</c:v>
                </c:pt>
                <c:pt idx="3">
                  <c:v>14.9915959336826</c:v>
                </c:pt>
                <c:pt idx="4">
                  <c:v>14.971993148585801</c:v>
                </c:pt>
                <c:pt idx="5">
                  <c:v>14.872623047651</c:v>
                </c:pt>
                <c:pt idx="6">
                  <c:v>16.6921716190318</c:v>
                </c:pt>
                <c:pt idx="7">
                  <c:v>16.730024584029501</c:v>
                </c:pt>
                <c:pt idx="8">
                  <c:v>16.703148552234701</c:v>
                </c:pt>
                <c:pt idx="9">
                  <c:v>20.679540360270401</c:v>
                </c:pt>
                <c:pt idx="10">
                  <c:v>20.736042190671501</c:v>
                </c:pt>
                <c:pt idx="11">
                  <c:v>20.666906292585299</c:v>
                </c:pt>
                <c:pt idx="12">
                  <c:v>23.865565850206401</c:v>
                </c:pt>
                <c:pt idx="13">
                  <c:v>23.826438365097001</c:v>
                </c:pt>
                <c:pt idx="14">
                  <c:v>23.882598798986098</c:v>
                </c:pt>
                <c:pt idx="15">
                  <c:v>27.866037433115899</c:v>
                </c:pt>
                <c:pt idx="16">
                  <c:v>27.521428455892998</c:v>
                </c:pt>
                <c:pt idx="17">
                  <c:v>27.9874500378045</c:v>
                </c:pt>
                <c:pt idx="18">
                  <c:v>31.383480348416398</c:v>
                </c:pt>
                <c:pt idx="19">
                  <c:v>32.017241463002598</c:v>
                </c:pt>
                <c:pt idx="20">
                  <c:v>32.079559924855801</c:v>
                </c:pt>
              </c:numCache>
            </c:numRef>
          </c:xVal>
          <c:yVal>
            <c:numRef>
              <c:f>'tetM - plate 4'!$O$2:$O$22</c:f>
              <c:numCache>
                <c:formatCode>0.00E+00</c:formatCode>
                <c:ptCount val="21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  <c:pt idx="18">
                  <c:v>103.18210945826009</c:v>
                </c:pt>
                <c:pt idx="19">
                  <c:v>103.18210945826009</c:v>
                </c:pt>
                <c:pt idx="20">
                  <c:v>103.18210945826009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9-7640-9959-75B82BF6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996655"/>
        <c:axId val="1238275279"/>
      </c:scatterChart>
      <c:valAx>
        <c:axId val="129599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75279"/>
        <c:crosses val="autoZero"/>
        <c:crossBetween val="midCat"/>
      </c:valAx>
      <c:valAx>
        <c:axId val="1238275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9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0</xdr:row>
      <xdr:rowOff>114300</xdr:rowOff>
    </xdr:from>
    <xdr:to>
      <xdr:col>12</xdr:col>
      <xdr:colOff>787400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9FAA0-892C-BA49-87E8-2594FE99C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177800</xdr:colOff>
      <xdr:row>14</xdr:row>
      <xdr:rowOff>177800</xdr:rowOff>
    </xdr:from>
    <xdr:to>
      <xdr:col>13</xdr:col>
      <xdr:colOff>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6BAB8D-70F0-3740-8A62-72A92BAB2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0</xdr:row>
      <xdr:rowOff>31750</xdr:rowOff>
    </xdr:from>
    <xdr:to>
      <xdr:col>12</xdr:col>
      <xdr:colOff>723900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BFFF9-3695-1344-B94A-7B5EE3AD3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15</xdr:row>
      <xdr:rowOff>88900</xdr:rowOff>
    </xdr:from>
    <xdr:to>
      <xdr:col>12</xdr:col>
      <xdr:colOff>723900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8C38C4-5955-4049-9E3D-DE429BEFF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0</xdr:row>
      <xdr:rowOff>57150</xdr:rowOff>
    </xdr:from>
    <xdr:to>
      <xdr:col>12</xdr:col>
      <xdr:colOff>711200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938C3-7C01-D84A-A656-E1F5C4343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16</xdr:row>
      <xdr:rowOff>152400</xdr:rowOff>
    </xdr:from>
    <xdr:to>
      <xdr:col>12</xdr:col>
      <xdr:colOff>736600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358F4F-CCAE-894C-A10A-D99D80A9C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57150</xdr:rowOff>
    </xdr:from>
    <xdr:to>
      <xdr:col>12</xdr:col>
      <xdr:colOff>749300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8C7C4-8A75-5C4D-9C00-D60EE8774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234950</xdr:colOff>
      <xdr:row>16</xdr:row>
      <xdr:rowOff>88900</xdr:rowOff>
    </xdr:from>
    <xdr:to>
      <xdr:col>12</xdr:col>
      <xdr:colOff>736600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D3FB5A-2F6E-6341-A53B-C7C84D502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7B43-3E44-904B-B035-22546EE80151}">
  <dimension ref="A1:U103"/>
  <sheetViews>
    <sheetView tabSelected="1" topLeftCell="A35" workbookViewId="0">
      <selection activeCell="J38" sqref="J38"/>
    </sheetView>
  </sheetViews>
  <sheetFormatPr baseColWidth="10" defaultRowHeight="16" x14ac:dyDescent="0.2"/>
  <cols>
    <col min="1" max="1" width="5" bestFit="1" customWidth="1"/>
    <col min="2" max="2" width="17.83203125" bestFit="1" customWidth="1"/>
    <col min="3" max="3" width="6.6640625" bestFit="1" customWidth="1"/>
    <col min="4" max="4" width="20.5" bestFit="1" customWidth="1"/>
    <col min="6" max="6" width="4.6640625" bestFit="1" customWidth="1"/>
    <col min="7" max="7" width="9.1640625" bestFit="1" customWidth="1"/>
    <col min="8" max="8" width="13" bestFit="1" customWidth="1"/>
    <col min="9" max="9" width="14.33203125" bestFit="1" customWidth="1"/>
    <col min="13" max="13" width="13.1640625" bestFit="1" customWidth="1"/>
    <col min="21" max="21" width="13.1640625" bestFit="1" customWidth="1"/>
  </cols>
  <sheetData>
    <row r="1" spans="1:21" x14ac:dyDescent="0.2">
      <c r="A1" s="1" t="s">
        <v>0</v>
      </c>
      <c r="B1" s="1" t="s">
        <v>1</v>
      </c>
      <c r="C1" s="1" t="s">
        <v>130</v>
      </c>
      <c r="D1" s="1" t="s">
        <v>196</v>
      </c>
      <c r="N1" s="1" t="s">
        <v>0</v>
      </c>
      <c r="O1" s="1" t="s">
        <v>1</v>
      </c>
      <c r="P1" s="1" t="s">
        <v>194</v>
      </c>
      <c r="Q1" s="1" t="s">
        <v>196</v>
      </c>
    </row>
    <row r="2" spans="1:21" x14ac:dyDescent="0.2">
      <c r="A2" s="2" t="s">
        <v>2</v>
      </c>
      <c r="B2" s="3" t="s">
        <v>3</v>
      </c>
      <c r="C2" s="9">
        <f>LOG(P2)</f>
        <v>8.0136044023579664</v>
      </c>
      <c r="D2" s="4">
        <v>8.5751043054707399</v>
      </c>
      <c r="N2" s="2" t="s">
        <v>2</v>
      </c>
      <c r="O2" s="3" t="s">
        <v>3</v>
      </c>
      <c r="P2" s="8">
        <f>((2/37)*(6.0221*10^23))/(478*660*10^9)</f>
        <v>103182109.45826009</v>
      </c>
      <c r="Q2" s="4">
        <v>8.5751043054707399</v>
      </c>
    </row>
    <row r="3" spans="1:21" x14ac:dyDescent="0.2">
      <c r="A3" s="2" t="s">
        <v>4</v>
      </c>
      <c r="B3" s="3" t="s">
        <v>3</v>
      </c>
      <c r="C3" s="9">
        <f t="shared" ref="C3:C4" si="0">LOG(P3)</f>
        <v>8.0136044023579664</v>
      </c>
      <c r="D3" s="4">
        <v>8.4548237352308497</v>
      </c>
      <c r="N3" s="2" t="s">
        <v>4</v>
      </c>
      <c r="O3" s="3" t="s">
        <v>3</v>
      </c>
      <c r="P3" s="8">
        <f>((2/37)*(6.0221*10^23))/(478*660*10^9)</f>
        <v>103182109.45826009</v>
      </c>
      <c r="Q3" s="4">
        <v>8.4548237352308497</v>
      </c>
    </row>
    <row r="4" spans="1:21" x14ac:dyDescent="0.2">
      <c r="A4" s="2" t="s">
        <v>5</v>
      </c>
      <c r="B4" s="3" t="s">
        <v>3</v>
      </c>
      <c r="C4" s="9">
        <f t="shared" si="0"/>
        <v>8.0136044023579664</v>
      </c>
      <c r="D4" s="4">
        <v>8.4722449408396603</v>
      </c>
      <c r="N4" s="2" t="s">
        <v>5</v>
      </c>
      <c r="O4" s="3" t="s">
        <v>3</v>
      </c>
      <c r="P4" s="8">
        <f>((2/37)*(6.0221*10^23))/(478*660*10^9)</f>
        <v>103182109.45826009</v>
      </c>
      <c r="Q4" s="4">
        <v>8.4722449408396603</v>
      </c>
    </row>
    <row r="5" spans="1:21" x14ac:dyDescent="0.2">
      <c r="A5" s="2" t="s">
        <v>6</v>
      </c>
      <c r="B5" s="3" t="s">
        <v>7</v>
      </c>
      <c r="C5" s="9">
        <f>LOG(P5)</f>
        <v>7.0136044023579664</v>
      </c>
      <c r="D5" s="4">
        <v>12.1440184638627</v>
      </c>
      <c r="N5" s="2" t="s">
        <v>6</v>
      </c>
      <c r="O5" s="3" t="s">
        <v>7</v>
      </c>
      <c r="P5" s="8">
        <f>P4/10</f>
        <v>10318210.945826009</v>
      </c>
      <c r="Q5" s="4">
        <v>12.1440184638627</v>
      </c>
    </row>
    <row r="6" spans="1:21" ht="17" thickBot="1" x14ac:dyDescent="0.25">
      <c r="A6" s="2" t="s">
        <v>8</v>
      </c>
      <c r="B6" s="3" t="s">
        <v>7</v>
      </c>
      <c r="C6" s="9">
        <f t="shared" ref="C6:C7" si="1">LOG(P6)</f>
        <v>7.0136044023579664</v>
      </c>
      <c r="D6" s="4">
        <v>12.1436137718265</v>
      </c>
      <c r="N6" s="2" t="s">
        <v>8</v>
      </c>
      <c r="O6" s="3" t="s">
        <v>7</v>
      </c>
      <c r="P6" s="8">
        <f>P4/10</f>
        <v>10318210.945826009</v>
      </c>
      <c r="Q6" s="4">
        <v>12.1436137718265</v>
      </c>
    </row>
    <row r="7" spans="1:21" x14ac:dyDescent="0.2">
      <c r="A7" s="2" t="s">
        <v>9</v>
      </c>
      <c r="B7" s="3" t="s">
        <v>7</v>
      </c>
      <c r="C7" s="9">
        <f t="shared" si="1"/>
        <v>7.0136044023579664</v>
      </c>
      <c r="D7" s="4">
        <v>12.1134138843464</v>
      </c>
      <c r="N7" s="2" t="s">
        <v>9</v>
      </c>
      <c r="O7" s="3" t="s">
        <v>7</v>
      </c>
      <c r="P7" s="8">
        <f>P4/10</f>
        <v>10318210.945826009</v>
      </c>
      <c r="Q7" s="4">
        <v>12.1134138843464</v>
      </c>
      <c r="S7" s="24" t="s">
        <v>195</v>
      </c>
      <c r="T7" s="25"/>
      <c r="U7" s="26"/>
    </row>
    <row r="8" spans="1:21" ht="17" thickBot="1" x14ac:dyDescent="0.25">
      <c r="A8" s="2" t="s">
        <v>10</v>
      </c>
      <c r="B8" s="3" t="s">
        <v>11</v>
      </c>
      <c r="C8" s="9">
        <f>LOG(P8)</f>
        <v>6.0136044023579664</v>
      </c>
      <c r="D8" s="4">
        <v>16.0832044369761</v>
      </c>
      <c r="N8" s="2" t="s">
        <v>10</v>
      </c>
      <c r="O8" s="3" t="s">
        <v>11</v>
      </c>
      <c r="P8" s="8">
        <f>P7/10</f>
        <v>1031821.0945826009</v>
      </c>
      <c r="Q8" s="4">
        <v>16.0832044369761</v>
      </c>
      <c r="S8" s="27"/>
      <c r="T8" s="28"/>
      <c r="U8" s="29"/>
    </row>
    <row r="9" spans="1:21" x14ac:dyDescent="0.2">
      <c r="A9" s="2" t="s">
        <v>12</v>
      </c>
      <c r="B9" s="3" t="s">
        <v>11</v>
      </c>
      <c r="C9" s="9">
        <f t="shared" ref="C9:C28" si="2">LOG(P9)</f>
        <v>6.0136044023579664</v>
      </c>
      <c r="D9" s="4">
        <v>15.9947927383127</v>
      </c>
      <c r="N9" s="2" t="s">
        <v>12</v>
      </c>
      <c r="O9" s="3" t="s">
        <v>11</v>
      </c>
      <c r="P9" s="8">
        <f>P7/10</f>
        <v>1031821.0945826009</v>
      </c>
      <c r="Q9" s="4">
        <v>15.9947927383127</v>
      </c>
    </row>
    <row r="10" spans="1:21" x14ac:dyDescent="0.2">
      <c r="A10" s="2" t="s">
        <v>13</v>
      </c>
      <c r="B10" s="3" t="s">
        <v>11</v>
      </c>
      <c r="C10" s="9">
        <f t="shared" si="2"/>
        <v>6.0136044023579664</v>
      </c>
      <c r="D10" s="4">
        <v>15.973164267781501</v>
      </c>
      <c r="N10" s="2" t="s">
        <v>13</v>
      </c>
      <c r="O10" s="3" t="s">
        <v>11</v>
      </c>
      <c r="P10" s="8">
        <f>P7/10</f>
        <v>1031821.0945826009</v>
      </c>
      <c r="Q10" s="4">
        <v>15.973164267781501</v>
      </c>
      <c r="S10">
        <f>SLOPE(D2:D22,C2:C22)</f>
        <v>-3.685441140073793</v>
      </c>
    </row>
    <row r="11" spans="1:21" x14ac:dyDescent="0.2">
      <c r="A11" s="2" t="s">
        <v>14</v>
      </c>
      <c r="B11" s="3" t="s">
        <v>15</v>
      </c>
      <c r="C11" s="9">
        <f t="shared" si="2"/>
        <v>5.0136044023579664</v>
      </c>
      <c r="D11" s="4">
        <v>19.781403063694</v>
      </c>
      <c r="N11" s="2" t="s">
        <v>14</v>
      </c>
      <c r="O11" s="3" t="s">
        <v>15</v>
      </c>
      <c r="P11" s="8">
        <f>P10/10</f>
        <v>103182.10945826009</v>
      </c>
      <c r="Q11" s="4">
        <v>19.781403063694</v>
      </c>
      <c r="S11">
        <f>INTERCEPT(D2:D22,C2:C22)</f>
        <v>38.109666892066855</v>
      </c>
    </row>
    <row r="12" spans="1:21" x14ac:dyDescent="0.2">
      <c r="A12" s="2" t="s">
        <v>16</v>
      </c>
      <c r="B12" s="3" t="s">
        <v>15</v>
      </c>
      <c r="C12" s="9">
        <f t="shared" si="2"/>
        <v>5.0136044023579664</v>
      </c>
      <c r="D12" s="4">
        <v>19.896317513940701</v>
      </c>
      <c r="N12" s="2" t="s">
        <v>16</v>
      </c>
      <c r="O12" s="3" t="s">
        <v>15</v>
      </c>
      <c r="P12" s="8">
        <f>P10/10</f>
        <v>103182.10945826009</v>
      </c>
      <c r="Q12" s="4">
        <v>19.896317513940701</v>
      </c>
      <c r="S12">
        <f>-1+10^(-1/S10)</f>
        <v>0.8678325444178856</v>
      </c>
    </row>
    <row r="13" spans="1:21" x14ac:dyDescent="0.2">
      <c r="A13" s="2" t="s">
        <v>17</v>
      </c>
      <c r="B13" s="3" t="s">
        <v>15</v>
      </c>
      <c r="C13" s="9">
        <f t="shared" si="2"/>
        <v>5.0136044023579664</v>
      </c>
      <c r="D13" s="4">
        <v>19.893723664613699</v>
      </c>
      <c r="N13" s="2" t="s">
        <v>17</v>
      </c>
      <c r="O13" s="3" t="s">
        <v>15</v>
      </c>
      <c r="P13" s="8">
        <f>P10/10</f>
        <v>103182.10945826009</v>
      </c>
      <c r="Q13" s="4">
        <v>19.893723664613699</v>
      </c>
    </row>
    <row r="14" spans="1:21" x14ac:dyDescent="0.2">
      <c r="A14" s="2" t="s">
        <v>18</v>
      </c>
      <c r="B14" s="3" t="s">
        <v>19</v>
      </c>
      <c r="C14" s="9">
        <f t="shared" si="2"/>
        <v>4.0136044023579664</v>
      </c>
      <c r="D14" s="4">
        <v>23.4097488359489</v>
      </c>
      <c r="N14" s="2" t="s">
        <v>18</v>
      </c>
      <c r="O14" s="3" t="s">
        <v>19</v>
      </c>
      <c r="P14" s="8">
        <f>P13/10</f>
        <v>10318.210945826009</v>
      </c>
      <c r="Q14" s="4">
        <v>23.4097488359489</v>
      </c>
    </row>
    <row r="15" spans="1:21" x14ac:dyDescent="0.2">
      <c r="A15" s="2" t="s">
        <v>20</v>
      </c>
      <c r="B15" s="3" t="s">
        <v>19</v>
      </c>
      <c r="C15" s="9">
        <f t="shared" si="2"/>
        <v>4.0136044023579664</v>
      </c>
      <c r="D15" s="4">
        <v>23.186151319106798</v>
      </c>
      <c r="N15" s="2" t="s">
        <v>20</v>
      </c>
      <c r="O15" s="3" t="s">
        <v>19</v>
      </c>
      <c r="P15" s="8">
        <f>P13/10</f>
        <v>10318.210945826009</v>
      </c>
      <c r="Q15" s="4">
        <v>23.186151319106798</v>
      </c>
    </row>
    <row r="16" spans="1:21" x14ac:dyDescent="0.2">
      <c r="A16" s="2" t="s">
        <v>21</v>
      </c>
      <c r="B16" s="3" t="s">
        <v>19</v>
      </c>
      <c r="C16" s="9">
        <f t="shared" si="2"/>
        <v>4.0136044023579664</v>
      </c>
      <c r="D16" s="4">
        <v>23.302255967235499</v>
      </c>
      <c r="N16" s="2" t="s">
        <v>21</v>
      </c>
      <c r="O16" s="3" t="s">
        <v>19</v>
      </c>
      <c r="P16" s="8">
        <f>P13/10</f>
        <v>10318.210945826009</v>
      </c>
      <c r="Q16" s="4">
        <v>23.302255967235499</v>
      </c>
    </row>
    <row r="17" spans="1:17" x14ac:dyDescent="0.2">
      <c r="A17" s="2" t="s">
        <v>22</v>
      </c>
      <c r="B17" s="3" t="s">
        <v>23</v>
      </c>
      <c r="C17" s="9">
        <f t="shared" si="2"/>
        <v>3.0136044023579664</v>
      </c>
      <c r="D17" s="4">
        <v>27.2910485743955</v>
      </c>
      <c r="N17" s="2" t="s">
        <v>22</v>
      </c>
      <c r="O17" s="3" t="s">
        <v>23</v>
      </c>
      <c r="P17" s="8">
        <f>P16/10</f>
        <v>1031.8210945826008</v>
      </c>
      <c r="Q17" s="4">
        <v>27.2910485743955</v>
      </c>
    </row>
    <row r="18" spans="1:17" x14ac:dyDescent="0.2">
      <c r="A18" s="2" t="s">
        <v>24</v>
      </c>
      <c r="B18" s="3" t="s">
        <v>23</v>
      </c>
      <c r="C18" s="9">
        <f t="shared" si="2"/>
        <v>3.0136044023579664</v>
      </c>
      <c r="D18" s="4">
        <v>26.943870293550201</v>
      </c>
      <c r="N18" s="2" t="s">
        <v>24</v>
      </c>
      <c r="O18" s="3" t="s">
        <v>23</v>
      </c>
      <c r="P18" s="8">
        <f>P16/10</f>
        <v>1031.8210945826008</v>
      </c>
      <c r="Q18" s="4">
        <v>26.943870293550201</v>
      </c>
    </row>
    <row r="19" spans="1:17" x14ac:dyDescent="0.2">
      <c r="A19" s="2" t="s">
        <v>25</v>
      </c>
      <c r="B19" s="3" t="s">
        <v>23</v>
      </c>
      <c r="C19" s="9">
        <f t="shared" si="2"/>
        <v>3.0136044023579664</v>
      </c>
      <c r="D19" s="4">
        <v>27.2908130892089</v>
      </c>
      <c r="N19" s="2" t="s">
        <v>25</v>
      </c>
      <c r="O19" s="3" t="s">
        <v>23</v>
      </c>
      <c r="P19" s="8">
        <f>P16/10</f>
        <v>1031.8210945826008</v>
      </c>
      <c r="Q19" s="4">
        <v>27.2908130892089</v>
      </c>
    </row>
    <row r="20" spans="1:17" x14ac:dyDescent="0.2">
      <c r="A20" s="2" t="s">
        <v>26</v>
      </c>
      <c r="B20" s="3" t="s">
        <v>27</v>
      </c>
      <c r="C20" s="9">
        <f t="shared" si="2"/>
        <v>2.0136044023579664</v>
      </c>
      <c r="D20" s="4">
        <v>30.3678262657569</v>
      </c>
      <c r="N20" s="2" t="s">
        <v>26</v>
      </c>
      <c r="O20" s="3" t="s">
        <v>27</v>
      </c>
      <c r="P20" s="8">
        <f>P19/10</f>
        <v>103.18210945826009</v>
      </c>
      <c r="Q20" s="4">
        <v>30.3678262657569</v>
      </c>
    </row>
    <row r="21" spans="1:17" x14ac:dyDescent="0.2">
      <c r="A21" s="2" t="s">
        <v>28</v>
      </c>
      <c r="B21" s="3" t="s">
        <v>27</v>
      </c>
      <c r="C21" s="9">
        <f t="shared" si="2"/>
        <v>2.0136044023579664</v>
      </c>
      <c r="D21" s="4">
        <v>30.362958045381099</v>
      </c>
      <c r="N21" s="2" t="s">
        <v>28</v>
      </c>
      <c r="O21" s="3" t="s">
        <v>27</v>
      </c>
      <c r="P21" s="8">
        <f>P19/10</f>
        <v>103.18210945826009</v>
      </c>
      <c r="Q21" s="4">
        <v>30.362958045381099</v>
      </c>
    </row>
    <row r="22" spans="1:17" x14ac:dyDescent="0.2">
      <c r="A22" s="2" t="s">
        <v>29</v>
      </c>
      <c r="B22" s="3" t="s">
        <v>27</v>
      </c>
      <c r="C22" s="9">
        <f t="shared" si="2"/>
        <v>2.0136044023579664</v>
      </c>
      <c r="D22" s="4">
        <v>30.598285141316499</v>
      </c>
      <c r="N22" s="2" t="s">
        <v>29</v>
      </c>
      <c r="O22" s="3" t="s">
        <v>27</v>
      </c>
      <c r="P22" s="8">
        <f>P19/10</f>
        <v>103.18210945826009</v>
      </c>
      <c r="Q22" s="4">
        <v>30.598285141316499</v>
      </c>
    </row>
    <row r="23" spans="1:17" x14ac:dyDescent="0.2">
      <c r="A23" s="2" t="s">
        <v>30</v>
      </c>
      <c r="B23" s="3" t="s">
        <v>31</v>
      </c>
      <c r="C23" s="9">
        <f t="shared" si="2"/>
        <v>1.0136044023579664</v>
      </c>
      <c r="D23" s="4">
        <v>35.182022232903599</v>
      </c>
      <c r="N23" s="2" t="s">
        <v>30</v>
      </c>
      <c r="O23" s="3" t="s">
        <v>31</v>
      </c>
      <c r="P23" s="8">
        <f>P22/10</f>
        <v>10.318210945826008</v>
      </c>
      <c r="Q23" s="4">
        <v>35.182022232903599</v>
      </c>
    </row>
    <row r="24" spans="1:17" x14ac:dyDescent="0.2">
      <c r="A24" s="2" t="s">
        <v>32</v>
      </c>
      <c r="B24" s="3" t="s">
        <v>31</v>
      </c>
      <c r="C24" s="9">
        <f t="shared" si="2"/>
        <v>1.0136044023579664</v>
      </c>
      <c r="D24" s="4">
        <v>36.0099619196478</v>
      </c>
      <c r="N24" s="2" t="s">
        <v>32</v>
      </c>
      <c r="O24" s="3" t="s">
        <v>31</v>
      </c>
      <c r="P24" s="8">
        <f>P22/10</f>
        <v>10.318210945826008</v>
      </c>
      <c r="Q24" s="4">
        <v>36.0099619196478</v>
      </c>
    </row>
    <row r="25" spans="1:17" x14ac:dyDescent="0.2">
      <c r="A25" s="2" t="s">
        <v>33</v>
      </c>
      <c r="B25" s="3" t="s">
        <v>31</v>
      </c>
      <c r="C25" s="9">
        <f t="shared" si="2"/>
        <v>1.0136044023579664</v>
      </c>
      <c r="D25" s="4">
        <v>33.719737591457204</v>
      </c>
      <c r="N25" s="2" t="s">
        <v>33</v>
      </c>
      <c r="O25" s="3" t="s">
        <v>31</v>
      </c>
      <c r="P25" s="8">
        <f>P22/10</f>
        <v>10.318210945826008</v>
      </c>
      <c r="Q25" s="4">
        <v>33.719737591457204</v>
      </c>
    </row>
    <row r="26" spans="1:17" x14ac:dyDescent="0.2">
      <c r="A26" s="2" t="s">
        <v>34</v>
      </c>
      <c r="B26" s="3" t="s">
        <v>35</v>
      </c>
      <c r="C26" s="9">
        <f>LOG(P26)</f>
        <v>1.3604402357966342E-2</v>
      </c>
      <c r="D26" s="4">
        <v>36.5875582074381</v>
      </c>
      <c r="N26" s="2" t="s">
        <v>34</v>
      </c>
      <c r="O26" s="3" t="s">
        <v>35</v>
      </c>
      <c r="P26" s="8">
        <f>P25/10</f>
        <v>1.0318210945826007</v>
      </c>
      <c r="Q26" s="4">
        <v>36.5875582074381</v>
      </c>
    </row>
    <row r="27" spans="1:17" x14ac:dyDescent="0.2">
      <c r="A27" s="2" t="s">
        <v>36</v>
      </c>
      <c r="B27" s="3" t="s">
        <v>35</v>
      </c>
      <c r="C27" s="9">
        <f t="shared" si="2"/>
        <v>1.3604402357966342E-2</v>
      </c>
      <c r="D27" s="4">
        <v>35.443590041942102</v>
      </c>
      <c r="N27" s="2" t="s">
        <v>36</v>
      </c>
      <c r="O27" s="3" t="s">
        <v>35</v>
      </c>
      <c r="P27" s="8">
        <f>P25/10</f>
        <v>1.0318210945826007</v>
      </c>
      <c r="Q27" s="4">
        <v>35.443590041942102</v>
      </c>
    </row>
    <row r="28" spans="1:17" x14ac:dyDescent="0.2">
      <c r="A28" s="2" t="s">
        <v>37</v>
      </c>
      <c r="B28" s="3" t="s">
        <v>35</v>
      </c>
      <c r="C28" s="9">
        <f t="shared" si="2"/>
        <v>1.3604402357966342E-2</v>
      </c>
      <c r="D28" s="4"/>
      <c r="N28" s="2" t="s">
        <v>37</v>
      </c>
      <c r="O28" s="3" t="s">
        <v>35</v>
      </c>
      <c r="P28" s="8">
        <f>P25/10</f>
        <v>1.0318210945826007</v>
      </c>
      <c r="Q28" s="4"/>
    </row>
    <row r="29" spans="1:17" x14ac:dyDescent="0.2">
      <c r="A29" s="2" t="s">
        <v>38</v>
      </c>
      <c r="B29" s="3" t="s">
        <v>39</v>
      </c>
      <c r="C29" s="3" t="s">
        <v>131</v>
      </c>
      <c r="D29" s="4"/>
      <c r="N29" s="2" t="s">
        <v>38</v>
      </c>
      <c r="O29" s="3" t="s">
        <v>39</v>
      </c>
      <c r="P29" s="1" t="s">
        <v>131</v>
      </c>
      <c r="Q29" s="4"/>
    </row>
    <row r="30" spans="1:17" x14ac:dyDescent="0.2">
      <c r="A30" s="2" t="s">
        <v>40</v>
      </c>
      <c r="B30" s="3" t="s">
        <v>39</v>
      </c>
      <c r="C30" s="3" t="s">
        <v>131</v>
      </c>
      <c r="D30" s="4"/>
      <c r="N30" s="2" t="s">
        <v>40</v>
      </c>
      <c r="O30" s="3" t="s">
        <v>39</v>
      </c>
      <c r="P30" s="1" t="s">
        <v>131</v>
      </c>
      <c r="Q30" s="4"/>
    </row>
    <row r="31" spans="1:17" x14ac:dyDescent="0.2">
      <c r="A31" s="2" t="s">
        <v>41</v>
      </c>
      <c r="B31" s="3" t="s">
        <v>39</v>
      </c>
      <c r="C31" s="3" t="s">
        <v>131</v>
      </c>
      <c r="D31" s="4"/>
      <c r="N31" s="2" t="s">
        <v>41</v>
      </c>
      <c r="O31" s="3" t="s">
        <v>39</v>
      </c>
      <c r="P31" s="1" t="s">
        <v>131</v>
      </c>
      <c r="Q31" s="4"/>
    </row>
    <row r="37" spans="1:21" x14ac:dyDescent="0.2">
      <c r="A37" s="1" t="s">
        <v>0</v>
      </c>
      <c r="B37" s="1" t="s">
        <v>1</v>
      </c>
      <c r="C37" s="1" t="s">
        <v>196</v>
      </c>
      <c r="D37" t="s">
        <v>195</v>
      </c>
      <c r="E37" s="3" t="s">
        <v>197</v>
      </c>
      <c r="F37" s="3" t="s">
        <v>198</v>
      </c>
      <c r="G37" s="3" t="s">
        <v>199</v>
      </c>
      <c r="H37" s="3" t="s">
        <v>200</v>
      </c>
      <c r="I37" s="3" t="s">
        <v>201</v>
      </c>
      <c r="J37" s="3"/>
      <c r="K37" s="3"/>
      <c r="L37" s="3" t="s">
        <v>202</v>
      </c>
      <c r="M37" s="3"/>
      <c r="S37" s="1"/>
      <c r="T37" s="8"/>
      <c r="U37" s="1"/>
    </row>
    <row r="38" spans="1:21" x14ac:dyDescent="0.2">
      <c r="A38" s="2" t="s">
        <v>42</v>
      </c>
      <c r="B38" s="1" t="s">
        <v>43</v>
      </c>
      <c r="C38" s="4">
        <v>17.408169802250999</v>
      </c>
      <c r="D38" s="1">
        <f>(C38-$S$11)/$S$10</f>
        <v>5.6171015362902672</v>
      </c>
      <c r="E38">
        <f>10^D38</f>
        <v>414096.4775819346</v>
      </c>
      <c r="F38" s="10">
        <v>7.6388888888888895E-2</v>
      </c>
      <c r="G38" s="3" t="s">
        <v>203</v>
      </c>
      <c r="H38" s="3" t="s">
        <v>204</v>
      </c>
      <c r="I38" s="3" t="s">
        <v>205</v>
      </c>
      <c r="J38" s="3">
        <f>((E38*50*50)/75)*100</f>
        <v>1380321591.9397821</v>
      </c>
      <c r="K38" s="8">
        <f>J38</f>
        <v>1380321591.9397821</v>
      </c>
      <c r="L38" s="22">
        <f>AVERAGE(K38:K40)</f>
        <v>1402549170.8387263</v>
      </c>
      <c r="M38" s="23" t="s">
        <v>220</v>
      </c>
      <c r="S38" s="1"/>
      <c r="T38" s="8"/>
      <c r="U38" s="1"/>
    </row>
    <row r="39" spans="1:21" x14ac:dyDescent="0.2">
      <c r="A39" s="2" t="s">
        <v>44</v>
      </c>
      <c r="B39" s="1" t="s">
        <v>43</v>
      </c>
      <c r="C39" s="4">
        <v>17.417436962438501</v>
      </c>
      <c r="D39" s="1">
        <f t="shared" ref="D39:D40" si="3">(C39-$S$11)/$S$10</f>
        <v>5.6145870041527886</v>
      </c>
      <c r="E39">
        <f t="shared" ref="E39:E102" si="4">10^D39</f>
        <v>411705.81790650374</v>
      </c>
      <c r="F39" s="10">
        <v>7.6388888888888895E-2</v>
      </c>
      <c r="G39" s="3" t="s">
        <v>203</v>
      </c>
      <c r="H39" s="3" t="s">
        <v>204</v>
      </c>
      <c r="I39" s="3" t="s">
        <v>205</v>
      </c>
      <c r="J39" s="3">
        <f t="shared" ref="J39:J40" si="5">((E39*50*50)/75)*100</f>
        <v>1372352726.3550124</v>
      </c>
      <c r="K39" s="8">
        <f t="shared" ref="K39:K102" si="6">J39</f>
        <v>1372352726.3550124</v>
      </c>
      <c r="L39" s="23"/>
      <c r="M39" s="23"/>
      <c r="S39" s="1"/>
      <c r="T39" s="8"/>
      <c r="U39" s="1"/>
    </row>
    <row r="40" spans="1:21" x14ac:dyDescent="0.2">
      <c r="A40" s="2" t="s">
        <v>45</v>
      </c>
      <c r="B40" s="1" t="s">
        <v>43</v>
      </c>
      <c r="C40" s="4">
        <v>17.323866402824098</v>
      </c>
      <c r="D40" s="1">
        <f t="shared" si="3"/>
        <v>5.6399762468670351</v>
      </c>
      <c r="E40">
        <f t="shared" si="4"/>
        <v>436491.95826641546</v>
      </c>
      <c r="F40" s="10">
        <v>7.6388888888888895E-2</v>
      </c>
      <c r="G40" s="3" t="s">
        <v>203</v>
      </c>
      <c r="H40" s="3" t="s">
        <v>204</v>
      </c>
      <c r="I40" s="3" t="s">
        <v>205</v>
      </c>
      <c r="J40" s="3">
        <f t="shared" si="5"/>
        <v>1454973194.2213845</v>
      </c>
      <c r="K40" s="8">
        <f t="shared" si="6"/>
        <v>1454973194.2213845</v>
      </c>
      <c r="L40" s="23"/>
      <c r="M40" s="23"/>
    </row>
    <row r="41" spans="1:21" x14ac:dyDescent="0.2">
      <c r="A41" s="2" t="s">
        <v>46</v>
      </c>
      <c r="B41" s="1" t="s">
        <v>47</v>
      </c>
      <c r="C41" s="4"/>
      <c r="D41" s="1"/>
      <c r="F41" s="10">
        <v>7.6388888888888895E-2</v>
      </c>
      <c r="G41" s="3" t="s">
        <v>203</v>
      </c>
      <c r="H41" s="3" t="s">
        <v>204</v>
      </c>
      <c r="I41" s="3" t="s">
        <v>206</v>
      </c>
      <c r="J41" s="3"/>
      <c r="K41" s="8"/>
      <c r="L41" s="22">
        <f>AVERAGE(K41:K43)</f>
        <v>755.28121007590676</v>
      </c>
      <c r="M41" s="23" t="s">
        <v>220</v>
      </c>
    </row>
    <row r="42" spans="1:21" x14ac:dyDescent="0.2">
      <c r="A42" s="2" t="s">
        <v>48</v>
      </c>
      <c r="B42" s="1" t="s">
        <v>47</v>
      </c>
      <c r="C42" s="4"/>
      <c r="D42" s="1"/>
      <c r="F42" s="10">
        <v>7.6388888888888895E-2</v>
      </c>
      <c r="G42" s="3" t="s">
        <v>203</v>
      </c>
      <c r="H42" s="3" t="s">
        <v>204</v>
      </c>
      <c r="I42" s="3" t="s">
        <v>206</v>
      </c>
      <c r="J42" s="3"/>
      <c r="K42" s="8"/>
      <c r="L42" s="23"/>
      <c r="M42" s="23"/>
    </row>
    <row r="43" spans="1:21" x14ac:dyDescent="0.2">
      <c r="A43" s="2" t="s">
        <v>49</v>
      </c>
      <c r="B43" s="1" t="s">
        <v>47</v>
      </c>
      <c r="C43" s="4">
        <v>37.449461845406198</v>
      </c>
      <c r="D43" s="1">
        <f>(C43-$S$11)/$S$10</f>
        <v>0.17913867609548578</v>
      </c>
      <c r="E43">
        <f t="shared" si="4"/>
        <v>1.5105624201518133</v>
      </c>
      <c r="F43" s="10">
        <v>7.6388888888888895E-2</v>
      </c>
      <c r="G43" s="3" t="s">
        <v>203</v>
      </c>
      <c r="H43" s="3" t="s">
        <v>204</v>
      </c>
      <c r="I43" s="3" t="s">
        <v>206</v>
      </c>
      <c r="J43" s="3">
        <f t="shared" ref="J43:J46" si="7">(E43*50*50)/5</f>
        <v>755.28121007590676</v>
      </c>
      <c r="K43" s="8">
        <f t="shared" si="6"/>
        <v>755.28121007590676</v>
      </c>
      <c r="L43" s="23"/>
      <c r="M43" s="23"/>
    </row>
    <row r="44" spans="1:21" x14ac:dyDescent="0.2">
      <c r="A44" s="2" t="s">
        <v>50</v>
      </c>
      <c r="B44" s="1" t="s">
        <v>51</v>
      </c>
      <c r="C44" s="4">
        <v>35.272058542818002</v>
      </c>
      <c r="D44" s="1">
        <f t="shared" ref="D44:D46" si="8">(C44-$S$11)/$S$10</f>
        <v>0.76995079866939253</v>
      </c>
      <c r="E44">
        <f t="shared" si="4"/>
        <v>5.8877694888908776</v>
      </c>
      <c r="F44" s="10">
        <v>7.6388888888888895E-2</v>
      </c>
      <c r="G44" s="3" t="s">
        <v>203</v>
      </c>
      <c r="H44" s="3" t="s">
        <v>204</v>
      </c>
      <c r="I44" s="3" t="s">
        <v>206</v>
      </c>
      <c r="J44" s="3">
        <f t="shared" si="7"/>
        <v>2943.8847444454386</v>
      </c>
      <c r="K44" s="8">
        <f t="shared" si="6"/>
        <v>2943.8847444454386</v>
      </c>
      <c r="L44" s="22">
        <f>AVERAGE(K44:K46)</f>
        <v>1763.0952004311423</v>
      </c>
      <c r="M44" s="23" t="s">
        <v>220</v>
      </c>
    </row>
    <row r="45" spans="1:21" x14ac:dyDescent="0.2">
      <c r="A45" s="2" t="s">
        <v>52</v>
      </c>
      <c r="B45" s="1" t="s">
        <v>51</v>
      </c>
      <c r="C45" s="4">
        <v>37.367782515240499</v>
      </c>
      <c r="D45" s="1">
        <f t="shared" si="8"/>
        <v>0.2013013771294421</v>
      </c>
      <c r="E45">
        <f t="shared" si="4"/>
        <v>1.5896494976113635</v>
      </c>
      <c r="F45" s="10">
        <v>7.6388888888888895E-2</v>
      </c>
      <c r="G45" s="3" t="s">
        <v>203</v>
      </c>
      <c r="H45" s="3" t="s">
        <v>204</v>
      </c>
      <c r="I45" s="3" t="s">
        <v>206</v>
      </c>
      <c r="J45" s="3">
        <f t="shared" si="7"/>
        <v>794.82474880568179</v>
      </c>
      <c r="K45" s="8">
        <f t="shared" si="6"/>
        <v>794.82474880568179</v>
      </c>
      <c r="L45" s="23"/>
      <c r="M45" s="23"/>
    </row>
    <row r="46" spans="1:21" x14ac:dyDescent="0.2">
      <c r="A46" s="2" t="s">
        <v>53</v>
      </c>
      <c r="B46" s="1" t="s">
        <v>51</v>
      </c>
      <c r="C46" s="4">
        <v>36.2981874986598</v>
      </c>
      <c r="D46" s="1">
        <f t="shared" si="8"/>
        <v>0.49152308354890284</v>
      </c>
      <c r="E46">
        <f t="shared" si="4"/>
        <v>3.1011522160846128</v>
      </c>
      <c r="F46" s="10">
        <v>7.6388888888888895E-2</v>
      </c>
      <c r="G46" s="3" t="s">
        <v>203</v>
      </c>
      <c r="H46" s="3" t="s">
        <v>204</v>
      </c>
      <c r="I46" s="3" t="s">
        <v>206</v>
      </c>
      <c r="J46" s="3">
        <f t="shared" si="7"/>
        <v>1550.5761080423065</v>
      </c>
      <c r="K46" s="8">
        <f t="shared" si="6"/>
        <v>1550.5761080423065</v>
      </c>
      <c r="L46" s="23"/>
      <c r="M46" s="23"/>
    </row>
    <row r="47" spans="1:21" x14ac:dyDescent="0.2">
      <c r="A47" s="2" t="s">
        <v>54</v>
      </c>
      <c r="B47" s="1" t="s">
        <v>55</v>
      </c>
      <c r="C47" s="4"/>
      <c r="D47" s="1"/>
      <c r="F47" s="10">
        <v>7.6388888888888895E-2</v>
      </c>
      <c r="G47" s="3" t="s">
        <v>203</v>
      </c>
      <c r="H47" s="3" t="s">
        <v>204</v>
      </c>
      <c r="I47" s="3" t="s">
        <v>206</v>
      </c>
      <c r="J47" s="3"/>
      <c r="K47" s="8"/>
      <c r="L47" s="22"/>
      <c r="M47" s="23" t="s">
        <v>220</v>
      </c>
    </row>
    <row r="48" spans="1:21" x14ac:dyDescent="0.2">
      <c r="A48" s="2" t="s">
        <v>56</v>
      </c>
      <c r="B48" s="1" t="s">
        <v>55</v>
      </c>
      <c r="C48" s="4"/>
      <c r="D48" s="1"/>
      <c r="F48" s="10">
        <v>7.6388888888888895E-2</v>
      </c>
      <c r="G48" s="3" t="s">
        <v>203</v>
      </c>
      <c r="H48" s="3" t="s">
        <v>204</v>
      </c>
      <c r="I48" s="3" t="s">
        <v>206</v>
      </c>
      <c r="J48" s="3"/>
      <c r="K48" s="8"/>
      <c r="L48" s="23"/>
      <c r="M48" s="23"/>
    </row>
    <row r="49" spans="1:13" x14ac:dyDescent="0.2">
      <c r="A49" s="2" t="s">
        <v>57</v>
      </c>
      <c r="B49" s="1" t="s">
        <v>55</v>
      </c>
      <c r="C49" s="4"/>
      <c r="D49" s="1"/>
      <c r="F49" s="10">
        <v>7.6388888888888895E-2</v>
      </c>
      <c r="G49" s="3" t="s">
        <v>203</v>
      </c>
      <c r="H49" s="3" t="s">
        <v>204</v>
      </c>
      <c r="I49" s="3" t="s">
        <v>206</v>
      </c>
      <c r="J49" s="3"/>
      <c r="K49" s="8"/>
      <c r="L49" s="23"/>
      <c r="M49" s="23"/>
    </row>
    <row r="50" spans="1:13" x14ac:dyDescent="0.2">
      <c r="A50" s="2" t="s">
        <v>58</v>
      </c>
      <c r="B50" s="1" t="s">
        <v>59</v>
      </c>
      <c r="C50" s="4">
        <v>18.6692456180756</v>
      </c>
      <c r="D50" s="1">
        <f>(C50-$S$11)/$S$10</f>
        <v>5.2749238246149286</v>
      </c>
      <c r="E50">
        <f t="shared" si="4"/>
        <v>188331.87258366778</v>
      </c>
      <c r="F50" s="10">
        <v>7.6388888888888895E-2</v>
      </c>
      <c r="G50" s="3" t="s">
        <v>203</v>
      </c>
      <c r="H50" s="3" t="s">
        <v>204</v>
      </c>
      <c r="I50" s="3" t="s">
        <v>207</v>
      </c>
      <c r="J50" s="3">
        <f>(E50*50*50)*4</f>
        <v>1883318725.8366778</v>
      </c>
      <c r="K50" s="8">
        <f t="shared" si="6"/>
        <v>1883318725.8366778</v>
      </c>
      <c r="L50" s="22">
        <f t="shared" ref="L50" si="9">AVERAGE(K50:K52)</f>
        <v>1947175015.4820757</v>
      </c>
      <c r="M50" s="23" t="s">
        <v>221</v>
      </c>
    </row>
    <row r="51" spans="1:13" x14ac:dyDescent="0.2">
      <c r="A51" s="2" t="s">
        <v>60</v>
      </c>
      <c r="B51" s="1" t="s">
        <v>59</v>
      </c>
      <c r="C51" s="4">
        <v>18.646300620502</v>
      </c>
      <c r="D51" s="1">
        <f t="shared" ref="D51:D102" si="10">(C51-$S$11)/$S$10</f>
        <v>5.2811496729466541</v>
      </c>
      <c r="E51">
        <f t="shared" si="4"/>
        <v>191051.15736956112</v>
      </c>
      <c r="F51" s="10">
        <v>7.6388888888888895E-2</v>
      </c>
      <c r="G51" s="3" t="s">
        <v>203</v>
      </c>
      <c r="H51" s="3" t="s">
        <v>204</v>
      </c>
      <c r="I51" s="3" t="s">
        <v>207</v>
      </c>
      <c r="J51" s="3">
        <f t="shared" ref="J51:J67" si="11">(E51*50*50)*4</f>
        <v>1910511573.6956112</v>
      </c>
      <c r="K51" s="8">
        <f t="shared" si="6"/>
        <v>1910511573.6956112</v>
      </c>
      <c r="L51" s="23"/>
      <c r="M51" s="23"/>
    </row>
    <row r="52" spans="1:13" x14ac:dyDescent="0.2">
      <c r="A52" s="2" t="s">
        <v>61</v>
      </c>
      <c r="B52" s="1" t="s">
        <v>59</v>
      </c>
      <c r="C52" s="4">
        <v>18.5353115585682</v>
      </c>
      <c r="D52" s="1">
        <f t="shared" si="10"/>
        <v>5.311265216165336</v>
      </c>
      <c r="E52">
        <f t="shared" si="4"/>
        <v>204769.47469139379</v>
      </c>
      <c r="F52" s="10">
        <v>7.6388888888888895E-2</v>
      </c>
      <c r="G52" s="3" t="s">
        <v>203</v>
      </c>
      <c r="H52" s="3" t="s">
        <v>204</v>
      </c>
      <c r="I52" s="3" t="s">
        <v>207</v>
      </c>
      <c r="J52" s="3">
        <f t="shared" si="11"/>
        <v>2047694746.9139378</v>
      </c>
      <c r="K52" s="8">
        <f t="shared" si="6"/>
        <v>2047694746.9139378</v>
      </c>
      <c r="L52" s="23"/>
      <c r="M52" s="23"/>
    </row>
    <row r="53" spans="1:13" x14ac:dyDescent="0.2">
      <c r="A53" s="2" t="s">
        <v>62</v>
      </c>
      <c r="B53" s="1" t="s">
        <v>63</v>
      </c>
      <c r="C53" s="4">
        <v>18.093230886182301</v>
      </c>
      <c r="D53" s="1">
        <f t="shared" si="10"/>
        <v>5.4312184742919998</v>
      </c>
      <c r="E53">
        <f t="shared" si="4"/>
        <v>269909.6886912086</v>
      </c>
      <c r="F53" s="10">
        <v>7.6388888888888895E-2</v>
      </c>
      <c r="G53" s="3" t="s">
        <v>203</v>
      </c>
      <c r="H53" s="3" t="s">
        <v>204</v>
      </c>
      <c r="I53" s="3" t="s">
        <v>207</v>
      </c>
      <c r="J53" s="3">
        <f t="shared" si="11"/>
        <v>2699096886.912086</v>
      </c>
      <c r="K53" s="8">
        <f t="shared" si="6"/>
        <v>2699096886.912086</v>
      </c>
      <c r="L53" s="22">
        <f t="shared" ref="L53" si="12">AVERAGE(K53:K55)</f>
        <v>2688574713.3652606</v>
      </c>
      <c r="M53" s="23" t="s">
        <v>221</v>
      </c>
    </row>
    <row r="54" spans="1:13" x14ac:dyDescent="0.2">
      <c r="A54" s="2" t="s">
        <v>64</v>
      </c>
      <c r="B54" s="1" t="s">
        <v>63</v>
      </c>
      <c r="C54" s="4">
        <v>18.020644079112198</v>
      </c>
      <c r="D54" s="1">
        <f t="shared" si="10"/>
        <v>5.4509140288569142</v>
      </c>
      <c r="E54">
        <f t="shared" si="4"/>
        <v>282432.08286805433</v>
      </c>
      <c r="F54" s="10">
        <v>7.6388888888888895E-2</v>
      </c>
      <c r="G54" s="3" t="s">
        <v>203</v>
      </c>
      <c r="H54" s="3" t="s">
        <v>204</v>
      </c>
      <c r="I54" s="3" t="s">
        <v>207</v>
      </c>
      <c r="J54" s="3">
        <f t="shared" si="11"/>
        <v>2824320828.6805434</v>
      </c>
      <c r="K54" s="8">
        <f t="shared" si="6"/>
        <v>2824320828.6805434</v>
      </c>
      <c r="L54" s="23"/>
      <c r="M54" s="23"/>
    </row>
    <row r="55" spans="1:13" x14ac:dyDescent="0.2">
      <c r="A55" s="2" t="s">
        <v>65</v>
      </c>
      <c r="B55" s="1" t="s">
        <v>63</v>
      </c>
      <c r="C55" s="4">
        <v>18.189017636581699</v>
      </c>
      <c r="D55" s="1">
        <f t="shared" si="10"/>
        <v>5.4052278949396779</v>
      </c>
      <c r="E55">
        <f t="shared" si="4"/>
        <v>254230.64245031518</v>
      </c>
      <c r="F55" s="10">
        <v>7.6388888888888895E-2</v>
      </c>
      <c r="G55" s="3" t="s">
        <v>203</v>
      </c>
      <c r="H55" s="3" t="s">
        <v>204</v>
      </c>
      <c r="I55" s="3" t="s">
        <v>207</v>
      </c>
      <c r="J55" s="3">
        <f t="shared" si="11"/>
        <v>2542306424.5031519</v>
      </c>
      <c r="K55" s="8">
        <f t="shared" si="6"/>
        <v>2542306424.5031519</v>
      </c>
      <c r="L55" s="23"/>
      <c r="M55" s="23"/>
    </row>
    <row r="56" spans="1:13" x14ac:dyDescent="0.2">
      <c r="A56" s="2" t="s">
        <v>66</v>
      </c>
      <c r="B56" s="1" t="s">
        <v>67</v>
      </c>
      <c r="C56" s="4">
        <v>18.097844070803198</v>
      </c>
      <c r="D56" s="1">
        <f t="shared" si="10"/>
        <v>5.4299667422888112</v>
      </c>
      <c r="E56">
        <f t="shared" si="4"/>
        <v>269132.86975554645</v>
      </c>
      <c r="F56" s="10">
        <v>7.6388888888888895E-2</v>
      </c>
      <c r="G56" s="3" t="s">
        <v>203</v>
      </c>
      <c r="H56" s="3" t="s">
        <v>204</v>
      </c>
      <c r="I56" s="3" t="s">
        <v>207</v>
      </c>
      <c r="J56" s="3">
        <f t="shared" si="11"/>
        <v>2691328697.5554647</v>
      </c>
      <c r="K56" s="8">
        <f t="shared" si="6"/>
        <v>2691328697.5554647</v>
      </c>
      <c r="L56" s="22">
        <f t="shared" ref="L56" si="13">AVERAGE(K56:K58)</f>
        <v>2926868218.1124825</v>
      </c>
      <c r="M56" s="23" t="s">
        <v>221</v>
      </c>
    </row>
    <row r="57" spans="1:13" x14ac:dyDescent="0.2">
      <c r="A57" s="2" t="s">
        <v>68</v>
      </c>
      <c r="B57" s="1" t="s">
        <v>67</v>
      </c>
      <c r="C57" s="4">
        <v>17.852504612833801</v>
      </c>
      <c r="D57" s="1">
        <f t="shared" si="10"/>
        <v>5.4965366449530242</v>
      </c>
      <c r="E57">
        <f t="shared" si="4"/>
        <v>313715.98266472889</v>
      </c>
      <c r="F57" s="10">
        <v>7.6388888888888895E-2</v>
      </c>
      <c r="G57" s="3" t="s">
        <v>203</v>
      </c>
      <c r="H57" s="3" t="s">
        <v>204</v>
      </c>
      <c r="I57" s="3" t="s">
        <v>207</v>
      </c>
      <c r="J57" s="3">
        <f t="shared" si="11"/>
        <v>3137159826.6472888</v>
      </c>
      <c r="K57" s="8">
        <f t="shared" si="6"/>
        <v>3137159826.6472888</v>
      </c>
      <c r="L57" s="23"/>
      <c r="M57" s="23"/>
    </row>
    <row r="58" spans="1:13" x14ac:dyDescent="0.2">
      <c r="A58" s="2" t="s">
        <v>69</v>
      </c>
      <c r="B58" s="1" t="s">
        <v>67</v>
      </c>
      <c r="C58" s="4">
        <v>17.9498120789541</v>
      </c>
      <c r="D58" s="1">
        <f t="shared" si="10"/>
        <v>5.4701334377325308</v>
      </c>
      <c r="E58">
        <f t="shared" si="4"/>
        <v>295211.61301346944</v>
      </c>
      <c r="F58" s="10">
        <v>7.6388888888888895E-2</v>
      </c>
      <c r="G58" s="3" t="s">
        <v>203</v>
      </c>
      <c r="H58" s="3" t="s">
        <v>204</v>
      </c>
      <c r="I58" s="3" t="s">
        <v>207</v>
      </c>
      <c r="J58" s="3">
        <f t="shared" si="11"/>
        <v>2952116130.1346941</v>
      </c>
      <c r="K58" s="8">
        <f t="shared" si="6"/>
        <v>2952116130.1346941</v>
      </c>
      <c r="L58" s="23"/>
      <c r="M58" s="23"/>
    </row>
    <row r="59" spans="1:13" x14ac:dyDescent="0.2">
      <c r="A59" s="2" t="s">
        <v>70</v>
      </c>
      <c r="B59" s="1" t="s">
        <v>71</v>
      </c>
      <c r="C59" s="4">
        <v>18.099824167000701</v>
      </c>
      <c r="D59" s="1">
        <f t="shared" si="10"/>
        <v>5.4294294670693075</v>
      </c>
      <c r="E59">
        <f t="shared" si="4"/>
        <v>268800.12545040413</v>
      </c>
      <c r="F59" s="10">
        <v>7.6388888888888895E-2</v>
      </c>
      <c r="G59" s="3" t="s">
        <v>203</v>
      </c>
      <c r="H59" s="3" t="s">
        <v>204</v>
      </c>
      <c r="I59" s="3" t="s">
        <v>207</v>
      </c>
      <c r="J59" s="3">
        <f t="shared" si="11"/>
        <v>2688001254.5040412</v>
      </c>
      <c r="K59" s="8">
        <f t="shared" si="6"/>
        <v>2688001254.5040412</v>
      </c>
      <c r="L59" s="22">
        <f t="shared" ref="L59" si="14">AVERAGE(K59:K61)</f>
        <v>2755584497.3484139</v>
      </c>
      <c r="M59" s="23" t="s">
        <v>221</v>
      </c>
    </row>
    <row r="60" spans="1:13" x14ac:dyDescent="0.2">
      <c r="A60" s="2" t="s">
        <v>72</v>
      </c>
      <c r="B60" s="1" t="s">
        <v>71</v>
      </c>
      <c r="C60" s="4">
        <v>18.089369470062501</v>
      </c>
      <c r="D60" s="1">
        <f t="shared" si="10"/>
        <v>5.432266222980159</v>
      </c>
      <c r="E60">
        <f t="shared" si="4"/>
        <v>270561.64016046433</v>
      </c>
      <c r="F60" s="10">
        <v>7.6388888888888895E-2</v>
      </c>
      <c r="G60" s="3" t="s">
        <v>203</v>
      </c>
      <c r="H60" s="3" t="s">
        <v>204</v>
      </c>
      <c r="I60" s="3" t="s">
        <v>207</v>
      </c>
      <c r="J60" s="3">
        <f t="shared" si="11"/>
        <v>2705616401.6046433</v>
      </c>
      <c r="K60" s="8">
        <f t="shared" si="6"/>
        <v>2705616401.6046433</v>
      </c>
      <c r="L60" s="23"/>
      <c r="M60" s="23"/>
    </row>
    <row r="61" spans="1:13" x14ac:dyDescent="0.2">
      <c r="A61" s="2" t="s">
        <v>73</v>
      </c>
      <c r="B61" s="1" t="s">
        <v>71</v>
      </c>
      <c r="C61" s="4">
        <v>17.993216546422001</v>
      </c>
      <c r="D61" s="1">
        <f t="shared" si="10"/>
        <v>5.4583561590247145</v>
      </c>
      <c r="E61">
        <f t="shared" si="4"/>
        <v>287313.58359365579</v>
      </c>
      <c r="F61" s="10">
        <v>7.6388888888888895E-2</v>
      </c>
      <c r="G61" s="3" t="s">
        <v>203</v>
      </c>
      <c r="H61" s="3" t="s">
        <v>204</v>
      </c>
      <c r="I61" s="3" t="s">
        <v>207</v>
      </c>
      <c r="J61" s="3">
        <f t="shared" si="11"/>
        <v>2873135835.9365578</v>
      </c>
      <c r="K61" s="8">
        <f t="shared" si="6"/>
        <v>2873135835.9365578</v>
      </c>
      <c r="L61" s="23"/>
      <c r="M61" s="23"/>
    </row>
    <row r="62" spans="1:13" x14ac:dyDescent="0.2">
      <c r="A62" s="2" t="s">
        <v>74</v>
      </c>
      <c r="B62" s="1" t="s">
        <v>75</v>
      </c>
      <c r="C62" s="4">
        <v>17.8789319506349</v>
      </c>
      <c r="D62" s="1">
        <f t="shared" si="10"/>
        <v>5.4893659056041466</v>
      </c>
      <c r="E62">
        <f t="shared" si="4"/>
        <v>308578.67194762541</v>
      </c>
      <c r="F62" s="10">
        <v>7.6388888888888895E-2</v>
      </c>
      <c r="G62" s="3" t="s">
        <v>203</v>
      </c>
      <c r="H62" s="3" t="s">
        <v>204</v>
      </c>
      <c r="I62" s="3" t="s">
        <v>207</v>
      </c>
      <c r="J62" s="3">
        <f t="shared" si="11"/>
        <v>3085786719.476254</v>
      </c>
      <c r="K62" s="8">
        <f t="shared" si="6"/>
        <v>3085786719.476254</v>
      </c>
      <c r="L62" s="22">
        <f t="shared" ref="L62" si="15">AVERAGE(K62:K64)</f>
        <v>3254880680.9435077</v>
      </c>
      <c r="M62" s="23" t="s">
        <v>221</v>
      </c>
    </row>
    <row r="63" spans="1:13" x14ac:dyDescent="0.2">
      <c r="A63" s="2" t="s">
        <v>76</v>
      </c>
      <c r="B63" s="1" t="s">
        <v>75</v>
      </c>
      <c r="C63" s="4">
        <v>17.790727688071701</v>
      </c>
      <c r="D63" s="1">
        <f t="shared" si="10"/>
        <v>5.5132990683411949</v>
      </c>
      <c r="E63">
        <f t="shared" si="4"/>
        <v>326061.15930407098</v>
      </c>
      <c r="F63" s="10">
        <v>7.6388888888888895E-2</v>
      </c>
      <c r="G63" s="3" t="s">
        <v>203</v>
      </c>
      <c r="H63" s="3" t="s">
        <v>204</v>
      </c>
      <c r="I63" s="3" t="s">
        <v>207</v>
      </c>
      <c r="J63" s="3">
        <f t="shared" si="11"/>
        <v>3260611593.04071</v>
      </c>
      <c r="K63" s="8">
        <f t="shared" si="6"/>
        <v>3260611593.04071</v>
      </c>
      <c r="L63" s="23"/>
      <c r="M63" s="23"/>
    </row>
    <row r="64" spans="1:13" x14ac:dyDescent="0.2">
      <c r="A64" s="2" t="s">
        <v>77</v>
      </c>
      <c r="B64" s="1" t="s">
        <v>75</v>
      </c>
      <c r="C64" s="4">
        <v>17.7151615593618</v>
      </c>
      <c r="D64" s="1">
        <f t="shared" si="10"/>
        <v>5.53380302589684</v>
      </c>
      <c r="E64">
        <f t="shared" si="4"/>
        <v>341824.37303135591</v>
      </c>
      <c r="F64" s="10">
        <v>7.6388888888888895E-2</v>
      </c>
      <c r="G64" s="3" t="s">
        <v>203</v>
      </c>
      <c r="H64" s="3" t="s">
        <v>204</v>
      </c>
      <c r="I64" s="3" t="s">
        <v>207</v>
      </c>
      <c r="J64" s="3">
        <f t="shared" si="11"/>
        <v>3418243730.3135591</v>
      </c>
      <c r="K64" s="8">
        <f t="shared" si="6"/>
        <v>3418243730.3135591</v>
      </c>
      <c r="L64" s="23"/>
      <c r="M64" s="23"/>
    </row>
    <row r="65" spans="1:13" x14ac:dyDescent="0.2">
      <c r="A65" s="2" t="s">
        <v>78</v>
      </c>
      <c r="B65" s="1" t="s">
        <v>79</v>
      </c>
      <c r="C65" s="4">
        <v>17.793268377966601</v>
      </c>
      <c r="D65" s="1">
        <f t="shared" si="10"/>
        <v>5.512609682783717</v>
      </c>
      <c r="E65">
        <f t="shared" si="4"/>
        <v>325543.99053510022</v>
      </c>
      <c r="F65" s="10">
        <v>7.6388888888888895E-2</v>
      </c>
      <c r="G65" s="3" t="s">
        <v>203</v>
      </c>
      <c r="H65" s="3" t="s">
        <v>204</v>
      </c>
      <c r="I65" s="3" t="s">
        <v>207</v>
      </c>
      <c r="J65" s="3">
        <f t="shared" si="11"/>
        <v>3255439905.3510022</v>
      </c>
      <c r="K65" s="8">
        <f t="shared" si="6"/>
        <v>3255439905.3510022</v>
      </c>
      <c r="L65" s="22">
        <f t="shared" ref="L65" si="16">AVERAGE(K65:K67)</f>
        <v>3419720662.0300832</v>
      </c>
      <c r="M65" s="23" t="s">
        <v>221</v>
      </c>
    </row>
    <row r="66" spans="1:13" x14ac:dyDescent="0.2">
      <c r="A66" s="2" t="s">
        <v>80</v>
      </c>
      <c r="B66" s="1" t="s">
        <v>79</v>
      </c>
      <c r="C66" s="4">
        <v>17.6427874570225</v>
      </c>
      <c r="D66" s="1">
        <f t="shared" si="10"/>
        <v>5.5534408655986702</v>
      </c>
      <c r="E66">
        <f t="shared" si="4"/>
        <v>357635.70087194833</v>
      </c>
      <c r="F66" s="10">
        <v>7.6388888888888895E-2</v>
      </c>
      <c r="G66" s="3" t="s">
        <v>203</v>
      </c>
      <c r="H66" s="3" t="s">
        <v>204</v>
      </c>
      <c r="I66" s="3" t="s">
        <v>207</v>
      </c>
      <c r="J66" s="3">
        <f t="shared" si="11"/>
        <v>3576357008.7194829</v>
      </c>
      <c r="K66" s="8">
        <f t="shared" si="6"/>
        <v>3576357008.7194829</v>
      </c>
      <c r="L66" s="23"/>
      <c r="M66" s="23"/>
    </row>
    <row r="67" spans="1:13" x14ac:dyDescent="0.2">
      <c r="A67" s="2" t="s">
        <v>81</v>
      </c>
      <c r="B67" s="1" t="s">
        <v>79</v>
      </c>
      <c r="C67" s="4">
        <v>17.7108962484694</v>
      </c>
      <c r="D67" s="1">
        <f t="shared" si="10"/>
        <v>5.5349603665598126</v>
      </c>
      <c r="E67">
        <f t="shared" si="4"/>
        <v>342736.50720197655</v>
      </c>
      <c r="F67" s="10">
        <v>7.6388888888888895E-2</v>
      </c>
      <c r="G67" s="3" t="s">
        <v>203</v>
      </c>
      <c r="H67" s="3" t="s">
        <v>204</v>
      </c>
      <c r="I67" s="3" t="s">
        <v>207</v>
      </c>
      <c r="J67" s="3">
        <f t="shared" si="11"/>
        <v>3427365072.0197654</v>
      </c>
      <c r="K67" s="8">
        <f t="shared" si="6"/>
        <v>3427365072.0197654</v>
      </c>
      <c r="L67" s="23"/>
      <c r="M67" s="23"/>
    </row>
    <row r="68" spans="1:13" x14ac:dyDescent="0.2">
      <c r="A68" s="2" t="s">
        <v>82</v>
      </c>
      <c r="B68" s="1" t="s">
        <v>83</v>
      </c>
      <c r="C68" s="4">
        <v>39.566601903199</v>
      </c>
      <c r="D68" s="1">
        <f t="shared" si="10"/>
        <v>-0.39532174189138553</v>
      </c>
      <c r="E68">
        <f t="shared" si="4"/>
        <v>0.4024187966963369</v>
      </c>
      <c r="F68" s="10">
        <v>7.6388888888888895E-2</v>
      </c>
      <c r="G68" s="3" t="s">
        <v>203</v>
      </c>
      <c r="H68" s="3" t="s">
        <v>204</v>
      </c>
      <c r="I68" s="1" t="s">
        <v>208</v>
      </c>
      <c r="J68" s="3">
        <f>(E68*50*50)/234.4*1000</f>
        <v>4292.009350430214</v>
      </c>
      <c r="K68" s="8">
        <f t="shared" si="6"/>
        <v>4292.009350430214</v>
      </c>
      <c r="L68" s="22">
        <f t="shared" ref="L68:L101" si="17">AVERAGE(K68:K70)</f>
        <v>16727.048658393716</v>
      </c>
      <c r="M68" s="23" t="s">
        <v>222</v>
      </c>
    </row>
    <row r="69" spans="1:13" x14ac:dyDescent="0.2">
      <c r="A69" s="2" t="s">
        <v>84</v>
      </c>
      <c r="B69" s="1" t="s">
        <v>83</v>
      </c>
      <c r="C69" s="4">
        <v>39.493315260379802</v>
      </c>
      <c r="D69" s="1">
        <f t="shared" si="10"/>
        <v>-0.37543629533729106</v>
      </c>
      <c r="E69">
        <f t="shared" si="4"/>
        <v>0.42127307683471482</v>
      </c>
      <c r="F69" s="10">
        <v>7.6388888888888895E-2</v>
      </c>
      <c r="G69" s="3" t="s">
        <v>203</v>
      </c>
      <c r="H69" s="3" t="s">
        <v>204</v>
      </c>
      <c r="I69" s="1" t="s">
        <v>208</v>
      </c>
      <c r="J69" s="3">
        <f t="shared" ref="J69:J70" si="18">(E69*50*50)/234.4*1000</f>
        <v>4493.1002222132547</v>
      </c>
      <c r="K69" s="8">
        <f t="shared" si="6"/>
        <v>4493.1002222132547</v>
      </c>
      <c r="L69" s="23"/>
      <c r="M69" s="23"/>
    </row>
    <row r="70" spans="1:13" x14ac:dyDescent="0.2">
      <c r="A70" s="2" t="s">
        <v>85</v>
      </c>
      <c r="B70" s="1" t="s">
        <v>83</v>
      </c>
      <c r="C70" s="4">
        <v>35.939029188611798</v>
      </c>
      <c r="D70" s="1">
        <f t="shared" si="10"/>
        <v>0.58897635885499311</v>
      </c>
      <c r="E70">
        <f t="shared" si="4"/>
        <v>3.8812923731019335</v>
      </c>
      <c r="F70" s="10">
        <v>7.6388888888888895E-2</v>
      </c>
      <c r="G70" s="3" t="s">
        <v>203</v>
      </c>
      <c r="H70" s="3" t="s">
        <v>204</v>
      </c>
      <c r="I70" s="1" t="s">
        <v>208</v>
      </c>
      <c r="J70" s="3">
        <f t="shared" si="18"/>
        <v>41396.036402537684</v>
      </c>
      <c r="K70" s="8">
        <f t="shared" si="6"/>
        <v>41396.036402537684</v>
      </c>
      <c r="L70" s="23"/>
      <c r="M70" s="23"/>
    </row>
    <row r="71" spans="1:13" x14ac:dyDescent="0.2">
      <c r="A71" s="2" t="s">
        <v>86</v>
      </c>
      <c r="B71" s="1" t="s">
        <v>87</v>
      </c>
      <c r="C71" s="4">
        <v>38.580109228221701</v>
      </c>
      <c r="D71" s="1">
        <f t="shared" si="10"/>
        <v>-0.12764885349530419</v>
      </c>
      <c r="E71">
        <f t="shared" si="4"/>
        <v>0.74533436649960461</v>
      </c>
      <c r="F71" s="10">
        <v>7.6388888888888895E-2</v>
      </c>
      <c r="G71" s="3" t="s">
        <v>203</v>
      </c>
      <c r="H71" s="3" t="s">
        <v>204</v>
      </c>
      <c r="I71" s="1" t="s">
        <v>209</v>
      </c>
      <c r="J71" s="3">
        <f>(E71*50*50)/250.2*1000</f>
        <v>7447.3857563909341</v>
      </c>
      <c r="K71" s="8">
        <f t="shared" si="6"/>
        <v>7447.3857563909341</v>
      </c>
      <c r="L71" s="22">
        <f t="shared" si="17"/>
        <v>7447.3857563909341</v>
      </c>
      <c r="M71" s="23" t="s">
        <v>222</v>
      </c>
    </row>
    <row r="72" spans="1:13" x14ac:dyDescent="0.2">
      <c r="A72" s="2" t="s">
        <v>88</v>
      </c>
      <c r="B72" s="1" t="s">
        <v>87</v>
      </c>
      <c r="C72" s="4"/>
      <c r="D72" s="1"/>
      <c r="F72" s="10">
        <v>7.6388888888888895E-2</v>
      </c>
      <c r="G72" s="3" t="s">
        <v>203</v>
      </c>
      <c r="H72" s="3" t="s">
        <v>204</v>
      </c>
      <c r="I72" s="1" t="s">
        <v>209</v>
      </c>
      <c r="J72" s="3"/>
      <c r="K72" s="8"/>
      <c r="L72" s="23"/>
      <c r="M72" s="23"/>
    </row>
    <row r="73" spans="1:13" x14ac:dyDescent="0.2">
      <c r="A73" s="2" t="s">
        <v>89</v>
      </c>
      <c r="B73" s="1" t="s">
        <v>87</v>
      </c>
      <c r="C73" s="4"/>
      <c r="D73" s="1"/>
      <c r="F73" s="10">
        <v>7.6388888888888895E-2</v>
      </c>
      <c r="G73" s="3" t="s">
        <v>203</v>
      </c>
      <c r="H73" s="3" t="s">
        <v>204</v>
      </c>
      <c r="I73" s="1" t="s">
        <v>209</v>
      </c>
      <c r="J73" s="3"/>
      <c r="K73" s="8"/>
      <c r="L73" s="23"/>
      <c r="M73" s="23"/>
    </row>
    <row r="74" spans="1:13" x14ac:dyDescent="0.2">
      <c r="A74" s="2" t="s">
        <v>90</v>
      </c>
      <c r="B74" s="1" t="s">
        <v>91</v>
      </c>
      <c r="C74" s="4">
        <v>39.3673132602501</v>
      </c>
      <c r="D74" s="1">
        <f t="shared" si="10"/>
        <v>-0.34124717242345198</v>
      </c>
      <c r="E74">
        <f t="shared" si="4"/>
        <v>0.45577744298060086</v>
      </c>
      <c r="F74" s="10">
        <v>7.6388888888888895E-2</v>
      </c>
      <c r="G74" s="3" t="s">
        <v>203</v>
      </c>
      <c r="H74" s="3" t="s">
        <v>204</v>
      </c>
      <c r="I74" s="1" t="s">
        <v>210</v>
      </c>
      <c r="J74" s="3">
        <f>(E74*50*50)/251.9*1000</f>
        <v>4523.396615527995</v>
      </c>
      <c r="K74" s="8">
        <f t="shared" si="6"/>
        <v>4523.396615527995</v>
      </c>
      <c r="L74" s="22">
        <f t="shared" si="17"/>
        <v>5692.5117835587298</v>
      </c>
      <c r="M74" s="23" t="s">
        <v>222</v>
      </c>
    </row>
    <row r="75" spans="1:13" x14ac:dyDescent="0.2">
      <c r="A75" s="2" t="s">
        <v>92</v>
      </c>
      <c r="B75" s="1" t="s">
        <v>91</v>
      </c>
      <c r="C75" s="4">
        <v>38.700386860532099</v>
      </c>
      <c r="D75" s="1">
        <f t="shared" si="10"/>
        <v>-0.16028473824802861</v>
      </c>
      <c r="E75">
        <f t="shared" si="4"/>
        <v>0.69137753164215454</v>
      </c>
      <c r="F75" s="10">
        <v>7.6388888888888895E-2</v>
      </c>
      <c r="G75" s="3" t="s">
        <v>203</v>
      </c>
      <c r="H75" s="3" t="s">
        <v>204</v>
      </c>
      <c r="I75" s="1" t="s">
        <v>210</v>
      </c>
      <c r="J75" s="3">
        <f t="shared" ref="J75" si="19">(E75*50*50)/251.9*1000</f>
        <v>6861.6269515894655</v>
      </c>
      <c r="K75" s="8">
        <f t="shared" si="6"/>
        <v>6861.6269515894655</v>
      </c>
      <c r="L75" s="23"/>
      <c r="M75" s="23"/>
    </row>
    <row r="76" spans="1:13" x14ac:dyDescent="0.2">
      <c r="A76" s="2" t="s">
        <v>93</v>
      </c>
      <c r="B76" s="1" t="s">
        <v>91</v>
      </c>
      <c r="C76" s="4"/>
      <c r="D76" s="1"/>
      <c r="F76" s="10">
        <v>7.6388888888888895E-2</v>
      </c>
      <c r="G76" s="3" t="s">
        <v>203</v>
      </c>
      <c r="H76" s="3" t="s">
        <v>204</v>
      </c>
      <c r="I76" s="1" t="s">
        <v>210</v>
      </c>
      <c r="J76" s="3"/>
      <c r="K76" s="8"/>
      <c r="L76" s="23"/>
      <c r="M76" s="23"/>
    </row>
    <row r="77" spans="1:13" x14ac:dyDescent="0.2">
      <c r="A77" s="2" t="s">
        <v>94</v>
      </c>
      <c r="B77" s="1" t="s">
        <v>95</v>
      </c>
      <c r="C77" s="4">
        <v>36.4074411981425</v>
      </c>
      <c r="D77" s="1">
        <f t="shared" si="10"/>
        <v>0.46187840999958862</v>
      </c>
      <c r="E77">
        <f t="shared" si="4"/>
        <v>2.8965325281276231</v>
      </c>
      <c r="F77" s="10">
        <v>7.6388888888888895E-2</v>
      </c>
      <c r="G77" s="3" t="s">
        <v>203</v>
      </c>
      <c r="H77" s="3" t="s">
        <v>204</v>
      </c>
      <c r="I77" s="1" t="s">
        <v>211</v>
      </c>
      <c r="J77" s="3">
        <f>(E77*50*50)/256.4*1000</f>
        <v>28242.321842118014</v>
      </c>
      <c r="K77" s="8">
        <f t="shared" si="6"/>
        <v>28242.321842118014</v>
      </c>
      <c r="L77" s="22">
        <f t="shared" si="17"/>
        <v>17449.351337894928</v>
      </c>
      <c r="M77" s="23" t="s">
        <v>222</v>
      </c>
    </row>
    <row r="78" spans="1:13" x14ac:dyDescent="0.2">
      <c r="A78" s="2" t="s">
        <v>96</v>
      </c>
      <c r="B78" s="1" t="s">
        <v>95</v>
      </c>
      <c r="C78" s="4">
        <v>38.057254904706198</v>
      </c>
      <c r="D78" s="1">
        <f t="shared" si="10"/>
        <v>1.4221360583066351E-2</v>
      </c>
      <c r="E78">
        <f t="shared" si="4"/>
        <v>1.0332879400566626</v>
      </c>
      <c r="F78" s="10">
        <v>7.6388888888888895E-2</v>
      </c>
      <c r="G78" s="3" t="s">
        <v>203</v>
      </c>
      <c r="H78" s="3" t="s">
        <v>204</v>
      </c>
      <c r="I78" s="1" t="s">
        <v>211</v>
      </c>
      <c r="J78" s="3">
        <f t="shared" ref="J78:J79" si="20">(E78*50*50)/256.4*1000</f>
        <v>10074.96041396902</v>
      </c>
      <c r="K78" s="8">
        <f t="shared" si="6"/>
        <v>10074.96041396902</v>
      </c>
      <c r="L78" s="23"/>
      <c r="M78" s="23"/>
    </row>
    <row r="79" spans="1:13" x14ac:dyDescent="0.2">
      <c r="A79" s="2" t="s">
        <v>97</v>
      </c>
      <c r="B79" s="1" t="s">
        <v>95</v>
      </c>
      <c r="C79" s="4">
        <v>37.527147642565701</v>
      </c>
      <c r="D79" s="1">
        <f t="shared" si="10"/>
        <v>0.15805957207323351</v>
      </c>
      <c r="E79">
        <f t="shared" si="4"/>
        <v>1.4389959514592248</v>
      </c>
      <c r="F79" s="10">
        <v>7.6388888888888895E-2</v>
      </c>
      <c r="G79" s="3" t="s">
        <v>203</v>
      </c>
      <c r="H79" s="3" t="s">
        <v>204</v>
      </c>
      <c r="I79" s="1" t="s">
        <v>211</v>
      </c>
      <c r="J79" s="3">
        <f t="shared" si="20"/>
        <v>14030.771757597748</v>
      </c>
      <c r="K79" s="8">
        <f t="shared" si="6"/>
        <v>14030.771757597748</v>
      </c>
      <c r="L79" s="23"/>
      <c r="M79" s="23"/>
    </row>
    <row r="80" spans="1:13" x14ac:dyDescent="0.2">
      <c r="A80" s="2" t="s">
        <v>98</v>
      </c>
      <c r="B80" s="1" t="s">
        <v>99</v>
      </c>
      <c r="C80" s="4">
        <v>38.571162279079203</v>
      </c>
      <c r="D80" s="1">
        <f t="shared" si="10"/>
        <v>-0.1252212067625392</v>
      </c>
      <c r="E80">
        <f t="shared" si="4"/>
        <v>0.74951234992903915</v>
      </c>
      <c r="F80" s="10">
        <v>7.6388888888888895E-2</v>
      </c>
      <c r="G80" s="3" t="s">
        <v>203</v>
      </c>
      <c r="H80" s="3" t="s">
        <v>204</v>
      </c>
      <c r="I80" s="1" t="s">
        <v>212</v>
      </c>
      <c r="J80" s="3">
        <f>(E80*50*50)/250.8*1000</f>
        <v>7471.2156093405019</v>
      </c>
      <c r="K80" s="8">
        <f t="shared" si="6"/>
        <v>7471.2156093405019</v>
      </c>
      <c r="L80" s="22">
        <f t="shared" si="17"/>
        <v>11128.463121587929</v>
      </c>
      <c r="M80" s="23" t="s">
        <v>222</v>
      </c>
    </row>
    <row r="81" spans="1:13" x14ac:dyDescent="0.2">
      <c r="A81" s="2" t="s">
        <v>100</v>
      </c>
      <c r="B81" s="1" t="s">
        <v>99</v>
      </c>
      <c r="C81" s="4">
        <v>36.885863689772201</v>
      </c>
      <c r="D81" s="1">
        <f t="shared" si="10"/>
        <v>0.33206423757188269</v>
      </c>
      <c r="E81">
        <f t="shared" si="4"/>
        <v>2.1481481885491442</v>
      </c>
      <c r="F81" s="10">
        <v>7.6388888888888895E-2</v>
      </c>
      <c r="G81" s="3" t="s">
        <v>203</v>
      </c>
      <c r="H81" s="3" t="s">
        <v>204</v>
      </c>
      <c r="I81" s="1" t="s">
        <v>212</v>
      </c>
      <c r="J81" s="3">
        <f t="shared" ref="J81:J82" si="21">(E81*50*50)/250.8*1000</f>
        <v>21412.960412172488</v>
      </c>
      <c r="K81" s="8">
        <f t="shared" si="6"/>
        <v>21412.960412172488</v>
      </c>
      <c r="L81" s="23"/>
      <c r="M81" s="23"/>
    </row>
    <row r="82" spans="1:13" x14ac:dyDescent="0.2">
      <c r="A82" s="2" t="s">
        <v>101</v>
      </c>
      <c r="B82" s="1" t="s">
        <v>99</v>
      </c>
      <c r="C82" s="4">
        <v>39.382186618945099</v>
      </c>
      <c r="D82" s="1">
        <f t="shared" si="10"/>
        <v>-0.34528287890463077</v>
      </c>
      <c r="E82">
        <f t="shared" si="4"/>
        <v>0.45156172259492028</v>
      </c>
      <c r="F82" s="10">
        <v>7.6388888888888895E-2</v>
      </c>
      <c r="G82" s="3" t="s">
        <v>203</v>
      </c>
      <c r="H82" s="3" t="s">
        <v>204</v>
      </c>
      <c r="I82" s="1" t="s">
        <v>212</v>
      </c>
      <c r="J82" s="3">
        <f t="shared" si="21"/>
        <v>4501.2133432507999</v>
      </c>
      <c r="K82" s="8">
        <f t="shared" si="6"/>
        <v>4501.2133432507999</v>
      </c>
      <c r="L82" s="23"/>
      <c r="M82" s="23"/>
    </row>
    <row r="83" spans="1:13" x14ac:dyDescent="0.2">
      <c r="A83" s="2" t="s">
        <v>102</v>
      </c>
      <c r="B83" s="1" t="s">
        <v>103</v>
      </c>
      <c r="C83" s="4">
        <v>38.224806445034403</v>
      </c>
      <c r="D83" s="1">
        <f t="shared" si="10"/>
        <v>-3.1241728897953007E-2</v>
      </c>
      <c r="E83">
        <f t="shared" si="4"/>
        <v>0.93058976376507163</v>
      </c>
      <c r="F83" s="10">
        <v>7.6388888888888895E-2</v>
      </c>
      <c r="G83" s="3" t="s">
        <v>203</v>
      </c>
      <c r="H83" s="3" t="s">
        <v>204</v>
      </c>
      <c r="I83" s="1" t="s">
        <v>213</v>
      </c>
      <c r="J83" s="3">
        <f>(E83*50*50)/246.7*1000</f>
        <v>9430.3786356411802</v>
      </c>
      <c r="K83" s="8">
        <f t="shared" si="6"/>
        <v>9430.3786356411802</v>
      </c>
      <c r="L83" s="22">
        <f t="shared" si="17"/>
        <v>7211.5432640273411</v>
      </c>
      <c r="M83" s="23" t="s">
        <v>222</v>
      </c>
    </row>
    <row r="84" spans="1:13" x14ac:dyDescent="0.2">
      <c r="A84" s="2" t="s">
        <v>104</v>
      </c>
      <c r="B84" s="1" t="s">
        <v>103</v>
      </c>
      <c r="C84" s="4">
        <v>39.242699389170198</v>
      </c>
      <c r="D84" s="1">
        <f t="shared" si="10"/>
        <v>-0.30743470158382635</v>
      </c>
      <c r="E84">
        <f t="shared" si="4"/>
        <v>0.49268041482336428</v>
      </c>
      <c r="F84" s="10">
        <v>7.6388888888888895E-2</v>
      </c>
      <c r="G84" s="3" t="s">
        <v>203</v>
      </c>
      <c r="H84" s="3" t="s">
        <v>204</v>
      </c>
      <c r="I84" s="1" t="s">
        <v>213</v>
      </c>
      <c r="J84" s="3">
        <f t="shared" ref="J84" si="22">(E84*50*50)/246.7*1000</f>
        <v>4992.7078924135012</v>
      </c>
      <c r="K84" s="8">
        <f t="shared" si="6"/>
        <v>4992.7078924135012</v>
      </c>
      <c r="L84" s="23"/>
      <c r="M84" s="23"/>
    </row>
    <row r="85" spans="1:13" x14ac:dyDescent="0.2">
      <c r="A85" s="2" t="s">
        <v>105</v>
      </c>
      <c r="B85" s="1" t="s">
        <v>103</v>
      </c>
      <c r="C85" s="4"/>
      <c r="D85" s="1"/>
      <c r="F85" s="10">
        <v>7.6388888888888895E-2</v>
      </c>
      <c r="G85" s="3" t="s">
        <v>203</v>
      </c>
      <c r="H85" s="3" t="s">
        <v>204</v>
      </c>
      <c r="I85" s="1" t="s">
        <v>213</v>
      </c>
      <c r="J85" s="3"/>
      <c r="K85" s="8"/>
      <c r="L85" s="23"/>
      <c r="M85" s="23"/>
    </row>
    <row r="86" spans="1:13" x14ac:dyDescent="0.2">
      <c r="A86" s="2" t="s">
        <v>106</v>
      </c>
      <c r="B86" s="1" t="s">
        <v>107</v>
      </c>
      <c r="C86" s="4">
        <v>37.592814527606699</v>
      </c>
      <c r="D86" s="1">
        <f t="shared" si="10"/>
        <v>0.1402416548836288</v>
      </c>
      <c r="E86">
        <f t="shared" si="4"/>
        <v>1.3811525668404545</v>
      </c>
      <c r="F86" s="10">
        <v>7.6388888888888895E-2</v>
      </c>
      <c r="G86" s="3" t="s">
        <v>203</v>
      </c>
      <c r="H86" s="3" t="s">
        <v>204</v>
      </c>
      <c r="I86" s="1" t="s">
        <v>214</v>
      </c>
      <c r="J86" s="3">
        <f>(E86*50*50)/236*1000</f>
        <v>14630.853462292951</v>
      </c>
      <c r="K86" s="8">
        <f t="shared" si="6"/>
        <v>14630.853462292951</v>
      </c>
      <c r="L86" s="22">
        <f t="shared" si="17"/>
        <v>10084.370380056287</v>
      </c>
      <c r="M86" s="23" t="s">
        <v>222</v>
      </c>
    </row>
    <row r="87" spans="1:13" x14ac:dyDescent="0.2">
      <c r="A87" s="2" t="s">
        <v>108</v>
      </c>
      <c r="B87" s="1" t="s">
        <v>107</v>
      </c>
      <c r="C87" s="4">
        <v>39.147796298274798</v>
      </c>
      <c r="D87" s="1">
        <f t="shared" si="10"/>
        <v>-0.28168389257931742</v>
      </c>
      <c r="E87">
        <f t="shared" si="4"/>
        <v>0.52277656091417235</v>
      </c>
      <c r="F87" s="10">
        <v>7.6388888888888895E-2</v>
      </c>
      <c r="G87" s="3" t="s">
        <v>203</v>
      </c>
      <c r="H87" s="3" t="s">
        <v>204</v>
      </c>
      <c r="I87" s="1" t="s">
        <v>214</v>
      </c>
      <c r="J87" s="3">
        <f t="shared" ref="J87" si="23">(E87*50*50)/236*1000</f>
        <v>5537.8872978196232</v>
      </c>
      <c r="K87" s="8">
        <f t="shared" si="6"/>
        <v>5537.8872978196232</v>
      </c>
      <c r="L87" s="23"/>
      <c r="M87" s="23"/>
    </row>
    <row r="88" spans="1:13" x14ac:dyDescent="0.2">
      <c r="A88" s="2" t="s">
        <v>109</v>
      </c>
      <c r="B88" s="1" t="s">
        <v>107</v>
      </c>
      <c r="C88" s="4"/>
      <c r="D88" s="1"/>
      <c r="F88" s="10">
        <v>7.6388888888888895E-2</v>
      </c>
      <c r="G88" s="3" t="s">
        <v>203</v>
      </c>
      <c r="H88" s="3" t="s">
        <v>204</v>
      </c>
      <c r="I88" s="1" t="s">
        <v>214</v>
      </c>
      <c r="J88" s="3"/>
      <c r="K88" s="8"/>
      <c r="L88" s="23"/>
      <c r="M88" s="23"/>
    </row>
    <row r="89" spans="1:13" x14ac:dyDescent="0.2">
      <c r="A89" s="2" t="s">
        <v>110</v>
      </c>
      <c r="B89" s="1" t="s">
        <v>111</v>
      </c>
      <c r="C89" s="4">
        <v>36.192110999835499</v>
      </c>
      <c r="D89" s="1">
        <f t="shared" si="10"/>
        <v>0.52030566202258233</v>
      </c>
      <c r="E89">
        <f t="shared" si="4"/>
        <v>3.3136425784245169</v>
      </c>
      <c r="F89" s="10">
        <v>7.6388888888888895E-2</v>
      </c>
      <c r="G89" s="3" t="s">
        <v>203</v>
      </c>
      <c r="H89" s="3" t="s">
        <v>204</v>
      </c>
      <c r="I89" s="1" t="s">
        <v>215</v>
      </c>
      <c r="J89" s="3">
        <f>(E89*50*50)/246.8*1000</f>
        <v>33566.071499437974</v>
      </c>
      <c r="K89" s="8">
        <f t="shared" si="6"/>
        <v>33566.071499437974</v>
      </c>
      <c r="L89" s="22">
        <f t="shared" si="17"/>
        <v>21516.249443639877</v>
      </c>
      <c r="M89" s="23" t="s">
        <v>222</v>
      </c>
    </row>
    <row r="90" spans="1:13" x14ac:dyDescent="0.2">
      <c r="A90" s="2" t="s">
        <v>112</v>
      </c>
      <c r="B90" s="1" t="s">
        <v>111</v>
      </c>
      <c r="C90" s="4">
        <v>38.218051091947402</v>
      </c>
      <c r="D90" s="1">
        <f t="shared" si="10"/>
        <v>-2.9408745320072229E-2</v>
      </c>
      <c r="E90">
        <f t="shared" si="4"/>
        <v>0.93452571172774068</v>
      </c>
      <c r="F90" s="10">
        <v>7.6388888888888895E-2</v>
      </c>
      <c r="G90" s="3" t="s">
        <v>203</v>
      </c>
      <c r="H90" s="3" t="s">
        <v>204</v>
      </c>
      <c r="I90" s="1" t="s">
        <v>215</v>
      </c>
      <c r="J90" s="3">
        <f t="shared" ref="J90" si="24">(E90*50*50)/246.8*1000</f>
        <v>9466.4273878417825</v>
      </c>
      <c r="K90" s="8">
        <f t="shared" si="6"/>
        <v>9466.4273878417825</v>
      </c>
      <c r="L90" s="23"/>
      <c r="M90" s="23"/>
    </row>
    <row r="91" spans="1:13" x14ac:dyDescent="0.2">
      <c r="A91" s="2" t="s">
        <v>113</v>
      </c>
      <c r="B91" s="1" t="s">
        <v>111</v>
      </c>
      <c r="C91" s="4"/>
      <c r="D91" s="1"/>
      <c r="F91" s="10">
        <v>7.6388888888888895E-2</v>
      </c>
      <c r="G91" s="3" t="s">
        <v>203</v>
      </c>
      <c r="H91" s="3" t="s">
        <v>204</v>
      </c>
      <c r="I91" s="1" t="s">
        <v>215</v>
      </c>
      <c r="J91" s="3"/>
      <c r="K91" s="8"/>
      <c r="L91" s="23"/>
      <c r="M91" s="23"/>
    </row>
    <row r="92" spans="1:13" x14ac:dyDescent="0.2">
      <c r="A92" s="2" t="s">
        <v>114</v>
      </c>
      <c r="B92" s="1" t="s">
        <v>115</v>
      </c>
      <c r="C92" s="4">
        <v>39.2009384608305</v>
      </c>
      <c r="D92" s="1">
        <f t="shared" si="10"/>
        <v>-0.29610337739427162</v>
      </c>
      <c r="E92">
        <f t="shared" si="4"/>
        <v>0.50570427223382686</v>
      </c>
      <c r="F92" s="10">
        <v>7.6388888888888895E-2</v>
      </c>
      <c r="G92" s="3" t="s">
        <v>203</v>
      </c>
      <c r="H92" s="3" t="s">
        <v>204</v>
      </c>
      <c r="I92" s="1" t="s">
        <v>216</v>
      </c>
      <c r="J92" s="3">
        <f>(E92*50*50)/249.9*1000</f>
        <v>5059.06634887782</v>
      </c>
      <c r="K92" s="8">
        <f t="shared" si="6"/>
        <v>5059.06634887782</v>
      </c>
      <c r="L92" s="22">
        <f t="shared" si="17"/>
        <v>7506.6969627097133</v>
      </c>
      <c r="M92" s="23" t="s">
        <v>222</v>
      </c>
    </row>
    <row r="93" spans="1:13" x14ac:dyDescent="0.2">
      <c r="A93" s="2" t="s">
        <v>116</v>
      </c>
      <c r="B93" s="1" t="s">
        <v>115</v>
      </c>
      <c r="C93" s="4">
        <v>38.117634167764201</v>
      </c>
      <c r="D93" s="1">
        <f t="shared" si="10"/>
        <v>-2.1618241601294541E-3</v>
      </c>
      <c r="E93">
        <f t="shared" si="4"/>
        <v>0.99503458455109894</v>
      </c>
      <c r="F93" s="10">
        <v>7.6388888888888895E-2</v>
      </c>
      <c r="G93" s="3" t="s">
        <v>203</v>
      </c>
      <c r="H93" s="3" t="s">
        <v>204</v>
      </c>
      <c r="I93" s="1" t="s">
        <v>216</v>
      </c>
      <c r="J93" s="3">
        <f t="shared" ref="J93" si="25">(E93*50*50)/249.9*1000</f>
        <v>9954.3275765416056</v>
      </c>
      <c r="K93" s="8">
        <f t="shared" si="6"/>
        <v>9954.3275765416056</v>
      </c>
      <c r="L93" s="23"/>
      <c r="M93" s="23"/>
    </row>
    <row r="94" spans="1:13" x14ac:dyDescent="0.2">
      <c r="A94" s="2" t="s">
        <v>117</v>
      </c>
      <c r="B94" s="1" t="s">
        <v>115</v>
      </c>
      <c r="C94" s="4"/>
      <c r="D94" s="1"/>
      <c r="F94" s="10">
        <v>7.6388888888888895E-2</v>
      </c>
      <c r="G94" s="3" t="s">
        <v>203</v>
      </c>
      <c r="H94" s="3" t="s">
        <v>204</v>
      </c>
      <c r="I94" s="1" t="s">
        <v>216</v>
      </c>
      <c r="J94" s="3"/>
      <c r="K94" s="8"/>
      <c r="L94" s="23"/>
      <c r="M94" s="23"/>
    </row>
    <row r="95" spans="1:13" x14ac:dyDescent="0.2">
      <c r="A95" s="2" t="s">
        <v>118</v>
      </c>
      <c r="B95" s="1" t="s">
        <v>119</v>
      </c>
      <c r="C95" s="4">
        <v>38.453943908613901</v>
      </c>
      <c r="D95" s="1">
        <f t="shared" si="10"/>
        <v>-9.3415415811023625E-2</v>
      </c>
      <c r="E95">
        <f t="shared" si="4"/>
        <v>0.80646325469261093</v>
      </c>
      <c r="F95" s="10">
        <v>7.6388888888888895E-2</v>
      </c>
      <c r="G95" s="3" t="s">
        <v>203</v>
      </c>
      <c r="H95" s="3" t="s">
        <v>204</v>
      </c>
      <c r="I95" s="1" t="s">
        <v>217</v>
      </c>
      <c r="J95" s="3">
        <f>(E95*50*50)/221.3*1000</f>
        <v>9110.5202744307589</v>
      </c>
      <c r="K95" s="8">
        <f t="shared" si="6"/>
        <v>9110.5202744307589</v>
      </c>
      <c r="L95" s="22">
        <f t="shared" si="17"/>
        <v>6637.549365614439</v>
      </c>
      <c r="M95" s="23" t="s">
        <v>222</v>
      </c>
    </row>
    <row r="96" spans="1:13" x14ac:dyDescent="0.2">
      <c r="A96" s="2" t="s">
        <v>120</v>
      </c>
      <c r="B96" s="1" t="s">
        <v>119</v>
      </c>
      <c r="C96" s="4">
        <v>39.247728010553999</v>
      </c>
      <c r="D96" s="1">
        <f t="shared" si="10"/>
        <v>-0.30879915734167901</v>
      </c>
      <c r="E96">
        <f t="shared" si="4"/>
        <v>0.49113495259153284</v>
      </c>
      <c r="F96" s="10">
        <v>7.6388888888888895E-2</v>
      </c>
      <c r="G96" s="3" t="s">
        <v>203</v>
      </c>
      <c r="H96" s="3" t="s">
        <v>204</v>
      </c>
      <c r="I96" s="1" t="s">
        <v>217</v>
      </c>
      <c r="J96" s="3">
        <f t="shared" ref="J96:J97" si="26">(E96*50*50)/221.3*1000</f>
        <v>5548.2936352409934</v>
      </c>
      <c r="K96" s="8">
        <f t="shared" si="6"/>
        <v>5548.2936352409934</v>
      </c>
      <c r="L96" s="23"/>
      <c r="M96" s="23"/>
    </row>
    <row r="97" spans="1:13" x14ac:dyDescent="0.2">
      <c r="A97" s="2" t="s">
        <v>121</v>
      </c>
      <c r="B97" s="1" t="s">
        <v>119</v>
      </c>
      <c r="C97" s="4">
        <v>39.3350105902976</v>
      </c>
      <c r="D97" s="1">
        <f t="shared" si="10"/>
        <v>-0.33248223256285947</v>
      </c>
      <c r="E97">
        <f t="shared" si="4"/>
        <v>0.4650694022484268</v>
      </c>
      <c r="F97" s="10">
        <v>7.6388888888888895E-2</v>
      </c>
      <c r="G97" s="3" t="s">
        <v>203</v>
      </c>
      <c r="H97" s="3" t="s">
        <v>204</v>
      </c>
      <c r="I97" s="1" t="s">
        <v>217</v>
      </c>
      <c r="J97" s="3">
        <f t="shared" si="26"/>
        <v>5253.8341871715638</v>
      </c>
      <c r="K97" s="8">
        <f t="shared" si="6"/>
        <v>5253.8341871715638</v>
      </c>
      <c r="L97" s="23"/>
      <c r="M97" s="23"/>
    </row>
    <row r="98" spans="1:13" x14ac:dyDescent="0.2">
      <c r="A98" s="2" t="s">
        <v>122</v>
      </c>
      <c r="B98" s="1" t="s">
        <v>123</v>
      </c>
      <c r="C98" s="4">
        <v>39.657701745204598</v>
      </c>
      <c r="D98" s="1">
        <f t="shared" si="10"/>
        <v>-0.42004058518398885</v>
      </c>
      <c r="E98">
        <f t="shared" si="4"/>
        <v>0.38015386896230591</v>
      </c>
      <c r="F98" s="10">
        <v>7.6388888888888895E-2</v>
      </c>
      <c r="G98" s="3" t="s">
        <v>203</v>
      </c>
      <c r="H98" s="3" t="s">
        <v>204</v>
      </c>
      <c r="I98" s="1" t="s">
        <v>218</v>
      </c>
      <c r="J98" s="3">
        <f>(E98*50*50)/250.6*1000</f>
        <v>3792.436841204169</v>
      </c>
      <c r="K98" s="8">
        <f t="shared" si="6"/>
        <v>3792.436841204169</v>
      </c>
      <c r="L98" s="22">
        <f t="shared" si="17"/>
        <v>5877.5031509528271</v>
      </c>
      <c r="M98" s="23" t="s">
        <v>222</v>
      </c>
    </row>
    <row r="99" spans="1:13" x14ac:dyDescent="0.2">
      <c r="A99" s="2" t="s">
        <v>124</v>
      </c>
      <c r="B99" s="1" t="s">
        <v>123</v>
      </c>
      <c r="C99" s="4">
        <v>39.880065227698601</v>
      </c>
      <c r="D99" s="1">
        <f t="shared" si="10"/>
        <v>-0.48037623403647634</v>
      </c>
      <c r="E99">
        <f t="shared" si="4"/>
        <v>0.33084438320824039</v>
      </c>
      <c r="F99" s="10">
        <v>7.6388888888888895E-2</v>
      </c>
      <c r="G99" s="3" t="s">
        <v>203</v>
      </c>
      <c r="H99" s="3" t="s">
        <v>204</v>
      </c>
      <c r="I99" s="1" t="s">
        <v>218</v>
      </c>
      <c r="J99" s="3">
        <f t="shared" ref="J99:J100" si="27">(E99*50*50)/250.6*1000</f>
        <v>3300.5225778954555</v>
      </c>
      <c r="K99" s="8">
        <f t="shared" si="6"/>
        <v>3300.5225778954555</v>
      </c>
      <c r="L99" s="23"/>
      <c r="M99" s="23"/>
    </row>
    <row r="100" spans="1:13" x14ac:dyDescent="0.2">
      <c r="A100" s="2" t="s">
        <v>125</v>
      </c>
      <c r="B100" s="1" t="s">
        <v>123</v>
      </c>
      <c r="C100" s="4">
        <v>38.021720738871601</v>
      </c>
      <c r="D100" s="1">
        <f t="shared" si="10"/>
        <v>2.3863127873341484E-2</v>
      </c>
      <c r="E100">
        <f t="shared" si="4"/>
        <v>1.0564844953839878</v>
      </c>
      <c r="F100" s="10">
        <v>7.6388888888888895E-2</v>
      </c>
      <c r="G100" s="3" t="s">
        <v>203</v>
      </c>
      <c r="H100" s="3" t="s">
        <v>204</v>
      </c>
      <c r="I100" s="1" t="s">
        <v>218</v>
      </c>
      <c r="J100" s="3">
        <f t="shared" si="27"/>
        <v>10539.550033758856</v>
      </c>
      <c r="K100" s="8">
        <f t="shared" si="6"/>
        <v>10539.550033758856</v>
      </c>
      <c r="L100" s="23"/>
      <c r="M100" s="23"/>
    </row>
    <row r="101" spans="1:13" x14ac:dyDescent="0.2">
      <c r="A101" s="2" t="s">
        <v>126</v>
      </c>
      <c r="B101" s="1" t="s">
        <v>127</v>
      </c>
      <c r="C101" s="4"/>
      <c r="D101" s="1"/>
      <c r="F101" s="10">
        <v>7.6388888888888895E-2</v>
      </c>
      <c r="G101" s="3" t="s">
        <v>203</v>
      </c>
      <c r="H101" s="3" t="s">
        <v>204</v>
      </c>
      <c r="I101" s="1" t="s">
        <v>219</v>
      </c>
      <c r="J101" s="3"/>
      <c r="K101" s="8"/>
      <c r="L101" s="22">
        <f t="shared" si="17"/>
        <v>3965.3529589820128</v>
      </c>
      <c r="M101" s="23" t="s">
        <v>222</v>
      </c>
    </row>
    <row r="102" spans="1:13" x14ac:dyDescent="0.2">
      <c r="A102" s="2" t="s">
        <v>128</v>
      </c>
      <c r="B102" s="1" t="s">
        <v>127</v>
      </c>
      <c r="C102" s="4">
        <v>39.7331052746148</v>
      </c>
      <c r="D102" s="1">
        <f t="shared" si="10"/>
        <v>-0.44050042338091433</v>
      </c>
      <c r="E102">
        <f t="shared" si="4"/>
        <v>0.36265993269821556</v>
      </c>
      <c r="F102" s="10">
        <v>7.6388888888888895E-2</v>
      </c>
      <c r="G102" s="3" t="s">
        <v>203</v>
      </c>
      <c r="H102" s="3" t="s">
        <v>204</v>
      </c>
      <c r="I102" s="1" t="s">
        <v>219</v>
      </c>
      <c r="J102" s="3">
        <f t="shared" ref="J102:J103" si="28">(E102*50*50)/243.3*1000</f>
        <v>3726.468687815614</v>
      </c>
      <c r="K102" s="8">
        <f t="shared" si="6"/>
        <v>3726.468687815614</v>
      </c>
      <c r="L102" s="23"/>
      <c r="M102" s="23"/>
    </row>
    <row r="103" spans="1:13" x14ac:dyDescent="0.2">
      <c r="A103" s="2" t="s">
        <v>129</v>
      </c>
      <c r="B103" s="1" t="s">
        <v>127</v>
      </c>
      <c r="C103" s="4">
        <v>39.540025981157903</v>
      </c>
      <c r="D103" s="1">
        <f>(C103-$S$11)/$S$10</f>
        <v>-0.38811068600119025</v>
      </c>
      <c r="E103">
        <f t="shared" ref="E103" si="29">10^D103</f>
        <v>0.40915636723804338</v>
      </c>
      <c r="F103" s="10">
        <v>7.6388888888888895E-2</v>
      </c>
      <c r="G103" s="3" t="s">
        <v>203</v>
      </c>
      <c r="H103" s="3" t="s">
        <v>204</v>
      </c>
      <c r="I103" s="1" t="s">
        <v>219</v>
      </c>
      <c r="J103" s="3">
        <f t="shared" si="28"/>
        <v>4204.2372301484111</v>
      </c>
      <c r="K103" s="8">
        <f t="shared" ref="K103" si="30">J103</f>
        <v>4204.2372301484111</v>
      </c>
      <c r="L103" s="23"/>
      <c r="M103" s="23"/>
    </row>
  </sheetData>
  <mergeCells count="45">
    <mergeCell ref="L101:L103"/>
    <mergeCell ref="M101:M103"/>
    <mergeCell ref="L92:L94"/>
    <mergeCell ref="M92:M94"/>
    <mergeCell ref="L95:L97"/>
    <mergeCell ref="M95:M97"/>
    <mergeCell ref="L98:L100"/>
    <mergeCell ref="M98:M100"/>
    <mergeCell ref="L83:L85"/>
    <mergeCell ref="M83:M85"/>
    <mergeCell ref="L86:L88"/>
    <mergeCell ref="M86:M88"/>
    <mergeCell ref="L89:L91"/>
    <mergeCell ref="M89:M91"/>
    <mergeCell ref="L74:L76"/>
    <mergeCell ref="M74:M76"/>
    <mergeCell ref="L77:L79"/>
    <mergeCell ref="M77:M79"/>
    <mergeCell ref="L80:L82"/>
    <mergeCell ref="M80:M82"/>
    <mergeCell ref="L65:L67"/>
    <mergeCell ref="M65:M67"/>
    <mergeCell ref="L68:L70"/>
    <mergeCell ref="M68:M70"/>
    <mergeCell ref="L71:L73"/>
    <mergeCell ref="M71:M73"/>
    <mergeCell ref="L56:L58"/>
    <mergeCell ref="M56:M58"/>
    <mergeCell ref="L59:L61"/>
    <mergeCell ref="M59:M61"/>
    <mergeCell ref="L62:L64"/>
    <mergeCell ref="M62:M64"/>
    <mergeCell ref="L47:L49"/>
    <mergeCell ref="M47:M49"/>
    <mergeCell ref="L50:L52"/>
    <mergeCell ref="M50:M52"/>
    <mergeCell ref="L53:L55"/>
    <mergeCell ref="M53:M55"/>
    <mergeCell ref="L44:L46"/>
    <mergeCell ref="M44:M46"/>
    <mergeCell ref="S7:U8"/>
    <mergeCell ref="L38:L40"/>
    <mergeCell ref="M38:M40"/>
    <mergeCell ref="L41:L43"/>
    <mergeCell ref="M41:M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F9E8-7EC2-D045-A3C3-770ED9057E91}">
  <dimension ref="A1:U91"/>
  <sheetViews>
    <sheetView topLeftCell="A30" workbookViewId="0">
      <selection activeCell="I80" sqref="I80:I82"/>
    </sheetView>
  </sheetViews>
  <sheetFormatPr baseColWidth="10" defaultRowHeight="16" x14ac:dyDescent="0.2"/>
  <cols>
    <col min="1" max="1" width="5" bestFit="1" customWidth="1"/>
    <col min="2" max="2" width="13.1640625" bestFit="1" customWidth="1"/>
    <col min="3" max="3" width="6.6640625" bestFit="1" customWidth="1"/>
    <col min="4" max="4" width="21.6640625" bestFit="1" customWidth="1"/>
    <col min="6" max="6" width="4.6640625" bestFit="1" customWidth="1"/>
    <col min="7" max="7" width="9.1640625" bestFit="1" customWidth="1"/>
    <col min="8" max="8" width="13" bestFit="1" customWidth="1"/>
    <col min="9" max="9" width="14.33203125" bestFit="1" customWidth="1"/>
    <col min="11" max="12" width="8.6640625" bestFit="1" customWidth="1"/>
    <col min="13" max="13" width="13.1640625" bestFit="1" customWidth="1"/>
    <col min="14" max="14" width="5" bestFit="1" customWidth="1"/>
    <col min="15" max="15" width="8.33203125" bestFit="1" customWidth="1"/>
    <col min="16" max="16" width="9.83203125" bestFit="1" customWidth="1"/>
    <col min="17" max="17" width="5.6640625" bestFit="1" customWidth="1"/>
    <col min="21" max="21" width="13.1640625" bestFit="1" customWidth="1"/>
  </cols>
  <sheetData>
    <row r="1" spans="1:21" x14ac:dyDescent="0.2">
      <c r="A1" s="1" t="s">
        <v>0</v>
      </c>
      <c r="B1" s="1" t="s">
        <v>1</v>
      </c>
      <c r="C1" s="1" t="s">
        <v>193</v>
      </c>
      <c r="D1" s="1" t="s">
        <v>196</v>
      </c>
      <c r="N1" s="1" t="s">
        <v>0</v>
      </c>
      <c r="O1" s="1" t="s">
        <v>1</v>
      </c>
      <c r="P1" s="1" t="s">
        <v>194</v>
      </c>
      <c r="Q1" s="1" t="s">
        <v>196</v>
      </c>
    </row>
    <row r="2" spans="1:21" x14ac:dyDescent="0.2">
      <c r="A2" s="2" t="s">
        <v>2</v>
      </c>
      <c r="B2" s="1" t="s">
        <v>3</v>
      </c>
      <c r="C2" s="11">
        <f>LOG(P2)</f>
        <v>8.0136044023579664</v>
      </c>
      <c r="D2" s="4">
        <v>8.9058225163849407</v>
      </c>
      <c r="N2" s="1" t="s">
        <v>2</v>
      </c>
      <c r="O2" s="1" t="s">
        <v>3</v>
      </c>
      <c r="P2" s="8">
        <v>103182109.45826009</v>
      </c>
      <c r="Q2" s="4">
        <v>8.9058225163849407</v>
      </c>
    </row>
    <row r="3" spans="1:21" x14ac:dyDescent="0.2">
      <c r="A3" s="2" t="s">
        <v>4</v>
      </c>
      <c r="B3" s="1" t="s">
        <v>3</v>
      </c>
      <c r="C3" s="11">
        <f t="shared" ref="C3:C28" si="0">LOG(P3)</f>
        <v>8.0136044023579664</v>
      </c>
      <c r="D3" s="4">
        <v>8.9038908683107802</v>
      </c>
      <c r="N3" s="1" t="s">
        <v>4</v>
      </c>
      <c r="O3" s="1" t="s">
        <v>3</v>
      </c>
      <c r="P3" s="8">
        <v>103182109.45826009</v>
      </c>
      <c r="Q3" s="4">
        <v>8.9038908683107802</v>
      </c>
    </row>
    <row r="4" spans="1:21" x14ac:dyDescent="0.2">
      <c r="A4" s="2" t="s">
        <v>5</v>
      </c>
      <c r="B4" s="1" t="s">
        <v>3</v>
      </c>
      <c r="C4" s="11">
        <f t="shared" si="0"/>
        <v>8.0136044023579664</v>
      </c>
      <c r="D4" s="4">
        <v>8.7940698147487399</v>
      </c>
      <c r="N4" s="1" t="s">
        <v>5</v>
      </c>
      <c r="O4" s="1" t="s">
        <v>3</v>
      </c>
      <c r="P4" s="8">
        <v>103182109.45826009</v>
      </c>
      <c r="Q4" s="4">
        <v>8.7940698147487399</v>
      </c>
    </row>
    <row r="5" spans="1:21" x14ac:dyDescent="0.2">
      <c r="A5" s="2" t="s">
        <v>6</v>
      </c>
      <c r="B5" s="1" t="s">
        <v>7</v>
      </c>
      <c r="C5" s="11">
        <f t="shared" si="0"/>
        <v>7.0136044023579664</v>
      </c>
      <c r="D5" s="4">
        <v>12.820103556845901</v>
      </c>
      <c r="N5" s="1" t="s">
        <v>6</v>
      </c>
      <c r="O5" s="1" t="s">
        <v>7</v>
      </c>
      <c r="P5" s="8">
        <v>10318210.945826009</v>
      </c>
      <c r="Q5" s="4">
        <v>12.820103556845901</v>
      </c>
    </row>
    <row r="6" spans="1:21" ht="17" thickBot="1" x14ac:dyDescent="0.25">
      <c r="A6" s="2" t="s">
        <v>8</v>
      </c>
      <c r="B6" s="1" t="s">
        <v>7</v>
      </c>
      <c r="C6" s="11">
        <f t="shared" si="0"/>
        <v>7.0136044023579664</v>
      </c>
      <c r="D6" s="4">
        <v>12.8688048233081</v>
      </c>
      <c r="N6" s="1" t="s">
        <v>8</v>
      </c>
      <c r="O6" s="1" t="s">
        <v>7</v>
      </c>
      <c r="P6" s="8">
        <v>10318210.945826009</v>
      </c>
      <c r="Q6" s="4">
        <v>12.8688048233081</v>
      </c>
    </row>
    <row r="7" spans="1:21" x14ac:dyDescent="0.2">
      <c r="A7" s="2" t="s">
        <v>9</v>
      </c>
      <c r="B7" s="1" t="s">
        <v>7</v>
      </c>
      <c r="C7" s="11">
        <f t="shared" si="0"/>
        <v>7.0136044023579664</v>
      </c>
      <c r="D7" s="4">
        <v>12.8425024304275</v>
      </c>
      <c r="N7" s="1" t="s">
        <v>9</v>
      </c>
      <c r="O7" s="1" t="s">
        <v>7</v>
      </c>
      <c r="P7" s="8">
        <v>10318210.945826009</v>
      </c>
      <c r="Q7" s="4">
        <v>12.8425024304275</v>
      </c>
      <c r="S7" s="24" t="s">
        <v>223</v>
      </c>
      <c r="T7" s="25"/>
      <c r="U7" s="26"/>
    </row>
    <row r="8" spans="1:21" ht="17" thickBot="1" x14ac:dyDescent="0.25">
      <c r="A8" s="2" t="s">
        <v>10</v>
      </c>
      <c r="B8" s="1" t="s">
        <v>11</v>
      </c>
      <c r="C8" s="11">
        <f t="shared" si="0"/>
        <v>6.0136044023579664</v>
      </c>
      <c r="D8" s="4">
        <v>16.453649594543801</v>
      </c>
      <c r="N8" s="1" t="s">
        <v>10</v>
      </c>
      <c r="O8" s="1" t="s">
        <v>11</v>
      </c>
      <c r="P8" s="8">
        <v>1031821.0945826009</v>
      </c>
      <c r="Q8" s="4">
        <v>16.453649594543801</v>
      </c>
      <c r="S8" s="27"/>
      <c r="T8" s="28"/>
      <c r="U8" s="29"/>
    </row>
    <row r="9" spans="1:21" x14ac:dyDescent="0.2">
      <c r="A9" s="2" t="s">
        <v>12</v>
      </c>
      <c r="B9" s="1" t="s">
        <v>11</v>
      </c>
      <c r="C9" s="11">
        <f t="shared" si="0"/>
        <v>6.0136044023579664</v>
      </c>
      <c r="D9" s="4">
        <v>16.560928078162501</v>
      </c>
      <c r="N9" s="1" t="s">
        <v>12</v>
      </c>
      <c r="O9" s="1" t="s">
        <v>11</v>
      </c>
      <c r="P9" s="8">
        <v>1031821.0945826009</v>
      </c>
      <c r="Q9" s="4">
        <v>16.560928078162501</v>
      </c>
    </row>
    <row r="10" spans="1:21" x14ac:dyDescent="0.2">
      <c r="A10" s="2" t="s">
        <v>13</v>
      </c>
      <c r="B10" s="1" t="s">
        <v>11</v>
      </c>
      <c r="C10" s="11">
        <f t="shared" si="0"/>
        <v>6.0136044023579664</v>
      </c>
      <c r="D10" s="4">
        <v>16.5476741547274</v>
      </c>
      <c r="N10" s="1" t="s">
        <v>13</v>
      </c>
      <c r="O10" s="1" t="s">
        <v>11</v>
      </c>
      <c r="P10" s="8">
        <v>1031821.0945826009</v>
      </c>
      <c r="Q10" s="4">
        <v>16.5476741547274</v>
      </c>
      <c r="S10">
        <f>SLOPE(D2:D22,C2:C22)</f>
        <v>-3.7155135053814092</v>
      </c>
    </row>
    <row r="11" spans="1:21" x14ac:dyDescent="0.2">
      <c r="A11" s="2" t="s">
        <v>14</v>
      </c>
      <c r="B11" s="1" t="s">
        <v>15</v>
      </c>
      <c r="C11" s="11">
        <f t="shared" si="0"/>
        <v>5.0136044023579664</v>
      </c>
      <c r="D11" s="4">
        <v>20.456911253408698</v>
      </c>
      <c r="N11" s="1" t="s">
        <v>14</v>
      </c>
      <c r="O11" s="1" t="s">
        <v>15</v>
      </c>
      <c r="P11" s="8">
        <v>103182.10945826009</v>
      </c>
      <c r="Q11" s="4">
        <v>20.456911253408698</v>
      </c>
      <c r="S11">
        <f>INTERCEPT(D2:D22,C2:C22)</f>
        <v>38.8158592555517</v>
      </c>
    </row>
    <row r="12" spans="1:21" x14ac:dyDescent="0.2">
      <c r="A12" s="2" t="s">
        <v>16</v>
      </c>
      <c r="B12" s="1" t="s">
        <v>15</v>
      </c>
      <c r="C12" s="11">
        <f t="shared" si="0"/>
        <v>5.0136044023579664</v>
      </c>
      <c r="D12" s="4">
        <v>20.439266611550401</v>
      </c>
      <c r="N12" s="1" t="s">
        <v>16</v>
      </c>
      <c r="O12" s="1" t="s">
        <v>15</v>
      </c>
      <c r="P12" s="8">
        <v>103182.10945826009</v>
      </c>
      <c r="Q12" s="4">
        <v>20.439266611550401</v>
      </c>
      <c r="S12">
        <f>-1+10^(-1/S10)</f>
        <v>0.85841114781803363</v>
      </c>
    </row>
    <row r="13" spans="1:21" x14ac:dyDescent="0.2">
      <c r="A13" s="2" t="s">
        <v>17</v>
      </c>
      <c r="B13" s="1" t="s">
        <v>15</v>
      </c>
      <c r="C13" s="11">
        <f t="shared" si="0"/>
        <v>5.0136044023579664</v>
      </c>
      <c r="D13" s="4">
        <v>20.342526360432799</v>
      </c>
      <c r="N13" s="1" t="s">
        <v>17</v>
      </c>
      <c r="O13" s="1" t="s">
        <v>15</v>
      </c>
      <c r="P13" s="8">
        <v>103182.10945826009</v>
      </c>
      <c r="Q13" s="4">
        <v>20.342526360432799</v>
      </c>
    </row>
    <row r="14" spans="1:21" x14ac:dyDescent="0.2">
      <c r="A14" s="2" t="s">
        <v>18</v>
      </c>
      <c r="B14" s="1" t="s">
        <v>19</v>
      </c>
      <c r="C14" s="11">
        <f t="shared" si="0"/>
        <v>4.0136044023579664</v>
      </c>
      <c r="D14" s="4">
        <v>23.928789464946</v>
      </c>
      <c r="N14" s="1" t="s">
        <v>18</v>
      </c>
      <c r="O14" s="1" t="s">
        <v>19</v>
      </c>
      <c r="P14" s="8">
        <v>10318.210945826009</v>
      </c>
      <c r="Q14" s="4">
        <v>23.928789464946</v>
      </c>
    </row>
    <row r="15" spans="1:21" x14ac:dyDescent="0.2">
      <c r="A15" s="2" t="s">
        <v>20</v>
      </c>
      <c r="B15" s="1" t="s">
        <v>19</v>
      </c>
      <c r="C15" s="11">
        <f t="shared" si="0"/>
        <v>4.0136044023579664</v>
      </c>
      <c r="D15" s="4">
        <v>23.725733983439</v>
      </c>
      <c r="N15" s="1" t="s">
        <v>20</v>
      </c>
      <c r="O15" s="1" t="s">
        <v>19</v>
      </c>
      <c r="P15" s="8">
        <v>10318.210945826009</v>
      </c>
      <c r="Q15" s="4">
        <v>23.725733983439</v>
      </c>
    </row>
    <row r="16" spans="1:21" x14ac:dyDescent="0.2">
      <c r="A16" s="2" t="s">
        <v>21</v>
      </c>
      <c r="B16" s="1" t="s">
        <v>19</v>
      </c>
      <c r="C16" s="11">
        <f t="shared" si="0"/>
        <v>4.0136044023579664</v>
      </c>
      <c r="D16" s="4">
        <v>23.848456542954001</v>
      </c>
      <c r="N16" s="1" t="s">
        <v>21</v>
      </c>
      <c r="O16" s="1" t="s">
        <v>19</v>
      </c>
      <c r="P16" s="8">
        <v>10318.210945826009</v>
      </c>
      <c r="Q16" s="4">
        <v>23.848456542954001</v>
      </c>
    </row>
    <row r="17" spans="1:17" x14ac:dyDescent="0.2">
      <c r="A17" s="2" t="s">
        <v>22</v>
      </c>
      <c r="B17" s="1" t="s">
        <v>23</v>
      </c>
      <c r="C17" s="11">
        <f t="shared" si="0"/>
        <v>3.0136044023579664</v>
      </c>
      <c r="D17" s="4">
        <v>27.560338961953502</v>
      </c>
      <c r="N17" s="1" t="s">
        <v>22</v>
      </c>
      <c r="O17" s="1" t="s">
        <v>23</v>
      </c>
      <c r="P17" s="8">
        <v>1031.8210945826008</v>
      </c>
      <c r="Q17" s="4">
        <v>27.560338961953502</v>
      </c>
    </row>
    <row r="18" spans="1:17" x14ac:dyDescent="0.2">
      <c r="A18" s="2" t="s">
        <v>24</v>
      </c>
      <c r="B18" s="1" t="s">
        <v>23</v>
      </c>
      <c r="C18" s="11">
        <f t="shared" si="0"/>
        <v>3.0136044023579664</v>
      </c>
      <c r="D18" s="4">
        <v>27.6760306559881</v>
      </c>
      <c r="N18" s="1" t="s">
        <v>24</v>
      </c>
      <c r="O18" s="1" t="s">
        <v>23</v>
      </c>
      <c r="P18" s="8">
        <v>1031.8210945826008</v>
      </c>
      <c r="Q18" s="4">
        <v>27.6760306559881</v>
      </c>
    </row>
    <row r="19" spans="1:17" x14ac:dyDescent="0.2">
      <c r="A19" s="2" t="s">
        <v>25</v>
      </c>
      <c r="B19" s="1" t="s">
        <v>23</v>
      </c>
      <c r="C19" s="11">
        <f t="shared" si="0"/>
        <v>3.0136044023579664</v>
      </c>
      <c r="D19" s="4">
        <v>27.237559152768601</v>
      </c>
      <c r="N19" s="1" t="s">
        <v>25</v>
      </c>
      <c r="O19" s="1" t="s">
        <v>23</v>
      </c>
      <c r="P19" s="8">
        <v>1031.8210945826008</v>
      </c>
      <c r="Q19" s="4">
        <v>27.237559152768601</v>
      </c>
    </row>
    <row r="20" spans="1:17" x14ac:dyDescent="0.2">
      <c r="A20" s="2" t="s">
        <v>26</v>
      </c>
      <c r="B20" s="1" t="s">
        <v>27</v>
      </c>
      <c r="C20" s="11">
        <f t="shared" si="0"/>
        <v>2.0136044023579664</v>
      </c>
      <c r="D20" s="4">
        <v>31.512090823927199</v>
      </c>
      <c r="N20" s="1" t="s">
        <v>26</v>
      </c>
      <c r="O20" s="1" t="s">
        <v>27</v>
      </c>
      <c r="P20" s="8">
        <v>103.18210945826009</v>
      </c>
      <c r="Q20" s="4">
        <v>31.512090823927199</v>
      </c>
    </row>
    <row r="21" spans="1:17" x14ac:dyDescent="0.2">
      <c r="A21" s="2" t="s">
        <v>28</v>
      </c>
      <c r="B21" s="1" t="s">
        <v>27</v>
      </c>
      <c r="C21" s="11">
        <f t="shared" si="0"/>
        <v>2.0136044023579664</v>
      </c>
      <c r="D21" s="4">
        <v>31.3471156996148</v>
      </c>
      <c r="N21" s="1" t="s">
        <v>28</v>
      </c>
      <c r="O21" s="1" t="s">
        <v>27</v>
      </c>
      <c r="P21" s="8">
        <v>103.18210945826009</v>
      </c>
      <c r="Q21" s="4">
        <v>31.3471156996148</v>
      </c>
    </row>
    <row r="22" spans="1:17" x14ac:dyDescent="0.2">
      <c r="A22" s="2" t="s">
        <v>29</v>
      </c>
      <c r="B22" s="1" t="s">
        <v>27</v>
      </c>
      <c r="C22" s="11">
        <f t="shared" si="0"/>
        <v>2.0136044023579664</v>
      </c>
      <c r="D22" s="4">
        <v>31.170366798527699</v>
      </c>
      <c r="N22" s="1" t="s">
        <v>29</v>
      </c>
      <c r="O22" s="1" t="s">
        <v>27</v>
      </c>
      <c r="P22" s="8">
        <v>103.18210945826009</v>
      </c>
      <c r="Q22" s="4">
        <v>31.170366798527699</v>
      </c>
    </row>
    <row r="23" spans="1:17" x14ac:dyDescent="0.2">
      <c r="A23" s="2" t="s">
        <v>30</v>
      </c>
      <c r="B23" s="1" t="s">
        <v>31</v>
      </c>
      <c r="C23" s="11">
        <f t="shared" si="0"/>
        <v>1.0136044023579664</v>
      </c>
      <c r="D23" s="4">
        <v>37.803902173382099</v>
      </c>
      <c r="N23" s="1" t="s">
        <v>30</v>
      </c>
      <c r="O23" s="1" t="s">
        <v>31</v>
      </c>
      <c r="P23" s="8">
        <v>10.318210945826008</v>
      </c>
      <c r="Q23" s="4">
        <v>37.803902173382099</v>
      </c>
    </row>
    <row r="24" spans="1:17" x14ac:dyDescent="0.2">
      <c r="A24" s="2" t="s">
        <v>32</v>
      </c>
      <c r="B24" s="1" t="s">
        <v>31</v>
      </c>
      <c r="C24" s="11">
        <f t="shared" si="0"/>
        <v>1.0136044023579664</v>
      </c>
      <c r="D24" s="4">
        <v>38.189447942749503</v>
      </c>
      <c r="N24" s="1" t="s">
        <v>32</v>
      </c>
      <c r="O24" s="1" t="s">
        <v>31</v>
      </c>
      <c r="P24" s="8">
        <v>10.318210945826008</v>
      </c>
      <c r="Q24" s="4">
        <v>38.189447942749503</v>
      </c>
    </row>
    <row r="25" spans="1:17" x14ac:dyDescent="0.2">
      <c r="A25" s="2" t="s">
        <v>33</v>
      </c>
      <c r="B25" s="1" t="s">
        <v>31</v>
      </c>
      <c r="C25" s="11">
        <f t="shared" si="0"/>
        <v>1.0136044023579664</v>
      </c>
      <c r="D25" s="4">
        <v>33.777913931533703</v>
      </c>
      <c r="N25" s="1" t="s">
        <v>33</v>
      </c>
      <c r="O25" s="1" t="s">
        <v>31</v>
      </c>
      <c r="P25" s="8">
        <v>10.318210945826008</v>
      </c>
      <c r="Q25" s="4">
        <v>33.777913931533703</v>
      </c>
    </row>
    <row r="26" spans="1:17" x14ac:dyDescent="0.2">
      <c r="A26" s="2" t="s">
        <v>34</v>
      </c>
      <c r="B26" s="1" t="s">
        <v>35</v>
      </c>
      <c r="C26" s="11">
        <f t="shared" si="0"/>
        <v>1.3604402357966342E-2</v>
      </c>
      <c r="D26" s="4"/>
      <c r="N26" s="1" t="s">
        <v>34</v>
      </c>
      <c r="O26" s="1" t="s">
        <v>35</v>
      </c>
      <c r="P26" s="8">
        <v>1.0318210945826007</v>
      </c>
      <c r="Q26" s="4"/>
    </row>
    <row r="27" spans="1:17" x14ac:dyDescent="0.2">
      <c r="A27" s="2" t="s">
        <v>36</v>
      </c>
      <c r="B27" s="1" t="s">
        <v>35</v>
      </c>
      <c r="C27" s="11">
        <f t="shared" si="0"/>
        <v>1.3604402357966342E-2</v>
      </c>
      <c r="D27" s="4">
        <v>36.475560689442901</v>
      </c>
      <c r="N27" s="1" t="s">
        <v>36</v>
      </c>
      <c r="O27" s="1" t="s">
        <v>35</v>
      </c>
      <c r="P27" s="8">
        <v>1.0318210945826007</v>
      </c>
      <c r="Q27" s="4">
        <v>36.475560689442901</v>
      </c>
    </row>
    <row r="28" spans="1:17" x14ac:dyDescent="0.2">
      <c r="A28" s="2" t="s">
        <v>37</v>
      </c>
      <c r="B28" s="1" t="s">
        <v>35</v>
      </c>
      <c r="C28" s="11">
        <f t="shared" si="0"/>
        <v>1.3604402357966342E-2</v>
      </c>
      <c r="D28" s="4">
        <v>38.594926470399898</v>
      </c>
      <c r="N28" s="1" t="s">
        <v>37</v>
      </c>
      <c r="O28" s="1" t="s">
        <v>35</v>
      </c>
      <c r="P28" s="8">
        <v>1.0318210945826007</v>
      </c>
      <c r="Q28" s="4">
        <v>38.594926470399898</v>
      </c>
    </row>
    <row r="29" spans="1:17" x14ac:dyDescent="0.2">
      <c r="A29" s="2" t="s">
        <v>38</v>
      </c>
      <c r="B29" s="1" t="s">
        <v>39</v>
      </c>
      <c r="C29" s="1" t="s">
        <v>131</v>
      </c>
      <c r="D29" s="4">
        <v>36.1002018046103</v>
      </c>
      <c r="N29" s="1" t="s">
        <v>38</v>
      </c>
      <c r="O29" s="1" t="s">
        <v>39</v>
      </c>
      <c r="P29" s="1" t="s">
        <v>131</v>
      </c>
      <c r="Q29" s="4">
        <v>36.1002018046103</v>
      </c>
    </row>
    <row r="30" spans="1:17" x14ac:dyDescent="0.2">
      <c r="A30" s="2" t="s">
        <v>40</v>
      </c>
      <c r="B30" s="1" t="s">
        <v>39</v>
      </c>
      <c r="C30" s="1" t="s">
        <v>131</v>
      </c>
      <c r="D30" s="4">
        <v>36.655613083024903</v>
      </c>
      <c r="N30" s="1" t="s">
        <v>40</v>
      </c>
      <c r="O30" s="1" t="s">
        <v>39</v>
      </c>
      <c r="P30" s="1" t="s">
        <v>131</v>
      </c>
      <c r="Q30" s="4">
        <v>36.655613083024903</v>
      </c>
    </row>
    <row r="31" spans="1:17" x14ac:dyDescent="0.2">
      <c r="A31" s="2" t="s">
        <v>41</v>
      </c>
      <c r="B31" s="1" t="s">
        <v>39</v>
      </c>
      <c r="C31" s="1" t="s">
        <v>131</v>
      </c>
      <c r="D31" s="4"/>
      <c r="N31" s="1" t="s">
        <v>41</v>
      </c>
      <c r="O31" s="1" t="s">
        <v>39</v>
      </c>
      <c r="P31" s="1" t="s">
        <v>131</v>
      </c>
      <c r="Q31" s="4"/>
    </row>
    <row r="37" spans="1:21" x14ac:dyDescent="0.2">
      <c r="A37" s="1" t="s">
        <v>0</v>
      </c>
      <c r="B37" s="1" t="s">
        <v>1</v>
      </c>
      <c r="C37" s="1" t="s">
        <v>196</v>
      </c>
      <c r="D37" t="s">
        <v>223</v>
      </c>
      <c r="E37" s="3" t="s">
        <v>197</v>
      </c>
      <c r="F37" s="3" t="s">
        <v>198</v>
      </c>
      <c r="G37" s="3" t="s">
        <v>199</v>
      </c>
      <c r="H37" s="3" t="s">
        <v>200</v>
      </c>
      <c r="I37" s="3" t="s">
        <v>201</v>
      </c>
      <c r="J37" s="3"/>
      <c r="K37" s="3"/>
      <c r="L37" s="3" t="s">
        <v>202</v>
      </c>
      <c r="M37" s="3"/>
      <c r="S37" s="1"/>
      <c r="T37" s="8"/>
      <c r="U37" s="1"/>
    </row>
    <row r="38" spans="1:21" x14ac:dyDescent="0.2">
      <c r="A38" s="2" t="s">
        <v>42</v>
      </c>
      <c r="B38" s="1" t="s">
        <v>132</v>
      </c>
      <c r="C38" s="4">
        <v>18.157367987044601</v>
      </c>
      <c r="D38" s="1">
        <f>(C38-$S$11)/$S$10</f>
        <v>5.5600635655303421</v>
      </c>
      <c r="E38">
        <f>10^D38</f>
        <v>363131.20059430343</v>
      </c>
      <c r="F38" s="12">
        <v>7.6388888888888895E-2</v>
      </c>
      <c r="G38" s="3" t="s">
        <v>203</v>
      </c>
      <c r="H38" s="3" t="s">
        <v>204</v>
      </c>
      <c r="I38" s="1" t="s">
        <v>224</v>
      </c>
      <c r="J38" s="1">
        <f>(E38*50*50)/2</f>
        <v>453914000.74287933</v>
      </c>
      <c r="K38" s="8">
        <f>J38</f>
        <v>453914000.74287933</v>
      </c>
      <c r="L38" s="22">
        <f>AVERAGE(K38:K40)</f>
        <v>419314529.71570903</v>
      </c>
      <c r="M38" s="23" t="s">
        <v>220</v>
      </c>
      <c r="S38" s="1"/>
      <c r="T38" s="8"/>
      <c r="U38" s="1"/>
    </row>
    <row r="39" spans="1:21" x14ac:dyDescent="0.2">
      <c r="A39" s="2" t="s">
        <v>44</v>
      </c>
      <c r="B39" s="1" t="s">
        <v>132</v>
      </c>
      <c r="C39" s="4">
        <v>18.319550072705098</v>
      </c>
      <c r="D39" s="1">
        <f t="shared" ref="D39:D91" si="1">(C39-$S$11)/$S$10</f>
        <v>5.5164135867520123</v>
      </c>
      <c r="E39">
        <f t="shared" ref="E39:E91" si="2">10^D39</f>
        <v>328407.89321663644</v>
      </c>
      <c r="F39" s="12">
        <v>7.6388888888888895E-2</v>
      </c>
      <c r="G39" s="3" t="s">
        <v>203</v>
      </c>
      <c r="H39" s="3" t="s">
        <v>204</v>
      </c>
      <c r="I39" s="1" t="s">
        <v>224</v>
      </c>
      <c r="J39" s="1">
        <f t="shared" ref="J39:J91" si="3">(E39*50*50)/2</f>
        <v>410509866.52079552</v>
      </c>
      <c r="K39" s="8">
        <f t="shared" ref="K39:K91" si="4">J39</f>
        <v>410509866.52079552</v>
      </c>
      <c r="L39" s="23"/>
      <c r="M39" s="23"/>
      <c r="S39" s="1"/>
      <c r="T39" s="8"/>
      <c r="U39" s="1"/>
    </row>
    <row r="40" spans="1:21" x14ac:dyDescent="0.2">
      <c r="A40" s="2" t="s">
        <v>45</v>
      </c>
      <c r="B40" s="1" t="s">
        <v>132</v>
      </c>
      <c r="C40" s="4">
        <v>18.3877561150574</v>
      </c>
      <c r="D40" s="1">
        <f t="shared" si="1"/>
        <v>5.4980564896095814</v>
      </c>
      <c r="E40">
        <f t="shared" si="2"/>
        <v>314815.77750676183</v>
      </c>
      <c r="F40" s="12">
        <v>7.6388888888888895E-2</v>
      </c>
      <c r="G40" s="3" t="s">
        <v>203</v>
      </c>
      <c r="H40" s="3" t="s">
        <v>204</v>
      </c>
      <c r="I40" s="1" t="s">
        <v>224</v>
      </c>
      <c r="J40" s="1">
        <f t="shared" si="3"/>
        <v>393519721.8834523</v>
      </c>
      <c r="K40" s="8">
        <f t="shared" si="4"/>
        <v>393519721.8834523</v>
      </c>
      <c r="L40" s="23"/>
      <c r="M40" s="23"/>
    </row>
    <row r="41" spans="1:21" x14ac:dyDescent="0.2">
      <c r="A41" s="2" t="s">
        <v>46</v>
      </c>
      <c r="B41" s="1" t="s">
        <v>133</v>
      </c>
      <c r="C41" s="4">
        <v>18.5182423892164</v>
      </c>
      <c r="D41" s="1">
        <f t="shared" si="1"/>
        <v>5.4629371786529637</v>
      </c>
      <c r="E41">
        <f t="shared" si="2"/>
        <v>290360.26136200596</v>
      </c>
      <c r="F41" s="12">
        <v>7.6388888888888895E-2</v>
      </c>
      <c r="G41" s="3" t="s">
        <v>203</v>
      </c>
      <c r="H41" s="3" t="s">
        <v>204</v>
      </c>
      <c r="I41" s="1" t="s">
        <v>224</v>
      </c>
      <c r="J41" s="1">
        <f t="shared" si="3"/>
        <v>362950326.70250744</v>
      </c>
      <c r="K41" s="8">
        <f t="shared" si="4"/>
        <v>362950326.70250744</v>
      </c>
      <c r="L41" s="22">
        <f t="shared" ref="L41" si="5">AVERAGE(K41:K43)</f>
        <v>347255632.7044313</v>
      </c>
      <c r="M41" s="23" t="s">
        <v>220</v>
      </c>
    </row>
    <row r="42" spans="1:21" x14ac:dyDescent="0.2">
      <c r="A42" s="2" t="s">
        <v>48</v>
      </c>
      <c r="B42" s="1" t="s">
        <v>133</v>
      </c>
      <c r="C42" s="4">
        <v>18.505745095024999</v>
      </c>
      <c r="D42" s="1">
        <f t="shared" si="1"/>
        <v>5.4663007229311109</v>
      </c>
      <c r="E42">
        <f t="shared" si="2"/>
        <v>292617.78795086499</v>
      </c>
      <c r="F42" s="12">
        <v>7.6388888888888895E-2</v>
      </c>
      <c r="G42" s="3" t="s">
        <v>203</v>
      </c>
      <c r="H42" s="3" t="s">
        <v>204</v>
      </c>
      <c r="I42" s="1" t="s">
        <v>224</v>
      </c>
      <c r="J42" s="1">
        <f t="shared" si="3"/>
        <v>365772234.93858123</v>
      </c>
      <c r="K42" s="8">
        <f t="shared" si="4"/>
        <v>365772234.93858123</v>
      </c>
      <c r="L42" s="23"/>
      <c r="M42" s="23"/>
    </row>
    <row r="43" spans="1:21" x14ac:dyDescent="0.2">
      <c r="A43" s="2" t="s">
        <v>49</v>
      </c>
      <c r="B43" s="1" t="s">
        <v>133</v>
      </c>
      <c r="C43" s="4">
        <v>18.7569319579198</v>
      </c>
      <c r="D43" s="1">
        <f t="shared" si="1"/>
        <v>5.3986958380259713</v>
      </c>
      <c r="E43">
        <f t="shared" si="2"/>
        <v>250435.46917776408</v>
      </c>
      <c r="F43" s="12">
        <v>7.6388888888888895E-2</v>
      </c>
      <c r="G43" s="3" t="s">
        <v>203</v>
      </c>
      <c r="H43" s="3" t="s">
        <v>204</v>
      </c>
      <c r="I43" s="1" t="s">
        <v>224</v>
      </c>
      <c r="J43" s="1">
        <f t="shared" si="3"/>
        <v>313044336.4722051</v>
      </c>
      <c r="K43" s="8">
        <f t="shared" si="4"/>
        <v>313044336.4722051</v>
      </c>
      <c r="L43" s="23"/>
      <c r="M43" s="23"/>
    </row>
    <row r="44" spans="1:21" x14ac:dyDescent="0.2">
      <c r="A44" s="2" t="s">
        <v>50</v>
      </c>
      <c r="B44" s="1" t="s">
        <v>134</v>
      </c>
      <c r="C44" s="4">
        <v>19.7243279115402</v>
      </c>
      <c r="D44" s="1">
        <f t="shared" si="1"/>
        <v>5.1383291478714979</v>
      </c>
      <c r="E44">
        <f t="shared" si="2"/>
        <v>137508.37437583852</v>
      </c>
      <c r="F44" s="12">
        <v>7.6388888888888895E-2</v>
      </c>
      <c r="G44" s="3" t="s">
        <v>203</v>
      </c>
      <c r="H44" s="3" t="s">
        <v>204</v>
      </c>
      <c r="I44" s="1" t="s">
        <v>224</v>
      </c>
      <c r="J44" s="1">
        <f t="shared" si="3"/>
        <v>171885467.96979815</v>
      </c>
      <c r="K44" s="8">
        <f t="shared" si="4"/>
        <v>171885467.96979815</v>
      </c>
      <c r="L44" s="22">
        <f t="shared" ref="L44" si="6">AVERAGE(K44:K46)</f>
        <v>186164255.48084632</v>
      </c>
      <c r="M44" s="23" t="s">
        <v>220</v>
      </c>
    </row>
    <row r="45" spans="1:21" x14ac:dyDescent="0.2">
      <c r="A45" s="2" t="s">
        <v>52</v>
      </c>
      <c r="B45" s="1" t="s">
        <v>134</v>
      </c>
      <c r="C45" s="4">
        <v>19.500392205573899</v>
      </c>
      <c r="D45" s="1">
        <f t="shared" si="1"/>
        <v>5.198599607295737</v>
      </c>
      <c r="E45">
        <f t="shared" si="2"/>
        <v>157979.0897985542</v>
      </c>
      <c r="F45" s="12">
        <v>7.6388888888888895E-2</v>
      </c>
      <c r="G45" s="3" t="s">
        <v>203</v>
      </c>
      <c r="H45" s="3" t="s">
        <v>204</v>
      </c>
      <c r="I45" s="1" t="s">
        <v>224</v>
      </c>
      <c r="J45" s="1">
        <f t="shared" si="3"/>
        <v>197473862.24819276</v>
      </c>
      <c r="K45" s="8">
        <f t="shared" si="4"/>
        <v>197473862.24819276</v>
      </c>
      <c r="L45" s="23"/>
      <c r="M45" s="23"/>
    </row>
    <row r="46" spans="1:21" x14ac:dyDescent="0.2">
      <c r="A46" s="2" t="s">
        <v>53</v>
      </c>
      <c r="B46" s="1" t="s">
        <v>134</v>
      </c>
      <c r="C46" s="4">
        <v>19.5700257859605</v>
      </c>
      <c r="D46" s="1">
        <f t="shared" si="1"/>
        <v>5.1798582999944056</v>
      </c>
      <c r="E46">
        <f t="shared" si="2"/>
        <v>151306.74897963851</v>
      </c>
      <c r="F46" s="12">
        <v>7.6388888888888895E-2</v>
      </c>
      <c r="G46" s="3" t="s">
        <v>203</v>
      </c>
      <c r="H46" s="3" t="s">
        <v>204</v>
      </c>
      <c r="I46" s="1" t="s">
        <v>224</v>
      </c>
      <c r="J46" s="1">
        <f t="shared" si="3"/>
        <v>189133436.22454813</v>
      </c>
      <c r="K46" s="8">
        <f t="shared" si="4"/>
        <v>189133436.22454813</v>
      </c>
      <c r="L46" s="23"/>
      <c r="M46" s="23"/>
    </row>
    <row r="47" spans="1:21" x14ac:dyDescent="0.2">
      <c r="A47" s="2" t="s">
        <v>54</v>
      </c>
      <c r="B47" s="1" t="s">
        <v>135</v>
      </c>
      <c r="C47" s="4">
        <v>18.730341487932598</v>
      </c>
      <c r="D47" s="1">
        <f t="shared" si="1"/>
        <v>5.4058524450329672</v>
      </c>
      <c r="E47">
        <f t="shared" si="2"/>
        <v>254596.50939501231</v>
      </c>
      <c r="F47" s="12">
        <v>7.6388888888888895E-2</v>
      </c>
      <c r="G47" s="3" t="s">
        <v>203</v>
      </c>
      <c r="H47" s="3" t="s">
        <v>204</v>
      </c>
      <c r="I47" s="1" t="s">
        <v>224</v>
      </c>
      <c r="J47" s="1">
        <f t="shared" si="3"/>
        <v>318245636.74376535</v>
      </c>
      <c r="K47" s="8">
        <f t="shared" si="4"/>
        <v>318245636.74376535</v>
      </c>
      <c r="L47" s="22">
        <f t="shared" ref="L47" si="7">AVERAGE(K47:K49)</f>
        <v>300495714.47575831</v>
      </c>
      <c r="M47" s="23" t="s">
        <v>220</v>
      </c>
    </row>
    <row r="48" spans="1:21" x14ac:dyDescent="0.2">
      <c r="A48" s="2" t="s">
        <v>56</v>
      </c>
      <c r="B48" s="1" t="s">
        <v>135</v>
      </c>
      <c r="C48" s="4">
        <v>18.879903804784998</v>
      </c>
      <c r="D48" s="1">
        <f t="shared" si="1"/>
        <v>5.3655989735718137</v>
      </c>
      <c r="E48">
        <f t="shared" si="2"/>
        <v>232059.29770142608</v>
      </c>
      <c r="F48" s="12">
        <v>7.6388888888888895E-2</v>
      </c>
      <c r="G48" s="3" t="s">
        <v>203</v>
      </c>
      <c r="H48" s="3" t="s">
        <v>204</v>
      </c>
      <c r="I48" s="1" t="s">
        <v>224</v>
      </c>
      <c r="J48" s="1">
        <f t="shared" si="3"/>
        <v>290074122.1267826</v>
      </c>
      <c r="K48" s="8">
        <f t="shared" si="4"/>
        <v>290074122.1267826</v>
      </c>
      <c r="L48" s="23"/>
      <c r="M48" s="23"/>
    </row>
    <row r="49" spans="1:13" x14ac:dyDescent="0.2">
      <c r="A49" s="2" t="s">
        <v>57</v>
      </c>
      <c r="B49" s="1" t="s">
        <v>135</v>
      </c>
      <c r="C49" s="4">
        <v>18.862787675164</v>
      </c>
      <c r="D49" s="1">
        <f t="shared" si="1"/>
        <v>5.3702056395403828</v>
      </c>
      <c r="E49">
        <f t="shared" si="2"/>
        <v>234533.90764538161</v>
      </c>
      <c r="F49" s="12">
        <v>7.6388888888888895E-2</v>
      </c>
      <c r="G49" s="3" t="s">
        <v>203</v>
      </c>
      <c r="H49" s="3" t="s">
        <v>204</v>
      </c>
      <c r="I49" s="1" t="s">
        <v>224</v>
      </c>
      <c r="J49" s="1">
        <f t="shared" si="3"/>
        <v>293167384.55672699</v>
      </c>
      <c r="K49" s="8">
        <f t="shared" si="4"/>
        <v>293167384.55672699</v>
      </c>
      <c r="L49" s="23"/>
      <c r="M49" s="23"/>
    </row>
    <row r="50" spans="1:13" x14ac:dyDescent="0.2">
      <c r="A50" s="2" t="s">
        <v>58</v>
      </c>
      <c r="B50" s="1" t="s">
        <v>136</v>
      </c>
      <c r="C50" s="4">
        <v>18.044091109852101</v>
      </c>
      <c r="D50" s="1">
        <f t="shared" si="1"/>
        <v>5.5905511083769595</v>
      </c>
      <c r="E50">
        <f t="shared" si="2"/>
        <v>389539.14651343343</v>
      </c>
      <c r="F50" s="12">
        <v>7.6388888888888895E-2</v>
      </c>
      <c r="G50" s="3" t="s">
        <v>203</v>
      </c>
      <c r="H50" s="3" t="s">
        <v>204</v>
      </c>
      <c r="I50" s="1" t="s">
        <v>224</v>
      </c>
      <c r="J50" s="1">
        <f t="shared" si="3"/>
        <v>486923933.14179182</v>
      </c>
      <c r="K50" s="8">
        <f t="shared" si="4"/>
        <v>486923933.14179182</v>
      </c>
      <c r="L50" s="22">
        <f t="shared" ref="L50" si="8">AVERAGE(K50:K52)</f>
        <v>481102389.34518367</v>
      </c>
      <c r="M50" s="23" t="s">
        <v>220</v>
      </c>
    </row>
    <row r="51" spans="1:13" x14ac:dyDescent="0.2">
      <c r="A51" s="2" t="s">
        <v>60</v>
      </c>
      <c r="B51" s="1" t="s">
        <v>136</v>
      </c>
      <c r="C51" s="4">
        <v>18.0686135389073</v>
      </c>
      <c r="D51" s="1">
        <f t="shared" si="1"/>
        <v>5.5839510976329043</v>
      </c>
      <c r="E51">
        <f t="shared" si="2"/>
        <v>383664.04177462601</v>
      </c>
      <c r="F51" s="12">
        <v>7.6388888888888895E-2</v>
      </c>
      <c r="G51" s="3" t="s">
        <v>203</v>
      </c>
      <c r="H51" s="3" t="s">
        <v>204</v>
      </c>
      <c r="I51" s="1" t="s">
        <v>224</v>
      </c>
      <c r="J51" s="1">
        <f t="shared" si="3"/>
        <v>479580052.21828252</v>
      </c>
      <c r="K51" s="8">
        <f t="shared" si="4"/>
        <v>479580052.21828252</v>
      </c>
      <c r="L51" s="23"/>
      <c r="M51" s="23"/>
    </row>
    <row r="52" spans="1:13" x14ac:dyDescent="0.2">
      <c r="A52" s="2" t="s">
        <v>61</v>
      </c>
      <c r="B52" s="1" t="s">
        <v>136</v>
      </c>
      <c r="C52" s="4">
        <v>18.077983933815201</v>
      </c>
      <c r="D52" s="1">
        <f t="shared" si="1"/>
        <v>5.5814291326624286</v>
      </c>
      <c r="E52">
        <f t="shared" si="2"/>
        <v>381442.54614038148</v>
      </c>
      <c r="F52" s="12">
        <v>7.6388888888888895E-2</v>
      </c>
      <c r="G52" s="3" t="s">
        <v>203</v>
      </c>
      <c r="H52" s="3" t="s">
        <v>204</v>
      </c>
      <c r="I52" s="1" t="s">
        <v>224</v>
      </c>
      <c r="J52" s="1">
        <f t="shared" si="3"/>
        <v>476803182.67547685</v>
      </c>
      <c r="K52" s="8">
        <f t="shared" si="4"/>
        <v>476803182.67547685</v>
      </c>
      <c r="L52" s="23"/>
      <c r="M52" s="23"/>
    </row>
    <row r="53" spans="1:13" x14ac:dyDescent="0.2">
      <c r="A53" s="2" t="s">
        <v>62</v>
      </c>
      <c r="B53" s="1" t="s">
        <v>137</v>
      </c>
      <c r="C53" s="4">
        <v>18.755526687377699</v>
      </c>
      <c r="D53" s="1">
        <f t="shared" si="1"/>
        <v>5.3990740550718961</v>
      </c>
      <c r="E53">
        <f t="shared" si="2"/>
        <v>250653.66264683043</v>
      </c>
      <c r="F53" s="12">
        <v>7.6388888888888895E-2</v>
      </c>
      <c r="G53" s="3" t="s">
        <v>203</v>
      </c>
      <c r="H53" s="3" t="s">
        <v>204</v>
      </c>
      <c r="I53" s="1" t="s">
        <v>224</v>
      </c>
      <c r="J53" s="1">
        <f t="shared" si="3"/>
        <v>313317078.30853802</v>
      </c>
      <c r="K53" s="8">
        <f t="shared" si="4"/>
        <v>313317078.30853802</v>
      </c>
      <c r="L53" s="22">
        <f t="shared" ref="L53" si="9">AVERAGE(K53:K55)</f>
        <v>312283475.18922776</v>
      </c>
      <c r="M53" s="23" t="s">
        <v>220</v>
      </c>
    </row>
    <row r="54" spans="1:13" x14ac:dyDescent="0.2">
      <c r="A54" s="2" t="s">
        <v>64</v>
      </c>
      <c r="B54" s="1" t="s">
        <v>137</v>
      </c>
      <c r="C54" s="4">
        <v>18.775030916983599</v>
      </c>
      <c r="D54" s="1">
        <f t="shared" si="1"/>
        <v>5.3938246515701591</v>
      </c>
      <c r="E54">
        <f t="shared" si="2"/>
        <v>247642.19887864441</v>
      </c>
      <c r="F54" s="12">
        <v>7.6388888888888895E-2</v>
      </c>
      <c r="G54" s="3" t="s">
        <v>203</v>
      </c>
      <c r="H54" s="3" t="s">
        <v>204</v>
      </c>
      <c r="I54" s="1" t="s">
        <v>224</v>
      </c>
      <c r="J54" s="1">
        <f t="shared" si="3"/>
        <v>309552748.59830552</v>
      </c>
      <c r="K54" s="8">
        <f t="shared" si="4"/>
        <v>309552748.59830552</v>
      </c>
      <c r="L54" s="23"/>
      <c r="M54" s="23"/>
    </row>
    <row r="55" spans="1:13" x14ac:dyDescent="0.2">
      <c r="A55" s="2" t="s">
        <v>65</v>
      </c>
      <c r="B55" s="1" t="s">
        <v>137</v>
      </c>
      <c r="C55" s="4">
        <v>18.752113077531401</v>
      </c>
      <c r="D55" s="1">
        <f t="shared" si="1"/>
        <v>5.3999928001770758</v>
      </c>
      <c r="E55">
        <f t="shared" si="2"/>
        <v>251184.4789286718</v>
      </c>
      <c r="F55" s="12">
        <v>7.6388888888888895E-2</v>
      </c>
      <c r="G55" s="3" t="s">
        <v>203</v>
      </c>
      <c r="H55" s="3" t="s">
        <v>204</v>
      </c>
      <c r="I55" s="1" t="s">
        <v>224</v>
      </c>
      <c r="J55" s="1">
        <f t="shared" si="3"/>
        <v>313980598.6608398</v>
      </c>
      <c r="K55" s="8">
        <f t="shared" si="4"/>
        <v>313980598.6608398</v>
      </c>
      <c r="L55" s="23"/>
      <c r="M55" s="23"/>
    </row>
    <row r="56" spans="1:13" x14ac:dyDescent="0.2">
      <c r="A56" s="2" t="s">
        <v>66</v>
      </c>
      <c r="B56" s="1" t="s">
        <v>138</v>
      </c>
      <c r="C56" s="4">
        <v>18.889434304468701</v>
      </c>
      <c r="D56" s="1">
        <f t="shared" si="1"/>
        <v>5.3630339177134791</v>
      </c>
      <c r="E56">
        <f t="shared" si="2"/>
        <v>230692.73490692113</v>
      </c>
      <c r="F56" s="12">
        <v>7.6388888888888895E-2</v>
      </c>
      <c r="G56" s="3" t="s">
        <v>203</v>
      </c>
      <c r="H56" s="3" t="s">
        <v>204</v>
      </c>
      <c r="I56" s="1" t="s">
        <v>224</v>
      </c>
      <c r="J56" s="1">
        <f t="shared" si="3"/>
        <v>288365918.63365144</v>
      </c>
      <c r="K56" s="8">
        <f t="shared" si="4"/>
        <v>288365918.63365144</v>
      </c>
      <c r="L56" s="22">
        <f t="shared" ref="L56" si="10">AVERAGE(K56:K58)</f>
        <v>303632247.51109844</v>
      </c>
      <c r="M56" s="23" t="s">
        <v>220</v>
      </c>
    </row>
    <row r="57" spans="1:13" x14ac:dyDescent="0.2">
      <c r="A57" s="2" t="s">
        <v>68</v>
      </c>
      <c r="B57" s="1" t="s">
        <v>138</v>
      </c>
      <c r="C57" s="4">
        <v>18.772275419683101</v>
      </c>
      <c r="D57" s="1">
        <f t="shared" si="1"/>
        <v>5.3945662710788778</v>
      </c>
      <c r="E57">
        <f t="shared" si="2"/>
        <v>248065.44437777487</v>
      </c>
      <c r="F57" s="12">
        <v>7.6388888888888895E-2</v>
      </c>
      <c r="G57" s="3" t="s">
        <v>203</v>
      </c>
      <c r="H57" s="3" t="s">
        <v>204</v>
      </c>
      <c r="I57" s="1" t="s">
        <v>224</v>
      </c>
      <c r="J57" s="1">
        <f t="shared" si="3"/>
        <v>310081805.47221857</v>
      </c>
      <c r="K57" s="8">
        <f t="shared" si="4"/>
        <v>310081805.47221857</v>
      </c>
      <c r="L57" s="23"/>
      <c r="M57" s="23"/>
    </row>
    <row r="58" spans="1:13" x14ac:dyDescent="0.2">
      <c r="A58" s="2" t="s">
        <v>69</v>
      </c>
      <c r="B58" s="1" t="s">
        <v>138</v>
      </c>
      <c r="C58" s="4">
        <v>18.760003522344299</v>
      </c>
      <c r="D58" s="1">
        <f t="shared" si="1"/>
        <v>5.3978691516419621</v>
      </c>
      <c r="E58">
        <f t="shared" si="2"/>
        <v>249959.21474194026</v>
      </c>
      <c r="F58" s="12">
        <v>7.6388888888888895E-2</v>
      </c>
      <c r="G58" s="3" t="s">
        <v>203</v>
      </c>
      <c r="H58" s="3" t="s">
        <v>204</v>
      </c>
      <c r="I58" s="1" t="s">
        <v>224</v>
      </c>
      <c r="J58" s="1">
        <f t="shared" si="3"/>
        <v>312449018.42742532</v>
      </c>
      <c r="K58" s="8">
        <f t="shared" si="4"/>
        <v>312449018.42742532</v>
      </c>
      <c r="L58" s="23"/>
      <c r="M58" s="23"/>
    </row>
    <row r="59" spans="1:13" x14ac:dyDescent="0.2">
      <c r="A59" s="2" t="s">
        <v>70</v>
      </c>
      <c r="B59" s="1" t="s">
        <v>139</v>
      </c>
      <c r="C59" s="4">
        <v>19.087532920666099</v>
      </c>
      <c r="D59" s="1">
        <f t="shared" si="1"/>
        <v>5.3097172991867314</v>
      </c>
      <c r="E59">
        <f t="shared" si="2"/>
        <v>204040.93227784801</v>
      </c>
      <c r="F59" s="12">
        <v>7.6388888888888895E-2</v>
      </c>
      <c r="G59" s="3" t="s">
        <v>203</v>
      </c>
      <c r="H59" s="3" t="s">
        <v>204</v>
      </c>
      <c r="I59" s="1" t="s">
        <v>224</v>
      </c>
      <c r="J59" s="1">
        <f t="shared" si="3"/>
        <v>255051165.34731001</v>
      </c>
      <c r="K59" s="8">
        <f t="shared" si="4"/>
        <v>255051165.34731001</v>
      </c>
      <c r="L59" s="22">
        <f t="shared" ref="L59" si="11">AVERAGE(K59:K61)</f>
        <v>238852743.20055571</v>
      </c>
      <c r="M59" s="23" t="s">
        <v>220</v>
      </c>
    </row>
    <row r="60" spans="1:13" x14ac:dyDescent="0.2">
      <c r="A60" s="2" t="s">
        <v>72</v>
      </c>
      <c r="B60" s="1" t="s">
        <v>139</v>
      </c>
      <c r="C60" s="4">
        <v>19.264399915686301</v>
      </c>
      <c r="D60" s="1">
        <f t="shared" si="1"/>
        <v>5.2621149974418895</v>
      </c>
      <c r="E60">
        <f t="shared" si="2"/>
        <v>182858.43454437651</v>
      </c>
      <c r="F60" s="12">
        <v>7.6388888888888895E-2</v>
      </c>
      <c r="G60" s="3" t="s">
        <v>203</v>
      </c>
      <c r="H60" s="3" t="s">
        <v>204</v>
      </c>
      <c r="I60" s="1" t="s">
        <v>224</v>
      </c>
      <c r="J60" s="1">
        <f t="shared" si="3"/>
        <v>228573043.18047065</v>
      </c>
      <c r="K60" s="8">
        <f t="shared" si="4"/>
        <v>228573043.18047065</v>
      </c>
      <c r="L60" s="23"/>
      <c r="M60" s="23"/>
    </row>
    <row r="61" spans="1:13" x14ac:dyDescent="0.2">
      <c r="A61" s="2" t="s">
        <v>73</v>
      </c>
      <c r="B61" s="1" t="s">
        <v>139</v>
      </c>
      <c r="C61" s="4">
        <v>19.233903302586601</v>
      </c>
      <c r="D61" s="1">
        <f t="shared" si="1"/>
        <v>5.2703229108448495</v>
      </c>
      <c r="E61">
        <f t="shared" si="2"/>
        <v>186347.21685910923</v>
      </c>
      <c r="F61" s="12">
        <v>7.6388888888888895E-2</v>
      </c>
      <c r="G61" s="3" t="s">
        <v>203</v>
      </c>
      <c r="H61" s="3" t="s">
        <v>204</v>
      </c>
      <c r="I61" s="1" t="s">
        <v>224</v>
      </c>
      <c r="J61" s="1">
        <f t="shared" si="3"/>
        <v>232934021.07388657</v>
      </c>
      <c r="K61" s="8">
        <f t="shared" si="4"/>
        <v>232934021.07388657</v>
      </c>
      <c r="L61" s="23"/>
      <c r="M61" s="23"/>
    </row>
    <row r="62" spans="1:13" x14ac:dyDescent="0.2">
      <c r="A62" s="2" t="s">
        <v>74</v>
      </c>
      <c r="B62" s="1" t="s">
        <v>140</v>
      </c>
      <c r="C62" s="4">
        <v>17.969458958004299</v>
      </c>
      <c r="D62" s="1">
        <f t="shared" si="1"/>
        <v>5.6106377402085235</v>
      </c>
      <c r="E62">
        <f t="shared" si="2"/>
        <v>407978.93526211742</v>
      </c>
      <c r="F62" s="12">
        <v>7.6388888888888895E-2</v>
      </c>
      <c r="G62" s="3" t="s">
        <v>203</v>
      </c>
      <c r="H62" s="3" t="s">
        <v>204</v>
      </c>
      <c r="I62" s="1" t="s">
        <v>224</v>
      </c>
      <c r="J62" s="1">
        <f t="shared" si="3"/>
        <v>509973669.07764673</v>
      </c>
      <c r="K62" s="8">
        <f t="shared" si="4"/>
        <v>509973669.07764673</v>
      </c>
      <c r="L62" s="22">
        <f t="shared" ref="L62" si="12">AVERAGE(K62:K64)</f>
        <v>491685240.78052634</v>
      </c>
      <c r="M62" s="23" t="s">
        <v>220</v>
      </c>
    </row>
    <row r="63" spans="1:13" x14ac:dyDescent="0.2">
      <c r="A63" s="2" t="s">
        <v>76</v>
      </c>
      <c r="B63" s="1" t="s">
        <v>140</v>
      </c>
      <c r="C63" s="4">
        <v>18.022875625279699</v>
      </c>
      <c r="D63" s="1">
        <f t="shared" si="1"/>
        <v>5.5962610821239727</v>
      </c>
      <c r="E63">
        <f t="shared" si="2"/>
        <v>394694.5068208875</v>
      </c>
      <c r="F63" s="12">
        <v>7.6388888888888895E-2</v>
      </c>
      <c r="G63" s="3" t="s">
        <v>203</v>
      </c>
      <c r="H63" s="3" t="s">
        <v>204</v>
      </c>
      <c r="I63" s="1" t="s">
        <v>224</v>
      </c>
      <c r="J63" s="1">
        <f t="shared" si="3"/>
        <v>493368133.52610934</v>
      </c>
      <c r="K63" s="8">
        <f t="shared" si="4"/>
        <v>493368133.52610934</v>
      </c>
      <c r="L63" s="23"/>
      <c r="M63" s="23"/>
    </row>
    <row r="64" spans="1:13" x14ac:dyDescent="0.2">
      <c r="A64" s="2" t="s">
        <v>77</v>
      </c>
      <c r="B64" s="1" t="s">
        <v>140</v>
      </c>
      <c r="C64" s="4">
        <v>18.095299912488599</v>
      </c>
      <c r="D64" s="1">
        <f t="shared" si="1"/>
        <v>5.5767686789597795</v>
      </c>
      <c r="E64">
        <f t="shared" si="2"/>
        <v>377371.13579025841</v>
      </c>
      <c r="F64" s="12">
        <v>7.6388888888888895E-2</v>
      </c>
      <c r="G64" s="3" t="s">
        <v>203</v>
      </c>
      <c r="H64" s="3" t="s">
        <v>204</v>
      </c>
      <c r="I64" s="1" t="s">
        <v>224</v>
      </c>
      <c r="J64" s="1">
        <f t="shared" si="3"/>
        <v>471713919.73782301</v>
      </c>
      <c r="K64" s="8">
        <f t="shared" si="4"/>
        <v>471713919.73782301</v>
      </c>
      <c r="L64" s="23"/>
      <c r="M64" s="23"/>
    </row>
    <row r="65" spans="1:13" x14ac:dyDescent="0.2">
      <c r="A65" s="2" t="s">
        <v>78</v>
      </c>
      <c r="B65" s="1" t="s">
        <v>141</v>
      </c>
      <c r="C65" s="4">
        <v>19.062227827625001</v>
      </c>
      <c r="D65" s="1">
        <f t="shared" si="1"/>
        <v>5.3165279575262705</v>
      </c>
      <c r="E65">
        <f t="shared" si="2"/>
        <v>207265.94818783464</v>
      </c>
      <c r="F65" s="12">
        <v>7.6388888888888895E-2</v>
      </c>
      <c r="G65" s="3" t="s">
        <v>203</v>
      </c>
      <c r="H65" s="3" t="s">
        <v>204</v>
      </c>
      <c r="I65" s="1" t="s">
        <v>224</v>
      </c>
      <c r="J65" s="1">
        <f t="shared" si="3"/>
        <v>259082435.23479334</v>
      </c>
      <c r="K65" s="8">
        <f t="shared" si="4"/>
        <v>259082435.23479334</v>
      </c>
      <c r="L65" s="22">
        <f t="shared" ref="L65" si="13">AVERAGE(K65:K67)</f>
        <v>248365750.44118533</v>
      </c>
      <c r="M65" s="23" t="s">
        <v>220</v>
      </c>
    </row>
    <row r="66" spans="1:13" x14ac:dyDescent="0.2">
      <c r="A66" s="2" t="s">
        <v>80</v>
      </c>
      <c r="B66" s="1" t="s">
        <v>141</v>
      </c>
      <c r="C66" s="4">
        <v>19.186257598346099</v>
      </c>
      <c r="D66" s="1">
        <f t="shared" si="1"/>
        <v>5.2831463615392131</v>
      </c>
      <c r="E66">
        <f t="shared" si="2"/>
        <v>191931.54599968946</v>
      </c>
      <c r="F66" s="12">
        <v>7.6388888888888895E-2</v>
      </c>
      <c r="G66" s="3" t="s">
        <v>203</v>
      </c>
      <c r="H66" s="3" t="s">
        <v>204</v>
      </c>
      <c r="I66" s="1" t="s">
        <v>224</v>
      </c>
      <c r="J66" s="1">
        <f t="shared" si="3"/>
        <v>239914432.49961185</v>
      </c>
      <c r="K66" s="8">
        <f t="shared" si="4"/>
        <v>239914432.49961185</v>
      </c>
      <c r="L66" s="23"/>
      <c r="M66" s="23"/>
    </row>
    <row r="67" spans="1:13" x14ac:dyDescent="0.2">
      <c r="A67" s="2" t="s">
        <v>81</v>
      </c>
      <c r="B67" s="1" t="s">
        <v>141</v>
      </c>
      <c r="C67" s="4">
        <v>19.145179192845401</v>
      </c>
      <c r="D67" s="1">
        <f t="shared" si="1"/>
        <v>5.2942022776168169</v>
      </c>
      <c r="E67">
        <f t="shared" si="2"/>
        <v>196880.30687132064</v>
      </c>
      <c r="F67" s="12">
        <v>7.6388888888888895E-2</v>
      </c>
      <c r="G67" s="3" t="s">
        <v>203</v>
      </c>
      <c r="H67" s="3" t="s">
        <v>204</v>
      </c>
      <c r="I67" s="1" t="s">
        <v>224</v>
      </c>
      <c r="J67" s="1">
        <f t="shared" si="3"/>
        <v>246100383.58915082</v>
      </c>
      <c r="K67" s="8">
        <f t="shared" si="4"/>
        <v>246100383.58915082</v>
      </c>
      <c r="L67" s="23"/>
      <c r="M67" s="23"/>
    </row>
    <row r="68" spans="1:13" x14ac:dyDescent="0.2">
      <c r="A68" s="2" t="s">
        <v>82</v>
      </c>
      <c r="B68" s="1" t="s">
        <v>142</v>
      </c>
      <c r="C68" s="4">
        <v>18.2472832387263</v>
      </c>
      <c r="D68" s="1">
        <f t="shared" si="1"/>
        <v>5.5358636126701333</v>
      </c>
      <c r="E68">
        <f t="shared" si="2"/>
        <v>343450.07272224338</v>
      </c>
      <c r="F68" s="12">
        <v>7.6388888888888895E-2</v>
      </c>
      <c r="G68" s="3" t="s">
        <v>203</v>
      </c>
      <c r="H68" s="3" t="s">
        <v>204</v>
      </c>
      <c r="I68" s="1" t="s">
        <v>224</v>
      </c>
      <c r="J68" s="1">
        <f t="shared" si="3"/>
        <v>429312590.9028042</v>
      </c>
      <c r="K68" s="8">
        <f t="shared" si="4"/>
        <v>429312590.9028042</v>
      </c>
      <c r="L68" s="22">
        <f t="shared" ref="L68" si="14">AVERAGE(K68:K70)</f>
        <v>422965726.85985786</v>
      </c>
      <c r="M68" s="23" t="s">
        <v>220</v>
      </c>
    </row>
    <row r="69" spans="1:13" x14ac:dyDescent="0.2">
      <c r="A69" s="2" t="s">
        <v>84</v>
      </c>
      <c r="B69" s="1" t="s">
        <v>142</v>
      </c>
      <c r="C69" s="4">
        <v>18.284565580580601</v>
      </c>
      <c r="D69" s="1">
        <f t="shared" si="1"/>
        <v>5.5258293760026307</v>
      </c>
      <c r="E69">
        <f t="shared" si="2"/>
        <v>335605.73680786981</v>
      </c>
      <c r="F69" s="12">
        <v>7.6388888888888895E-2</v>
      </c>
      <c r="G69" s="3" t="s">
        <v>203</v>
      </c>
      <c r="H69" s="3" t="s">
        <v>204</v>
      </c>
      <c r="I69" s="1" t="s">
        <v>224</v>
      </c>
      <c r="J69" s="1">
        <f t="shared" si="3"/>
        <v>419507171.00983727</v>
      </c>
      <c r="K69" s="8">
        <f t="shared" si="4"/>
        <v>419507171.00983727</v>
      </c>
      <c r="L69" s="23"/>
      <c r="M69" s="23"/>
    </row>
    <row r="70" spans="1:13" x14ac:dyDescent="0.2">
      <c r="A70" s="2" t="s">
        <v>85</v>
      </c>
      <c r="B70" s="1" t="s">
        <v>142</v>
      </c>
      <c r="C70" s="4">
        <v>18.2823736223758</v>
      </c>
      <c r="D70" s="1">
        <f t="shared" si="1"/>
        <v>5.5264193235836654</v>
      </c>
      <c r="E70">
        <f t="shared" si="2"/>
        <v>336061.93493354565</v>
      </c>
      <c r="F70" s="12">
        <v>7.6388888888888895E-2</v>
      </c>
      <c r="G70" s="3" t="s">
        <v>203</v>
      </c>
      <c r="H70" s="3" t="s">
        <v>204</v>
      </c>
      <c r="I70" s="1" t="s">
        <v>224</v>
      </c>
      <c r="J70" s="1">
        <f t="shared" si="3"/>
        <v>420077418.66693211</v>
      </c>
      <c r="K70" s="8">
        <f t="shared" si="4"/>
        <v>420077418.66693211</v>
      </c>
      <c r="L70" s="23"/>
      <c r="M70" s="23"/>
    </row>
    <row r="71" spans="1:13" x14ac:dyDescent="0.2">
      <c r="A71" s="2" t="s">
        <v>86</v>
      </c>
      <c r="B71" s="1" t="s">
        <v>143</v>
      </c>
      <c r="C71" s="4">
        <v>18.783151437689501</v>
      </c>
      <c r="D71" s="1">
        <f t="shared" si="1"/>
        <v>5.3916390799946177</v>
      </c>
      <c r="E71">
        <f t="shared" si="2"/>
        <v>246399.07889895124</v>
      </c>
      <c r="F71" s="12">
        <v>7.6388888888888895E-2</v>
      </c>
      <c r="G71" s="3" t="s">
        <v>203</v>
      </c>
      <c r="H71" s="3" t="s">
        <v>204</v>
      </c>
      <c r="I71" s="1" t="s">
        <v>224</v>
      </c>
      <c r="J71" s="1">
        <f t="shared" si="3"/>
        <v>307998848.62368906</v>
      </c>
      <c r="K71" s="8">
        <f t="shared" si="4"/>
        <v>307998848.62368906</v>
      </c>
      <c r="L71" s="22">
        <f t="shared" ref="L71" si="15">AVERAGE(K71:K73)</f>
        <v>314130668.76347035</v>
      </c>
      <c r="M71" s="23" t="s">
        <v>220</v>
      </c>
    </row>
    <row r="72" spans="1:13" x14ac:dyDescent="0.2">
      <c r="A72" s="2" t="s">
        <v>88</v>
      </c>
      <c r="B72" s="1" t="s">
        <v>143</v>
      </c>
      <c r="C72" s="4">
        <v>18.713403777516302</v>
      </c>
      <c r="D72" s="1">
        <f t="shared" si="1"/>
        <v>5.4104110909352805</v>
      </c>
      <c r="E72">
        <f t="shared" si="2"/>
        <v>257282.99989829914</v>
      </c>
      <c r="F72" s="12">
        <v>7.6388888888888895E-2</v>
      </c>
      <c r="G72" s="3" t="s">
        <v>203</v>
      </c>
      <c r="H72" s="3" t="s">
        <v>204</v>
      </c>
      <c r="I72" s="1" t="s">
        <v>224</v>
      </c>
      <c r="J72" s="1">
        <f t="shared" si="3"/>
        <v>321603749.8728739</v>
      </c>
      <c r="K72" s="8">
        <f t="shared" si="4"/>
        <v>321603749.8728739</v>
      </c>
      <c r="L72" s="23"/>
      <c r="M72" s="23"/>
    </row>
    <row r="73" spans="1:13" x14ac:dyDescent="0.2">
      <c r="A73" s="2" t="s">
        <v>89</v>
      </c>
      <c r="B73" s="1" t="s">
        <v>143</v>
      </c>
      <c r="C73" s="4">
        <v>18.7582465556968</v>
      </c>
      <c r="D73" s="1">
        <f t="shared" si="1"/>
        <v>5.3983420248114324</v>
      </c>
      <c r="E73">
        <f t="shared" si="2"/>
        <v>250231.5262350784</v>
      </c>
      <c r="F73" s="12">
        <v>7.6388888888888895E-2</v>
      </c>
      <c r="G73" s="3" t="s">
        <v>203</v>
      </c>
      <c r="H73" s="3" t="s">
        <v>204</v>
      </c>
      <c r="I73" s="1" t="s">
        <v>224</v>
      </c>
      <c r="J73" s="1">
        <f t="shared" si="3"/>
        <v>312789407.79384798</v>
      </c>
      <c r="K73" s="8">
        <f t="shared" si="4"/>
        <v>312789407.79384798</v>
      </c>
      <c r="L73" s="23"/>
      <c r="M73" s="23"/>
    </row>
    <row r="74" spans="1:13" x14ac:dyDescent="0.2">
      <c r="A74" s="2" t="s">
        <v>90</v>
      </c>
      <c r="B74" s="1" t="s">
        <v>144</v>
      </c>
      <c r="C74" s="4">
        <v>19.013355496463198</v>
      </c>
      <c r="D74" s="1">
        <f t="shared" si="1"/>
        <v>5.3296815448005521</v>
      </c>
      <c r="E74">
        <f t="shared" si="2"/>
        <v>213639.4960258689</v>
      </c>
      <c r="F74" s="12">
        <v>7.6388888888888895E-2</v>
      </c>
      <c r="G74" s="3" t="s">
        <v>203</v>
      </c>
      <c r="H74" s="3" t="s">
        <v>204</v>
      </c>
      <c r="I74" s="1" t="s">
        <v>224</v>
      </c>
      <c r="J74" s="1">
        <f t="shared" si="3"/>
        <v>267049370.03233609</v>
      </c>
      <c r="K74" s="8">
        <f t="shared" si="4"/>
        <v>267049370.03233609</v>
      </c>
      <c r="L74" s="22">
        <f t="shared" ref="L74" si="16">AVERAGE(K74:K76)</f>
        <v>262559853.16574284</v>
      </c>
      <c r="M74" s="23" t="s">
        <v>220</v>
      </c>
    </row>
    <row r="75" spans="1:13" x14ac:dyDescent="0.2">
      <c r="A75" s="2" t="s">
        <v>92</v>
      </c>
      <c r="B75" s="1" t="s">
        <v>144</v>
      </c>
      <c r="C75" s="4">
        <v>19.088409703607901</v>
      </c>
      <c r="D75" s="1">
        <f t="shared" si="1"/>
        <v>5.3094813202458573</v>
      </c>
      <c r="E75">
        <f t="shared" si="2"/>
        <v>203930.09438740398</v>
      </c>
      <c r="F75" s="12">
        <v>7.6388888888888895E-2</v>
      </c>
      <c r="G75" s="3" t="s">
        <v>203</v>
      </c>
      <c r="H75" s="3" t="s">
        <v>204</v>
      </c>
      <c r="I75" s="1" t="s">
        <v>224</v>
      </c>
      <c r="J75" s="1">
        <f t="shared" si="3"/>
        <v>254912617.98425499</v>
      </c>
      <c r="K75" s="8">
        <f t="shared" si="4"/>
        <v>254912617.98425499</v>
      </c>
      <c r="L75" s="23"/>
      <c r="M75" s="23"/>
    </row>
    <row r="76" spans="1:13" x14ac:dyDescent="0.2">
      <c r="A76" s="2" t="s">
        <v>93</v>
      </c>
      <c r="B76" s="1" t="s">
        <v>144</v>
      </c>
      <c r="C76" s="4">
        <v>19.021422928683801</v>
      </c>
      <c r="D76" s="1">
        <f t="shared" si="1"/>
        <v>5.3275102615556067</v>
      </c>
      <c r="E76">
        <f t="shared" si="2"/>
        <v>212574.05718450993</v>
      </c>
      <c r="F76" s="12">
        <v>7.6388888888888895E-2</v>
      </c>
      <c r="G76" s="3" t="s">
        <v>203</v>
      </c>
      <c r="H76" s="3" t="s">
        <v>204</v>
      </c>
      <c r="I76" s="1" t="s">
        <v>224</v>
      </c>
      <c r="J76" s="1">
        <f t="shared" si="3"/>
        <v>265717571.48063743</v>
      </c>
      <c r="K76" s="8">
        <f t="shared" si="4"/>
        <v>265717571.48063743</v>
      </c>
      <c r="L76" s="23"/>
      <c r="M76" s="23"/>
    </row>
    <row r="77" spans="1:13" x14ac:dyDescent="0.2">
      <c r="A77" s="2" t="s">
        <v>94</v>
      </c>
      <c r="B77" s="1" t="s">
        <v>145</v>
      </c>
      <c r="C77" s="4">
        <v>18.533308809504199</v>
      </c>
      <c r="D77" s="1">
        <f t="shared" si="1"/>
        <v>5.4588821751478021</v>
      </c>
      <c r="E77">
        <f t="shared" si="2"/>
        <v>287661.78774006874</v>
      </c>
      <c r="F77" s="12">
        <v>7.6388888888888895E-2</v>
      </c>
      <c r="G77" s="3" t="s">
        <v>203</v>
      </c>
      <c r="H77" s="3" t="s">
        <v>204</v>
      </c>
      <c r="I77" s="1" t="s">
        <v>224</v>
      </c>
      <c r="J77" s="1">
        <f t="shared" si="3"/>
        <v>359577234.6750859</v>
      </c>
      <c r="K77" s="8">
        <f t="shared" si="4"/>
        <v>359577234.6750859</v>
      </c>
      <c r="L77" s="22">
        <f t="shared" ref="L77" si="17">AVERAGE(K77:K79)</f>
        <v>528001311.33377087</v>
      </c>
      <c r="M77" s="23" t="s">
        <v>220</v>
      </c>
    </row>
    <row r="78" spans="1:13" x14ac:dyDescent="0.2">
      <c r="A78" s="2" t="s">
        <v>96</v>
      </c>
      <c r="B78" s="1" t="s">
        <v>145</v>
      </c>
      <c r="C78" s="4">
        <v>17.466650250395201</v>
      </c>
      <c r="D78" s="1">
        <f t="shared" si="1"/>
        <v>5.745964581809516</v>
      </c>
      <c r="E78">
        <f t="shared" si="2"/>
        <v>557140.31039396464</v>
      </c>
      <c r="F78" s="12">
        <v>7.6388888888888895E-2</v>
      </c>
      <c r="G78" s="3" t="s">
        <v>203</v>
      </c>
      <c r="H78" s="3" t="s">
        <v>204</v>
      </c>
      <c r="I78" s="1" t="s">
        <v>224</v>
      </c>
      <c r="J78" s="1">
        <f t="shared" si="3"/>
        <v>696425387.99245584</v>
      </c>
      <c r="K78" s="8">
        <f t="shared" si="4"/>
        <v>696425387.99245584</v>
      </c>
      <c r="L78" s="23"/>
      <c r="M78" s="23"/>
    </row>
    <row r="79" spans="1:13" x14ac:dyDescent="0.2">
      <c r="A79" s="2" t="s">
        <v>97</v>
      </c>
      <c r="B79" s="1" t="s">
        <v>145</v>
      </c>
      <c r="C79" s="4"/>
      <c r="D79" s="1"/>
      <c r="F79" s="12">
        <v>7.6388888888888895E-2</v>
      </c>
      <c r="G79" s="3" t="s">
        <v>203</v>
      </c>
      <c r="H79" s="3" t="s">
        <v>204</v>
      </c>
      <c r="I79" s="1" t="s">
        <v>224</v>
      </c>
      <c r="J79" s="1"/>
      <c r="K79" s="8"/>
      <c r="L79" s="23"/>
      <c r="M79" s="23"/>
    </row>
    <row r="80" spans="1:13" x14ac:dyDescent="0.2">
      <c r="A80" s="2" t="s">
        <v>98</v>
      </c>
      <c r="B80" s="1" t="s">
        <v>146</v>
      </c>
      <c r="C80" s="4">
        <v>18.068301421407099</v>
      </c>
      <c r="D80" s="1">
        <f t="shared" si="1"/>
        <v>5.5840351014993281</v>
      </c>
      <c r="E80">
        <f t="shared" si="2"/>
        <v>383738.25957257277</v>
      </c>
      <c r="F80" s="12">
        <v>7.6388888888888895E-2</v>
      </c>
      <c r="G80" s="3" t="s">
        <v>203</v>
      </c>
      <c r="H80" s="3" t="s">
        <v>204</v>
      </c>
      <c r="I80" s="1" t="s">
        <v>225</v>
      </c>
      <c r="J80" s="1">
        <f>(E80*50*50)/2.5</f>
        <v>383738259.57257283</v>
      </c>
      <c r="K80" s="8">
        <f t="shared" si="4"/>
        <v>383738259.57257283</v>
      </c>
      <c r="L80" s="22">
        <f t="shared" ref="L80" si="18">AVERAGE(K80:K82)</f>
        <v>375872885.66595381</v>
      </c>
      <c r="M80" s="23" t="s">
        <v>220</v>
      </c>
    </row>
    <row r="81" spans="1:13" x14ac:dyDescent="0.2">
      <c r="A81" s="2" t="s">
        <v>100</v>
      </c>
      <c r="B81" s="1" t="s">
        <v>146</v>
      </c>
      <c r="C81" s="4">
        <v>18.060458115400898</v>
      </c>
      <c r="D81" s="1">
        <f t="shared" si="1"/>
        <v>5.5861460630110651</v>
      </c>
      <c r="E81">
        <f t="shared" si="2"/>
        <v>385608.02451903035</v>
      </c>
      <c r="F81" s="12">
        <v>7.6388888888888895E-2</v>
      </c>
      <c r="G81" s="3" t="s">
        <v>203</v>
      </c>
      <c r="H81" s="3" t="s">
        <v>204</v>
      </c>
      <c r="I81" s="1" t="s">
        <v>225</v>
      </c>
      <c r="J81" s="1">
        <f t="shared" ref="J81:J82" si="19">(E81*50*50)/2.5</f>
        <v>385608024.51903039</v>
      </c>
      <c r="K81" s="8">
        <f t="shared" si="4"/>
        <v>385608024.51903039</v>
      </c>
      <c r="L81" s="23"/>
      <c r="M81" s="23"/>
    </row>
    <row r="82" spans="1:13" x14ac:dyDescent="0.2">
      <c r="A82" s="2" t="s">
        <v>101</v>
      </c>
      <c r="B82" s="1" t="s">
        <v>146</v>
      </c>
      <c r="C82" s="4">
        <v>18.179104652773201</v>
      </c>
      <c r="D82" s="1">
        <f t="shared" si="1"/>
        <v>5.5542133201478086</v>
      </c>
      <c r="E82">
        <f t="shared" si="2"/>
        <v>358272.37290625804</v>
      </c>
      <c r="F82" s="12">
        <v>7.6388888888888895E-2</v>
      </c>
      <c r="G82" s="3" t="s">
        <v>203</v>
      </c>
      <c r="H82" s="3" t="s">
        <v>204</v>
      </c>
      <c r="I82" s="1" t="s">
        <v>225</v>
      </c>
      <c r="J82" s="1">
        <f t="shared" si="19"/>
        <v>358272372.90625799</v>
      </c>
      <c r="K82" s="8">
        <f t="shared" si="4"/>
        <v>358272372.90625799</v>
      </c>
      <c r="L82" s="23"/>
      <c r="M82" s="23"/>
    </row>
    <row r="83" spans="1:13" x14ac:dyDescent="0.2">
      <c r="A83" s="2" t="s">
        <v>102</v>
      </c>
      <c r="B83" s="1" t="s">
        <v>147</v>
      </c>
      <c r="C83" s="4">
        <v>17.6197046703867</v>
      </c>
      <c r="D83" s="1">
        <f t="shared" si="1"/>
        <v>5.7047712394169183</v>
      </c>
      <c r="E83">
        <f t="shared" si="2"/>
        <v>506723.7259512436</v>
      </c>
      <c r="F83" s="12">
        <v>7.6388888888888895E-2</v>
      </c>
      <c r="G83" s="3" t="s">
        <v>203</v>
      </c>
      <c r="H83" s="3" t="s">
        <v>204</v>
      </c>
      <c r="I83" s="1" t="s">
        <v>224</v>
      </c>
      <c r="J83" s="1">
        <f t="shared" si="3"/>
        <v>633404657.43905449</v>
      </c>
      <c r="K83" s="8">
        <f t="shared" si="4"/>
        <v>633404657.43905449</v>
      </c>
      <c r="L83" s="22">
        <f t="shared" ref="L83" si="20">AVERAGE(K83:K85)</f>
        <v>618488919.78587306</v>
      </c>
      <c r="M83" s="23" t="s">
        <v>220</v>
      </c>
    </row>
    <row r="84" spans="1:13" x14ac:dyDescent="0.2">
      <c r="A84" s="2" t="s">
        <v>104</v>
      </c>
      <c r="B84" s="1" t="s">
        <v>147</v>
      </c>
      <c r="C84" s="4">
        <v>17.616899979796901</v>
      </c>
      <c r="D84" s="1">
        <f t="shared" si="1"/>
        <v>5.7055260988961631</v>
      </c>
      <c r="E84">
        <f t="shared" si="2"/>
        <v>507605.24261347915</v>
      </c>
      <c r="F84" s="12">
        <v>7.6388888888888895E-2</v>
      </c>
      <c r="G84" s="3" t="s">
        <v>203</v>
      </c>
      <c r="H84" s="3" t="s">
        <v>204</v>
      </c>
      <c r="I84" s="1" t="s">
        <v>224</v>
      </c>
      <c r="J84" s="1">
        <f t="shared" si="3"/>
        <v>634506553.26684892</v>
      </c>
      <c r="K84" s="8">
        <f t="shared" si="4"/>
        <v>634506553.26684892</v>
      </c>
      <c r="L84" s="23"/>
      <c r="M84" s="23"/>
    </row>
    <row r="85" spans="1:13" x14ac:dyDescent="0.2">
      <c r="A85" s="2" t="s">
        <v>105</v>
      </c>
      <c r="B85" s="1" t="s">
        <v>147</v>
      </c>
      <c r="C85" s="4">
        <v>17.740950497878199</v>
      </c>
      <c r="D85" s="1">
        <f t="shared" si="1"/>
        <v>5.672138918927196</v>
      </c>
      <c r="E85">
        <f t="shared" si="2"/>
        <v>470044.43892137246</v>
      </c>
      <c r="F85" s="12">
        <v>7.6388888888888895E-2</v>
      </c>
      <c r="G85" s="3" t="s">
        <v>203</v>
      </c>
      <c r="H85" s="3" t="s">
        <v>204</v>
      </c>
      <c r="I85" s="1" t="s">
        <v>224</v>
      </c>
      <c r="J85" s="1">
        <f t="shared" si="3"/>
        <v>587555548.65171552</v>
      </c>
      <c r="K85" s="8">
        <f t="shared" si="4"/>
        <v>587555548.65171552</v>
      </c>
      <c r="L85" s="23"/>
      <c r="M85" s="23"/>
    </row>
    <row r="86" spans="1:13" x14ac:dyDescent="0.2">
      <c r="A86" s="2" t="s">
        <v>106</v>
      </c>
      <c r="B86" s="1" t="s">
        <v>148</v>
      </c>
      <c r="C86" s="4">
        <v>19.217898578420801</v>
      </c>
      <c r="D86" s="1">
        <f t="shared" si="1"/>
        <v>5.2746304511465114</v>
      </c>
      <c r="E86">
        <f t="shared" si="2"/>
        <v>188204.69409193704</v>
      </c>
      <c r="F86" s="12">
        <v>7.6388888888888895E-2</v>
      </c>
      <c r="G86" s="3" t="s">
        <v>203</v>
      </c>
      <c r="H86" s="3" t="s">
        <v>204</v>
      </c>
      <c r="I86" s="1" t="s">
        <v>224</v>
      </c>
      <c r="J86" s="1">
        <f t="shared" si="3"/>
        <v>235255867.61492127</v>
      </c>
      <c r="K86" s="8">
        <f t="shared" si="4"/>
        <v>235255867.61492127</v>
      </c>
      <c r="L86" s="22">
        <f t="shared" ref="L86" si="21">AVERAGE(K86:K88)</f>
        <v>242685649.53071252</v>
      </c>
      <c r="M86" s="23" t="s">
        <v>220</v>
      </c>
    </row>
    <row r="87" spans="1:13" x14ac:dyDescent="0.2">
      <c r="A87" s="2" t="s">
        <v>108</v>
      </c>
      <c r="B87" s="1" t="s">
        <v>148</v>
      </c>
      <c r="C87" s="4">
        <v>19.188290143817099</v>
      </c>
      <c r="D87" s="1">
        <f t="shared" si="1"/>
        <v>5.2825993185886073</v>
      </c>
      <c r="E87">
        <f t="shared" si="2"/>
        <v>191689.93873788434</v>
      </c>
      <c r="F87" s="12">
        <v>7.6388888888888895E-2</v>
      </c>
      <c r="G87" s="3" t="s">
        <v>203</v>
      </c>
      <c r="H87" s="3" t="s">
        <v>204</v>
      </c>
      <c r="I87" s="1" t="s">
        <v>224</v>
      </c>
      <c r="J87" s="1">
        <f t="shared" si="3"/>
        <v>239612423.42235544</v>
      </c>
      <c r="K87" s="8">
        <f t="shared" si="4"/>
        <v>239612423.42235544</v>
      </c>
      <c r="L87" s="23"/>
      <c r="M87" s="23"/>
    </row>
    <row r="88" spans="1:13" x14ac:dyDescent="0.2">
      <c r="A88" s="2" t="s">
        <v>109</v>
      </c>
      <c r="B88" s="1" t="s">
        <v>148</v>
      </c>
      <c r="C88" s="4">
        <v>19.099359645781998</v>
      </c>
      <c r="D88" s="1">
        <f t="shared" si="1"/>
        <v>5.3065342330778957</v>
      </c>
      <c r="E88">
        <f t="shared" si="2"/>
        <v>202550.92604388867</v>
      </c>
      <c r="F88" s="12">
        <v>7.6388888888888895E-2</v>
      </c>
      <c r="G88" s="3" t="s">
        <v>203</v>
      </c>
      <c r="H88" s="3" t="s">
        <v>204</v>
      </c>
      <c r="I88" s="1" t="s">
        <v>224</v>
      </c>
      <c r="J88" s="1">
        <f t="shared" si="3"/>
        <v>253188657.55486083</v>
      </c>
      <c r="K88" s="8">
        <f t="shared" si="4"/>
        <v>253188657.55486083</v>
      </c>
      <c r="L88" s="23"/>
      <c r="M88" s="23"/>
    </row>
    <row r="89" spans="1:13" x14ac:dyDescent="0.2">
      <c r="A89" s="2" t="s">
        <v>110</v>
      </c>
      <c r="B89" s="1" t="s">
        <v>149</v>
      </c>
      <c r="C89" s="4">
        <v>18.783389598131599</v>
      </c>
      <c r="D89" s="1">
        <f t="shared" si="1"/>
        <v>5.3915749810640792</v>
      </c>
      <c r="E89">
        <f t="shared" si="2"/>
        <v>246362.71474370483</v>
      </c>
      <c r="F89" s="12">
        <v>7.6388888888888895E-2</v>
      </c>
      <c r="G89" s="3" t="s">
        <v>203</v>
      </c>
      <c r="H89" s="3" t="s">
        <v>204</v>
      </c>
      <c r="I89" s="1" t="s">
        <v>224</v>
      </c>
      <c r="J89" s="1">
        <f t="shared" si="3"/>
        <v>307953393.42963105</v>
      </c>
      <c r="K89" s="8">
        <f t="shared" si="4"/>
        <v>307953393.42963105</v>
      </c>
      <c r="L89" s="22">
        <f t="shared" ref="L89" si="22">AVERAGE(K89:K91)</f>
        <v>283179268.61132848</v>
      </c>
      <c r="M89" s="23" t="s">
        <v>220</v>
      </c>
    </row>
    <row r="90" spans="1:13" x14ac:dyDescent="0.2">
      <c r="A90" s="2" t="s">
        <v>112</v>
      </c>
      <c r="B90" s="1" t="s">
        <v>149</v>
      </c>
      <c r="C90" s="4">
        <v>18.948686300889001</v>
      </c>
      <c r="D90" s="1">
        <f t="shared" si="1"/>
        <v>5.34708672862791</v>
      </c>
      <c r="E90">
        <f t="shared" si="2"/>
        <v>222375.39300741805</v>
      </c>
      <c r="F90" s="12">
        <v>7.6388888888888895E-2</v>
      </c>
      <c r="G90" s="3" t="s">
        <v>203</v>
      </c>
      <c r="H90" s="3" t="s">
        <v>204</v>
      </c>
      <c r="I90" s="1" t="s">
        <v>224</v>
      </c>
      <c r="J90" s="1">
        <f t="shared" si="3"/>
        <v>277969241.25927258</v>
      </c>
      <c r="K90" s="8">
        <f t="shared" si="4"/>
        <v>277969241.25927258</v>
      </c>
      <c r="L90" s="23"/>
      <c r="M90" s="23"/>
    </row>
    <row r="91" spans="1:13" x14ac:dyDescent="0.2">
      <c r="A91" s="2" t="s">
        <v>113</v>
      </c>
      <c r="B91" s="1" t="s">
        <v>149</v>
      </c>
      <c r="C91" s="4">
        <v>19.034240982581501</v>
      </c>
      <c r="D91" s="1">
        <f t="shared" si="1"/>
        <v>5.3240603874321142</v>
      </c>
      <c r="E91">
        <f t="shared" si="2"/>
        <v>210892.13691606553</v>
      </c>
      <c r="F91" s="12">
        <v>7.6388888888888895E-2</v>
      </c>
      <c r="G91" s="3" t="s">
        <v>203</v>
      </c>
      <c r="H91" s="3" t="s">
        <v>204</v>
      </c>
      <c r="I91" s="1" t="s">
        <v>224</v>
      </c>
      <c r="J91" s="1">
        <f t="shared" si="3"/>
        <v>263615171.14508188</v>
      </c>
      <c r="K91" s="8">
        <f t="shared" si="4"/>
        <v>263615171.14508188</v>
      </c>
      <c r="L91" s="23"/>
      <c r="M91" s="23"/>
    </row>
  </sheetData>
  <mergeCells count="37">
    <mergeCell ref="L83:L85"/>
    <mergeCell ref="M83:M85"/>
    <mergeCell ref="L86:L88"/>
    <mergeCell ref="M86:M88"/>
    <mergeCell ref="L89:L91"/>
    <mergeCell ref="M89:M91"/>
    <mergeCell ref="L74:L76"/>
    <mergeCell ref="M74:M76"/>
    <mergeCell ref="L77:L79"/>
    <mergeCell ref="M77:M79"/>
    <mergeCell ref="L80:L82"/>
    <mergeCell ref="M80:M82"/>
    <mergeCell ref="L65:L67"/>
    <mergeCell ref="M65:M67"/>
    <mergeCell ref="L68:L70"/>
    <mergeCell ref="M68:M70"/>
    <mergeCell ref="L71:L73"/>
    <mergeCell ref="M71:M73"/>
    <mergeCell ref="L56:L58"/>
    <mergeCell ref="M56:M58"/>
    <mergeCell ref="L59:L61"/>
    <mergeCell ref="M59:M61"/>
    <mergeCell ref="L62:L64"/>
    <mergeCell ref="M62:M64"/>
    <mergeCell ref="L47:L49"/>
    <mergeCell ref="M47:M49"/>
    <mergeCell ref="L50:L52"/>
    <mergeCell ref="M50:M52"/>
    <mergeCell ref="L53:L55"/>
    <mergeCell ref="M53:M55"/>
    <mergeCell ref="L44:L46"/>
    <mergeCell ref="M44:M46"/>
    <mergeCell ref="S7:U8"/>
    <mergeCell ref="L38:L40"/>
    <mergeCell ref="M38:M40"/>
    <mergeCell ref="L41:L43"/>
    <mergeCell ref="M41:M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11DC7-D5ED-1E4F-9CE2-4D2FFFE29038}">
  <dimension ref="A1:U103"/>
  <sheetViews>
    <sheetView topLeftCell="A42" workbookViewId="0">
      <selection activeCell="J59" sqref="J59"/>
    </sheetView>
  </sheetViews>
  <sheetFormatPr baseColWidth="10" defaultRowHeight="16" x14ac:dyDescent="0.2"/>
  <cols>
    <col min="1" max="1" width="5" bestFit="1" customWidth="1"/>
    <col min="2" max="2" width="14.33203125" bestFit="1" customWidth="1"/>
    <col min="3" max="3" width="6.6640625" bestFit="1" customWidth="1"/>
    <col min="4" max="4" width="20.5" bestFit="1" customWidth="1"/>
    <col min="5" max="5" width="12.1640625" bestFit="1" customWidth="1"/>
    <col min="6" max="6" width="4.6640625" bestFit="1" customWidth="1"/>
    <col min="8" max="8" width="13" bestFit="1" customWidth="1"/>
    <col min="9" max="9" width="14.33203125" bestFit="1" customWidth="1"/>
    <col min="10" max="10" width="12.6640625" bestFit="1" customWidth="1"/>
    <col min="13" max="13" width="13.1640625" bestFit="1" customWidth="1"/>
    <col min="14" max="14" width="5" bestFit="1" customWidth="1"/>
    <col min="15" max="15" width="8.33203125" bestFit="1" customWidth="1"/>
    <col min="16" max="16" width="9.83203125" bestFit="1" customWidth="1"/>
    <col min="17" max="18" width="5.6640625" bestFit="1" customWidth="1"/>
    <col min="21" max="21" width="13.1640625" bestFit="1" customWidth="1"/>
  </cols>
  <sheetData>
    <row r="1" spans="1:21" x14ac:dyDescent="0.2">
      <c r="A1" s="1" t="s">
        <v>0</v>
      </c>
      <c r="B1" s="1" t="s">
        <v>1</v>
      </c>
      <c r="C1" s="1" t="s">
        <v>193</v>
      </c>
      <c r="D1" s="1" t="s">
        <v>196</v>
      </c>
      <c r="N1" s="1" t="s">
        <v>0</v>
      </c>
      <c r="O1" s="1" t="s">
        <v>1</v>
      </c>
      <c r="P1" s="1" t="s">
        <v>194</v>
      </c>
      <c r="Q1" s="1" t="s">
        <v>196</v>
      </c>
    </row>
    <row r="2" spans="1:21" x14ac:dyDescent="0.2">
      <c r="A2" s="2" t="s">
        <v>2</v>
      </c>
      <c r="B2" s="1" t="s">
        <v>3</v>
      </c>
      <c r="C2" s="11">
        <f t="shared" ref="C2:C28" si="0">LOG(P2)</f>
        <v>8.0136044023579664</v>
      </c>
      <c r="D2" s="4">
        <v>8.8202613492078896</v>
      </c>
      <c r="N2" s="1" t="s">
        <v>2</v>
      </c>
      <c r="O2" s="1" t="s">
        <v>3</v>
      </c>
      <c r="P2" s="8">
        <v>103182109.45826009</v>
      </c>
      <c r="Q2" s="4">
        <v>8.8202613492078896</v>
      </c>
    </row>
    <row r="3" spans="1:21" x14ac:dyDescent="0.2">
      <c r="A3" s="2" t="s">
        <v>4</v>
      </c>
      <c r="B3" s="1" t="s">
        <v>3</v>
      </c>
      <c r="C3" s="11">
        <f t="shared" si="0"/>
        <v>8.0136044023579664</v>
      </c>
      <c r="D3" s="4">
        <v>8.8502333047224102</v>
      </c>
      <c r="N3" s="1" t="s">
        <v>4</v>
      </c>
      <c r="O3" s="1" t="s">
        <v>3</v>
      </c>
      <c r="P3" s="8">
        <v>103182109.45826009</v>
      </c>
      <c r="Q3" s="4">
        <v>8.8502333047224102</v>
      </c>
    </row>
    <row r="4" spans="1:21" x14ac:dyDescent="0.2">
      <c r="A4" s="2" t="s">
        <v>5</v>
      </c>
      <c r="B4" s="1" t="s">
        <v>3</v>
      </c>
      <c r="C4" s="11">
        <f t="shared" si="0"/>
        <v>8.0136044023579664</v>
      </c>
      <c r="D4" s="4">
        <v>8.7940739282833498</v>
      </c>
      <c r="N4" s="1" t="s">
        <v>5</v>
      </c>
      <c r="O4" s="1" t="s">
        <v>3</v>
      </c>
      <c r="P4" s="8">
        <v>103182109.45826009</v>
      </c>
      <c r="Q4" s="4">
        <v>8.7940739282833498</v>
      </c>
    </row>
    <row r="5" spans="1:21" x14ac:dyDescent="0.2">
      <c r="A5" s="2" t="s">
        <v>6</v>
      </c>
      <c r="B5" s="1" t="s">
        <v>7</v>
      </c>
      <c r="C5" s="11">
        <f t="shared" si="0"/>
        <v>7.0136044023579664</v>
      </c>
      <c r="D5" s="4">
        <v>13.179480897339699</v>
      </c>
      <c r="N5" s="1" t="s">
        <v>6</v>
      </c>
      <c r="O5" s="1" t="s">
        <v>7</v>
      </c>
      <c r="P5" s="8">
        <v>10318210.945826009</v>
      </c>
      <c r="Q5" s="4">
        <v>13.179480897339699</v>
      </c>
    </row>
    <row r="6" spans="1:21" ht="17" thickBot="1" x14ac:dyDescent="0.25">
      <c r="A6" s="2" t="s">
        <v>8</v>
      </c>
      <c r="B6" s="1" t="s">
        <v>7</v>
      </c>
      <c r="C6" s="11">
        <f t="shared" si="0"/>
        <v>7.0136044023579664</v>
      </c>
      <c r="D6" s="4">
        <v>13.1216578194074</v>
      </c>
      <c r="N6" s="1" t="s">
        <v>8</v>
      </c>
      <c r="O6" s="1" t="s">
        <v>7</v>
      </c>
      <c r="P6" s="8">
        <v>10318210.945826009</v>
      </c>
      <c r="Q6" s="4">
        <v>13.1216578194074</v>
      </c>
    </row>
    <row r="7" spans="1:21" x14ac:dyDescent="0.2">
      <c r="A7" s="2" t="s">
        <v>9</v>
      </c>
      <c r="B7" s="1" t="s">
        <v>7</v>
      </c>
      <c r="C7" s="11">
        <f t="shared" si="0"/>
        <v>7.0136044023579664</v>
      </c>
      <c r="D7" s="4">
        <v>13.1185341966425</v>
      </c>
      <c r="N7" s="1" t="s">
        <v>9</v>
      </c>
      <c r="O7" s="1" t="s">
        <v>7</v>
      </c>
      <c r="P7" s="8">
        <v>10318210.945826009</v>
      </c>
      <c r="Q7" s="4">
        <v>13.1185341966425</v>
      </c>
      <c r="S7" s="24" t="s">
        <v>226</v>
      </c>
      <c r="T7" s="25"/>
      <c r="U7" s="26"/>
    </row>
    <row r="8" spans="1:21" ht="17" thickBot="1" x14ac:dyDescent="0.25">
      <c r="A8" s="2" t="s">
        <v>10</v>
      </c>
      <c r="B8" s="1" t="s">
        <v>11</v>
      </c>
      <c r="C8" s="11">
        <f t="shared" si="0"/>
        <v>6.0136044023579664</v>
      </c>
      <c r="D8" s="4">
        <v>16.455743613727201</v>
      </c>
      <c r="N8" s="1" t="s">
        <v>10</v>
      </c>
      <c r="O8" s="1" t="s">
        <v>11</v>
      </c>
      <c r="P8" s="8">
        <v>1031821.0945826009</v>
      </c>
      <c r="Q8" s="4">
        <v>16.455743613727201</v>
      </c>
      <c r="S8" s="27"/>
      <c r="T8" s="28"/>
      <c r="U8" s="29"/>
    </row>
    <row r="9" spans="1:21" x14ac:dyDescent="0.2">
      <c r="A9" s="2" t="s">
        <v>12</v>
      </c>
      <c r="B9" s="1" t="s">
        <v>11</v>
      </c>
      <c r="C9" s="11">
        <f t="shared" si="0"/>
        <v>6.0136044023579664</v>
      </c>
      <c r="D9" s="4">
        <v>16.604994016302101</v>
      </c>
      <c r="N9" s="1" t="s">
        <v>12</v>
      </c>
      <c r="O9" s="1" t="s">
        <v>11</v>
      </c>
      <c r="P9" s="8">
        <v>1031821.0945826009</v>
      </c>
      <c r="Q9" s="4">
        <v>16.604994016302101</v>
      </c>
    </row>
    <row r="10" spans="1:21" x14ac:dyDescent="0.2">
      <c r="A10" s="2" t="s">
        <v>13</v>
      </c>
      <c r="B10" s="1" t="s">
        <v>11</v>
      </c>
      <c r="C10" s="11">
        <f t="shared" si="0"/>
        <v>6.0136044023579664</v>
      </c>
      <c r="D10" s="4">
        <v>16.435767519454</v>
      </c>
      <c r="N10" s="1" t="s">
        <v>13</v>
      </c>
      <c r="O10" s="1" t="s">
        <v>11</v>
      </c>
      <c r="P10" s="8">
        <v>1031821.0945826009</v>
      </c>
      <c r="Q10" s="4">
        <v>16.435767519454</v>
      </c>
      <c r="S10">
        <f>SLOPE(D2:D25,C2:C25)</f>
        <v>-3.6538506737102505</v>
      </c>
    </row>
    <row r="11" spans="1:21" x14ac:dyDescent="0.2">
      <c r="A11" s="2" t="s">
        <v>14</v>
      </c>
      <c r="B11" s="1" t="s">
        <v>15</v>
      </c>
      <c r="C11" s="11">
        <f t="shared" si="0"/>
        <v>5.0136044023579664</v>
      </c>
      <c r="D11" s="4">
        <v>20.521823006614401</v>
      </c>
      <c r="N11" s="1" t="s">
        <v>14</v>
      </c>
      <c r="O11" s="1" t="s">
        <v>15</v>
      </c>
      <c r="P11" s="8">
        <v>103182.10945826009</v>
      </c>
      <c r="Q11" s="4">
        <v>20.521823006614401</v>
      </c>
      <c r="S11">
        <f>INTERCEPT(D2:D25,C2:C25)</f>
        <v>38.529748484249509</v>
      </c>
    </row>
    <row r="12" spans="1:21" x14ac:dyDescent="0.2">
      <c r="A12" s="2" t="s">
        <v>16</v>
      </c>
      <c r="B12" s="1" t="s">
        <v>15</v>
      </c>
      <c r="C12" s="11">
        <f t="shared" si="0"/>
        <v>5.0136044023579664</v>
      </c>
      <c r="D12" s="4">
        <v>20.501181443698901</v>
      </c>
      <c r="N12" s="1" t="s">
        <v>16</v>
      </c>
      <c r="O12" s="1" t="s">
        <v>15</v>
      </c>
      <c r="P12" s="8">
        <v>103182.10945826009</v>
      </c>
      <c r="Q12" s="4">
        <v>20.501181443698901</v>
      </c>
      <c r="S12">
        <f>-1+10^(-1/S10)</f>
        <v>0.87794933790887142</v>
      </c>
    </row>
    <row r="13" spans="1:21" x14ac:dyDescent="0.2">
      <c r="A13" s="2" t="s">
        <v>17</v>
      </c>
      <c r="B13" s="1" t="s">
        <v>15</v>
      </c>
      <c r="C13" s="11">
        <f t="shared" si="0"/>
        <v>5.0136044023579664</v>
      </c>
      <c r="D13" s="4">
        <v>20.383344684397699</v>
      </c>
      <c r="N13" s="1" t="s">
        <v>17</v>
      </c>
      <c r="O13" s="1" t="s">
        <v>15</v>
      </c>
      <c r="P13" s="8">
        <v>103182.10945826009</v>
      </c>
      <c r="Q13" s="4">
        <v>20.383344684397699</v>
      </c>
    </row>
    <row r="14" spans="1:21" x14ac:dyDescent="0.2">
      <c r="A14" s="2" t="s">
        <v>18</v>
      </c>
      <c r="B14" s="1" t="s">
        <v>19</v>
      </c>
      <c r="C14" s="11">
        <f t="shared" si="0"/>
        <v>4.0136044023579664</v>
      </c>
      <c r="D14" s="4">
        <v>24.023494650840799</v>
      </c>
      <c r="N14" s="1" t="s">
        <v>18</v>
      </c>
      <c r="O14" s="1" t="s">
        <v>19</v>
      </c>
      <c r="P14" s="8">
        <v>10318.210945826009</v>
      </c>
      <c r="Q14" s="4">
        <v>24.023494650840799</v>
      </c>
    </row>
    <row r="15" spans="1:21" x14ac:dyDescent="0.2">
      <c r="A15" s="2" t="s">
        <v>20</v>
      </c>
      <c r="B15" s="1" t="s">
        <v>19</v>
      </c>
      <c r="C15" s="11">
        <f t="shared" si="0"/>
        <v>4.0136044023579664</v>
      </c>
      <c r="D15" s="4">
        <v>23.983347141894601</v>
      </c>
      <c r="N15" s="1" t="s">
        <v>20</v>
      </c>
      <c r="O15" s="1" t="s">
        <v>19</v>
      </c>
      <c r="P15" s="8">
        <v>10318.210945826009</v>
      </c>
      <c r="Q15" s="4">
        <v>23.983347141894601</v>
      </c>
    </row>
    <row r="16" spans="1:21" x14ac:dyDescent="0.2">
      <c r="A16" s="2" t="s">
        <v>21</v>
      </c>
      <c r="B16" s="1" t="s">
        <v>19</v>
      </c>
      <c r="C16" s="11">
        <f t="shared" si="0"/>
        <v>4.0136044023579664</v>
      </c>
      <c r="D16" s="4">
        <v>23.741020130304499</v>
      </c>
      <c r="N16" s="1" t="s">
        <v>21</v>
      </c>
      <c r="O16" s="1" t="s">
        <v>19</v>
      </c>
      <c r="P16" s="8">
        <v>10318.210945826009</v>
      </c>
      <c r="Q16" s="4">
        <v>23.741020130304499</v>
      </c>
    </row>
    <row r="17" spans="1:17" x14ac:dyDescent="0.2">
      <c r="A17" s="2" t="s">
        <v>22</v>
      </c>
      <c r="B17" s="1" t="s">
        <v>23</v>
      </c>
      <c r="C17" s="11">
        <f t="shared" si="0"/>
        <v>3.0136044023579664</v>
      </c>
      <c r="D17" s="4">
        <v>27.790895383293801</v>
      </c>
      <c r="N17" s="1" t="s">
        <v>22</v>
      </c>
      <c r="O17" s="1" t="s">
        <v>23</v>
      </c>
      <c r="P17" s="8">
        <v>1031.8210945826008</v>
      </c>
      <c r="Q17" s="4">
        <v>27.790895383293801</v>
      </c>
    </row>
    <row r="18" spans="1:17" x14ac:dyDescent="0.2">
      <c r="A18" s="2" t="s">
        <v>24</v>
      </c>
      <c r="B18" s="1" t="s">
        <v>23</v>
      </c>
      <c r="C18" s="11">
        <f t="shared" si="0"/>
        <v>3.0136044023579664</v>
      </c>
      <c r="D18" s="4">
        <v>27.503796842520099</v>
      </c>
      <c r="N18" s="1" t="s">
        <v>24</v>
      </c>
      <c r="O18" s="1" t="s">
        <v>23</v>
      </c>
      <c r="P18" s="8">
        <v>1031.8210945826008</v>
      </c>
      <c r="Q18" s="4">
        <v>27.503796842520099</v>
      </c>
    </row>
    <row r="19" spans="1:17" x14ac:dyDescent="0.2">
      <c r="A19" s="2" t="s">
        <v>25</v>
      </c>
      <c r="B19" s="1" t="s">
        <v>23</v>
      </c>
      <c r="C19" s="11">
        <f t="shared" si="0"/>
        <v>3.0136044023579664</v>
      </c>
      <c r="D19" s="4">
        <v>27.669904266280501</v>
      </c>
      <c r="N19" s="1" t="s">
        <v>25</v>
      </c>
      <c r="O19" s="1" t="s">
        <v>23</v>
      </c>
      <c r="P19" s="8">
        <v>1031.8210945826008</v>
      </c>
      <c r="Q19" s="4">
        <v>27.669904266280501</v>
      </c>
    </row>
    <row r="20" spans="1:17" x14ac:dyDescent="0.2">
      <c r="A20" s="2" t="s">
        <v>26</v>
      </c>
      <c r="B20" s="1" t="s">
        <v>27</v>
      </c>
      <c r="C20" s="11">
        <f t="shared" si="0"/>
        <v>2.0136044023579664</v>
      </c>
      <c r="D20" s="4">
        <v>32.201518320240901</v>
      </c>
      <c r="N20" s="1" t="s">
        <v>26</v>
      </c>
      <c r="O20" s="1" t="s">
        <v>27</v>
      </c>
      <c r="P20" s="8">
        <v>103.18210945826009</v>
      </c>
      <c r="Q20" s="4">
        <v>32.201518320240901</v>
      </c>
    </row>
    <row r="21" spans="1:17" x14ac:dyDescent="0.2">
      <c r="A21" s="2" t="s">
        <v>28</v>
      </c>
      <c r="B21" s="1" t="s">
        <v>27</v>
      </c>
      <c r="C21" s="11">
        <f t="shared" si="0"/>
        <v>2.0136044023579664</v>
      </c>
      <c r="D21" s="4">
        <v>31.531977061589199</v>
      </c>
      <c r="N21" s="1" t="s">
        <v>28</v>
      </c>
      <c r="O21" s="1" t="s">
        <v>27</v>
      </c>
      <c r="P21" s="8">
        <v>103.18210945826009</v>
      </c>
      <c r="Q21" s="4">
        <v>31.531977061589199</v>
      </c>
    </row>
    <row r="22" spans="1:17" x14ac:dyDescent="0.2">
      <c r="A22" s="2" t="s">
        <v>29</v>
      </c>
      <c r="B22" s="1" t="s">
        <v>27</v>
      </c>
      <c r="C22" s="11">
        <f t="shared" si="0"/>
        <v>2.0136044023579664</v>
      </c>
      <c r="D22" s="4">
        <v>30.998408953188498</v>
      </c>
      <c r="N22" s="1" t="s">
        <v>29</v>
      </c>
      <c r="O22" s="1" t="s">
        <v>27</v>
      </c>
      <c r="P22" s="8">
        <v>103.18210945826009</v>
      </c>
      <c r="Q22" s="4">
        <v>30.998408953188498</v>
      </c>
    </row>
    <row r="23" spans="1:17" x14ac:dyDescent="0.2">
      <c r="A23" s="2" t="s">
        <v>30</v>
      </c>
      <c r="B23" s="1" t="s">
        <v>31</v>
      </c>
      <c r="C23" s="11">
        <f t="shared" si="0"/>
        <v>1.0136044023579664</v>
      </c>
      <c r="D23" s="4">
        <v>34.987671311844601</v>
      </c>
      <c r="N23" s="1" t="s">
        <v>30</v>
      </c>
      <c r="O23" s="1" t="s">
        <v>31</v>
      </c>
      <c r="P23" s="8">
        <v>10.318210945826008</v>
      </c>
      <c r="Q23" s="4">
        <v>34.987671311844601</v>
      </c>
    </row>
    <row r="24" spans="1:17" x14ac:dyDescent="0.2">
      <c r="A24" s="2" t="s">
        <v>32</v>
      </c>
      <c r="B24" s="1" t="s">
        <v>31</v>
      </c>
      <c r="C24" s="11">
        <f t="shared" si="0"/>
        <v>1.0136044023579664</v>
      </c>
      <c r="D24" s="4">
        <v>34.060076615160497</v>
      </c>
      <c r="N24" s="1" t="s">
        <v>32</v>
      </c>
      <c r="O24" s="1" t="s">
        <v>31</v>
      </c>
      <c r="P24" s="8">
        <v>10.318210945826008</v>
      </c>
      <c r="Q24" s="4">
        <v>34.060076615160497</v>
      </c>
    </row>
    <row r="25" spans="1:17" x14ac:dyDescent="0.2">
      <c r="A25" s="2" t="s">
        <v>33</v>
      </c>
      <c r="B25" s="1" t="s">
        <v>31</v>
      </c>
      <c r="C25" s="11">
        <f t="shared" si="0"/>
        <v>1.0136044023579664</v>
      </c>
      <c r="D25" s="4">
        <v>33.625881491019399</v>
      </c>
      <c r="N25" s="1" t="s">
        <v>33</v>
      </c>
      <c r="O25" s="1" t="s">
        <v>31</v>
      </c>
      <c r="P25" s="8">
        <v>10.318210945826008</v>
      </c>
      <c r="Q25" s="4">
        <v>33.625881491019399</v>
      </c>
    </row>
    <row r="26" spans="1:17" x14ac:dyDescent="0.2">
      <c r="A26" s="2" t="s">
        <v>34</v>
      </c>
      <c r="B26" s="1" t="s">
        <v>35</v>
      </c>
      <c r="C26" s="11">
        <f t="shared" si="0"/>
        <v>1.3604402357966342E-2</v>
      </c>
      <c r="D26" s="4"/>
      <c r="N26" s="1" t="s">
        <v>34</v>
      </c>
      <c r="O26" s="1" t="s">
        <v>35</v>
      </c>
      <c r="P26" s="8">
        <v>1.0318210945826007</v>
      </c>
      <c r="Q26" s="4"/>
    </row>
    <row r="27" spans="1:17" x14ac:dyDescent="0.2">
      <c r="A27" s="2" t="s">
        <v>36</v>
      </c>
      <c r="B27" s="1" t="s">
        <v>35</v>
      </c>
      <c r="C27" s="11">
        <f t="shared" si="0"/>
        <v>1.3604402357966342E-2</v>
      </c>
      <c r="D27" s="4"/>
      <c r="N27" s="1" t="s">
        <v>36</v>
      </c>
      <c r="O27" s="1" t="s">
        <v>35</v>
      </c>
      <c r="P27" s="8">
        <v>1.0318210945826007</v>
      </c>
      <c r="Q27" s="4"/>
    </row>
    <row r="28" spans="1:17" x14ac:dyDescent="0.2">
      <c r="A28" s="2" t="s">
        <v>37</v>
      </c>
      <c r="B28" s="1" t="s">
        <v>35</v>
      </c>
      <c r="C28" s="11">
        <f t="shared" si="0"/>
        <v>1.3604402357966342E-2</v>
      </c>
      <c r="D28" s="4"/>
      <c r="N28" s="1" t="s">
        <v>37</v>
      </c>
      <c r="O28" s="1" t="s">
        <v>35</v>
      </c>
      <c r="P28" s="8">
        <v>1.0318210945826007</v>
      </c>
      <c r="Q28" s="4"/>
    </row>
    <row r="29" spans="1:17" x14ac:dyDescent="0.2">
      <c r="A29" s="2" t="s">
        <v>38</v>
      </c>
      <c r="B29" s="1" t="s">
        <v>39</v>
      </c>
      <c r="C29" s="1" t="s">
        <v>131</v>
      </c>
      <c r="D29" s="4"/>
      <c r="N29" s="1" t="s">
        <v>38</v>
      </c>
      <c r="O29" s="1" t="s">
        <v>39</v>
      </c>
      <c r="P29" s="1" t="s">
        <v>131</v>
      </c>
      <c r="Q29" s="4"/>
    </row>
    <row r="30" spans="1:17" x14ac:dyDescent="0.2">
      <c r="A30" s="2" t="s">
        <v>40</v>
      </c>
      <c r="B30" s="1" t="s">
        <v>39</v>
      </c>
      <c r="C30" s="1" t="s">
        <v>131</v>
      </c>
      <c r="D30" s="4"/>
      <c r="N30" s="1" t="s">
        <v>40</v>
      </c>
      <c r="O30" s="1" t="s">
        <v>39</v>
      </c>
      <c r="P30" s="1" t="s">
        <v>131</v>
      </c>
      <c r="Q30" s="4"/>
    </row>
    <row r="31" spans="1:17" x14ac:dyDescent="0.2">
      <c r="A31" s="2" t="s">
        <v>41</v>
      </c>
      <c r="B31" s="1" t="s">
        <v>39</v>
      </c>
      <c r="C31" s="1" t="s">
        <v>131</v>
      </c>
      <c r="D31" s="4"/>
      <c r="N31" s="1" t="s">
        <v>41</v>
      </c>
      <c r="O31" s="1" t="s">
        <v>39</v>
      </c>
      <c r="P31" s="1" t="s">
        <v>131</v>
      </c>
      <c r="Q31" s="4"/>
    </row>
    <row r="37" spans="1:21" x14ac:dyDescent="0.2">
      <c r="A37" s="1" t="s">
        <v>0</v>
      </c>
      <c r="B37" s="1" t="s">
        <v>1</v>
      </c>
      <c r="C37" s="1" t="s">
        <v>196</v>
      </c>
      <c r="D37" t="s">
        <v>226</v>
      </c>
      <c r="E37" s="3" t="s">
        <v>197</v>
      </c>
      <c r="F37" s="3" t="s">
        <v>198</v>
      </c>
      <c r="G37" s="3" t="s">
        <v>199</v>
      </c>
      <c r="H37" s="3" t="s">
        <v>200</v>
      </c>
      <c r="I37" s="3" t="s">
        <v>201</v>
      </c>
      <c r="J37" s="3"/>
      <c r="K37" s="3"/>
      <c r="L37" s="3" t="s">
        <v>202</v>
      </c>
      <c r="S37" s="1"/>
      <c r="T37" s="8"/>
      <c r="U37" s="1"/>
    </row>
    <row r="38" spans="1:21" x14ac:dyDescent="0.2">
      <c r="A38" s="2" t="s">
        <v>42</v>
      </c>
      <c r="B38" s="1" t="s">
        <v>150</v>
      </c>
      <c r="C38" s="4">
        <v>33.970039667639199</v>
      </c>
      <c r="D38" s="1">
        <f>(C38-$S$11)/$S$10</f>
        <v>1.2479187640090994</v>
      </c>
      <c r="E38">
        <f>10^D38</f>
        <v>17.697778854779358</v>
      </c>
      <c r="F38" s="12">
        <v>7.6388888888888895E-2</v>
      </c>
      <c r="G38" s="3" t="s">
        <v>203</v>
      </c>
      <c r="H38" s="3" t="s">
        <v>204</v>
      </c>
      <c r="I38" s="8" t="s">
        <v>206</v>
      </c>
      <c r="J38" s="13">
        <f>(E38*50*50)/5</f>
        <v>8848.8894273896785</v>
      </c>
      <c r="K38" s="8">
        <f>J38</f>
        <v>8848.8894273896785</v>
      </c>
      <c r="L38" s="22">
        <f>AVERAGE(K38:K40)</f>
        <v>7954.7319074337538</v>
      </c>
      <c r="M38" s="23" t="s">
        <v>220</v>
      </c>
      <c r="S38" s="1"/>
      <c r="T38" s="8"/>
      <c r="U38" s="1"/>
    </row>
    <row r="39" spans="1:21" x14ac:dyDescent="0.2">
      <c r="A39" s="2" t="s">
        <v>44</v>
      </c>
      <c r="B39" s="1" t="s">
        <v>150</v>
      </c>
      <c r="C39" s="4">
        <v>34.661212589622401</v>
      </c>
      <c r="D39" s="1">
        <f t="shared" ref="D39:D102" si="1">(C39-$S$11)/$S$10</f>
        <v>1.0587558825163641</v>
      </c>
      <c r="E39">
        <f t="shared" ref="E39:E102" si="2">10^D39</f>
        <v>11.448692280893136</v>
      </c>
      <c r="F39" s="12">
        <v>7.6388888888888895E-2</v>
      </c>
      <c r="G39" s="3" t="s">
        <v>203</v>
      </c>
      <c r="H39" s="3" t="s">
        <v>204</v>
      </c>
      <c r="I39" s="8" t="s">
        <v>206</v>
      </c>
      <c r="J39" s="13">
        <f t="shared" ref="J39:J40" si="3">(E39*50*50)/5</f>
        <v>5724.3461404465679</v>
      </c>
      <c r="K39" s="8">
        <f t="shared" ref="K39:K76" si="4">J39</f>
        <v>5724.3461404465679</v>
      </c>
      <c r="L39" s="23"/>
      <c r="M39" s="23"/>
      <c r="S39" s="1"/>
      <c r="T39" s="8"/>
      <c r="U39" s="1"/>
    </row>
    <row r="40" spans="1:21" x14ac:dyDescent="0.2">
      <c r="A40" s="2" t="s">
        <v>45</v>
      </c>
      <c r="B40" s="1" t="s">
        <v>150</v>
      </c>
      <c r="C40" s="4">
        <v>33.892680965235201</v>
      </c>
      <c r="D40" s="1">
        <f t="shared" si="1"/>
        <v>1.2690905932139982</v>
      </c>
      <c r="E40">
        <f t="shared" si="2"/>
        <v>18.581920308930027</v>
      </c>
      <c r="F40" s="12">
        <v>7.6388888888888895E-2</v>
      </c>
      <c r="G40" s="3" t="s">
        <v>203</v>
      </c>
      <c r="H40" s="3" t="s">
        <v>204</v>
      </c>
      <c r="I40" s="8" t="s">
        <v>206</v>
      </c>
      <c r="J40" s="13">
        <f t="shared" si="3"/>
        <v>9290.9601544650141</v>
      </c>
      <c r="K40" s="8">
        <f t="shared" si="4"/>
        <v>9290.9601544650141</v>
      </c>
      <c r="L40" s="23"/>
      <c r="M40" s="23"/>
    </row>
    <row r="41" spans="1:21" x14ac:dyDescent="0.2">
      <c r="A41" s="2" t="s">
        <v>46</v>
      </c>
      <c r="B41" s="1" t="s">
        <v>151</v>
      </c>
      <c r="C41" s="4">
        <v>19.186601660087199</v>
      </c>
      <c r="D41" s="1">
        <f t="shared" si="1"/>
        <v>5.2939073190203993</v>
      </c>
      <c r="E41">
        <f t="shared" si="2"/>
        <v>196746.637608377</v>
      </c>
      <c r="F41" s="12">
        <v>7.6388888888888895E-2</v>
      </c>
      <c r="G41" s="3" t="s">
        <v>203</v>
      </c>
      <c r="H41" s="3" t="s">
        <v>204</v>
      </c>
      <c r="I41" s="1" t="s">
        <v>224</v>
      </c>
      <c r="J41" s="13">
        <f>(E41*50*50)/2</f>
        <v>245933297.01047125</v>
      </c>
      <c r="K41" s="8">
        <f t="shared" si="4"/>
        <v>245933297.01047125</v>
      </c>
      <c r="L41" s="22">
        <f t="shared" ref="L41" si="5">AVERAGE(K41:K43)</f>
        <v>249798307.96259347</v>
      </c>
      <c r="M41" s="23" t="s">
        <v>220</v>
      </c>
    </row>
    <row r="42" spans="1:21" x14ac:dyDescent="0.2">
      <c r="A42" s="2" t="s">
        <v>48</v>
      </c>
      <c r="B42" s="1" t="s">
        <v>151</v>
      </c>
      <c r="C42" s="4">
        <v>19.1116532919247</v>
      </c>
      <c r="D42" s="1">
        <f t="shared" si="1"/>
        <v>5.3144194786173298</v>
      </c>
      <c r="E42">
        <f t="shared" si="2"/>
        <v>206262.12067544184</v>
      </c>
      <c r="F42" s="12">
        <v>7.6388888888888895E-2</v>
      </c>
      <c r="G42" s="3" t="s">
        <v>203</v>
      </c>
      <c r="H42" s="3" t="s">
        <v>204</v>
      </c>
      <c r="I42" s="1" t="s">
        <v>224</v>
      </c>
      <c r="J42" s="13">
        <f t="shared" ref="J42:J76" si="6">(E42*50*50)/2</f>
        <v>257827650.8443023</v>
      </c>
      <c r="K42" s="8">
        <f t="shared" si="4"/>
        <v>257827650.8443023</v>
      </c>
      <c r="L42" s="23"/>
      <c r="M42" s="23"/>
    </row>
    <row r="43" spans="1:21" x14ac:dyDescent="0.2">
      <c r="A43" s="2" t="s">
        <v>49</v>
      </c>
      <c r="B43" s="1" t="s">
        <v>151</v>
      </c>
      <c r="C43" s="4">
        <v>19.188534159402501</v>
      </c>
      <c r="D43" s="1">
        <f t="shared" si="1"/>
        <v>5.2933784251251979</v>
      </c>
      <c r="E43">
        <f t="shared" si="2"/>
        <v>196507.18082640547</v>
      </c>
      <c r="F43" s="12">
        <v>7.6388888888888895E-2</v>
      </c>
      <c r="G43" s="3" t="s">
        <v>203</v>
      </c>
      <c r="H43" s="3" t="s">
        <v>204</v>
      </c>
      <c r="I43" s="1" t="s">
        <v>224</v>
      </c>
      <c r="J43" s="13">
        <f t="shared" si="6"/>
        <v>245633976.03300685</v>
      </c>
      <c r="K43" s="8">
        <f t="shared" si="4"/>
        <v>245633976.03300685</v>
      </c>
      <c r="L43" s="23"/>
      <c r="M43" s="23"/>
    </row>
    <row r="44" spans="1:21" x14ac:dyDescent="0.2">
      <c r="A44" s="5" t="s">
        <v>50</v>
      </c>
      <c r="B44" s="6" t="s">
        <v>152</v>
      </c>
      <c r="C44" s="7">
        <v>30.0725868834488</v>
      </c>
      <c r="D44" s="6">
        <f t="shared" si="1"/>
        <v>2.3145887328266226</v>
      </c>
      <c r="E44" s="19">
        <f t="shared" si="2"/>
        <v>206.34252127278924</v>
      </c>
      <c r="F44" s="14">
        <v>7.6388888888888895E-2</v>
      </c>
      <c r="G44" s="15" t="s">
        <v>203</v>
      </c>
      <c r="H44" s="15" t="s">
        <v>204</v>
      </c>
      <c r="I44" s="6" t="s">
        <v>224</v>
      </c>
      <c r="J44" s="16">
        <f t="shared" si="6"/>
        <v>257928.15159098656</v>
      </c>
      <c r="K44" s="17">
        <f t="shared" si="4"/>
        <v>257928.15159098656</v>
      </c>
      <c r="L44" s="30">
        <f t="shared" ref="L44" si="7">AVERAGE(K44:K46)</f>
        <v>248000.89307015963</v>
      </c>
      <c r="M44" s="31" t="s">
        <v>220</v>
      </c>
    </row>
    <row r="45" spans="1:21" x14ac:dyDescent="0.2">
      <c r="A45" s="5" t="s">
        <v>52</v>
      </c>
      <c r="B45" s="6" t="s">
        <v>152</v>
      </c>
      <c r="C45" s="7">
        <v>30.025349909054501</v>
      </c>
      <c r="D45" s="6">
        <f t="shared" si="1"/>
        <v>2.3275167308792448</v>
      </c>
      <c r="E45" s="19">
        <f t="shared" si="2"/>
        <v>212.57722374699915</v>
      </c>
      <c r="F45" s="14">
        <v>7.6388888888888895E-2</v>
      </c>
      <c r="G45" s="15" t="s">
        <v>203</v>
      </c>
      <c r="H45" s="15" t="s">
        <v>204</v>
      </c>
      <c r="I45" s="6" t="s">
        <v>224</v>
      </c>
      <c r="J45" s="16">
        <f t="shared" si="6"/>
        <v>265721.52968374896</v>
      </c>
      <c r="K45" s="17">
        <f t="shared" si="4"/>
        <v>265721.52968374896</v>
      </c>
      <c r="L45" s="31"/>
      <c r="M45" s="31"/>
    </row>
    <row r="46" spans="1:21" x14ac:dyDescent="0.2">
      <c r="A46" s="5" t="s">
        <v>53</v>
      </c>
      <c r="B46" s="6" t="s">
        <v>152</v>
      </c>
      <c r="C46" s="7">
        <v>30.322436397098201</v>
      </c>
      <c r="D46" s="6">
        <f t="shared" si="1"/>
        <v>2.2462089505199483</v>
      </c>
      <c r="E46" s="19">
        <f t="shared" si="2"/>
        <v>176.28239834859468</v>
      </c>
      <c r="F46" s="14">
        <v>7.6388888888888895E-2</v>
      </c>
      <c r="G46" s="15" t="s">
        <v>203</v>
      </c>
      <c r="H46" s="15" t="s">
        <v>204</v>
      </c>
      <c r="I46" s="6" t="s">
        <v>224</v>
      </c>
      <c r="J46" s="16">
        <f t="shared" si="6"/>
        <v>220352.99793574336</v>
      </c>
      <c r="K46" s="17">
        <f t="shared" si="4"/>
        <v>220352.99793574336</v>
      </c>
      <c r="L46" s="31"/>
      <c r="M46" s="31"/>
    </row>
    <row r="47" spans="1:21" x14ac:dyDescent="0.2">
      <c r="A47" s="2" t="s">
        <v>54</v>
      </c>
      <c r="B47" s="1" t="s">
        <v>153</v>
      </c>
      <c r="C47" s="4">
        <v>18.800878527998201</v>
      </c>
      <c r="D47" s="1">
        <f t="shared" si="1"/>
        <v>5.3994735193208951</v>
      </c>
      <c r="E47">
        <f t="shared" si="2"/>
        <v>250884.32005537237</v>
      </c>
      <c r="F47" s="12">
        <v>7.6388888888888895E-2</v>
      </c>
      <c r="G47" s="3" t="s">
        <v>203</v>
      </c>
      <c r="H47" s="3" t="s">
        <v>204</v>
      </c>
      <c r="I47" s="1" t="s">
        <v>224</v>
      </c>
      <c r="J47" s="13">
        <f t="shared" si="6"/>
        <v>313605400.06921548</v>
      </c>
      <c r="K47" s="8">
        <f t="shared" si="4"/>
        <v>313605400.06921548</v>
      </c>
      <c r="L47" s="22">
        <f t="shared" ref="L47" si="8">AVERAGE(K47:K49)</f>
        <v>351978947.87866801</v>
      </c>
      <c r="M47" s="23" t="s">
        <v>220</v>
      </c>
    </row>
    <row r="48" spans="1:21" x14ac:dyDescent="0.2">
      <c r="A48" s="2" t="s">
        <v>56</v>
      </c>
      <c r="B48" s="1" t="s">
        <v>153</v>
      </c>
      <c r="C48" s="4">
        <v>18.521193088790898</v>
      </c>
      <c r="D48" s="1">
        <f t="shared" si="1"/>
        <v>5.4760189132582173</v>
      </c>
      <c r="E48">
        <f t="shared" si="2"/>
        <v>299239.49507346877</v>
      </c>
      <c r="F48" s="12">
        <v>7.6388888888888895E-2</v>
      </c>
      <c r="G48" s="3" t="s">
        <v>203</v>
      </c>
      <c r="H48" s="3" t="s">
        <v>204</v>
      </c>
      <c r="I48" s="1" t="s">
        <v>224</v>
      </c>
      <c r="J48" s="13">
        <f t="shared" si="6"/>
        <v>374049368.84183598</v>
      </c>
      <c r="K48" s="8">
        <f t="shared" si="4"/>
        <v>374049368.84183598</v>
      </c>
      <c r="L48" s="23"/>
      <c r="M48" s="23"/>
    </row>
    <row r="49" spans="1:13" x14ac:dyDescent="0.2">
      <c r="A49" s="2" t="s">
        <v>57</v>
      </c>
      <c r="B49" s="1" t="s">
        <v>153</v>
      </c>
      <c r="C49" s="4">
        <v>18.545850534346499</v>
      </c>
      <c r="D49" s="1">
        <f t="shared" si="1"/>
        <v>5.4692705680855438</v>
      </c>
      <c r="E49">
        <f t="shared" si="2"/>
        <v>294625.65977996198</v>
      </c>
      <c r="F49" s="12">
        <v>7.6388888888888895E-2</v>
      </c>
      <c r="G49" s="3" t="s">
        <v>203</v>
      </c>
      <c r="H49" s="3" t="s">
        <v>204</v>
      </c>
      <c r="I49" s="1" t="s">
        <v>224</v>
      </c>
      <c r="J49" s="13">
        <f t="shared" si="6"/>
        <v>368282074.72495246</v>
      </c>
      <c r="K49" s="8">
        <f t="shared" si="4"/>
        <v>368282074.72495246</v>
      </c>
      <c r="L49" s="23"/>
      <c r="M49" s="23"/>
    </row>
    <row r="50" spans="1:13" x14ac:dyDescent="0.2">
      <c r="A50" s="2" t="s">
        <v>58</v>
      </c>
      <c r="B50" s="1" t="s">
        <v>154</v>
      </c>
      <c r="C50" s="4">
        <v>18.616259264350699</v>
      </c>
      <c r="D50" s="1">
        <f t="shared" si="1"/>
        <v>5.4500008342371427</v>
      </c>
      <c r="E50">
        <f t="shared" si="2"/>
        <v>281838.83451070893</v>
      </c>
      <c r="F50" s="12">
        <v>7.6388888888888895E-2</v>
      </c>
      <c r="G50" s="3" t="s">
        <v>203</v>
      </c>
      <c r="H50" s="3" t="s">
        <v>204</v>
      </c>
      <c r="I50" s="1" t="s">
        <v>224</v>
      </c>
      <c r="J50" s="13">
        <f t="shared" si="6"/>
        <v>352298543.13838619</v>
      </c>
      <c r="K50" s="8">
        <f t="shared" si="4"/>
        <v>352298543.13838619</v>
      </c>
      <c r="L50" s="22">
        <f t="shared" ref="L50" si="9">AVERAGE(K50:K52)</f>
        <v>330539671.66463542</v>
      </c>
      <c r="M50" s="23" t="s">
        <v>220</v>
      </c>
    </row>
    <row r="51" spans="1:13" x14ac:dyDescent="0.2">
      <c r="A51" s="2" t="s">
        <v>60</v>
      </c>
      <c r="B51" s="1" t="s">
        <v>154</v>
      </c>
      <c r="C51" s="4">
        <v>18.866526439702799</v>
      </c>
      <c r="D51" s="1">
        <f t="shared" si="1"/>
        <v>5.3815067446584983</v>
      </c>
      <c r="E51">
        <f t="shared" si="2"/>
        <v>240716.9902469824</v>
      </c>
      <c r="F51" s="12">
        <v>7.6388888888888895E-2</v>
      </c>
      <c r="G51" s="3" t="s">
        <v>203</v>
      </c>
      <c r="H51" s="3" t="s">
        <v>204</v>
      </c>
      <c r="I51" s="1" t="s">
        <v>224</v>
      </c>
      <c r="J51" s="13">
        <f t="shared" si="6"/>
        <v>300896237.80872798</v>
      </c>
      <c r="K51" s="8">
        <f t="shared" si="4"/>
        <v>300896237.80872798</v>
      </c>
      <c r="L51" s="23"/>
      <c r="M51" s="23"/>
    </row>
    <row r="52" spans="1:13" x14ac:dyDescent="0.2">
      <c r="A52" s="2" t="s">
        <v>61</v>
      </c>
      <c r="B52" s="1" t="s">
        <v>154</v>
      </c>
      <c r="C52" s="4">
        <v>18.6800167392385</v>
      </c>
      <c r="D52" s="1">
        <f t="shared" si="1"/>
        <v>5.4325514416424916</v>
      </c>
      <c r="E52">
        <f t="shared" si="2"/>
        <v>270739.38723743364</v>
      </c>
      <c r="F52" s="12">
        <v>7.6388888888888895E-2</v>
      </c>
      <c r="G52" s="3" t="s">
        <v>203</v>
      </c>
      <c r="H52" s="3" t="s">
        <v>204</v>
      </c>
      <c r="I52" s="1" t="s">
        <v>224</v>
      </c>
      <c r="J52" s="13">
        <f t="shared" si="6"/>
        <v>338424234.04679203</v>
      </c>
      <c r="K52" s="8">
        <f t="shared" si="4"/>
        <v>338424234.04679203</v>
      </c>
      <c r="L52" s="23"/>
      <c r="M52" s="23"/>
    </row>
    <row r="53" spans="1:13" x14ac:dyDescent="0.2">
      <c r="A53" s="2" t="s">
        <v>62</v>
      </c>
      <c r="B53" s="1" t="s">
        <v>155</v>
      </c>
      <c r="C53" s="4">
        <v>17.8202043861906</v>
      </c>
      <c r="D53" s="1">
        <f t="shared" si="1"/>
        <v>5.6678682155966982</v>
      </c>
      <c r="E53">
        <f t="shared" si="2"/>
        <v>465444.83527587343</v>
      </c>
      <c r="F53" s="12">
        <v>7.6388888888888895E-2</v>
      </c>
      <c r="G53" s="3" t="s">
        <v>203</v>
      </c>
      <c r="H53" s="3" t="s">
        <v>204</v>
      </c>
      <c r="I53" s="1" t="s">
        <v>224</v>
      </c>
      <c r="J53" s="13">
        <f t="shared" si="6"/>
        <v>581806044.09484172</v>
      </c>
      <c r="K53" s="8">
        <f t="shared" si="4"/>
        <v>581806044.09484172</v>
      </c>
      <c r="L53" s="22">
        <f t="shared" ref="L53" si="10">AVERAGE(K53:K55)</f>
        <v>534794617.99631619</v>
      </c>
      <c r="M53" s="23" t="s">
        <v>220</v>
      </c>
    </row>
    <row r="54" spans="1:13" x14ac:dyDescent="0.2">
      <c r="A54" s="2" t="s">
        <v>64</v>
      </c>
      <c r="B54" s="1" t="s">
        <v>155</v>
      </c>
      <c r="C54" s="4">
        <v>17.9118171405668</v>
      </c>
      <c r="D54" s="1">
        <f t="shared" si="1"/>
        <v>5.6427952822567118</v>
      </c>
      <c r="E54">
        <f t="shared" si="2"/>
        <v>439334.4731258151</v>
      </c>
      <c r="F54" s="12">
        <v>7.6388888888888895E-2</v>
      </c>
      <c r="G54" s="3" t="s">
        <v>203</v>
      </c>
      <c r="H54" s="3" t="s">
        <v>204</v>
      </c>
      <c r="I54" s="1" t="s">
        <v>224</v>
      </c>
      <c r="J54" s="13">
        <f t="shared" si="6"/>
        <v>549168091.40726888</v>
      </c>
      <c r="K54" s="8">
        <f t="shared" si="4"/>
        <v>549168091.40726888</v>
      </c>
      <c r="L54" s="23"/>
      <c r="M54" s="23"/>
    </row>
    <row r="55" spans="1:13" x14ac:dyDescent="0.2">
      <c r="A55" s="2" t="s">
        <v>65</v>
      </c>
      <c r="B55" s="1" t="s">
        <v>155</v>
      </c>
      <c r="C55" s="4">
        <v>18.1473740464711</v>
      </c>
      <c r="D55" s="1">
        <f t="shared" si="1"/>
        <v>5.5783271561783385</v>
      </c>
      <c r="E55">
        <f t="shared" si="2"/>
        <v>378727.77478947042</v>
      </c>
      <c r="F55" s="12">
        <v>7.6388888888888895E-2</v>
      </c>
      <c r="G55" s="3" t="s">
        <v>203</v>
      </c>
      <c r="H55" s="3" t="s">
        <v>204</v>
      </c>
      <c r="I55" s="1" t="s">
        <v>224</v>
      </c>
      <c r="J55" s="13">
        <f t="shared" si="6"/>
        <v>473409718.48683804</v>
      </c>
      <c r="K55" s="8">
        <f t="shared" si="4"/>
        <v>473409718.48683804</v>
      </c>
      <c r="L55" s="23"/>
      <c r="M55" s="23"/>
    </row>
    <row r="56" spans="1:13" x14ac:dyDescent="0.2">
      <c r="A56" s="2" t="s">
        <v>66</v>
      </c>
      <c r="B56" s="1" t="s">
        <v>156</v>
      </c>
      <c r="C56" s="4">
        <v>18.732747580881401</v>
      </c>
      <c r="D56" s="1">
        <f t="shared" si="1"/>
        <v>5.4181198607291536</v>
      </c>
      <c r="E56">
        <f t="shared" si="2"/>
        <v>261890.56990350896</v>
      </c>
      <c r="F56" s="12">
        <v>7.6388888888888895E-2</v>
      </c>
      <c r="G56" s="3" t="s">
        <v>203</v>
      </c>
      <c r="H56" s="3" t="s">
        <v>204</v>
      </c>
      <c r="I56" s="1" t="s">
        <v>224</v>
      </c>
      <c r="J56" s="13">
        <f t="shared" si="6"/>
        <v>327363212.37938619</v>
      </c>
      <c r="K56" s="8">
        <f t="shared" si="4"/>
        <v>327363212.37938619</v>
      </c>
      <c r="L56" s="22">
        <f t="shared" ref="L56" si="11">AVERAGE(K56:K58)</f>
        <v>336328978.27661937</v>
      </c>
      <c r="M56" s="23" t="s">
        <v>220</v>
      </c>
    </row>
    <row r="57" spans="1:13" x14ac:dyDescent="0.2">
      <c r="A57" s="2" t="s">
        <v>68</v>
      </c>
      <c r="B57" s="1" t="s">
        <v>156</v>
      </c>
      <c r="C57" s="4">
        <v>18.631778896134101</v>
      </c>
      <c r="D57" s="1">
        <f t="shared" si="1"/>
        <v>5.4457533613190323</v>
      </c>
      <c r="E57">
        <f t="shared" si="2"/>
        <v>279095.83875356993</v>
      </c>
      <c r="F57" s="12">
        <v>7.6388888888888895E-2</v>
      </c>
      <c r="G57" s="3" t="s">
        <v>203</v>
      </c>
      <c r="H57" s="3" t="s">
        <v>204</v>
      </c>
      <c r="I57" s="1" t="s">
        <v>224</v>
      </c>
      <c r="J57" s="13">
        <f t="shared" si="6"/>
        <v>348869798.44196242</v>
      </c>
      <c r="K57" s="8">
        <f t="shared" si="4"/>
        <v>348869798.44196242</v>
      </c>
      <c r="L57" s="23"/>
      <c r="M57" s="23"/>
    </row>
    <row r="58" spans="1:13" x14ac:dyDescent="0.2">
      <c r="A58" s="2" t="s">
        <v>69</v>
      </c>
      <c r="B58" s="1" t="s">
        <v>156</v>
      </c>
      <c r="C58" s="4">
        <v>18.706829678535001</v>
      </c>
      <c r="D58" s="1">
        <f t="shared" si="1"/>
        <v>5.4252131725967905</v>
      </c>
      <c r="E58">
        <f t="shared" si="2"/>
        <v>266203.13920680759</v>
      </c>
      <c r="F58" s="12">
        <v>7.6388888888888895E-2</v>
      </c>
      <c r="G58" s="3" t="s">
        <v>203</v>
      </c>
      <c r="H58" s="3" t="s">
        <v>204</v>
      </c>
      <c r="I58" s="1" t="s">
        <v>224</v>
      </c>
      <c r="J58" s="13">
        <f t="shared" si="6"/>
        <v>332753924.00850952</v>
      </c>
      <c r="K58" s="8">
        <f t="shared" si="4"/>
        <v>332753924.00850952</v>
      </c>
      <c r="L58" s="23"/>
      <c r="M58" s="23"/>
    </row>
    <row r="59" spans="1:13" x14ac:dyDescent="0.2">
      <c r="A59" s="2" t="s">
        <v>70</v>
      </c>
      <c r="B59" s="1" t="s">
        <v>157</v>
      </c>
      <c r="C59" s="4">
        <v>18.428289897871501</v>
      </c>
      <c r="D59" s="1">
        <f t="shared" si="1"/>
        <v>5.5014450182678836</v>
      </c>
      <c r="E59">
        <f t="shared" si="2"/>
        <v>317281.69594112539</v>
      </c>
      <c r="F59" s="12">
        <v>7.6388888888888895E-2</v>
      </c>
      <c r="G59" s="3" t="s">
        <v>203</v>
      </c>
      <c r="H59" s="3" t="s">
        <v>204</v>
      </c>
      <c r="I59" s="1" t="s">
        <v>224</v>
      </c>
      <c r="J59" s="13">
        <f t="shared" si="6"/>
        <v>396602119.92640674</v>
      </c>
      <c r="K59" s="8">
        <f t="shared" si="4"/>
        <v>396602119.92640674</v>
      </c>
      <c r="L59" s="22">
        <f t="shared" ref="L59" si="12">AVERAGE(K59:K61)</f>
        <v>410612484.33271557</v>
      </c>
      <c r="M59" s="23" t="s">
        <v>220</v>
      </c>
    </row>
    <row r="60" spans="1:13" x14ac:dyDescent="0.2">
      <c r="A60" s="2" t="s">
        <v>72</v>
      </c>
      <c r="B60" s="1" t="s">
        <v>157</v>
      </c>
      <c r="C60" s="4">
        <v>18.3367310798475</v>
      </c>
      <c r="D60" s="1">
        <f t="shared" si="1"/>
        <v>5.5265031900981594</v>
      </c>
      <c r="E60">
        <f t="shared" si="2"/>
        <v>336126.83804842021</v>
      </c>
      <c r="F60" s="12">
        <v>7.6388888888888895E-2</v>
      </c>
      <c r="G60" s="3" t="s">
        <v>203</v>
      </c>
      <c r="H60" s="3" t="s">
        <v>204</v>
      </c>
      <c r="I60" s="1" t="s">
        <v>224</v>
      </c>
      <c r="J60" s="13">
        <f t="shared" si="6"/>
        <v>420158547.56052524</v>
      </c>
      <c r="K60" s="8">
        <f t="shared" si="4"/>
        <v>420158547.56052524</v>
      </c>
      <c r="L60" s="23"/>
      <c r="M60" s="23"/>
    </row>
    <row r="61" spans="1:13" x14ac:dyDescent="0.2">
      <c r="A61" s="2" t="s">
        <v>73</v>
      </c>
      <c r="B61" s="1" t="s">
        <v>157</v>
      </c>
      <c r="C61" s="4">
        <v>18.356040797697901</v>
      </c>
      <c r="D61" s="1">
        <f t="shared" si="1"/>
        <v>5.521218431750115</v>
      </c>
      <c r="E61">
        <f t="shared" si="2"/>
        <v>332061.42840897175</v>
      </c>
      <c r="F61" s="12">
        <v>7.6388888888888895E-2</v>
      </c>
      <c r="G61" s="3" t="s">
        <v>203</v>
      </c>
      <c r="H61" s="3" t="s">
        <v>204</v>
      </c>
      <c r="I61" s="1" t="s">
        <v>224</v>
      </c>
      <c r="J61" s="13">
        <f t="shared" si="6"/>
        <v>415076785.51121473</v>
      </c>
      <c r="K61" s="8">
        <f t="shared" si="4"/>
        <v>415076785.51121473</v>
      </c>
      <c r="L61" s="23"/>
      <c r="M61" s="23"/>
    </row>
    <row r="62" spans="1:13" x14ac:dyDescent="0.2">
      <c r="A62" s="2" t="s">
        <v>74</v>
      </c>
      <c r="B62" s="1" t="s">
        <v>158</v>
      </c>
      <c r="C62" s="4">
        <v>18.431466000687799</v>
      </c>
      <c r="D62" s="1">
        <f t="shared" si="1"/>
        <v>5.500575770151328</v>
      </c>
      <c r="E62">
        <f t="shared" si="2"/>
        <v>316647.28609634505</v>
      </c>
      <c r="F62" s="12">
        <v>7.6388888888888895E-2</v>
      </c>
      <c r="G62" s="3" t="s">
        <v>203</v>
      </c>
      <c r="H62" s="3" t="s">
        <v>204</v>
      </c>
      <c r="I62" s="1" t="s">
        <v>224</v>
      </c>
      <c r="J62" s="13">
        <f t="shared" si="6"/>
        <v>395809107.6204313</v>
      </c>
      <c r="K62" s="8">
        <f t="shared" si="4"/>
        <v>395809107.6204313</v>
      </c>
      <c r="L62" s="22">
        <f t="shared" ref="L62" si="13">AVERAGE(K62:K64)</f>
        <v>365901589.97974086</v>
      </c>
      <c r="M62" s="23" t="s">
        <v>220</v>
      </c>
    </row>
    <row r="63" spans="1:13" x14ac:dyDescent="0.2">
      <c r="A63" s="2" t="s">
        <v>76</v>
      </c>
      <c r="B63" s="1" t="s">
        <v>158</v>
      </c>
      <c r="C63" s="4">
        <v>18.688507142498</v>
      </c>
      <c r="D63" s="1">
        <f t="shared" si="1"/>
        <v>5.4302277552038012</v>
      </c>
      <c r="E63">
        <f t="shared" si="2"/>
        <v>269294.66842312907</v>
      </c>
      <c r="F63" s="12">
        <v>7.6388888888888895E-2</v>
      </c>
      <c r="G63" s="3" t="s">
        <v>203</v>
      </c>
      <c r="H63" s="3" t="s">
        <v>204</v>
      </c>
      <c r="I63" s="1" t="s">
        <v>224</v>
      </c>
      <c r="J63" s="13">
        <f t="shared" si="6"/>
        <v>336618335.52891135</v>
      </c>
      <c r="K63" s="8">
        <f t="shared" si="4"/>
        <v>336618335.52891135</v>
      </c>
      <c r="L63" s="23"/>
      <c r="M63" s="23"/>
    </row>
    <row r="64" spans="1:13" x14ac:dyDescent="0.2">
      <c r="A64" s="2" t="s">
        <v>77</v>
      </c>
      <c r="B64" s="1" t="s">
        <v>158</v>
      </c>
      <c r="C64" s="4">
        <v>18.558850442630099</v>
      </c>
      <c r="D64" s="1">
        <f t="shared" si="1"/>
        <v>5.4657127028511665</v>
      </c>
      <c r="E64">
        <f t="shared" si="2"/>
        <v>292221.8614319039</v>
      </c>
      <c r="F64" s="12">
        <v>7.6388888888888895E-2</v>
      </c>
      <c r="G64" s="3" t="s">
        <v>203</v>
      </c>
      <c r="H64" s="3" t="s">
        <v>204</v>
      </c>
      <c r="I64" s="1" t="s">
        <v>224</v>
      </c>
      <c r="J64" s="13">
        <f t="shared" si="6"/>
        <v>365277326.78987992</v>
      </c>
      <c r="K64" s="8">
        <f t="shared" si="4"/>
        <v>365277326.78987992</v>
      </c>
      <c r="L64" s="23"/>
      <c r="M64" s="23"/>
    </row>
    <row r="65" spans="1:13" x14ac:dyDescent="0.2">
      <c r="A65" s="2" t="s">
        <v>78</v>
      </c>
      <c r="B65" s="1" t="s">
        <v>159</v>
      </c>
      <c r="C65" s="4">
        <v>17.6274063737246</v>
      </c>
      <c r="D65" s="1">
        <f t="shared" si="1"/>
        <v>5.7206339221575044</v>
      </c>
      <c r="E65">
        <f t="shared" si="2"/>
        <v>525574.05990620668</v>
      </c>
      <c r="F65" s="12">
        <v>7.6388888888888895E-2</v>
      </c>
      <c r="G65" s="3" t="s">
        <v>203</v>
      </c>
      <c r="H65" s="3" t="s">
        <v>204</v>
      </c>
      <c r="I65" s="1" t="s">
        <v>225</v>
      </c>
      <c r="J65" s="13">
        <f>(E65*50*50)/2.5</f>
        <v>525574059.90620661</v>
      </c>
      <c r="K65" s="8">
        <f t="shared" si="4"/>
        <v>525574059.90620661</v>
      </c>
      <c r="L65" s="22">
        <f t="shared" ref="L65" si="14">AVERAGE(K65:K67)</f>
        <v>552276523.1169349</v>
      </c>
      <c r="M65" s="23" t="s">
        <v>220</v>
      </c>
    </row>
    <row r="66" spans="1:13" x14ac:dyDescent="0.2">
      <c r="A66" s="2" t="s">
        <v>80</v>
      </c>
      <c r="B66" s="1" t="s">
        <v>159</v>
      </c>
      <c r="C66" s="4">
        <v>17.535321830128002</v>
      </c>
      <c r="D66" s="1">
        <f t="shared" si="1"/>
        <v>5.7458359765980846</v>
      </c>
      <c r="E66">
        <f t="shared" si="2"/>
        <v>556975.35195534886</v>
      </c>
      <c r="F66" s="12">
        <v>7.6388888888888895E-2</v>
      </c>
      <c r="G66" s="3" t="s">
        <v>203</v>
      </c>
      <c r="H66" s="3" t="s">
        <v>204</v>
      </c>
      <c r="I66" s="1" t="s">
        <v>225</v>
      </c>
      <c r="J66" s="13">
        <f>(E66*50*50)/2.5</f>
        <v>556975351.95534885</v>
      </c>
      <c r="K66" s="8">
        <f t="shared" si="4"/>
        <v>556975351.95534885</v>
      </c>
      <c r="L66" s="23"/>
      <c r="M66" s="23"/>
    </row>
    <row r="67" spans="1:13" x14ac:dyDescent="0.2">
      <c r="A67" s="2" t="s">
        <v>81</v>
      </c>
      <c r="B67" s="1" t="s">
        <v>159</v>
      </c>
      <c r="C67" s="4">
        <v>17.486770068138799</v>
      </c>
      <c r="D67" s="1">
        <f t="shared" si="1"/>
        <v>5.7591238108105056</v>
      </c>
      <c r="E67">
        <f t="shared" si="2"/>
        <v>574280.15748924913</v>
      </c>
      <c r="F67" s="12">
        <v>7.6388888888888895E-2</v>
      </c>
      <c r="G67" s="3" t="s">
        <v>203</v>
      </c>
      <c r="H67" s="3" t="s">
        <v>204</v>
      </c>
      <c r="I67" s="1" t="s">
        <v>225</v>
      </c>
      <c r="J67" s="13">
        <f>(E67*50*50)/2.5</f>
        <v>574280157.48924911</v>
      </c>
      <c r="K67" s="8">
        <f t="shared" si="4"/>
        <v>574280157.48924911</v>
      </c>
      <c r="L67" s="23"/>
      <c r="M67" s="23"/>
    </row>
    <row r="68" spans="1:13" x14ac:dyDescent="0.2">
      <c r="A68" s="2" t="s">
        <v>82</v>
      </c>
      <c r="B68" s="1" t="s">
        <v>160</v>
      </c>
      <c r="C68" s="4">
        <v>18.8924781890133</v>
      </c>
      <c r="D68" s="1">
        <f t="shared" si="1"/>
        <v>5.3744041694226716</v>
      </c>
      <c r="E68">
        <f t="shared" si="2"/>
        <v>236812.25288077546</v>
      </c>
      <c r="F68" s="12">
        <v>7.6388888888888895E-2</v>
      </c>
      <c r="G68" s="3" t="s">
        <v>203</v>
      </c>
      <c r="H68" s="3" t="s">
        <v>204</v>
      </c>
      <c r="I68" s="1" t="s">
        <v>224</v>
      </c>
      <c r="J68" s="13">
        <f>(E68*50*50)/2</f>
        <v>296015316.10096931</v>
      </c>
      <c r="K68" s="8">
        <f t="shared" si="4"/>
        <v>296015316.10096931</v>
      </c>
      <c r="L68" s="22">
        <f t="shared" ref="L68" si="15">AVERAGE(K68:K70)</f>
        <v>327888835.04554027</v>
      </c>
      <c r="M68" s="23" t="s">
        <v>220</v>
      </c>
    </row>
    <row r="69" spans="1:13" x14ac:dyDescent="0.2">
      <c r="A69" s="2" t="s">
        <v>84</v>
      </c>
      <c r="B69" s="1" t="s">
        <v>160</v>
      </c>
      <c r="C69" s="4">
        <v>18.661467083027802</v>
      </c>
      <c r="D69" s="1">
        <f t="shared" si="1"/>
        <v>5.4376281833780427</v>
      </c>
      <c r="E69">
        <f t="shared" si="2"/>
        <v>273922.80066965579</v>
      </c>
      <c r="F69" s="12">
        <v>7.6388888888888895E-2</v>
      </c>
      <c r="G69" s="3" t="s">
        <v>203</v>
      </c>
      <c r="H69" s="3" t="s">
        <v>204</v>
      </c>
      <c r="I69" s="1" t="s">
        <v>224</v>
      </c>
      <c r="J69" s="13">
        <f t="shared" si="6"/>
        <v>342403500.83706975</v>
      </c>
      <c r="K69" s="8">
        <f t="shared" si="4"/>
        <v>342403500.83706975</v>
      </c>
      <c r="L69" s="23"/>
      <c r="M69" s="23"/>
    </row>
    <row r="70" spans="1:13" x14ac:dyDescent="0.2">
      <c r="A70" s="2" t="s">
        <v>85</v>
      </c>
      <c r="B70" s="1" t="s">
        <v>160</v>
      </c>
      <c r="C70" s="4">
        <v>18.6483403219084</v>
      </c>
      <c r="D70" s="1">
        <f t="shared" si="1"/>
        <v>5.4412207661876932</v>
      </c>
      <c r="E70">
        <f t="shared" si="2"/>
        <v>276198.1505588654</v>
      </c>
      <c r="F70" s="12">
        <v>7.6388888888888895E-2</v>
      </c>
      <c r="G70" s="3" t="s">
        <v>203</v>
      </c>
      <c r="H70" s="3" t="s">
        <v>204</v>
      </c>
      <c r="I70" s="1" t="s">
        <v>224</v>
      </c>
      <c r="J70" s="13">
        <f t="shared" si="6"/>
        <v>345247688.19858176</v>
      </c>
      <c r="K70" s="8">
        <f t="shared" si="4"/>
        <v>345247688.19858176</v>
      </c>
      <c r="L70" s="23"/>
      <c r="M70" s="23"/>
    </row>
    <row r="71" spans="1:13" x14ac:dyDescent="0.2">
      <c r="A71" s="2" t="s">
        <v>86</v>
      </c>
      <c r="B71" s="1" t="s">
        <v>161</v>
      </c>
      <c r="C71" s="4">
        <v>18.976139836823702</v>
      </c>
      <c r="D71" s="1">
        <f t="shared" si="1"/>
        <v>5.3515073257141008</v>
      </c>
      <c r="E71">
        <f t="shared" si="2"/>
        <v>224650.46698929471</v>
      </c>
      <c r="F71" s="12">
        <v>7.6388888888888895E-2</v>
      </c>
      <c r="G71" s="3" t="s">
        <v>203</v>
      </c>
      <c r="H71" s="3" t="s">
        <v>204</v>
      </c>
      <c r="I71" s="1" t="s">
        <v>224</v>
      </c>
      <c r="J71" s="13">
        <f t="shared" si="6"/>
        <v>280813083.7366184</v>
      </c>
      <c r="K71" s="8">
        <f t="shared" si="4"/>
        <v>280813083.7366184</v>
      </c>
      <c r="L71" s="22">
        <f t="shared" ref="L71" si="16">AVERAGE(K71:K73)</f>
        <v>281806351.54497582</v>
      </c>
      <c r="M71" s="23" t="s">
        <v>220</v>
      </c>
    </row>
    <row r="72" spans="1:13" x14ac:dyDescent="0.2">
      <c r="A72" s="2" t="s">
        <v>88</v>
      </c>
      <c r="B72" s="1" t="s">
        <v>161</v>
      </c>
      <c r="C72" s="4">
        <v>19.046954313655998</v>
      </c>
      <c r="D72" s="1">
        <f t="shared" si="1"/>
        <v>5.332126545502744</v>
      </c>
      <c r="E72">
        <f t="shared" si="2"/>
        <v>214845.64040027023</v>
      </c>
      <c r="F72" s="12">
        <v>7.6388888888888895E-2</v>
      </c>
      <c r="G72" s="3" t="s">
        <v>203</v>
      </c>
      <c r="H72" s="3" t="s">
        <v>204</v>
      </c>
      <c r="I72" s="1" t="s">
        <v>224</v>
      </c>
      <c r="J72" s="13">
        <f t="shared" si="6"/>
        <v>268557050.50033778</v>
      </c>
      <c r="K72" s="8">
        <f t="shared" si="4"/>
        <v>268557050.50033778</v>
      </c>
      <c r="L72" s="23"/>
      <c r="M72" s="23"/>
    </row>
    <row r="73" spans="1:13" x14ac:dyDescent="0.2">
      <c r="A73" s="2" t="s">
        <v>89</v>
      </c>
      <c r="B73" s="1" t="s">
        <v>161</v>
      </c>
      <c r="C73" s="4">
        <v>18.892298056923298</v>
      </c>
      <c r="D73" s="1">
        <f t="shared" si="1"/>
        <v>5.3744534686705308</v>
      </c>
      <c r="E73">
        <f t="shared" si="2"/>
        <v>236839.13631837713</v>
      </c>
      <c r="F73" s="12">
        <v>7.6388888888888895E-2</v>
      </c>
      <c r="G73" s="3" t="s">
        <v>203</v>
      </c>
      <c r="H73" s="3" t="s">
        <v>204</v>
      </c>
      <c r="I73" s="1" t="s">
        <v>224</v>
      </c>
      <c r="J73" s="13">
        <f t="shared" si="6"/>
        <v>296048920.39797145</v>
      </c>
      <c r="K73" s="8">
        <f t="shared" si="4"/>
        <v>296048920.39797145</v>
      </c>
      <c r="L73" s="23"/>
      <c r="M73" s="23"/>
    </row>
    <row r="74" spans="1:13" x14ac:dyDescent="0.2">
      <c r="A74" s="2" t="s">
        <v>90</v>
      </c>
      <c r="B74" s="1" t="s">
        <v>162</v>
      </c>
      <c r="C74" s="4">
        <v>19.6179204506718</v>
      </c>
      <c r="D74" s="1">
        <f t="shared" si="1"/>
        <v>5.1758623223575704</v>
      </c>
      <c r="E74">
        <f t="shared" si="2"/>
        <v>149920.9489033281</v>
      </c>
      <c r="F74" s="12">
        <v>7.6388888888888895E-2</v>
      </c>
      <c r="G74" s="3" t="s">
        <v>203</v>
      </c>
      <c r="H74" s="3" t="s">
        <v>204</v>
      </c>
      <c r="I74" s="1" t="s">
        <v>224</v>
      </c>
      <c r="J74" s="13">
        <f t="shared" si="6"/>
        <v>187401186.12916014</v>
      </c>
      <c r="K74" s="8">
        <f t="shared" si="4"/>
        <v>187401186.12916014</v>
      </c>
      <c r="L74" s="22">
        <f t="shared" ref="L74" si="17">AVERAGE(K74:K76)</f>
        <v>187100955.65771866</v>
      </c>
      <c r="M74" s="23" t="s">
        <v>220</v>
      </c>
    </row>
    <row r="75" spans="1:13" x14ac:dyDescent="0.2">
      <c r="A75" s="2" t="s">
        <v>92</v>
      </c>
      <c r="B75" s="1" t="s">
        <v>162</v>
      </c>
      <c r="C75" s="4">
        <v>19.615172288638401</v>
      </c>
      <c r="D75" s="1">
        <f t="shared" si="1"/>
        <v>5.1766144499836857</v>
      </c>
      <c r="E75">
        <f t="shared" si="2"/>
        <v>150180.81263460839</v>
      </c>
      <c r="F75" s="12">
        <v>7.6388888888888895E-2</v>
      </c>
      <c r="G75" s="3" t="s">
        <v>203</v>
      </c>
      <c r="H75" s="3" t="s">
        <v>204</v>
      </c>
      <c r="I75" s="1" t="s">
        <v>224</v>
      </c>
      <c r="J75" s="13">
        <f t="shared" si="6"/>
        <v>187726015.79326048</v>
      </c>
      <c r="K75" s="8">
        <f t="shared" si="4"/>
        <v>187726015.79326048</v>
      </c>
      <c r="L75" s="23"/>
      <c r="M75" s="23"/>
    </row>
    <row r="76" spans="1:13" x14ac:dyDescent="0.2">
      <c r="A76" s="2" t="s">
        <v>93</v>
      </c>
      <c r="B76" s="1" t="s">
        <v>162</v>
      </c>
      <c r="C76" s="4">
        <v>19.6283318112466</v>
      </c>
      <c r="D76" s="1">
        <f t="shared" si="1"/>
        <v>5.17301290088293</v>
      </c>
      <c r="E76">
        <f t="shared" si="2"/>
        <v>148940.53204058824</v>
      </c>
      <c r="F76" s="12">
        <v>7.6388888888888895E-2</v>
      </c>
      <c r="G76" s="3" t="s">
        <v>203</v>
      </c>
      <c r="H76" s="3" t="s">
        <v>204</v>
      </c>
      <c r="I76" s="1" t="s">
        <v>224</v>
      </c>
      <c r="J76" s="13">
        <f t="shared" si="6"/>
        <v>186175665.05073529</v>
      </c>
      <c r="K76" s="8">
        <f t="shared" si="4"/>
        <v>186175665.05073529</v>
      </c>
      <c r="L76" s="23"/>
      <c r="M76" s="23"/>
    </row>
    <row r="77" spans="1:13" x14ac:dyDescent="0.2">
      <c r="A77" s="2" t="s">
        <v>94</v>
      </c>
      <c r="B77" s="1" t="s">
        <v>163</v>
      </c>
      <c r="C77" s="4">
        <v>32.4819521015392</v>
      </c>
      <c r="D77" s="1">
        <f t="shared" si="1"/>
        <v>1.655184330937411</v>
      </c>
      <c r="E77">
        <f t="shared" si="2"/>
        <v>45.204776976460423</v>
      </c>
      <c r="F77" s="12">
        <v>7.6388888888888895E-2</v>
      </c>
      <c r="G77" s="3" t="s">
        <v>203</v>
      </c>
      <c r="H77" s="3" t="s">
        <v>204</v>
      </c>
      <c r="I77" s="1" t="s">
        <v>227</v>
      </c>
      <c r="J77" s="18">
        <f>(E77*50*50)/247.9*1000</f>
        <v>455877.13772146456</v>
      </c>
      <c r="K77" s="8">
        <f>J77</f>
        <v>455877.13772146456</v>
      </c>
      <c r="L77" s="22">
        <f t="shared" ref="L77:L101" si="18">AVERAGE(K77:K79)</f>
        <v>464650.4964834298</v>
      </c>
      <c r="M77" s="23" t="s">
        <v>222</v>
      </c>
    </row>
    <row r="78" spans="1:13" x14ac:dyDescent="0.2">
      <c r="A78" s="2" t="s">
        <v>96</v>
      </c>
      <c r="B78" s="1" t="s">
        <v>163</v>
      </c>
      <c r="C78" s="4">
        <v>32.501297993978298</v>
      </c>
      <c r="D78" s="1">
        <f t="shared" si="1"/>
        <v>1.649889672187864</v>
      </c>
      <c r="E78">
        <f t="shared" si="2"/>
        <v>44.657013143181793</v>
      </c>
      <c r="F78" s="12">
        <v>7.6388888888888895E-2</v>
      </c>
      <c r="G78" s="3" t="s">
        <v>203</v>
      </c>
      <c r="H78" s="3" t="s">
        <v>204</v>
      </c>
      <c r="I78" s="1" t="s">
        <v>227</v>
      </c>
      <c r="J78" s="18">
        <f t="shared" ref="J78:J79" si="19">(E78*50*50)/247.9*1000</f>
        <v>450353.09745040134</v>
      </c>
      <c r="K78" s="8">
        <f t="shared" ref="K78:K103" si="20">J78</f>
        <v>450353.09745040134</v>
      </c>
      <c r="L78" s="23"/>
      <c r="M78" s="23"/>
    </row>
    <row r="79" spans="1:13" x14ac:dyDescent="0.2">
      <c r="A79" s="2" t="s">
        <v>97</v>
      </c>
      <c r="B79" s="1" t="s">
        <v>163</v>
      </c>
      <c r="C79" s="4">
        <v>32.374807062419301</v>
      </c>
      <c r="D79" s="1">
        <f t="shared" si="1"/>
        <v>1.6845082001066731</v>
      </c>
      <c r="E79">
        <f t="shared" si="2"/>
        <v>48.362439574248469</v>
      </c>
      <c r="F79" s="12">
        <v>7.6388888888888895E-2</v>
      </c>
      <c r="G79" s="3" t="s">
        <v>203</v>
      </c>
      <c r="H79" s="3" t="s">
        <v>204</v>
      </c>
      <c r="I79" s="1" t="s">
        <v>227</v>
      </c>
      <c r="J79" s="18">
        <f t="shared" si="19"/>
        <v>487721.2542784235</v>
      </c>
      <c r="K79" s="8">
        <f t="shared" si="20"/>
        <v>487721.2542784235</v>
      </c>
      <c r="L79" s="23"/>
      <c r="M79" s="23"/>
    </row>
    <row r="80" spans="1:13" x14ac:dyDescent="0.2">
      <c r="A80" s="2" t="s">
        <v>98</v>
      </c>
      <c r="B80" s="1" t="s">
        <v>164</v>
      </c>
      <c r="C80" s="4">
        <v>31.223641034173799</v>
      </c>
      <c r="D80" s="1">
        <f t="shared" si="1"/>
        <v>1.9995637760031468</v>
      </c>
      <c r="E80">
        <f t="shared" si="2"/>
        <v>99.89960614115266</v>
      </c>
      <c r="F80" s="12">
        <v>7.6388888888888895E-2</v>
      </c>
      <c r="G80" s="3" t="s">
        <v>203</v>
      </c>
      <c r="H80" s="3" t="s">
        <v>204</v>
      </c>
      <c r="I80" s="1" t="s">
        <v>228</v>
      </c>
      <c r="J80" s="18">
        <f>(E80*50*50)/247.6*1000</f>
        <v>1008679.38349306</v>
      </c>
      <c r="K80" s="8">
        <f t="shared" si="20"/>
        <v>1008679.38349306</v>
      </c>
      <c r="L80" s="22">
        <f t="shared" si="18"/>
        <v>1258309.7878787864</v>
      </c>
      <c r="M80" s="23" t="s">
        <v>222</v>
      </c>
    </row>
    <row r="81" spans="1:13" x14ac:dyDescent="0.2">
      <c r="A81" s="2" t="s">
        <v>100</v>
      </c>
      <c r="B81" s="1" t="s">
        <v>164</v>
      </c>
      <c r="C81" s="4">
        <v>30.558559073818699</v>
      </c>
      <c r="D81" s="1">
        <f t="shared" si="1"/>
        <v>2.1815859820939481</v>
      </c>
      <c r="E81">
        <f t="shared" si="2"/>
        <v>151.90986650682632</v>
      </c>
      <c r="F81" s="12">
        <v>7.6388888888888895E-2</v>
      </c>
      <c r="G81" s="3" t="s">
        <v>203</v>
      </c>
      <c r="H81" s="3" t="s">
        <v>204</v>
      </c>
      <c r="I81" s="1" t="s">
        <v>228</v>
      </c>
      <c r="J81" s="18">
        <f t="shared" ref="J81:J82" si="21">(E81*50*50)/247.6*1000</f>
        <v>1533823.3694146439</v>
      </c>
      <c r="K81" s="8">
        <f t="shared" si="20"/>
        <v>1533823.3694146439</v>
      </c>
      <c r="L81" s="23"/>
      <c r="M81" s="23"/>
    </row>
    <row r="82" spans="1:13" x14ac:dyDescent="0.2">
      <c r="A82" s="2" t="s">
        <v>101</v>
      </c>
      <c r="B82" s="1" t="s">
        <v>164</v>
      </c>
      <c r="C82" s="4">
        <v>30.905727076955099</v>
      </c>
      <c r="D82" s="1">
        <f t="shared" si="1"/>
        <v>2.0865716987697001</v>
      </c>
      <c r="E82">
        <f t="shared" si="2"/>
        <v>122.05953152656612</v>
      </c>
      <c r="F82" s="12">
        <v>7.6388888888888895E-2</v>
      </c>
      <c r="G82" s="3" t="s">
        <v>203</v>
      </c>
      <c r="H82" s="3" t="s">
        <v>204</v>
      </c>
      <c r="I82" s="1" t="s">
        <v>228</v>
      </c>
      <c r="J82" s="18">
        <f t="shared" si="21"/>
        <v>1232426.6107286562</v>
      </c>
      <c r="K82" s="8">
        <f t="shared" si="20"/>
        <v>1232426.6107286562</v>
      </c>
      <c r="L82" s="23"/>
      <c r="M82" s="23"/>
    </row>
    <row r="83" spans="1:13" x14ac:dyDescent="0.2">
      <c r="A83" s="2" t="s">
        <v>102</v>
      </c>
      <c r="B83" s="1" t="s">
        <v>165</v>
      </c>
      <c r="C83" s="4">
        <v>33.6113415504255</v>
      </c>
      <c r="D83" s="1">
        <f t="shared" si="1"/>
        <v>1.3460886535983374</v>
      </c>
      <c r="E83">
        <f t="shared" si="2"/>
        <v>22.186492718981174</v>
      </c>
      <c r="F83" s="12">
        <v>7.6388888888888895E-2</v>
      </c>
      <c r="G83" s="3" t="s">
        <v>203</v>
      </c>
      <c r="H83" s="3" t="s">
        <v>204</v>
      </c>
      <c r="I83" s="1" t="s">
        <v>229</v>
      </c>
      <c r="J83" s="18">
        <f>(E83*50*50)/231.4*1000</f>
        <v>239698.49523531954</v>
      </c>
      <c r="K83" s="8">
        <f t="shared" si="20"/>
        <v>239698.49523531954</v>
      </c>
      <c r="L83" s="22">
        <f t="shared" si="18"/>
        <v>403692.5721499857</v>
      </c>
      <c r="M83" s="23" t="s">
        <v>222</v>
      </c>
    </row>
    <row r="84" spans="1:13" x14ac:dyDescent="0.2">
      <c r="A84" s="2" t="s">
        <v>104</v>
      </c>
      <c r="B84" s="1" t="s">
        <v>165</v>
      </c>
      <c r="C84" s="4">
        <v>32.570131202677601</v>
      </c>
      <c r="D84" s="1">
        <f t="shared" si="1"/>
        <v>1.6310511331105659</v>
      </c>
      <c r="E84">
        <f t="shared" si="2"/>
        <v>42.761322965887778</v>
      </c>
      <c r="F84" s="12">
        <v>7.6388888888888895E-2</v>
      </c>
      <c r="G84" s="3" t="s">
        <v>203</v>
      </c>
      <c r="H84" s="3" t="s">
        <v>204</v>
      </c>
      <c r="I84" s="1" t="s">
        <v>229</v>
      </c>
      <c r="J84" s="18">
        <f t="shared" ref="J84:J85" si="22">(E84*50*50)/231.4*1000</f>
        <v>461984.90671875299</v>
      </c>
      <c r="K84" s="8">
        <f t="shared" si="20"/>
        <v>461984.90671875299</v>
      </c>
      <c r="L84" s="23"/>
      <c r="M84" s="23"/>
    </row>
    <row r="85" spans="1:13" x14ac:dyDescent="0.2">
      <c r="A85" s="2" t="s">
        <v>105</v>
      </c>
      <c r="B85" s="1" t="s">
        <v>165</v>
      </c>
      <c r="C85" s="4">
        <v>32.415111815201698</v>
      </c>
      <c r="D85" s="1">
        <f t="shared" si="1"/>
        <v>1.6734774393061858</v>
      </c>
      <c r="E85">
        <f t="shared" si="2"/>
        <v>47.149537749739082</v>
      </c>
      <c r="F85" s="12">
        <v>7.6388888888888895E-2</v>
      </c>
      <c r="G85" s="3" t="s">
        <v>203</v>
      </c>
      <c r="H85" s="3" t="s">
        <v>204</v>
      </c>
      <c r="I85" s="1" t="s">
        <v>229</v>
      </c>
      <c r="J85" s="18">
        <f t="shared" si="22"/>
        <v>509394.31449588464</v>
      </c>
      <c r="K85" s="8">
        <f t="shared" si="20"/>
        <v>509394.31449588464</v>
      </c>
      <c r="L85" s="23"/>
      <c r="M85" s="23"/>
    </row>
    <row r="86" spans="1:13" x14ac:dyDescent="0.2">
      <c r="A86" s="2" t="s">
        <v>106</v>
      </c>
      <c r="B86" s="1" t="s">
        <v>166</v>
      </c>
      <c r="C86" s="4">
        <v>31.679427686784699</v>
      </c>
      <c r="D86" s="1">
        <f t="shared" si="1"/>
        <v>1.8748223201220071</v>
      </c>
      <c r="E86">
        <f t="shared" si="2"/>
        <v>74.95874730857733</v>
      </c>
      <c r="F86" s="12">
        <v>7.6388888888888895E-2</v>
      </c>
      <c r="G86" s="3" t="s">
        <v>203</v>
      </c>
      <c r="H86" s="3" t="s">
        <v>204</v>
      </c>
      <c r="I86" s="1" t="s">
        <v>230</v>
      </c>
      <c r="J86" s="18">
        <f>(E86*50*50)/259.8*1000</f>
        <v>721312.04107560939</v>
      </c>
      <c r="K86" s="8">
        <f t="shared" si="20"/>
        <v>721312.04107560939</v>
      </c>
      <c r="L86" s="22">
        <f t="shared" si="18"/>
        <v>593038.23100379761</v>
      </c>
      <c r="M86" s="23" t="s">
        <v>222</v>
      </c>
    </row>
    <row r="87" spans="1:13" x14ac:dyDescent="0.2">
      <c r="A87" s="2" t="s">
        <v>108</v>
      </c>
      <c r="B87" s="1" t="s">
        <v>166</v>
      </c>
      <c r="C87" s="4">
        <v>32.367041992501001</v>
      </c>
      <c r="D87" s="1">
        <f t="shared" si="1"/>
        <v>1.686633374508071</v>
      </c>
      <c r="E87">
        <f t="shared" si="2"/>
        <v>48.599676061768697</v>
      </c>
      <c r="F87" s="12">
        <v>7.6388888888888895E-2</v>
      </c>
      <c r="G87" s="3" t="s">
        <v>203</v>
      </c>
      <c r="H87" s="3" t="s">
        <v>204</v>
      </c>
      <c r="I87" s="1" t="s">
        <v>230</v>
      </c>
      <c r="J87" s="18">
        <f t="shared" ref="J87:J88" si="23">(E87*50*50)/259.8*1000</f>
        <v>467664.31930108444</v>
      </c>
      <c r="K87" s="8">
        <f t="shared" si="20"/>
        <v>467664.31930108444</v>
      </c>
      <c r="L87" s="23"/>
      <c r="M87" s="23"/>
    </row>
    <row r="88" spans="1:13" x14ac:dyDescent="0.2">
      <c r="A88" s="2" t="s">
        <v>109</v>
      </c>
      <c r="B88" s="1" t="s">
        <v>166</v>
      </c>
      <c r="C88" s="4">
        <v>31.997931499698399</v>
      </c>
      <c r="D88" s="1">
        <f t="shared" si="1"/>
        <v>1.7876529633649396</v>
      </c>
      <c r="E88">
        <f t="shared" si="2"/>
        <v>61.32717552739792</v>
      </c>
      <c r="F88" s="12">
        <v>7.6388888888888895E-2</v>
      </c>
      <c r="G88" s="3" t="s">
        <v>203</v>
      </c>
      <c r="H88" s="3" t="s">
        <v>204</v>
      </c>
      <c r="I88" s="1" t="s">
        <v>230</v>
      </c>
      <c r="J88" s="18">
        <f t="shared" si="23"/>
        <v>590138.33263469895</v>
      </c>
      <c r="K88" s="8">
        <f t="shared" si="20"/>
        <v>590138.33263469895</v>
      </c>
      <c r="L88" s="23"/>
      <c r="M88" s="23"/>
    </row>
    <row r="89" spans="1:13" x14ac:dyDescent="0.2">
      <c r="A89" s="2" t="s">
        <v>110</v>
      </c>
      <c r="B89" s="1" t="s">
        <v>167</v>
      </c>
      <c r="C89" s="4">
        <v>31.413169515603901</v>
      </c>
      <c r="D89" s="1">
        <f t="shared" si="1"/>
        <v>1.9476928873557879</v>
      </c>
      <c r="E89">
        <f t="shared" si="2"/>
        <v>88.65288787714637</v>
      </c>
      <c r="F89" s="12">
        <v>7.6388888888888895E-2</v>
      </c>
      <c r="G89" s="3" t="s">
        <v>203</v>
      </c>
      <c r="H89" s="3" t="s">
        <v>204</v>
      </c>
      <c r="I89" s="1" t="s">
        <v>231</v>
      </c>
      <c r="J89" s="18">
        <f>(E89*50*50)/236.5*1000</f>
        <v>937134.12132290017</v>
      </c>
      <c r="K89" s="8">
        <f t="shared" si="20"/>
        <v>937134.12132290017</v>
      </c>
      <c r="L89" s="22">
        <f t="shared" si="18"/>
        <v>781108.48969366832</v>
      </c>
      <c r="M89" s="23" t="s">
        <v>222</v>
      </c>
    </row>
    <row r="90" spans="1:13" x14ac:dyDescent="0.2">
      <c r="A90" s="2" t="s">
        <v>112</v>
      </c>
      <c r="B90" s="1" t="s">
        <v>167</v>
      </c>
      <c r="C90" s="4">
        <v>31.5976357719818</v>
      </c>
      <c r="D90" s="1">
        <f t="shared" si="1"/>
        <v>1.8972074480615253</v>
      </c>
      <c r="E90">
        <f t="shared" si="2"/>
        <v>78.923701992735573</v>
      </c>
      <c r="F90" s="12">
        <v>7.6388888888888895E-2</v>
      </c>
      <c r="G90" s="3" t="s">
        <v>203</v>
      </c>
      <c r="H90" s="3" t="s">
        <v>204</v>
      </c>
      <c r="I90" s="1" t="s">
        <v>231</v>
      </c>
      <c r="J90" s="18">
        <f t="shared" ref="J90:J91" si="24">(E90*50*50)/236.5*1000</f>
        <v>834288.60457437183</v>
      </c>
      <c r="K90" s="8">
        <f t="shared" si="20"/>
        <v>834288.60457437183</v>
      </c>
      <c r="L90" s="23"/>
      <c r="M90" s="23"/>
    </row>
    <row r="91" spans="1:13" x14ac:dyDescent="0.2">
      <c r="A91" s="2" t="s">
        <v>113</v>
      </c>
      <c r="B91" s="1" t="s">
        <v>167</v>
      </c>
      <c r="C91" s="4">
        <v>32.196845841582899</v>
      </c>
      <c r="D91" s="1">
        <f t="shared" si="1"/>
        <v>1.7332133160866026</v>
      </c>
      <c r="E91">
        <f t="shared" si="2"/>
        <v>54.101999505181148</v>
      </c>
      <c r="F91" s="12">
        <v>7.6388888888888895E-2</v>
      </c>
      <c r="G91" s="3" t="s">
        <v>203</v>
      </c>
      <c r="H91" s="3" t="s">
        <v>204</v>
      </c>
      <c r="I91" s="1" t="s">
        <v>231</v>
      </c>
      <c r="J91" s="18">
        <f t="shared" si="24"/>
        <v>571902.74318373308</v>
      </c>
      <c r="K91" s="8">
        <f t="shared" si="20"/>
        <v>571902.74318373308</v>
      </c>
      <c r="L91" s="23"/>
      <c r="M91" s="23"/>
    </row>
    <row r="92" spans="1:13" x14ac:dyDescent="0.2">
      <c r="A92" s="2" t="s">
        <v>114</v>
      </c>
      <c r="B92" s="1" t="s">
        <v>168</v>
      </c>
      <c r="C92" s="4">
        <v>32.374136947302901</v>
      </c>
      <c r="D92" s="1">
        <f t="shared" si="1"/>
        <v>1.6846915998063983</v>
      </c>
      <c r="E92">
        <f t="shared" si="2"/>
        <v>48.382867026882721</v>
      </c>
      <c r="F92" s="12">
        <v>7.6388888888888895E-2</v>
      </c>
      <c r="G92" s="3" t="s">
        <v>203</v>
      </c>
      <c r="H92" s="3" t="s">
        <v>204</v>
      </c>
      <c r="I92" s="1" t="s">
        <v>232</v>
      </c>
      <c r="J92" s="18">
        <f>(E92*50*50)/241.8*1000</f>
        <v>500236.42500912654</v>
      </c>
      <c r="K92" s="8">
        <f t="shared" si="20"/>
        <v>500236.42500912654</v>
      </c>
      <c r="L92" s="22">
        <f t="shared" si="18"/>
        <v>571931.83624509384</v>
      </c>
      <c r="M92" s="23" t="s">
        <v>222</v>
      </c>
    </row>
    <row r="93" spans="1:13" x14ac:dyDescent="0.2">
      <c r="A93" s="2" t="s">
        <v>116</v>
      </c>
      <c r="B93" s="1" t="s">
        <v>168</v>
      </c>
      <c r="C93" s="4">
        <v>32.036927034993901</v>
      </c>
      <c r="D93" s="1">
        <f t="shared" si="1"/>
        <v>1.7769805142755233</v>
      </c>
      <c r="E93">
        <f t="shared" si="2"/>
        <v>59.83847464072371</v>
      </c>
      <c r="F93" s="12">
        <v>7.6388888888888895E-2</v>
      </c>
      <c r="G93" s="3" t="s">
        <v>203</v>
      </c>
      <c r="H93" s="3" t="s">
        <v>204</v>
      </c>
      <c r="I93" s="1" t="s">
        <v>232</v>
      </c>
      <c r="J93" s="18">
        <f t="shared" ref="J93:J94" si="25">(E93*50*50)/241.8*1000</f>
        <v>618677.36394462059</v>
      </c>
      <c r="K93" s="8">
        <f t="shared" si="20"/>
        <v>618677.36394462059</v>
      </c>
      <c r="L93" s="23"/>
      <c r="M93" s="23"/>
    </row>
    <row r="94" spans="1:13" x14ac:dyDescent="0.2">
      <c r="A94" s="2" t="s">
        <v>117</v>
      </c>
      <c r="B94" s="1" t="s">
        <v>168</v>
      </c>
      <c r="C94" s="4">
        <v>32.093839223514102</v>
      </c>
      <c r="D94" s="1">
        <f t="shared" si="1"/>
        <v>1.7614045661587354</v>
      </c>
      <c r="E94">
        <f t="shared" si="2"/>
        <v>57.730399937270015</v>
      </c>
      <c r="F94" s="12">
        <v>7.6388888888888895E-2</v>
      </c>
      <c r="G94" s="3" t="s">
        <v>203</v>
      </c>
      <c r="H94" s="3" t="s">
        <v>204</v>
      </c>
      <c r="I94" s="1" t="s">
        <v>232</v>
      </c>
      <c r="J94" s="18">
        <f t="shared" si="25"/>
        <v>596881.71978153451</v>
      </c>
      <c r="K94" s="8">
        <f t="shared" si="20"/>
        <v>596881.71978153451</v>
      </c>
      <c r="L94" s="23"/>
      <c r="M94" s="23"/>
    </row>
    <row r="95" spans="1:13" x14ac:dyDescent="0.2">
      <c r="A95" s="2" t="s">
        <v>118</v>
      </c>
      <c r="B95" s="1" t="s">
        <v>169</v>
      </c>
      <c r="C95" s="4">
        <v>33.746286881524497</v>
      </c>
      <c r="D95" s="1">
        <f t="shared" si="1"/>
        <v>1.3091562928781963</v>
      </c>
      <c r="E95">
        <f t="shared" si="2"/>
        <v>20.377752955510466</v>
      </c>
      <c r="F95" s="12">
        <v>7.6388888888888895E-2</v>
      </c>
      <c r="G95" s="3" t="s">
        <v>203</v>
      </c>
      <c r="H95" s="3" t="s">
        <v>204</v>
      </c>
      <c r="I95" s="1" t="s">
        <v>233</v>
      </c>
      <c r="J95" s="18">
        <f>(E95*50*50)/232.2*1000</f>
        <v>219398.71829791632</v>
      </c>
      <c r="K95" s="8">
        <f t="shared" si="20"/>
        <v>219398.71829791632</v>
      </c>
      <c r="L95" s="22">
        <f t="shared" si="18"/>
        <v>200652.80154532648</v>
      </c>
      <c r="M95" s="23" t="s">
        <v>222</v>
      </c>
    </row>
    <row r="96" spans="1:13" x14ac:dyDescent="0.2">
      <c r="A96" s="2" t="s">
        <v>120</v>
      </c>
      <c r="B96" s="1" t="s">
        <v>169</v>
      </c>
      <c r="C96" s="4">
        <v>33.779068857287697</v>
      </c>
      <c r="D96" s="1">
        <f t="shared" si="1"/>
        <v>1.3001843948203287</v>
      </c>
      <c r="E96">
        <f t="shared" si="2"/>
        <v>19.961096528196666</v>
      </c>
      <c r="F96" s="12">
        <v>7.6388888888888895E-2</v>
      </c>
      <c r="G96" s="3" t="s">
        <v>203</v>
      </c>
      <c r="H96" s="3" t="s">
        <v>204</v>
      </c>
      <c r="I96" s="1" t="s">
        <v>233</v>
      </c>
      <c r="J96" s="18">
        <f t="shared" ref="J96:J97" si="26">(E96*50*50)/232.2*1000</f>
        <v>214912.75331822425</v>
      </c>
      <c r="K96" s="8">
        <f t="shared" si="20"/>
        <v>214912.75331822425</v>
      </c>
      <c r="L96" s="23"/>
      <c r="M96" s="23"/>
    </row>
    <row r="97" spans="1:13" x14ac:dyDescent="0.2">
      <c r="A97" s="2" t="s">
        <v>121</v>
      </c>
      <c r="B97" s="1" t="s">
        <v>169</v>
      </c>
      <c r="C97" s="4">
        <v>34.173197216329399</v>
      </c>
      <c r="D97" s="1">
        <f t="shared" si="1"/>
        <v>1.192317819462587</v>
      </c>
      <c r="E97">
        <f t="shared" si="2"/>
        <v>15.571047138882632</v>
      </c>
      <c r="F97" s="12">
        <v>7.6388888888888895E-2</v>
      </c>
      <c r="G97" s="3" t="s">
        <v>203</v>
      </c>
      <c r="H97" s="3" t="s">
        <v>204</v>
      </c>
      <c r="I97" s="1" t="s">
        <v>233</v>
      </c>
      <c r="J97" s="18">
        <f t="shared" si="26"/>
        <v>167646.93301983885</v>
      </c>
      <c r="K97" s="8">
        <f t="shared" si="20"/>
        <v>167646.93301983885</v>
      </c>
      <c r="L97" s="23"/>
      <c r="M97" s="23"/>
    </row>
    <row r="98" spans="1:13" x14ac:dyDescent="0.2">
      <c r="A98" s="2" t="s">
        <v>122</v>
      </c>
      <c r="B98" s="1" t="s">
        <v>170</v>
      </c>
      <c r="C98" s="4">
        <v>30.8863110591466</v>
      </c>
      <c r="D98" s="1">
        <f t="shared" si="1"/>
        <v>2.0918855497018685</v>
      </c>
      <c r="E98">
        <f t="shared" si="2"/>
        <v>123.56217652150157</v>
      </c>
      <c r="F98" s="12">
        <v>7.6388888888888895E-2</v>
      </c>
      <c r="G98" s="3" t="s">
        <v>203</v>
      </c>
      <c r="H98" s="3" t="s">
        <v>204</v>
      </c>
      <c r="I98" s="1" t="s">
        <v>234</v>
      </c>
      <c r="J98" s="18">
        <f>(E98*50*50)/253.5*1000</f>
        <v>1218561.8986341378</v>
      </c>
      <c r="K98" s="8">
        <f t="shared" si="20"/>
        <v>1218561.8986341378</v>
      </c>
      <c r="L98" s="22">
        <f t="shared" si="18"/>
        <v>1287458.6813474756</v>
      </c>
      <c r="M98" s="23" t="s">
        <v>222</v>
      </c>
    </row>
    <row r="99" spans="1:13" x14ac:dyDescent="0.2">
      <c r="A99" s="2" t="s">
        <v>124</v>
      </c>
      <c r="B99" s="1" t="s">
        <v>170</v>
      </c>
      <c r="C99" s="4">
        <v>30.752495813064201</v>
      </c>
      <c r="D99" s="1">
        <f t="shared" si="1"/>
        <v>2.1285086243790059</v>
      </c>
      <c r="E99">
        <f t="shared" si="2"/>
        <v>134.43384627721764</v>
      </c>
      <c r="F99" s="12">
        <v>7.6388888888888895E-2</v>
      </c>
      <c r="G99" s="3" t="s">
        <v>203</v>
      </c>
      <c r="H99" s="3" t="s">
        <v>204</v>
      </c>
      <c r="I99" s="1" t="s">
        <v>234</v>
      </c>
      <c r="J99" s="18">
        <f t="shared" ref="J99:J100" si="27">(E99*50*50)/253.5*1000</f>
        <v>1325777.5766983989</v>
      </c>
      <c r="K99" s="8">
        <f t="shared" si="20"/>
        <v>1325777.5766983989</v>
      </c>
      <c r="L99" s="23"/>
      <c r="M99" s="23"/>
    </row>
    <row r="100" spans="1:13" x14ac:dyDescent="0.2">
      <c r="A100" s="2" t="s">
        <v>125</v>
      </c>
      <c r="B100" s="1" t="s">
        <v>170</v>
      </c>
      <c r="C100" s="4">
        <v>30.761788320907399</v>
      </c>
      <c r="D100" s="1">
        <f t="shared" si="1"/>
        <v>2.1259654148521197</v>
      </c>
      <c r="E100">
        <f t="shared" si="2"/>
        <v>133.6489080671829</v>
      </c>
      <c r="F100" s="12">
        <v>7.6388888888888895E-2</v>
      </c>
      <c r="G100" s="3" t="s">
        <v>203</v>
      </c>
      <c r="H100" s="3" t="s">
        <v>204</v>
      </c>
      <c r="I100" s="1" t="s">
        <v>234</v>
      </c>
      <c r="J100" s="18">
        <f t="shared" si="27"/>
        <v>1318036.5687098904</v>
      </c>
      <c r="K100" s="8">
        <f t="shared" si="20"/>
        <v>1318036.5687098904</v>
      </c>
      <c r="L100" s="23"/>
      <c r="M100" s="23"/>
    </row>
    <row r="101" spans="1:13" x14ac:dyDescent="0.2">
      <c r="A101" s="2" t="s">
        <v>126</v>
      </c>
      <c r="B101" s="1" t="s">
        <v>171</v>
      </c>
      <c r="C101" s="4">
        <v>31.751545457341201</v>
      </c>
      <c r="D101" s="1">
        <f t="shared" si="1"/>
        <v>1.8550848494378886</v>
      </c>
      <c r="E101">
        <f t="shared" si="2"/>
        <v>71.628333900450073</v>
      </c>
      <c r="F101" s="12">
        <v>7.6388888888888895E-2</v>
      </c>
      <c r="G101" s="3" t="s">
        <v>203</v>
      </c>
      <c r="H101" s="3" t="s">
        <v>204</v>
      </c>
      <c r="I101" s="1" t="s">
        <v>235</v>
      </c>
      <c r="J101" s="18">
        <f>(E101*50*50)/245.1*1000</f>
        <v>730603.16095930291</v>
      </c>
      <c r="K101" s="8">
        <f t="shared" si="20"/>
        <v>730603.16095930291</v>
      </c>
      <c r="L101" s="22">
        <f t="shared" si="18"/>
        <v>603918.63050375681</v>
      </c>
      <c r="M101" s="23" t="s">
        <v>222</v>
      </c>
    </row>
    <row r="102" spans="1:13" x14ac:dyDescent="0.2">
      <c r="A102" s="2" t="s">
        <v>128</v>
      </c>
      <c r="B102" s="1" t="s">
        <v>171</v>
      </c>
      <c r="C102" s="4">
        <v>32.611222895467797</v>
      </c>
      <c r="D102" s="1">
        <f t="shared" si="1"/>
        <v>1.6198049995217318</v>
      </c>
      <c r="E102">
        <f t="shared" si="2"/>
        <v>41.668224896710235</v>
      </c>
      <c r="F102" s="12">
        <v>7.6388888888888895E-2</v>
      </c>
      <c r="G102" s="3" t="s">
        <v>203</v>
      </c>
      <c r="H102" s="3" t="s">
        <v>204</v>
      </c>
      <c r="I102" s="1" t="s">
        <v>235</v>
      </c>
      <c r="J102" s="18">
        <f t="shared" ref="J102:J103" si="28">(E102*50*50)/245.1*1000</f>
        <v>425012.49384649366</v>
      </c>
      <c r="K102" s="8">
        <f t="shared" si="20"/>
        <v>425012.49384649366</v>
      </c>
      <c r="L102" s="23"/>
      <c r="M102" s="23"/>
    </row>
    <row r="103" spans="1:13" x14ac:dyDescent="0.2">
      <c r="A103" s="2" t="s">
        <v>129</v>
      </c>
      <c r="B103" s="1" t="s">
        <v>171</v>
      </c>
      <c r="C103" s="4">
        <v>31.9221250225979</v>
      </c>
      <c r="D103" s="1">
        <f t="shared" ref="D103" si="29">(C103-$S$11)/$S$10</f>
        <v>1.8083999735385992</v>
      </c>
      <c r="E103">
        <f t="shared" ref="E103" si="30">10^D103</f>
        <v>64.327988806604623</v>
      </c>
      <c r="F103" s="12">
        <v>7.6388888888888895E-2</v>
      </c>
      <c r="G103" s="3" t="s">
        <v>203</v>
      </c>
      <c r="H103" s="3" t="s">
        <v>204</v>
      </c>
      <c r="I103" s="1" t="s">
        <v>235</v>
      </c>
      <c r="J103" s="18">
        <f t="shared" si="28"/>
        <v>656140.23670547362</v>
      </c>
      <c r="K103" s="8">
        <f t="shared" si="20"/>
        <v>656140.23670547362</v>
      </c>
      <c r="L103" s="23"/>
      <c r="M103" s="23"/>
    </row>
  </sheetData>
  <mergeCells count="45">
    <mergeCell ref="L101:L103"/>
    <mergeCell ref="M101:M103"/>
    <mergeCell ref="L92:L94"/>
    <mergeCell ref="M92:M94"/>
    <mergeCell ref="L95:L97"/>
    <mergeCell ref="M95:M97"/>
    <mergeCell ref="L98:L100"/>
    <mergeCell ref="M98:M100"/>
    <mergeCell ref="L83:L85"/>
    <mergeCell ref="M83:M85"/>
    <mergeCell ref="L86:L88"/>
    <mergeCell ref="M86:M88"/>
    <mergeCell ref="L89:L91"/>
    <mergeCell ref="M89:M91"/>
    <mergeCell ref="L74:L76"/>
    <mergeCell ref="M74:M76"/>
    <mergeCell ref="L77:L79"/>
    <mergeCell ref="M77:M79"/>
    <mergeCell ref="L80:L82"/>
    <mergeCell ref="M80:M82"/>
    <mergeCell ref="L65:L67"/>
    <mergeCell ref="M65:M67"/>
    <mergeCell ref="L68:L70"/>
    <mergeCell ref="M68:M70"/>
    <mergeCell ref="L71:L73"/>
    <mergeCell ref="M71:M73"/>
    <mergeCell ref="L56:L58"/>
    <mergeCell ref="M56:M58"/>
    <mergeCell ref="L59:L61"/>
    <mergeCell ref="M59:M61"/>
    <mergeCell ref="L62:L64"/>
    <mergeCell ref="M62:M64"/>
    <mergeCell ref="L47:L49"/>
    <mergeCell ref="M47:M49"/>
    <mergeCell ref="L50:L52"/>
    <mergeCell ref="M50:M52"/>
    <mergeCell ref="L53:L55"/>
    <mergeCell ref="M53:M55"/>
    <mergeCell ref="L44:L46"/>
    <mergeCell ref="M44:M46"/>
    <mergeCell ref="S7:U8"/>
    <mergeCell ref="L38:L40"/>
    <mergeCell ref="M38:M40"/>
    <mergeCell ref="L41:L43"/>
    <mergeCell ref="M41:M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54E89-0A48-4340-9D4C-8F4C7614E799}">
  <dimension ref="A1:U103"/>
  <sheetViews>
    <sheetView zoomScaleNormal="100" workbookViewId="0"/>
  </sheetViews>
  <sheetFormatPr baseColWidth="10" defaultRowHeight="16" x14ac:dyDescent="0.2"/>
  <cols>
    <col min="1" max="1" width="5" bestFit="1" customWidth="1"/>
    <col min="2" max="2" width="15.33203125" bestFit="1" customWidth="1"/>
    <col min="3" max="3" width="6.6640625" bestFit="1" customWidth="1"/>
    <col min="4" max="4" width="21.6640625" bestFit="1" customWidth="1"/>
    <col min="6" max="6" width="4.6640625" bestFit="1" customWidth="1"/>
    <col min="7" max="7" width="9.1640625" bestFit="1" customWidth="1"/>
    <col min="8" max="8" width="13" bestFit="1" customWidth="1"/>
    <col min="9" max="9" width="14.33203125" bestFit="1" customWidth="1"/>
    <col min="10" max="10" width="12.1640625" bestFit="1" customWidth="1"/>
    <col min="11" max="12" width="8.6640625" bestFit="1" customWidth="1"/>
    <col min="13" max="13" width="13.1640625" bestFit="1" customWidth="1"/>
    <col min="14" max="14" width="5" bestFit="1" customWidth="1"/>
    <col min="15" max="15" width="9.83203125" bestFit="1" customWidth="1"/>
    <col min="16" max="17" width="5.6640625" bestFit="1" customWidth="1"/>
    <col min="21" max="21" width="13.1640625" bestFit="1" customWidth="1"/>
  </cols>
  <sheetData>
    <row r="1" spans="1:21" x14ac:dyDescent="0.2">
      <c r="A1" s="1" t="s">
        <v>0</v>
      </c>
      <c r="B1" s="1" t="s">
        <v>1</v>
      </c>
      <c r="C1" s="1" t="s">
        <v>193</v>
      </c>
      <c r="D1" s="1" t="s">
        <v>196</v>
      </c>
      <c r="N1" s="1" t="s">
        <v>0</v>
      </c>
      <c r="O1" s="1" t="s">
        <v>194</v>
      </c>
      <c r="P1" s="1" t="s">
        <v>196</v>
      </c>
    </row>
    <row r="2" spans="1:21" x14ac:dyDescent="0.2">
      <c r="A2" s="2" t="s">
        <v>2</v>
      </c>
      <c r="B2" s="1" t="s">
        <v>3</v>
      </c>
      <c r="C2" s="11">
        <f t="shared" ref="C2:C28" si="0">LOG(O2)</f>
        <v>8.0136044023579664</v>
      </c>
      <c r="D2" s="4">
        <v>8.4361493156315905</v>
      </c>
      <c r="N2" s="1" t="s">
        <v>2</v>
      </c>
      <c r="O2" s="8">
        <v>103182109.45826009</v>
      </c>
      <c r="P2" s="4">
        <v>8.4361493156315905</v>
      </c>
    </row>
    <row r="3" spans="1:21" x14ac:dyDescent="0.2">
      <c r="A3" s="2" t="s">
        <v>4</v>
      </c>
      <c r="B3" s="1" t="s">
        <v>3</v>
      </c>
      <c r="C3" s="11">
        <f t="shared" si="0"/>
        <v>8.0136044023579664</v>
      </c>
      <c r="D3" s="4">
        <v>8.7289814880461698</v>
      </c>
      <c r="N3" s="1" t="s">
        <v>4</v>
      </c>
      <c r="O3" s="8">
        <v>103182109.45826009</v>
      </c>
      <c r="P3" s="4">
        <v>8.7289814880461698</v>
      </c>
    </row>
    <row r="4" spans="1:21" x14ac:dyDescent="0.2">
      <c r="A4" s="2" t="s">
        <v>5</v>
      </c>
      <c r="B4" s="1" t="s">
        <v>3</v>
      </c>
      <c r="C4" s="11">
        <f t="shared" si="0"/>
        <v>8.0136044023579664</v>
      </c>
      <c r="D4" s="4">
        <v>8.7777945621547993</v>
      </c>
      <c r="N4" s="1" t="s">
        <v>5</v>
      </c>
      <c r="O4" s="8">
        <v>103182109.45826009</v>
      </c>
      <c r="P4" s="4">
        <v>8.7777945621547993</v>
      </c>
    </row>
    <row r="5" spans="1:21" x14ac:dyDescent="0.2">
      <c r="A5" s="2" t="s">
        <v>6</v>
      </c>
      <c r="B5" s="1" t="s">
        <v>7</v>
      </c>
      <c r="C5" s="11">
        <f t="shared" si="0"/>
        <v>7.0136044023579664</v>
      </c>
      <c r="D5" s="4">
        <v>14.9915959336826</v>
      </c>
      <c r="N5" s="1" t="s">
        <v>6</v>
      </c>
      <c r="O5" s="8">
        <v>10318210.945826009</v>
      </c>
      <c r="P5" s="4">
        <v>14.9915959336826</v>
      </c>
    </row>
    <row r="6" spans="1:21" ht="17" thickBot="1" x14ac:dyDescent="0.25">
      <c r="A6" s="2" t="s">
        <v>8</v>
      </c>
      <c r="B6" s="1" t="s">
        <v>7</v>
      </c>
      <c r="C6" s="11">
        <f t="shared" si="0"/>
        <v>7.0136044023579664</v>
      </c>
      <c r="D6" s="4">
        <v>14.971993148585801</v>
      </c>
      <c r="N6" s="1" t="s">
        <v>8</v>
      </c>
      <c r="O6" s="8">
        <v>10318210.945826009</v>
      </c>
      <c r="P6" s="4">
        <v>14.971993148585801</v>
      </c>
    </row>
    <row r="7" spans="1:21" x14ac:dyDescent="0.2">
      <c r="A7" s="2" t="s">
        <v>9</v>
      </c>
      <c r="B7" s="1" t="s">
        <v>7</v>
      </c>
      <c r="C7" s="11">
        <f t="shared" si="0"/>
        <v>7.0136044023579664</v>
      </c>
      <c r="D7" s="4">
        <v>14.872623047651</v>
      </c>
      <c r="N7" s="1" t="s">
        <v>9</v>
      </c>
      <c r="O7" s="8">
        <v>10318210.945826009</v>
      </c>
      <c r="P7" s="4">
        <v>14.872623047651</v>
      </c>
      <c r="S7" s="24" t="s">
        <v>236</v>
      </c>
      <c r="T7" s="25"/>
      <c r="U7" s="26"/>
    </row>
    <row r="8" spans="1:21" ht="17" thickBot="1" x14ac:dyDescent="0.25">
      <c r="A8" s="2" t="s">
        <v>10</v>
      </c>
      <c r="B8" s="1" t="s">
        <v>11</v>
      </c>
      <c r="C8" s="11">
        <f t="shared" si="0"/>
        <v>6.0136044023579664</v>
      </c>
      <c r="D8" s="4">
        <v>16.6921716190318</v>
      </c>
      <c r="N8" s="1" t="s">
        <v>10</v>
      </c>
      <c r="O8" s="8">
        <v>1031821.0945826009</v>
      </c>
      <c r="P8" s="4">
        <v>16.6921716190318</v>
      </c>
      <c r="S8" s="27"/>
      <c r="T8" s="28"/>
      <c r="U8" s="29"/>
    </row>
    <row r="9" spans="1:21" x14ac:dyDescent="0.2">
      <c r="A9" s="2" t="s">
        <v>12</v>
      </c>
      <c r="B9" s="1" t="s">
        <v>11</v>
      </c>
      <c r="C9" s="11">
        <f t="shared" si="0"/>
        <v>6.0136044023579664</v>
      </c>
      <c r="D9" s="4">
        <v>16.730024584029501</v>
      </c>
      <c r="N9" s="1" t="s">
        <v>12</v>
      </c>
      <c r="O9" s="8">
        <v>1031821.0945826009</v>
      </c>
      <c r="P9" s="4">
        <v>16.730024584029501</v>
      </c>
    </row>
    <row r="10" spans="1:21" x14ac:dyDescent="0.2">
      <c r="A10" s="2" t="s">
        <v>13</v>
      </c>
      <c r="B10" s="1" t="s">
        <v>11</v>
      </c>
      <c r="C10" s="11">
        <f t="shared" si="0"/>
        <v>6.0136044023579664</v>
      </c>
      <c r="D10" s="4">
        <v>16.703148552234701</v>
      </c>
      <c r="N10" s="1" t="s">
        <v>13</v>
      </c>
      <c r="O10" s="8">
        <v>1031821.0945826009</v>
      </c>
      <c r="P10" s="4">
        <v>16.703148552234701</v>
      </c>
      <c r="S10">
        <f>SLOPE(D2:D22,C2:C22)</f>
        <v>-3.6564135114774778</v>
      </c>
    </row>
    <row r="11" spans="1:21" x14ac:dyDescent="0.2">
      <c r="A11" s="2" t="s">
        <v>14</v>
      </c>
      <c r="B11" s="1" t="s">
        <v>15</v>
      </c>
      <c r="C11" s="11">
        <f t="shared" si="0"/>
        <v>5.0136044023579664</v>
      </c>
      <c r="D11" s="4">
        <v>20.679540360270401</v>
      </c>
      <c r="N11" s="1" t="s">
        <v>14</v>
      </c>
      <c r="O11" s="8">
        <v>103182.10945826009</v>
      </c>
      <c r="P11" s="4">
        <v>20.679540360270401</v>
      </c>
      <c r="S11">
        <f>INTERCEPT(D2:D22,C2:C22)</f>
        <v>38.970704771887164</v>
      </c>
    </row>
    <row r="12" spans="1:21" x14ac:dyDescent="0.2">
      <c r="A12" s="2" t="s">
        <v>16</v>
      </c>
      <c r="B12" s="1" t="s">
        <v>15</v>
      </c>
      <c r="C12" s="11">
        <f t="shared" si="0"/>
        <v>5.0136044023579664</v>
      </c>
      <c r="D12" s="4">
        <v>20.736042190671501</v>
      </c>
      <c r="N12" s="1" t="s">
        <v>16</v>
      </c>
      <c r="O12" s="8">
        <v>103182.10945826009</v>
      </c>
      <c r="P12" s="4">
        <v>20.736042190671501</v>
      </c>
    </row>
    <row r="13" spans="1:21" x14ac:dyDescent="0.2">
      <c r="A13" s="2" t="s">
        <v>17</v>
      </c>
      <c r="B13" s="1" t="s">
        <v>15</v>
      </c>
      <c r="C13" s="11">
        <f t="shared" si="0"/>
        <v>5.0136044023579664</v>
      </c>
      <c r="D13" s="4">
        <v>20.666906292585299</v>
      </c>
      <c r="N13" s="1" t="s">
        <v>17</v>
      </c>
      <c r="O13" s="8">
        <v>103182.10945826009</v>
      </c>
      <c r="P13" s="4">
        <v>20.666906292585299</v>
      </c>
    </row>
    <row r="14" spans="1:21" x14ac:dyDescent="0.2">
      <c r="A14" s="2" t="s">
        <v>18</v>
      </c>
      <c r="B14" s="1" t="s">
        <v>19</v>
      </c>
      <c r="C14" s="11">
        <f t="shared" si="0"/>
        <v>4.0136044023579664</v>
      </c>
      <c r="D14" s="4">
        <v>23.865565850206401</v>
      </c>
      <c r="N14" s="1" t="s">
        <v>18</v>
      </c>
      <c r="O14" s="8">
        <v>10318.210945826009</v>
      </c>
      <c r="P14" s="4">
        <v>23.865565850206401</v>
      </c>
    </row>
    <row r="15" spans="1:21" x14ac:dyDescent="0.2">
      <c r="A15" s="2" t="s">
        <v>20</v>
      </c>
      <c r="B15" s="1" t="s">
        <v>19</v>
      </c>
      <c r="C15" s="11">
        <f t="shared" si="0"/>
        <v>4.0136044023579664</v>
      </c>
      <c r="D15" s="4">
        <v>23.826438365097001</v>
      </c>
      <c r="N15" s="1" t="s">
        <v>20</v>
      </c>
      <c r="O15" s="8">
        <v>10318.210945826009</v>
      </c>
      <c r="P15" s="4">
        <v>23.826438365097001</v>
      </c>
    </row>
    <row r="16" spans="1:21" x14ac:dyDescent="0.2">
      <c r="A16" s="2" t="s">
        <v>21</v>
      </c>
      <c r="B16" s="1" t="s">
        <v>19</v>
      </c>
      <c r="C16" s="11">
        <f t="shared" si="0"/>
        <v>4.0136044023579664</v>
      </c>
      <c r="D16" s="4">
        <v>23.882598798986098</v>
      </c>
      <c r="N16" s="1" t="s">
        <v>21</v>
      </c>
      <c r="O16" s="8">
        <v>10318.210945826009</v>
      </c>
      <c r="P16" s="4">
        <v>23.882598798986098</v>
      </c>
    </row>
    <row r="17" spans="1:16" x14ac:dyDescent="0.2">
      <c r="A17" s="2" t="s">
        <v>22</v>
      </c>
      <c r="B17" s="1" t="s">
        <v>23</v>
      </c>
      <c r="C17" s="11">
        <f t="shared" si="0"/>
        <v>3.0136044023579664</v>
      </c>
      <c r="D17" s="4">
        <v>27.866037433115899</v>
      </c>
      <c r="N17" s="1" t="s">
        <v>22</v>
      </c>
      <c r="O17" s="8">
        <v>1031.8210945826008</v>
      </c>
      <c r="P17" s="4">
        <v>27.866037433115899</v>
      </c>
    </row>
    <row r="18" spans="1:16" x14ac:dyDescent="0.2">
      <c r="A18" s="2" t="s">
        <v>24</v>
      </c>
      <c r="B18" s="1" t="s">
        <v>23</v>
      </c>
      <c r="C18" s="11">
        <f t="shared" si="0"/>
        <v>3.0136044023579664</v>
      </c>
      <c r="D18" s="4">
        <v>27.521428455892998</v>
      </c>
      <c r="N18" s="1" t="s">
        <v>24</v>
      </c>
      <c r="O18" s="8">
        <v>1031.8210945826008</v>
      </c>
      <c r="P18" s="4">
        <v>27.521428455892998</v>
      </c>
    </row>
    <row r="19" spans="1:16" x14ac:dyDescent="0.2">
      <c r="A19" s="2" t="s">
        <v>25</v>
      </c>
      <c r="B19" s="1" t="s">
        <v>23</v>
      </c>
      <c r="C19" s="11">
        <f t="shared" si="0"/>
        <v>3.0136044023579664</v>
      </c>
      <c r="D19" s="4">
        <v>27.9874500378045</v>
      </c>
      <c r="N19" s="1" t="s">
        <v>25</v>
      </c>
      <c r="O19" s="8">
        <v>1031.8210945826008</v>
      </c>
      <c r="P19" s="4">
        <v>27.9874500378045</v>
      </c>
    </row>
    <row r="20" spans="1:16" x14ac:dyDescent="0.2">
      <c r="A20" s="2" t="s">
        <v>26</v>
      </c>
      <c r="B20" s="1" t="s">
        <v>27</v>
      </c>
      <c r="C20" s="11">
        <f t="shared" si="0"/>
        <v>2.0136044023579664</v>
      </c>
      <c r="D20" s="4">
        <v>31.383480348416398</v>
      </c>
      <c r="N20" s="1" t="s">
        <v>26</v>
      </c>
      <c r="O20" s="8">
        <v>103.18210945826009</v>
      </c>
      <c r="P20" s="4">
        <v>31.383480348416398</v>
      </c>
    </row>
    <row r="21" spans="1:16" x14ac:dyDescent="0.2">
      <c r="A21" s="2" t="s">
        <v>28</v>
      </c>
      <c r="B21" s="1" t="s">
        <v>27</v>
      </c>
      <c r="C21" s="11">
        <f t="shared" si="0"/>
        <v>2.0136044023579664</v>
      </c>
      <c r="D21" s="4">
        <v>32.017241463002598</v>
      </c>
      <c r="N21" s="1" t="s">
        <v>28</v>
      </c>
      <c r="O21" s="8">
        <v>103.18210945826009</v>
      </c>
      <c r="P21" s="4">
        <v>32.017241463002598</v>
      </c>
    </row>
    <row r="22" spans="1:16" x14ac:dyDescent="0.2">
      <c r="A22" s="2" t="s">
        <v>29</v>
      </c>
      <c r="B22" s="1" t="s">
        <v>27</v>
      </c>
      <c r="C22" s="11">
        <f t="shared" si="0"/>
        <v>2.0136044023579664</v>
      </c>
      <c r="D22" s="4">
        <v>32.079559924855801</v>
      </c>
      <c r="N22" s="1" t="s">
        <v>29</v>
      </c>
      <c r="O22" s="8">
        <v>103.18210945826009</v>
      </c>
      <c r="P22" s="4">
        <v>32.079559924855801</v>
      </c>
    </row>
    <row r="23" spans="1:16" x14ac:dyDescent="0.2">
      <c r="A23" s="2" t="s">
        <v>30</v>
      </c>
      <c r="B23" s="1" t="s">
        <v>31</v>
      </c>
      <c r="C23" s="11">
        <f t="shared" si="0"/>
        <v>1.0136044023579664</v>
      </c>
      <c r="D23" s="4">
        <v>35.191037859106103</v>
      </c>
      <c r="N23" s="1" t="s">
        <v>30</v>
      </c>
      <c r="O23" s="8">
        <v>10.318210945826008</v>
      </c>
      <c r="P23" s="4">
        <v>35.191037859106103</v>
      </c>
    </row>
    <row r="24" spans="1:16" x14ac:dyDescent="0.2">
      <c r="A24" s="2" t="s">
        <v>32</v>
      </c>
      <c r="B24" s="1" t="s">
        <v>31</v>
      </c>
      <c r="C24" s="11">
        <f t="shared" si="0"/>
        <v>1.0136044023579664</v>
      </c>
      <c r="D24" s="4"/>
      <c r="N24" s="1" t="s">
        <v>32</v>
      </c>
      <c r="O24" s="8">
        <v>10.318210945826008</v>
      </c>
      <c r="P24" s="4"/>
    </row>
    <row r="25" spans="1:16" x14ac:dyDescent="0.2">
      <c r="A25" s="2" t="s">
        <v>33</v>
      </c>
      <c r="B25" s="1" t="s">
        <v>31</v>
      </c>
      <c r="C25" s="11">
        <f t="shared" si="0"/>
        <v>1.0136044023579664</v>
      </c>
      <c r="D25" s="4"/>
      <c r="N25" s="1" t="s">
        <v>33</v>
      </c>
      <c r="O25" s="8">
        <v>10.318210945826008</v>
      </c>
      <c r="P25" s="4"/>
    </row>
    <row r="26" spans="1:16" x14ac:dyDescent="0.2">
      <c r="A26" s="2" t="s">
        <v>34</v>
      </c>
      <c r="B26" s="1" t="s">
        <v>35</v>
      </c>
      <c r="C26" s="11">
        <f t="shared" si="0"/>
        <v>1.3604402357966342E-2</v>
      </c>
      <c r="D26" s="4"/>
      <c r="N26" s="1" t="s">
        <v>34</v>
      </c>
      <c r="O26" s="8">
        <v>1.0318210945826007</v>
      </c>
      <c r="P26" s="4"/>
    </row>
    <row r="27" spans="1:16" x14ac:dyDescent="0.2">
      <c r="A27" s="2" t="s">
        <v>36</v>
      </c>
      <c r="B27" s="1" t="s">
        <v>35</v>
      </c>
      <c r="C27" s="11">
        <f t="shared" si="0"/>
        <v>1.3604402357966342E-2</v>
      </c>
      <c r="D27" s="4"/>
      <c r="N27" s="1" t="s">
        <v>36</v>
      </c>
      <c r="O27" s="8">
        <v>1.0318210945826007</v>
      </c>
      <c r="P27" s="4"/>
    </row>
    <row r="28" spans="1:16" x14ac:dyDescent="0.2">
      <c r="A28" s="2" t="s">
        <v>37</v>
      </c>
      <c r="B28" s="1" t="s">
        <v>35</v>
      </c>
      <c r="C28" s="11">
        <f t="shared" si="0"/>
        <v>1.3604402357966342E-2</v>
      </c>
      <c r="D28" s="4"/>
      <c r="N28" s="1" t="s">
        <v>37</v>
      </c>
      <c r="O28" s="8">
        <v>1.0318210945826007</v>
      </c>
      <c r="P28" s="4"/>
    </row>
    <row r="29" spans="1:16" x14ac:dyDescent="0.2">
      <c r="A29" s="2" t="s">
        <v>38</v>
      </c>
      <c r="B29" s="1" t="s">
        <v>39</v>
      </c>
      <c r="C29" s="1"/>
      <c r="D29" s="4"/>
      <c r="N29" s="1" t="s">
        <v>38</v>
      </c>
      <c r="O29" s="1" t="s">
        <v>131</v>
      </c>
      <c r="P29" s="4"/>
    </row>
    <row r="30" spans="1:16" x14ac:dyDescent="0.2">
      <c r="A30" s="2" t="s">
        <v>40</v>
      </c>
      <c r="B30" s="1" t="s">
        <v>39</v>
      </c>
      <c r="C30" s="1"/>
      <c r="D30" s="4"/>
      <c r="N30" s="1" t="s">
        <v>40</v>
      </c>
      <c r="O30" s="1" t="s">
        <v>131</v>
      </c>
      <c r="P30" s="4"/>
    </row>
    <row r="31" spans="1:16" x14ac:dyDescent="0.2">
      <c r="A31" s="2" t="s">
        <v>41</v>
      </c>
      <c r="B31" s="1" t="s">
        <v>39</v>
      </c>
      <c r="C31" s="1"/>
      <c r="D31" s="4"/>
      <c r="N31" s="1" t="s">
        <v>41</v>
      </c>
      <c r="O31" s="1" t="s">
        <v>131</v>
      </c>
      <c r="P31" s="4"/>
    </row>
    <row r="32" spans="1:16" x14ac:dyDescent="0.2">
      <c r="A32" s="2" t="s">
        <v>42</v>
      </c>
      <c r="B32" s="1" t="s">
        <v>39</v>
      </c>
      <c r="C32" s="1"/>
      <c r="D32" s="4"/>
      <c r="N32" s="2" t="s">
        <v>42</v>
      </c>
      <c r="O32" s="1" t="s">
        <v>131</v>
      </c>
    </row>
    <row r="33" spans="1:21" x14ac:dyDescent="0.2">
      <c r="A33" s="2" t="s">
        <v>44</v>
      </c>
      <c r="B33" s="1" t="s">
        <v>39</v>
      </c>
      <c r="C33" s="1"/>
      <c r="D33" s="4"/>
      <c r="N33" s="2" t="s">
        <v>44</v>
      </c>
      <c r="O33" s="1" t="s">
        <v>131</v>
      </c>
    </row>
    <row r="34" spans="1:21" x14ac:dyDescent="0.2">
      <c r="A34" s="2" t="s">
        <v>45</v>
      </c>
      <c r="B34" s="1" t="s">
        <v>39</v>
      </c>
      <c r="C34" s="1"/>
      <c r="D34" s="4"/>
      <c r="N34" s="2" t="s">
        <v>45</v>
      </c>
      <c r="O34" s="1" t="s">
        <v>131</v>
      </c>
    </row>
    <row r="37" spans="1:21" x14ac:dyDescent="0.2">
      <c r="S37" s="1"/>
      <c r="T37" s="8"/>
      <c r="U37" s="1"/>
    </row>
    <row r="38" spans="1:21" x14ac:dyDescent="0.2">
      <c r="S38" s="1"/>
      <c r="T38" s="8"/>
      <c r="U38" s="1"/>
    </row>
    <row r="39" spans="1:21" x14ac:dyDescent="0.2">
      <c r="S39" s="1"/>
      <c r="T39" s="8"/>
      <c r="U39" s="1"/>
    </row>
    <row r="40" spans="1:21" x14ac:dyDescent="0.2">
      <c r="A40" s="1" t="s">
        <v>0</v>
      </c>
      <c r="B40" s="1" t="s">
        <v>1</v>
      </c>
      <c r="C40" s="1" t="s">
        <v>196</v>
      </c>
      <c r="D40" s="1" t="s">
        <v>236</v>
      </c>
      <c r="E40" s="3" t="s">
        <v>197</v>
      </c>
      <c r="F40" s="3" t="s">
        <v>198</v>
      </c>
      <c r="G40" s="3" t="s">
        <v>199</v>
      </c>
      <c r="H40" s="3" t="s">
        <v>200</v>
      </c>
      <c r="I40" s="3" t="s">
        <v>201</v>
      </c>
      <c r="J40" s="3"/>
      <c r="K40" s="3"/>
      <c r="L40" s="3" t="s">
        <v>202</v>
      </c>
      <c r="M40" s="3"/>
    </row>
    <row r="41" spans="1:21" x14ac:dyDescent="0.2">
      <c r="A41" s="2" t="s">
        <v>50</v>
      </c>
      <c r="B41" s="1" t="s">
        <v>172</v>
      </c>
      <c r="C41" s="4">
        <v>32.244584890892398</v>
      </c>
      <c r="D41" s="1">
        <f>(C41-$S$11)/$S$10</f>
        <v>1.8395402653123021</v>
      </c>
      <c r="E41" s="1">
        <f>10^D41</f>
        <v>69.109900120027547</v>
      </c>
      <c r="F41" s="10">
        <v>7.6388888888888895E-2</v>
      </c>
      <c r="G41" s="3" t="s">
        <v>203</v>
      </c>
      <c r="H41" s="3" t="s">
        <v>204</v>
      </c>
      <c r="I41" s="3" t="s">
        <v>237</v>
      </c>
      <c r="J41" s="3">
        <f>(E41*50*50)/245.2*1000</f>
        <v>704627.85603617004</v>
      </c>
      <c r="K41" s="20">
        <f>J41</f>
        <v>704627.85603617004</v>
      </c>
      <c r="L41" s="22">
        <f>AVERAGE(K41:K43)</f>
        <v>790573.99756788241</v>
      </c>
      <c r="M41" s="23" t="s">
        <v>222</v>
      </c>
    </row>
    <row r="42" spans="1:21" x14ac:dyDescent="0.2">
      <c r="A42" s="2" t="s">
        <v>66</v>
      </c>
      <c r="B42" s="1" t="s">
        <v>172</v>
      </c>
      <c r="C42" s="4">
        <v>31.737974982531401</v>
      </c>
      <c r="D42" s="1">
        <f t="shared" ref="D42:D103" si="1">(C42-38.971)/-3.6564</f>
        <v>1.9781820964524108</v>
      </c>
      <c r="E42" s="1">
        <f t="shared" ref="E42:E103" si="2">10^D42</f>
        <v>95.100345876255986</v>
      </c>
      <c r="F42" s="10">
        <v>7.6388888888888895E-2</v>
      </c>
      <c r="G42" s="3" t="s">
        <v>203</v>
      </c>
      <c r="H42" s="3" t="s">
        <v>204</v>
      </c>
      <c r="I42" s="3" t="s">
        <v>237</v>
      </c>
      <c r="J42" s="3">
        <f t="shared" ref="J42:J43" si="3">(E42*50*50)/245.2*1000</f>
        <v>969620.16594877641</v>
      </c>
      <c r="K42" s="20">
        <f t="shared" ref="K42:K103" si="4">J42</f>
        <v>969620.16594877641</v>
      </c>
      <c r="L42" s="22"/>
      <c r="M42" s="23"/>
      <c r="P42" s="21"/>
    </row>
    <row r="43" spans="1:21" x14ac:dyDescent="0.2">
      <c r="A43" s="2" t="s">
        <v>82</v>
      </c>
      <c r="B43" s="1" t="s">
        <v>172</v>
      </c>
      <c r="C43" s="4">
        <v>32.261109420161702</v>
      </c>
      <c r="D43" s="1">
        <f t="shared" si="1"/>
        <v>1.8351084618308429</v>
      </c>
      <c r="E43" s="1">
        <f t="shared" si="2"/>
        <v>68.408247048090175</v>
      </c>
      <c r="F43" s="10">
        <v>7.6388888888888895E-2</v>
      </c>
      <c r="G43" s="3" t="s">
        <v>203</v>
      </c>
      <c r="H43" s="3" t="s">
        <v>204</v>
      </c>
      <c r="I43" s="3" t="s">
        <v>237</v>
      </c>
      <c r="J43" s="3">
        <f t="shared" si="3"/>
        <v>697473.9707187009</v>
      </c>
      <c r="K43" s="20">
        <f t="shared" si="4"/>
        <v>697473.9707187009</v>
      </c>
      <c r="L43" s="22"/>
      <c r="M43" s="23"/>
    </row>
    <row r="44" spans="1:21" x14ac:dyDescent="0.2">
      <c r="A44" s="2" t="s">
        <v>64</v>
      </c>
      <c r="B44" s="1" t="s">
        <v>173</v>
      </c>
      <c r="C44" s="4">
        <v>34.033865929515997</v>
      </c>
      <c r="D44" s="1">
        <f t="shared" si="1"/>
        <v>1.3502718713718409</v>
      </c>
      <c r="E44" s="1">
        <f t="shared" si="2"/>
        <v>22.40123032352378</v>
      </c>
      <c r="F44" s="10">
        <v>7.6388888888888895E-2</v>
      </c>
      <c r="G44" s="3" t="s">
        <v>203</v>
      </c>
      <c r="H44" s="3" t="s">
        <v>204</v>
      </c>
      <c r="I44" s="3" t="s">
        <v>238</v>
      </c>
      <c r="J44" s="3">
        <f>(E44*50*50)/256.8*1000</f>
        <v>218080.51327418012</v>
      </c>
      <c r="K44" s="20">
        <f t="shared" si="4"/>
        <v>218080.51327418012</v>
      </c>
      <c r="L44" s="22">
        <f t="shared" ref="L44" si="5">AVERAGE(K44:K46)</f>
        <v>349086.31183526356</v>
      </c>
      <c r="M44" s="23" t="s">
        <v>222</v>
      </c>
    </row>
    <row r="45" spans="1:21" x14ac:dyDescent="0.2">
      <c r="A45" s="2" t="s">
        <v>80</v>
      </c>
      <c r="B45" s="1" t="s">
        <v>173</v>
      </c>
      <c r="C45" s="4">
        <v>32.908411135137101</v>
      </c>
      <c r="D45" s="1">
        <f t="shared" si="1"/>
        <v>1.6580759394111408</v>
      </c>
      <c r="E45" s="1">
        <f t="shared" si="2"/>
        <v>45.506762493331699</v>
      </c>
      <c r="F45" s="10">
        <v>7.6388888888888895E-2</v>
      </c>
      <c r="G45" s="3" t="s">
        <v>203</v>
      </c>
      <c r="H45" s="3" t="s">
        <v>204</v>
      </c>
      <c r="I45" s="3" t="s">
        <v>238</v>
      </c>
      <c r="J45" s="3">
        <f t="shared" ref="J45:J46" si="6">(E45*50*50)/256.8*1000</f>
        <v>443017.5476375749</v>
      </c>
      <c r="K45" s="20">
        <f t="shared" si="4"/>
        <v>443017.5476375749</v>
      </c>
      <c r="L45" s="22"/>
      <c r="M45" s="23"/>
    </row>
    <row r="46" spans="1:21" x14ac:dyDescent="0.2">
      <c r="A46" s="2" t="s">
        <v>96</v>
      </c>
      <c r="B46" s="1" t="s">
        <v>173</v>
      </c>
      <c r="C46" s="4">
        <v>33.126525118475399</v>
      </c>
      <c r="D46" s="1">
        <f t="shared" si="1"/>
        <v>1.5984232801456617</v>
      </c>
      <c r="E46" s="1">
        <f t="shared" si="2"/>
        <v>39.666445038299337</v>
      </c>
      <c r="F46" s="10">
        <v>7.6388888888888895E-2</v>
      </c>
      <c r="G46" s="3" t="s">
        <v>203</v>
      </c>
      <c r="H46" s="3" t="s">
        <v>204</v>
      </c>
      <c r="I46" s="3" t="s">
        <v>238</v>
      </c>
      <c r="J46" s="3">
        <f t="shared" si="6"/>
        <v>386160.87459403556</v>
      </c>
      <c r="K46" s="20">
        <f t="shared" si="4"/>
        <v>386160.87459403556</v>
      </c>
      <c r="L46" s="22"/>
      <c r="M46" s="23"/>
    </row>
    <row r="47" spans="1:21" x14ac:dyDescent="0.2">
      <c r="A47" s="2" t="s">
        <v>52</v>
      </c>
      <c r="B47" s="1" t="s">
        <v>174</v>
      </c>
      <c r="C47" s="4">
        <v>32.272040158571301</v>
      </c>
      <c r="D47" s="1">
        <f t="shared" si="1"/>
        <v>1.8321189808086358</v>
      </c>
      <c r="E47" s="1">
        <f t="shared" si="2"/>
        <v>67.938973506980517</v>
      </c>
      <c r="F47" s="10">
        <v>7.6388888888888895E-2</v>
      </c>
      <c r="G47" s="3" t="s">
        <v>203</v>
      </c>
      <c r="H47" s="3" t="s">
        <v>204</v>
      </c>
      <c r="I47" s="3" t="s">
        <v>212</v>
      </c>
      <c r="J47" s="3">
        <f>(E47*50*50)/250.8*1000</f>
        <v>677222.62267723796</v>
      </c>
      <c r="K47" s="20">
        <f t="shared" si="4"/>
        <v>677222.62267723796</v>
      </c>
      <c r="L47" s="22">
        <f t="shared" ref="L47" si="7">AVERAGE(K47:K49)</f>
        <v>772469.91450608673</v>
      </c>
      <c r="M47" s="23" t="s">
        <v>222</v>
      </c>
    </row>
    <row r="48" spans="1:21" x14ac:dyDescent="0.2">
      <c r="A48" s="2" t="s">
        <v>68</v>
      </c>
      <c r="B48" s="1" t="s">
        <v>174</v>
      </c>
      <c r="C48" s="4">
        <v>32.297975517695697</v>
      </c>
      <c r="D48" s="1">
        <f t="shared" si="1"/>
        <v>1.8250258402538835</v>
      </c>
      <c r="E48" s="1">
        <f t="shared" si="2"/>
        <v>66.838368480265501</v>
      </c>
      <c r="F48" s="10">
        <v>7.6388888888888895E-2</v>
      </c>
      <c r="G48" s="3" t="s">
        <v>203</v>
      </c>
      <c r="H48" s="3" t="s">
        <v>204</v>
      </c>
      <c r="I48" s="3" t="s">
        <v>212</v>
      </c>
      <c r="J48" s="3">
        <f t="shared" ref="J48:J49" si="8">(E48*50*50)/250.8*1000</f>
        <v>666251.67942848383</v>
      </c>
      <c r="K48" s="20">
        <f t="shared" si="4"/>
        <v>666251.67942848383</v>
      </c>
      <c r="L48" s="22"/>
      <c r="M48" s="23"/>
    </row>
    <row r="49" spans="1:13" x14ac:dyDescent="0.2">
      <c r="A49" s="2" t="s">
        <v>84</v>
      </c>
      <c r="B49" s="1" t="s">
        <v>174</v>
      </c>
      <c r="C49" s="4">
        <v>31.695064945339301</v>
      </c>
      <c r="D49" s="1">
        <f t="shared" si="1"/>
        <v>1.9899176935402845</v>
      </c>
      <c r="E49" s="1">
        <f t="shared" si="2"/>
        <v>97.705203482505866</v>
      </c>
      <c r="F49" s="10">
        <v>7.6388888888888895E-2</v>
      </c>
      <c r="G49" s="3" t="s">
        <v>203</v>
      </c>
      <c r="H49" s="3" t="s">
        <v>204</v>
      </c>
      <c r="I49" s="3" t="s">
        <v>212</v>
      </c>
      <c r="J49" s="3">
        <f t="shared" si="8"/>
        <v>973935.44141253841</v>
      </c>
      <c r="K49" s="20">
        <f t="shared" si="4"/>
        <v>973935.44141253841</v>
      </c>
      <c r="L49" s="22"/>
      <c r="M49" s="23"/>
    </row>
    <row r="50" spans="1:13" x14ac:dyDescent="0.2">
      <c r="A50" s="2" t="s">
        <v>65</v>
      </c>
      <c r="B50" s="1" t="s">
        <v>175</v>
      </c>
      <c r="C50" s="4">
        <v>32.9892744318513</v>
      </c>
      <c r="D50" s="1">
        <f t="shared" si="1"/>
        <v>1.6359603894947754</v>
      </c>
      <c r="E50" s="1">
        <f t="shared" si="2"/>
        <v>43.247438473573034</v>
      </c>
      <c r="F50" s="10">
        <v>7.6388888888888895E-2</v>
      </c>
      <c r="G50" s="3" t="s">
        <v>203</v>
      </c>
      <c r="H50" s="3" t="s">
        <v>204</v>
      </c>
      <c r="I50" s="3" t="s">
        <v>239</v>
      </c>
      <c r="J50" s="3">
        <f>(E50*50*50)/250.1*1000</f>
        <v>432301.46415007033</v>
      </c>
      <c r="K50" s="20">
        <f t="shared" si="4"/>
        <v>432301.46415007033</v>
      </c>
      <c r="L50" s="22">
        <f t="shared" ref="L50" si="9">AVERAGE(K50:K52)</f>
        <v>496053.40421775164</v>
      </c>
      <c r="M50" s="23" t="s">
        <v>222</v>
      </c>
    </row>
    <row r="51" spans="1:13" x14ac:dyDescent="0.2">
      <c r="A51" s="2" t="s">
        <v>81</v>
      </c>
      <c r="B51" s="1" t="s">
        <v>175</v>
      </c>
      <c r="C51" s="4">
        <v>32.688994709027597</v>
      </c>
      <c r="D51" s="1">
        <f t="shared" si="1"/>
        <v>1.7180848077268351</v>
      </c>
      <c r="E51" s="1">
        <f t="shared" si="2"/>
        <v>52.249821092462369</v>
      </c>
      <c r="F51" s="10">
        <v>7.6388888888888895E-2</v>
      </c>
      <c r="G51" s="3" t="s">
        <v>203</v>
      </c>
      <c r="H51" s="3" t="s">
        <v>204</v>
      </c>
      <c r="I51" s="3" t="s">
        <v>239</v>
      </c>
      <c r="J51" s="3">
        <f t="shared" ref="J51:J52" si="10">(E51*50*50)/250.1*1000</f>
        <v>522289.29520654108</v>
      </c>
      <c r="K51" s="20">
        <f t="shared" si="4"/>
        <v>522289.29520654108</v>
      </c>
      <c r="L51" s="22"/>
      <c r="M51" s="23"/>
    </row>
    <row r="52" spans="1:13" x14ac:dyDescent="0.2">
      <c r="A52" s="2" t="s">
        <v>97</v>
      </c>
      <c r="B52" s="1" t="s">
        <v>175</v>
      </c>
      <c r="C52" s="4">
        <v>32.655063925039201</v>
      </c>
      <c r="D52" s="1">
        <f t="shared" si="1"/>
        <v>1.7273646414398849</v>
      </c>
      <c r="E52" s="1">
        <f t="shared" si="2"/>
        <v>53.378288107796216</v>
      </c>
      <c r="F52" s="10">
        <v>7.6388888888888895E-2</v>
      </c>
      <c r="G52" s="3" t="s">
        <v>203</v>
      </c>
      <c r="H52" s="3" t="s">
        <v>204</v>
      </c>
      <c r="I52" s="3" t="s">
        <v>239</v>
      </c>
      <c r="J52" s="3">
        <f t="shared" si="10"/>
        <v>533569.45329664345</v>
      </c>
      <c r="K52" s="20">
        <f t="shared" si="4"/>
        <v>533569.45329664345</v>
      </c>
      <c r="L52" s="22"/>
      <c r="M52" s="23"/>
    </row>
    <row r="53" spans="1:13" x14ac:dyDescent="0.2">
      <c r="A53" s="2" t="s">
        <v>53</v>
      </c>
      <c r="B53" s="1" t="s">
        <v>176</v>
      </c>
      <c r="C53" s="4">
        <v>32.930595993843603</v>
      </c>
      <c r="D53" s="1">
        <f t="shared" si="1"/>
        <v>1.652008534666993</v>
      </c>
      <c r="E53" s="1">
        <f t="shared" si="2"/>
        <v>44.875420867308804</v>
      </c>
      <c r="F53" s="10">
        <v>7.6388888888888895E-2</v>
      </c>
      <c r="G53" s="3" t="s">
        <v>203</v>
      </c>
      <c r="H53" s="3" t="s">
        <v>204</v>
      </c>
      <c r="I53" s="3" t="s">
        <v>240</v>
      </c>
      <c r="J53" s="3">
        <f>(E53*50*50)/252.9*1000</f>
        <v>443608.35179229738</v>
      </c>
      <c r="K53" s="20">
        <f t="shared" si="4"/>
        <v>443608.35179229738</v>
      </c>
      <c r="L53" s="22">
        <f t="shared" ref="L53" si="11">AVERAGE(K53:K55)</f>
        <v>476263.38878312736</v>
      </c>
      <c r="M53" s="23" t="s">
        <v>222</v>
      </c>
    </row>
    <row r="54" spans="1:13" x14ac:dyDescent="0.2">
      <c r="A54" s="2" t="s">
        <v>69</v>
      </c>
      <c r="B54" s="1" t="s">
        <v>176</v>
      </c>
      <c r="C54" s="4">
        <v>33.010773348399702</v>
      </c>
      <c r="D54" s="1">
        <f t="shared" si="1"/>
        <v>1.6300805851658171</v>
      </c>
      <c r="E54" s="1">
        <f t="shared" si="2"/>
        <v>42.665867976768965</v>
      </c>
      <c r="F54" s="10">
        <v>7.6388888888888895E-2</v>
      </c>
      <c r="G54" s="3" t="s">
        <v>203</v>
      </c>
      <c r="H54" s="3" t="s">
        <v>204</v>
      </c>
      <c r="I54" s="3" t="s">
        <v>240</v>
      </c>
      <c r="J54" s="3">
        <f t="shared" ref="J54:J55" si="12">(E54*50*50)/252.9*1000</f>
        <v>421766.19194117206</v>
      </c>
      <c r="K54" s="20">
        <f t="shared" si="4"/>
        <v>421766.19194117206</v>
      </c>
      <c r="L54" s="22"/>
      <c r="M54" s="23"/>
    </row>
    <row r="55" spans="1:13" x14ac:dyDescent="0.2">
      <c r="A55" s="2" t="s">
        <v>85</v>
      </c>
      <c r="B55" s="1" t="s">
        <v>176</v>
      </c>
      <c r="C55" s="4">
        <v>32.550955012579202</v>
      </c>
      <c r="D55" s="1">
        <f t="shared" si="1"/>
        <v>1.7558377057818604</v>
      </c>
      <c r="E55" s="1">
        <f t="shared" si="2"/>
        <v>56.995124383825726</v>
      </c>
      <c r="F55" s="10">
        <v>7.6388888888888895E-2</v>
      </c>
      <c r="G55" s="3" t="s">
        <v>203</v>
      </c>
      <c r="H55" s="3" t="s">
        <v>204</v>
      </c>
      <c r="I55" s="3" t="s">
        <v>240</v>
      </c>
      <c r="J55" s="3">
        <f t="shared" si="12"/>
        <v>563415.6226159127</v>
      </c>
      <c r="K55" s="20">
        <f t="shared" si="4"/>
        <v>563415.6226159127</v>
      </c>
      <c r="L55" s="22"/>
      <c r="M55" s="23"/>
    </row>
    <row r="56" spans="1:13" x14ac:dyDescent="0.2">
      <c r="A56" s="2" t="s">
        <v>98</v>
      </c>
      <c r="B56" s="1" t="s">
        <v>177</v>
      </c>
      <c r="C56" s="4">
        <v>31.3113386247778</v>
      </c>
      <c r="D56" s="1">
        <f t="shared" si="1"/>
        <v>2.0948641765731857</v>
      </c>
      <c r="E56" s="1">
        <f t="shared" si="2"/>
        <v>124.41254569080786</v>
      </c>
      <c r="F56" s="10">
        <v>7.6388888888888895E-2</v>
      </c>
      <c r="G56" s="3" t="s">
        <v>203</v>
      </c>
      <c r="H56" s="3" t="s">
        <v>204</v>
      </c>
      <c r="I56" s="3" t="s">
        <v>241</v>
      </c>
      <c r="J56" s="3">
        <f>(E56*50*50)/245.3*1000</f>
        <v>1267963.1643987754</v>
      </c>
      <c r="K56" s="20">
        <f t="shared" si="4"/>
        <v>1267963.1643987754</v>
      </c>
      <c r="L56" s="22">
        <f t="shared" ref="L56" si="13">AVERAGE(K56:K58)</f>
        <v>1389185.0740096436</v>
      </c>
      <c r="M56" s="23" t="s">
        <v>222</v>
      </c>
    </row>
    <row r="57" spans="1:13" x14ac:dyDescent="0.2">
      <c r="A57" s="2" t="s">
        <v>100</v>
      </c>
      <c r="B57" s="1" t="s">
        <v>177</v>
      </c>
      <c r="C57" s="4">
        <v>31.126703195626501</v>
      </c>
      <c r="D57" s="1">
        <f t="shared" si="1"/>
        <v>2.1453606838347818</v>
      </c>
      <c r="E57" s="1">
        <f t="shared" si="2"/>
        <v>139.75285339687329</v>
      </c>
      <c r="F57" s="10">
        <v>7.6388888888888895E-2</v>
      </c>
      <c r="G57" s="3" t="s">
        <v>203</v>
      </c>
      <c r="H57" s="3" t="s">
        <v>204</v>
      </c>
      <c r="I57" s="3" t="s">
        <v>241</v>
      </c>
      <c r="J57" s="3">
        <f t="shared" ref="J57:J58" si="14">(E57*50*50)/245.3*1000</f>
        <v>1424305.4769351128</v>
      </c>
      <c r="K57" s="20">
        <f t="shared" si="4"/>
        <v>1424305.4769351128</v>
      </c>
      <c r="L57" s="22"/>
      <c r="M57" s="23"/>
    </row>
    <row r="58" spans="1:13" x14ac:dyDescent="0.2">
      <c r="A58" s="2" t="s">
        <v>101</v>
      </c>
      <c r="B58" s="1" t="s">
        <v>177</v>
      </c>
      <c r="C58" s="4">
        <v>31.070858092518101</v>
      </c>
      <c r="D58" s="1">
        <f t="shared" si="1"/>
        <v>2.1606339315944361</v>
      </c>
      <c r="E58" s="1">
        <f t="shared" si="2"/>
        <v>144.75511929779759</v>
      </c>
      <c r="F58" s="10">
        <v>7.6388888888888895E-2</v>
      </c>
      <c r="G58" s="3" t="s">
        <v>203</v>
      </c>
      <c r="H58" s="3" t="s">
        <v>204</v>
      </c>
      <c r="I58" s="3" t="s">
        <v>241</v>
      </c>
      <c r="J58" s="3">
        <f t="shared" si="14"/>
        <v>1475286.5806950426</v>
      </c>
      <c r="K58" s="20">
        <f t="shared" si="4"/>
        <v>1475286.5806950426</v>
      </c>
      <c r="L58" s="22"/>
      <c r="M58" s="23"/>
    </row>
    <row r="59" spans="1:13" x14ac:dyDescent="0.2">
      <c r="A59" s="2" t="s">
        <v>54</v>
      </c>
      <c r="B59" s="1" t="s">
        <v>178</v>
      </c>
      <c r="C59" s="4">
        <v>30.767318546677998</v>
      </c>
      <c r="D59" s="1">
        <f t="shared" si="1"/>
        <v>2.2436498887763916</v>
      </c>
      <c r="E59" s="1">
        <f t="shared" si="2"/>
        <v>175.24671617516083</v>
      </c>
      <c r="F59" s="10">
        <v>7.6388888888888895E-2</v>
      </c>
      <c r="G59" s="3" t="s">
        <v>203</v>
      </c>
      <c r="H59" s="3" t="s">
        <v>204</v>
      </c>
      <c r="I59" s="3" t="s">
        <v>238</v>
      </c>
      <c r="J59" s="3">
        <f>(E59*50*50)/256.8*1000</f>
        <v>1706062.2680603662</v>
      </c>
      <c r="K59" s="20">
        <f t="shared" si="4"/>
        <v>1706062.2680603662</v>
      </c>
      <c r="L59" s="22">
        <f t="shared" ref="L59" si="15">AVERAGE(K59:K61)</f>
        <v>1794150.3822582487</v>
      </c>
      <c r="M59" s="23" t="s">
        <v>222</v>
      </c>
    </row>
    <row r="60" spans="1:13" x14ac:dyDescent="0.2">
      <c r="A60" s="2" t="s">
        <v>70</v>
      </c>
      <c r="B60" s="1" t="s">
        <v>178</v>
      </c>
      <c r="C60" s="4">
        <v>30.7066471719973</v>
      </c>
      <c r="D60" s="1">
        <f t="shared" si="1"/>
        <v>2.260243088284295</v>
      </c>
      <c r="E60" s="1">
        <f t="shared" si="2"/>
        <v>182.07196875364912</v>
      </c>
      <c r="F60" s="10">
        <v>7.6388888888888895E-2</v>
      </c>
      <c r="G60" s="3" t="s">
        <v>203</v>
      </c>
      <c r="H60" s="3" t="s">
        <v>204</v>
      </c>
      <c r="I60" s="3" t="s">
        <v>238</v>
      </c>
      <c r="J60" s="3">
        <f t="shared" ref="J60:J61" si="16">(E60*50*50)/256.8*1000</f>
        <v>1772507.4839724409</v>
      </c>
      <c r="K60" s="20">
        <f t="shared" si="4"/>
        <v>1772507.4839724409</v>
      </c>
      <c r="L60" s="22"/>
      <c r="M60" s="23"/>
    </row>
    <row r="61" spans="1:13" x14ac:dyDescent="0.2">
      <c r="A61" s="2" t="s">
        <v>86</v>
      </c>
      <c r="B61" s="1" t="s">
        <v>178</v>
      </c>
      <c r="C61" s="4">
        <v>30.593109325576101</v>
      </c>
      <c r="D61" s="1">
        <f t="shared" si="1"/>
        <v>2.2912949005644609</v>
      </c>
      <c r="E61" s="1">
        <f t="shared" si="2"/>
        <v>195.56669686789198</v>
      </c>
      <c r="F61" s="10">
        <v>7.6388888888888895E-2</v>
      </c>
      <c r="G61" s="3" t="s">
        <v>203</v>
      </c>
      <c r="H61" s="3" t="s">
        <v>204</v>
      </c>
      <c r="I61" s="3" t="s">
        <v>238</v>
      </c>
      <c r="J61" s="3">
        <f t="shared" si="16"/>
        <v>1903881.3947419389</v>
      </c>
      <c r="K61" s="20">
        <f t="shared" si="4"/>
        <v>1903881.3947419389</v>
      </c>
      <c r="L61" s="22"/>
      <c r="M61" s="23"/>
    </row>
    <row r="62" spans="1:13" x14ac:dyDescent="0.2">
      <c r="A62" s="2" t="s">
        <v>102</v>
      </c>
      <c r="B62" s="1" t="s">
        <v>179</v>
      </c>
      <c r="C62" s="4">
        <v>31.093864348965401</v>
      </c>
      <c r="D62" s="1">
        <f t="shared" si="1"/>
        <v>2.1543418802742029</v>
      </c>
      <c r="E62" s="1">
        <f t="shared" si="2"/>
        <v>142.67302857460984</v>
      </c>
      <c r="F62" s="10">
        <v>7.6388888888888895E-2</v>
      </c>
      <c r="G62" s="3" t="s">
        <v>203</v>
      </c>
      <c r="H62" s="3" t="s">
        <v>204</v>
      </c>
      <c r="I62" s="3" t="s">
        <v>242</v>
      </c>
      <c r="J62" s="3">
        <f>(E62*50*50)/250.3*1000</f>
        <v>1425020.2614323795</v>
      </c>
      <c r="K62" s="20">
        <f t="shared" si="4"/>
        <v>1425020.2614323795</v>
      </c>
      <c r="L62" s="22">
        <f t="shared" ref="L62" si="17">AVERAGE(K62:K64)</f>
        <v>1395316.6435493121</v>
      </c>
      <c r="M62" s="23" t="s">
        <v>222</v>
      </c>
    </row>
    <row r="63" spans="1:13" x14ac:dyDescent="0.2">
      <c r="A63" s="2" t="s">
        <v>104</v>
      </c>
      <c r="B63" s="1" t="s">
        <v>179</v>
      </c>
      <c r="C63" s="4">
        <v>31.3182724638868</v>
      </c>
      <c r="D63" s="1">
        <f t="shared" si="1"/>
        <v>2.092967819744338</v>
      </c>
      <c r="E63" s="1">
        <f t="shared" si="2"/>
        <v>123.87047978578926</v>
      </c>
      <c r="F63" s="10">
        <v>7.6388888888888895E-2</v>
      </c>
      <c r="G63" s="3" t="s">
        <v>203</v>
      </c>
      <c r="H63" s="3" t="s">
        <v>204</v>
      </c>
      <c r="I63" s="3" t="s">
        <v>242</v>
      </c>
      <c r="J63" s="3">
        <f t="shared" ref="J63:J64" si="18">(E63*50*50)/250.3*1000</f>
        <v>1237220.1336974553</v>
      </c>
      <c r="K63" s="20">
        <f t="shared" si="4"/>
        <v>1237220.1336974553</v>
      </c>
      <c r="L63" s="22"/>
      <c r="M63" s="23"/>
    </row>
    <row r="64" spans="1:13" x14ac:dyDescent="0.2">
      <c r="A64" s="2" t="s">
        <v>105</v>
      </c>
      <c r="B64" s="1" t="s">
        <v>179</v>
      </c>
      <c r="C64" s="4">
        <v>30.987532046458199</v>
      </c>
      <c r="D64" s="1">
        <f t="shared" si="1"/>
        <v>2.1834230263488124</v>
      </c>
      <c r="E64" s="1">
        <f t="shared" si="2"/>
        <v>152.55379869607233</v>
      </c>
      <c r="F64" s="10">
        <v>7.6388888888888895E-2</v>
      </c>
      <c r="G64" s="3" t="s">
        <v>203</v>
      </c>
      <c r="H64" s="3" t="s">
        <v>204</v>
      </c>
      <c r="I64" s="3" t="s">
        <v>242</v>
      </c>
      <c r="J64" s="3">
        <f t="shared" si="18"/>
        <v>1523709.5355181016</v>
      </c>
      <c r="K64" s="20">
        <f t="shared" si="4"/>
        <v>1523709.5355181016</v>
      </c>
      <c r="L64" s="22"/>
      <c r="M64" s="23"/>
    </row>
    <row r="65" spans="1:13" x14ac:dyDescent="0.2">
      <c r="A65" s="2" t="s">
        <v>56</v>
      </c>
      <c r="B65" s="1" t="s">
        <v>180</v>
      </c>
      <c r="C65" s="4">
        <v>33.938252723804197</v>
      </c>
      <c r="D65" s="1">
        <f t="shared" si="1"/>
        <v>1.3764214189355102</v>
      </c>
      <c r="E65" s="1">
        <f t="shared" si="2"/>
        <v>23.791477799900743</v>
      </c>
      <c r="F65" s="10">
        <v>7.6388888888888895E-2</v>
      </c>
      <c r="G65" s="3" t="s">
        <v>203</v>
      </c>
      <c r="H65" s="3" t="s">
        <v>204</v>
      </c>
      <c r="I65" s="3" t="s">
        <v>243</v>
      </c>
      <c r="J65" s="3">
        <f>(E65*50*50)/244.3*1000</f>
        <v>243465.79819792</v>
      </c>
      <c r="K65" s="20">
        <f t="shared" si="4"/>
        <v>243465.79819792</v>
      </c>
      <c r="L65" s="22">
        <f t="shared" ref="L65" si="19">AVERAGE(K65:K67)</f>
        <v>230614.83366835047</v>
      </c>
      <c r="M65" s="23" t="s">
        <v>222</v>
      </c>
    </row>
    <row r="66" spans="1:13" x14ac:dyDescent="0.2">
      <c r="A66" s="2" t="s">
        <v>72</v>
      </c>
      <c r="B66" s="1" t="s">
        <v>180</v>
      </c>
      <c r="C66" s="4">
        <v>33.484074303182602</v>
      </c>
      <c r="D66" s="1">
        <f t="shared" si="1"/>
        <v>1.5006360619235843</v>
      </c>
      <c r="E66" s="1">
        <f t="shared" si="2"/>
        <v>31.669124832037475</v>
      </c>
      <c r="F66" s="10">
        <v>7.6388888888888895E-2</v>
      </c>
      <c r="G66" s="3" t="s">
        <v>203</v>
      </c>
      <c r="H66" s="3" t="s">
        <v>204</v>
      </c>
      <c r="I66" s="3" t="s">
        <v>243</v>
      </c>
      <c r="J66" s="3">
        <f t="shared" ref="J66:J67" si="20">(E66*50*50)/244.3*1000</f>
        <v>324080.27867414523</v>
      </c>
      <c r="K66" s="20">
        <f t="shared" si="4"/>
        <v>324080.27867414523</v>
      </c>
      <c r="L66" s="22"/>
      <c r="M66" s="23"/>
    </row>
    <row r="67" spans="1:13" x14ac:dyDescent="0.2">
      <c r="A67" s="2" t="s">
        <v>88</v>
      </c>
      <c r="B67" s="1" t="s">
        <v>180</v>
      </c>
      <c r="C67" s="4">
        <v>35.005820380407101</v>
      </c>
      <c r="D67" s="1">
        <f t="shared" si="1"/>
        <v>1.0844490809520007</v>
      </c>
      <c r="E67" s="1">
        <f t="shared" si="2"/>
        <v>12.146442006275414</v>
      </c>
      <c r="F67" s="10">
        <v>7.6388888888888895E-2</v>
      </c>
      <c r="G67" s="3" t="s">
        <v>203</v>
      </c>
      <c r="H67" s="3" t="s">
        <v>204</v>
      </c>
      <c r="I67" s="3" t="s">
        <v>243</v>
      </c>
      <c r="J67" s="3">
        <f t="shared" si="20"/>
        <v>124298.42413298624</v>
      </c>
      <c r="K67" s="20">
        <f t="shared" si="4"/>
        <v>124298.42413298624</v>
      </c>
      <c r="L67" s="22"/>
      <c r="M67" s="23"/>
    </row>
    <row r="68" spans="1:13" x14ac:dyDescent="0.2">
      <c r="A68" s="2" t="s">
        <v>106</v>
      </c>
      <c r="B68" s="1" t="s">
        <v>181</v>
      </c>
      <c r="C68" s="4">
        <v>34.105170612230602</v>
      </c>
      <c r="D68" s="1">
        <f t="shared" si="1"/>
        <v>1.3307705359833155</v>
      </c>
      <c r="E68" s="1">
        <f t="shared" si="2"/>
        <v>21.417586815901196</v>
      </c>
      <c r="F68" s="10">
        <v>7.6388888888888895E-2</v>
      </c>
      <c r="G68" s="3" t="s">
        <v>203</v>
      </c>
      <c r="H68" s="3" t="s">
        <v>204</v>
      </c>
      <c r="I68" s="3" t="s">
        <v>244</v>
      </c>
      <c r="J68" s="3">
        <f>(E68*50*50)/243.2*1000</f>
        <v>220164.33815687906</v>
      </c>
      <c r="K68" s="20">
        <f t="shared" si="4"/>
        <v>220164.33815687906</v>
      </c>
      <c r="L68" s="22">
        <f t="shared" ref="L68" si="21">AVERAGE(K68:K70)</f>
        <v>229332.77634732111</v>
      </c>
      <c r="M68" s="23" t="s">
        <v>222</v>
      </c>
    </row>
    <row r="69" spans="1:13" x14ac:dyDescent="0.2">
      <c r="A69" s="2" t="s">
        <v>108</v>
      </c>
      <c r="B69" s="1" t="s">
        <v>181</v>
      </c>
      <c r="C69" s="4">
        <v>33.651388335118597</v>
      </c>
      <c r="D69" s="1">
        <f t="shared" si="1"/>
        <v>1.4548768364734164</v>
      </c>
      <c r="E69" s="1">
        <f t="shared" si="2"/>
        <v>28.5020984903989</v>
      </c>
      <c r="F69" s="10">
        <v>7.6388888888888895E-2</v>
      </c>
      <c r="G69" s="3" t="s">
        <v>203</v>
      </c>
      <c r="H69" s="3" t="s">
        <v>204</v>
      </c>
      <c r="I69" s="3" t="s">
        <v>244</v>
      </c>
      <c r="J69" s="3">
        <f t="shared" ref="J69:J70" si="22">(E69*50*50)/243.2*1000</f>
        <v>292990.32165294926</v>
      </c>
      <c r="K69" s="20">
        <f t="shared" si="4"/>
        <v>292990.32165294926</v>
      </c>
      <c r="L69" s="22"/>
      <c r="M69" s="23"/>
    </row>
    <row r="70" spans="1:13" x14ac:dyDescent="0.2">
      <c r="A70" s="2" t="s">
        <v>109</v>
      </c>
      <c r="B70" s="1" t="s">
        <v>181</v>
      </c>
      <c r="C70" s="4">
        <v>34.471165510201203</v>
      </c>
      <c r="D70" s="1">
        <f t="shared" si="1"/>
        <v>1.2306734738537342</v>
      </c>
      <c r="E70" s="1">
        <f t="shared" si="2"/>
        <v>17.008792142902092</v>
      </c>
      <c r="F70" s="10">
        <v>7.6388888888888895E-2</v>
      </c>
      <c r="G70" s="3" t="s">
        <v>203</v>
      </c>
      <c r="H70" s="3" t="s">
        <v>204</v>
      </c>
      <c r="I70" s="3" t="s">
        <v>244</v>
      </c>
      <c r="J70" s="3">
        <f t="shared" si="22"/>
        <v>174843.66923213497</v>
      </c>
      <c r="K70" s="20">
        <f t="shared" si="4"/>
        <v>174843.66923213497</v>
      </c>
      <c r="L70" s="22"/>
      <c r="M70" s="23"/>
    </row>
    <row r="71" spans="1:13" x14ac:dyDescent="0.2">
      <c r="A71" s="2" t="s">
        <v>57</v>
      </c>
      <c r="B71" s="1" t="s">
        <v>182</v>
      </c>
      <c r="C71" s="4">
        <v>33.325499550756298</v>
      </c>
      <c r="D71" s="1">
        <f t="shared" si="1"/>
        <v>1.5440051551372109</v>
      </c>
      <c r="E71" s="1">
        <f t="shared" si="2"/>
        <v>34.994932095186904</v>
      </c>
      <c r="F71" s="10">
        <v>7.6388888888888895E-2</v>
      </c>
      <c r="G71" s="3" t="s">
        <v>203</v>
      </c>
      <c r="H71" s="3" t="s">
        <v>204</v>
      </c>
      <c r="I71" s="3" t="s">
        <v>245</v>
      </c>
      <c r="J71" s="3">
        <f>(E71*50*50)/251*1000</f>
        <v>348555.1005496704</v>
      </c>
      <c r="K71" s="20">
        <f t="shared" si="4"/>
        <v>348555.1005496704</v>
      </c>
      <c r="L71" s="22">
        <f t="shared" ref="L71" si="23">AVERAGE(K71:K73)</f>
        <v>494273.34370731126</v>
      </c>
      <c r="M71" s="23" t="s">
        <v>222</v>
      </c>
    </row>
    <row r="72" spans="1:13" x14ac:dyDescent="0.2">
      <c r="A72" s="2" t="s">
        <v>73</v>
      </c>
      <c r="B72" s="1" t="s">
        <v>182</v>
      </c>
      <c r="C72" s="4">
        <v>32.303097693398499</v>
      </c>
      <c r="D72" s="1">
        <f t="shared" si="1"/>
        <v>1.8236249607815058</v>
      </c>
      <c r="E72" s="1">
        <f t="shared" si="2"/>
        <v>66.623119030999064</v>
      </c>
      <c r="F72" s="10">
        <v>7.6388888888888895E-2</v>
      </c>
      <c r="G72" s="3" t="s">
        <v>203</v>
      </c>
      <c r="H72" s="3" t="s">
        <v>204</v>
      </c>
      <c r="I72" s="3" t="s">
        <v>245</v>
      </c>
      <c r="J72" s="3">
        <f t="shared" ref="J72:J73" si="24">(E72*50*50)/251*1000</f>
        <v>663576.88277887506</v>
      </c>
      <c r="K72" s="20">
        <f t="shared" si="4"/>
        <v>663576.88277887506</v>
      </c>
      <c r="L72" s="22"/>
      <c r="M72" s="23"/>
    </row>
    <row r="73" spans="1:13" x14ac:dyDescent="0.2">
      <c r="A73" s="2" t="s">
        <v>89</v>
      </c>
      <c r="B73" s="1" t="s">
        <v>182</v>
      </c>
      <c r="C73" s="4">
        <v>32.848479288294001</v>
      </c>
      <c r="D73" s="1">
        <f t="shared" si="1"/>
        <v>1.6744668831927565</v>
      </c>
      <c r="E73" s="1">
        <f t="shared" si="2"/>
        <v>47.257079998456206</v>
      </c>
      <c r="F73" s="10">
        <v>7.6388888888888895E-2</v>
      </c>
      <c r="G73" s="3" t="s">
        <v>203</v>
      </c>
      <c r="H73" s="3" t="s">
        <v>204</v>
      </c>
      <c r="I73" s="3" t="s">
        <v>245</v>
      </c>
      <c r="J73" s="3">
        <f t="shared" si="24"/>
        <v>470688.04779338848</v>
      </c>
      <c r="K73" s="20">
        <f t="shared" si="4"/>
        <v>470688.04779338848</v>
      </c>
      <c r="L73" s="22"/>
      <c r="M73" s="23"/>
    </row>
    <row r="74" spans="1:13" x14ac:dyDescent="0.2">
      <c r="A74" s="2" t="s">
        <v>110</v>
      </c>
      <c r="B74" s="1" t="s">
        <v>183</v>
      </c>
      <c r="C74" s="4">
        <v>31.360495539570898</v>
      </c>
      <c r="D74" s="1">
        <f t="shared" si="1"/>
        <v>2.0814201018567711</v>
      </c>
      <c r="E74" s="1">
        <f t="shared" si="2"/>
        <v>120.62021600295628</v>
      </c>
      <c r="F74" s="10">
        <v>7.6388888888888895E-2</v>
      </c>
      <c r="G74" s="3" t="s">
        <v>203</v>
      </c>
      <c r="H74" s="3" t="s">
        <v>204</v>
      </c>
      <c r="I74" s="3" t="s">
        <v>246</v>
      </c>
      <c r="J74" s="3">
        <f>(E74*50*50)/257.9*1000</f>
        <v>1169253.7417890294</v>
      </c>
      <c r="K74" s="20">
        <f t="shared" si="4"/>
        <v>1169253.7417890294</v>
      </c>
      <c r="L74" s="22">
        <f t="shared" ref="L74" si="25">AVERAGE(K74:K76)</f>
        <v>1236042.4223711279</v>
      </c>
      <c r="M74" s="23" t="s">
        <v>222</v>
      </c>
    </row>
    <row r="75" spans="1:13" x14ac:dyDescent="0.2">
      <c r="A75" s="2" t="s">
        <v>112</v>
      </c>
      <c r="B75" s="1" t="s">
        <v>183</v>
      </c>
      <c r="C75" s="4">
        <v>31.164705721041098</v>
      </c>
      <c r="D75" s="1">
        <f t="shared" si="1"/>
        <v>2.1349672571269274</v>
      </c>
      <c r="E75" s="1">
        <f t="shared" si="2"/>
        <v>136.4480260107544</v>
      </c>
      <c r="F75" s="10">
        <v>7.6388888888888895E-2</v>
      </c>
      <c r="G75" s="3" t="s">
        <v>203</v>
      </c>
      <c r="H75" s="3" t="s">
        <v>204</v>
      </c>
      <c r="I75" s="3" t="s">
        <v>246</v>
      </c>
      <c r="J75" s="3">
        <f t="shared" ref="J75:J76" si="26">(E75*50*50)/257.9*1000</f>
        <v>1322683.4626866463</v>
      </c>
      <c r="K75" s="20">
        <f t="shared" si="4"/>
        <v>1322683.4626866463</v>
      </c>
      <c r="L75" s="22"/>
      <c r="M75" s="23"/>
    </row>
    <row r="76" spans="1:13" x14ac:dyDescent="0.2">
      <c r="A76" s="2" t="s">
        <v>113</v>
      </c>
      <c r="B76" s="1" t="s">
        <v>183</v>
      </c>
      <c r="C76" s="4">
        <v>31.2979978566479</v>
      </c>
      <c r="D76" s="1">
        <f t="shared" si="1"/>
        <v>2.0985127839820854</v>
      </c>
      <c r="E76" s="1">
        <f t="shared" si="2"/>
        <v>125.46216686170598</v>
      </c>
      <c r="F76" s="10">
        <v>7.6388888888888895E-2</v>
      </c>
      <c r="G76" s="3" t="s">
        <v>203</v>
      </c>
      <c r="H76" s="3" t="s">
        <v>204</v>
      </c>
      <c r="I76" s="3" t="s">
        <v>246</v>
      </c>
      <c r="J76" s="3">
        <f t="shared" si="26"/>
        <v>1216190.0626377081</v>
      </c>
      <c r="K76" s="20">
        <f t="shared" si="4"/>
        <v>1216190.0626377081</v>
      </c>
      <c r="L76" s="22"/>
      <c r="M76" s="23"/>
    </row>
    <row r="77" spans="1:13" x14ac:dyDescent="0.2">
      <c r="A77" s="2" t="s">
        <v>58</v>
      </c>
      <c r="B77" s="1" t="s">
        <v>184</v>
      </c>
      <c r="C77" s="4">
        <v>34.369148877505602</v>
      </c>
      <c r="D77" s="1">
        <f t="shared" si="1"/>
        <v>1.2585743142146359</v>
      </c>
      <c r="E77" s="1">
        <f t="shared" si="2"/>
        <v>18.137370065692014</v>
      </c>
      <c r="F77" s="10">
        <v>7.6388888888888895E-2</v>
      </c>
      <c r="G77" s="3" t="s">
        <v>203</v>
      </c>
      <c r="H77" s="3" t="s">
        <v>204</v>
      </c>
      <c r="I77" s="3" t="s">
        <v>247</v>
      </c>
      <c r="J77" s="3">
        <f>(E77*50*50)/251.3*1000</f>
        <v>180435.43638770407</v>
      </c>
      <c r="K77" s="20">
        <f t="shared" si="4"/>
        <v>180435.43638770407</v>
      </c>
      <c r="L77" s="22">
        <f t="shared" ref="L77" si="27">AVERAGE(K77:K79)</f>
        <v>276164.80039038509</v>
      </c>
      <c r="M77" s="23" t="s">
        <v>222</v>
      </c>
    </row>
    <row r="78" spans="1:13" x14ac:dyDescent="0.2">
      <c r="A78" s="2" t="s">
        <v>74</v>
      </c>
      <c r="B78" s="1" t="s">
        <v>184</v>
      </c>
      <c r="C78" s="4">
        <v>33.383243114731997</v>
      </c>
      <c r="D78" s="1">
        <f t="shared" si="1"/>
        <v>1.5282126915184333</v>
      </c>
      <c r="E78" s="1">
        <f t="shared" si="2"/>
        <v>33.74525323082986</v>
      </c>
      <c r="F78" s="10">
        <v>7.6388888888888895E-2</v>
      </c>
      <c r="G78" s="3" t="s">
        <v>203</v>
      </c>
      <c r="H78" s="3" t="s">
        <v>204</v>
      </c>
      <c r="I78" s="3" t="s">
        <v>247</v>
      </c>
      <c r="J78" s="3">
        <f t="shared" ref="J78:J79" si="28">(E78*50*50)/251.3*1000</f>
        <v>335706.85665369936</v>
      </c>
      <c r="K78" s="20">
        <f t="shared" si="4"/>
        <v>335706.85665369936</v>
      </c>
      <c r="L78" s="22"/>
      <c r="M78" s="23"/>
    </row>
    <row r="79" spans="1:13" x14ac:dyDescent="0.2">
      <c r="A79" s="2" t="s">
        <v>90</v>
      </c>
      <c r="B79" s="1" t="s">
        <v>184</v>
      </c>
      <c r="C79" s="4">
        <v>33.497746096750902</v>
      </c>
      <c r="D79" s="1">
        <f t="shared" si="1"/>
        <v>1.4968969213568248</v>
      </c>
      <c r="E79" s="1">
        <f t="shared" si="2"/>
        <v>31.397633909202654</v>
      </c>
      <c r="F79" s="10">
        <v>7.6388888888888895E-2</v>
      </c>
      <c r="G79" s="3" t="s">
        <v>203</v>
      </c>
      <c r="H79" s="3" t="s">
        <v>204</v>
      </c>
      <c r="I79" s="3" t="s">
        <v>247</v>
      </c>
      <c r="J79" s="3">
        <f t="shared" si="28"/>
        <v>312352.10812975181</v>
      </c>
      <c r="K79" s="20">
        <f t="shared" si="4"/>
        <v>312352.10812975181</v>
      </c>
      <c r="L79" s="22"/>
      <c r="M79" s="23"/>
    </row>
    <row r="80" spans="1:13" x14ac:dyDescent="0.2">
      <c r="A80" s="2" t="s">
        <v>114</v>
      </c>
      <c r="B80" s="1" t="s">
        <v>185</v>
      </c>
      <c r="C80" s="4">
        <v>33.0587301232408</v>
      </c>
      <c r="D80" s="1">
        <f t="shared" si="1"/>
        <v>1.6169647403892344</v>
      </c>
      <c r="E80" s="1">
        <f t="shared" si="2"/>
        <v>41.396606427332934</v>
      </c>
      <c r="F80" s="10">
        <v>7.6388888888888895E-2</v>
      </c>
      <c r="G80" s="3" t="s">
        <v>203</v>
      </c>
      <c r="H80" s="3" t="s">
        <v>204</v>
      </c>
      <c r="I80" s="3" t="s">
        <v>248</v>
      </c>
      <c r="J80" s="3">
        <f>(E80*50*50)/255.8*1000</f>
        <v>404579.81262053293</v>
      </c>
      <c r="K80" s="20">
        <f t="shared" si="4"/>
        <v>404579.81262053293</v>
      </c>
      <c r="L80" s="22">
        <f t="shared" ref="L80" si="29">AVERAGE(K80:K82)</f>
        <v>343934.39292346081</v>
      </c>
      <c r="M80" s="23" t="s">
        <v>222</v>
      </c>
    </row>
    <row r="81" spans="1:13" x14ac:dyDescent="0.2">
      <c r="A81" s="2" t="s">
        <v>116</v>
      </c>
      <c r="B81" s="1" t="s">
        <v>185</v>
      </c>
      <c r="C81" s="4">
        <v>33.6293187884392</v>
      </c>
      <c r="D81" s="1">
        <f t="shared" si="1"/>
        <v>1.4609127041791918</v>
      </c>
      <c r="E81" s="1">
        <f t="shared" si="2"/>
        <v>28.900988965968921</v>
      </c>
      <c r="F81" s="10">
        <v>7.6388888888888895E-2</v>
      </c>
      <c r="G81" s="3" t="s">
        <v>203</v>
      </c>
      <c r="H81" s="3" t="s">
        <v>204</v>
      </c>
      <c r="I81" s="3" t="s">
        <v>248</v>
      </c>
      <c r="J81" s="3">
        <f t="shared" ref="J81:J82" si="30">(E81*50*50)/255.8*1000</f>
        <v>282456.88981595897</v>
      </c>
      <c r="K81" s="20">
        <f t="shared" si="4"/>
        <v>282456.88981595897</v>
      </c>
      <c r="L81" s="22"/>
      <c r="M81" s="23"/>
    </row>
    <row r="82" spans="1:13" x14ac:dyDescent="0.2">
      <c r="A82" s="2" t="s">
        <v>117</v>
      </c>
      <c r="B82" s="1" t="s">
        <v>185</v>
      </c>
      <c r="C82" s="4">
        <v>33.3127737922836</v>
      </c>
      <c r="D82" s="1">
        <f t="shared" si="1"/>
        <v>1.5474855616771677</v>
      </c>
      <c r="E82" s="1">
        <f t="shared" si="2"/>
        <v>35.276505858483688</v>
      </c>
      <c r="F82" s="10">
        <v>7.6388888888888895E-2</v>
      </c>
      <c r="G82" s="3" t="s">
        <v>203</v>
      </c>
      <c r="H82" s="3" t="s">
        <v>204</v>
      </c>
      <c r="I82" s="3" t="s">
        <v>248</v>
      </c>
      <c r="J82" s="3">
        <f t="shared" si="30"/>
        <v>344766.47633389063</v>
      </c>
      <c r="K82" s="20">
        <f t="shared" si="4"/>
        <v>344766.47633389063</v>
      </c>
      <c r="L82" s="22"/>
      <c r="M82" s="23"/>
    </row>
    <row r="83" spans="1:13" x14ac:dyDescent="0.2">
      <c r="A83" s="2" t="s">
        <v>60</v>
      </c>
      <c r="B83" s="1" t="s">
        <v>186</v>
      </c>
      <c r="C83" s="4">
        <v>31.2737799091855</v>
      </c>
      <c r="D83" s="1">
        <f t="shared" si="1"/>
        <v>2.1051362243776657</v>
      </c>
      <c r="E83" s="1">
        <f t="shared" si="2"/>
        <v>127.3902601118029</v>
      </c>
      <c r="F83" s="10">
        <v>7.6388888888888895E-2</v>
      </c>
      <c r="G83" s="3" t="s">
        <v>203</v>
      </c>
      <c r="H83" s="3" t="s">
        <v>204</v>
      </c>
      <c r="I83" s="3" t="s">
        <v>249</v>
      </c>
      <c r="J83" s="3">
        <f>(E83*50*50)/251.7*1000</f>
        <v>1265298.5708363419</v>
      </c>
      <c r="K83" s="20">
        <f t="shared" si="4"/>
        <v>1265298.5708363419</v>
      </c>
      <c r="L83" s="22">
        <f t="shared" ref="L83" si="31">AVERAGE(K83:K85)</f>
        <v>1149706.590262515</v>
      </c>
      <c r="M83" s="23" t="s">
        <v>222</v>
      </c>
    </row>
    <row r="84" spans="1:13" x14ac:dyDescent="0.2">
      <c r="A84" s="2" t="s">
        <v>76</v>
      </c>
      <c r="B84" s="1" t="s">
        <v>186</v>
      </c>
      <c r="C84" s="4">
        <v>31.549094523360999</v>
      </c>
      <c r="D84" s="1">
        <f t="shared" si="1"/>
        <v>2.0298395899351815</v>
      </c>
      <c r="E84" s="1">
        <f t="shared" si="2"/>
        <v>107.11236042807529</v>
      </c>
      <c r="F84" s="10">
        <v>7.6388888888888895E-2</v>
      </c>
      <c r="G84" s="3" t="s">
        <v>203</v>
      </c>
      <c r="H84" s="3" t="s">
        <v>204</v>
      </c>
      <c r="I84" s="3" t="s">
        <v>249</v>
      </c>
      <c r="J84" s="3">
        <f t="shared" ref="J84:J85" si="32">(E84*50*50)/251.7*1000</f>
        <v>1063889.1580063102</v>
      </c>
      <c r="K84" s="20">
        <f t="shared" si="4"/>
        <v>1063889.1580063102</v>
      </c>
      <c r="L84" s="22"/>
      <c r="M84" s="23"/>
    </row>
    <row r="85" spans="1:13" x14ac:dyDescent="0.2">
      <c r="A85" s="2" t="s">
        <v>92</v>
      </c>
      <c r="B85" s="1" t="s">
        <v>186</v>
      </c>
      <c r="C85" s="4">
        <v>31.467574035253001</v>
      </c>
      <c r="D85" s="1">
        <f t="shared" si="1"/>
        <v>2.0521348771324242</v>
      </c>
      <c r="E85" s="1">
        <f t="shared" si="2"/>
        <v>112.7547579830118</v>
      </c>
      <c r="F85" s="10">
        <v>7.6388888888888895E-2</v>
      </c>
      <c r="G85" s="3" t="s">
        <v>203</v>
      </c>
      <c r="H85" s="3" t="s">
        <v>204</v>
      </c>
      <c r="I85" s="3" t="s">
        <v>249</v>
      </c>
      <c r="J85" s="3">
        <f t="shared" si="32"/>
        <v>1119932.0419448926</v>
      </c>
      <c r="K85" s="20">
        <f t="shared" si="4"/>
        <v>1119932.0419448926</v>
      </c>
      <c r="L85" s="22"/>
      <c r="M85" s="23"/>
    </row>
    <row r="86" spans="1:13" x14ac:dyDescent="0.2">
      <c r="A86" s="2" t="s">
        <v>118</v>
      </c>
      <c r="B86" s="1" t="s">
        <v>187</v>
      </c>
      <c r="C86" s="4">
        <v>32.490812699726398</v>
      </c>
      <c r="D86" s="1">
        <f t="shared" si="1"/>
        <v>1.7722862105550812</v>
      </c>
      <c r="E86" s="1">
        <f t="shared" si="2"/>
        <v>59.195161607272908</v>
      </c>
      <c r="F86" s="10">
        <v>7.6388888888888895E-2</v>
      </c>
      <c r="G86" s="3" t="s">
        <v>203</v>
      </c>
      <c r="H86" s="3" t="s">
        <v>204</v>
      </c>
      <c r="I86" s="3" t="s">
        <v>250</v>
      </c>
      <c r="J86" s="3">
        <f>(E86*50*50)/255.7*1000</f>
        <v>578755.97973477619</v>
      </c>
      <c r="K86" s="20">
        <f t="shared" si="4"/>
        <v>578755.97973477619</v>
      </c>
      <c r="L86" s="22">
        <f t="shared" ref="L86" si="33">AVERAGE(K86:K88)</f>
        <v>473073.85368002235</v>
      </c>
      <c r="M86" s="23" t="s">
        <v>222</v>
      </c>
    </row>
    <row r="87" spans="1:13" x14ac:dyDescent="0.2">
      <c r="A87" s="2" t="s">
        <v>120</v>
      </c>
      <c r="B87" s="1" t="s">
        <v>187</v>
      </c>
      <c r="C87" s="4">
        <v>33.136906828513901</v>
      </c>
      <c r="D87" s="1">
        <f t="shared" si="1"/>
        <v>1.5955839545690012</v>
      </c>
      <c r="E87" s="1">
        <f t="shared" si="2"/>
        <v>39.407960081012305</v>
      </c>
      <c r="F87" s="10">
        <v>7.6388888888888895E-2</v>
      </c>
      <c r="G87" s="3" t="s">
        <v>203</v>
      </c>
      <c r="H87" s="3" t="s">
        <v>204</v>
      </c>
      <c r="I87" s="3" t="s">
        <v>250</v>
      </c>
      <c r="J87" s="3">
        <f t="shared" ref="J87:J88" si="34">(E87*50*50)/255.7*1000</f>
        <v>385294.87760082429</v>
      </c>
      <c r="K87" s="20">
        <f t="shared" si="4"/>
        <v>385294.87760082429</v>
      </c>
      <c r="L87" s="22"/>
      <c r="M87" s="23"/>
    </row>
    <row r="88" spans="1:13" x14ac:dyDescent="0.2">
      <c r="A88" s="2" t="s">
        <v>121</v>
      </c>
      <c r="B88" s="1" t="s">
        <v>187</v>
      </c>
      <c r="C88" s="4">
        <v>32.8722526971858</v>
      </c>
      <c r="D88" s="1">
        <f t="shared" si="1"/>
        <v>1.6679650210081491</v>
      </c>
      <c r="E88" s="1">
        <f t="shared" si="2"/>
        <v>46.554859574892824</v>
      </c>
      <c r="F88" s="10">
        <v>7.6388888888888895E-2</v>
      </c>
      <c r="G88" s="3" t="s">
        <v>203</v>
      </c>
      <c r="H88" s="3" t="s">
        <v>204</v>
      </c>
      <c r="I88" s="3" t="s">
        <v>250</v>
      </c>
      <c r="J88" s="3">
        <f t="shared" si="34"/>
        <v>455170.70370446646</v>
      </c>
      <c r="K88" s="20">
        <f t="shared" si="4"/>
        <v>455170.70370446646</v>
      </c>
      <c r="L88" s="22"/>
      <c r="M88" s="23"/>
    </row>
    <row r="89" spans="1:13" x14ac:dyDescent="0.2">
      <c r="A89" s="2" t="s">
        <v>61</v>
      </c>
      <c r="B89" s="1" t="s">
        <v>188</v>
      </c>
      <c r="C89" s="4">
        <v>33.237004654098399</v>
      </c>
      <c r="D89" s="1">
        <f t="shared" si="1"/>
        <v>1.5682078946235634</v>
      </c>
      <c r="E89" s="1">
        <f t="shared" si="2"/>
        <v>37.000525708302781</v>
      </c>
      <c r="F89" s="10">
        <v>7.6388888888888895E-2</v>
      </c>
      <c r="G89" s="3" t="s">
        <v>203</v>
      </c>
      <c r="H89" s="3" t="s">
        <v>204</v>
      </c>
      <c r="I89" s="3" t="s">
        <v>241</v>
      </c>
      <c r="J89" s="3">
        <f>(E89*50*50)/245.3*1000</f>
        <v>377094.63624442293</v>
      </c>
      <c r="K89" s="20">
        <f t="shared" si="4"/>
        <v>377094.63624442293</v>
      </c>
      <c r="L89" s="22">
        <f t="shared" ref="L89" si="35">AVERAGE(K89:K91)</f>
        <v>445825.97991061927</v>
      </c>
      <c r="M89" s="23" t="s">
        <v>222</v>
      </c>
    </row>
    <row r="90" spans="1:13" x14ac:dyDescent="0.2">
      <c r="A90" s="2" t="s">
        <v>77</v>
      </c>
      <c r="B90" s="1" t="s">
        <v>188</v>
      </c>
      <c r="C90" s="4">
        <v>33.205883169767503</v>
      </c>
      <c r="D90" s="1">
        <f t="shared" si="1"/>
        <v>1.5767194043957153</v>
      </c>
      <c r="E90" s="1">
        <f t="shared" si="2"/>
        <v>37.73283221139426</v>
      </c>
      <c r="F90" s="10">
        <v>7.6388888888888895E-2</v>
      </c>
      <c r="G90" s="3" t="s">
        <v>203</v>
      </c>
      <c r="H90" s="3" t="s">
        <v>204</v>
      </c>
      <c r="I90" s="3" t="s">
        <v>241</v>
      </c>
      <c r="J90" s="3">
        <f t="shared" ref="J90:J91" si="36">(E90*50*50)/245.3*1000</f>
        <v>384558.01275371236</v>
      </c>
      <c r="K90" s="20">
        <f t="shared" si="4"/>
        <v>384558.01275371236</v>
      </c>
      <c r="L90" s="22"/>
      <c r="M90" s="23"/>
    </row>
    <row r="91" spans="1:13" x14ac:dyDescent="0.2">
      <c r="A91" s="2" t="s">
        <v>93</v>
      </c>
      <c r="B91" s="1" t="s">
        <v>188</v>
      </c>
      <c r="C91" s="4">
        <v>32.564810687011303</v>
      </c>
      <c r="D91" s="1">
        <f t="shared" si="1"/>
        <v>1.7520482750762207</v>
      </c>
      <c r="E91" s="1">
        <f t="shared" si="2"/>
        <v>56.499977526792854</v>
      </c>
      <c r="F91" s="10">
        <v>7.6388888888888895E-2</v>
      </c>
      <c r="G91" s="3" t="s">
        <v>203</v>
      </c>
      <c r="H91" s="3" t="s">
        <v>204</v>
      </c>
      <c r="I91" s="3" t="s">
        <v>241</v>
      </c>
      <c r="J91" s="3">
        <f t="shared" si="36"/>
        <v>575825.2907337225</v>
      </c>
      <c r="K91" s="20">
        <f t="shared" si="4"/>
        <v>575825.2907337225</v>
      </c>
      <c r="L91" s="22"/>
      <c r="M91" s="23"/>
    </row>
    <row r="92" spans="1:13" x14ac:dyDescent="0.2">
      <c r="A92" s="2" t="s">
        <v>122</v>
      </c>
      <c r="B92" s="1" t="s">
        <v>189</v>
      </c>
      <c r="C92" s="4">
        <v>32.284844597063</v>
      </c>
      <c r="D92" s="1">
        <f t="shared" si="1"/>
        <v>1.8286170558300505</v>
      </c>
      <c r="E92" s="1">
        <f t="shared" si="2"/>
        <v>67.39335169742165</v>
      </c>
      <c r="F92" s="10">
        <v>7.6388888888888895E-2</v>
      </c>
      <c r="G92" s="3" t="s">
        <v>203</v>
      </c>
      <c r="H92" s="3" t="s">
        <v>204</v>
      </c>
      <c r="I92" s="3" t="s">
        <v>251</v>
      </c>
      <c r="J92" s="3">
        <f>(E92*50*50)/253.1*1000</f>
        <v>665679.09618156496</v>
      </c>
      <c r="K92" s="20">
        <f t="shared" si="4"/>
        <v>665679.09618156496</v>
      </c>
      <c r="L92" s="22">
        <f t="shared" ref="L92" si="37">AVERAGE(K92:K94)</f>
        <v>619752.97013901675</v>
      </c>
      <c r="M92" s="23" t="s">
        <v>222</v>
      </c>
    </row>
    <row r="93" spans="1:13" x14ac:dyDescent="0.2">
      <c r="A93" s="2" t="s">
        <v>124</v>
      </c>
      <c r="B93" s="1" t="s">
        <v>189</v>
      </c>
      <c r="C93" s="4">
        <v>31.9355955035272</v>
      </c>
      <c r="D93" s="1">
        <f t="shared" si="1"/>
        <v>1.9241342567751878</v>
      </c>
      <c r="E93" s="1">
        <f t="shared" si="2"/>
        <v>83.971953532229804</v>
      </c>
      <c r="F93" s="10">
        <v>7.6388888888888895E-2</v>
      </c>
      <c r="G93" s="3" t="s">
        <v>203</v>
      </c>
      <c r="H93" s="3" t="s">
        <v>204</v>
      </c>
      <c r="I93" s="3" t="s">
        <v>251</v>
      </c>
      <c r="J93" s="3">
        <f t="shared" ref="J93:J94" si="38">(E93*50*50)/253.1*1000</f>
        <v>829434.54694023903</v>
      </c>
      <c r="K93" s="20">
        <f t="shared" si="4"/>
        <v>829434.54694023903</v>
      </c>
      <c r="L93" s="22"/>
      <c r="M93" s="23"/>
    </row>
    <row r="94" spans="1:13" x14ac:dyDescent="0.2">
      <c r="A94" s="2" t="s">
        <v>125</v>
      </c>
      <c r="B94" s="1" t="s">
        <v>189</v>
      </c>
      <c r="C94" s="4">
        <v>33.242785745091197</v>
      </c>
      <c r="D94" s="1">
        <f t="shared" si="1"/>
        <v>1.5666268063966742</v>
      </c>
      <c r="E94" s="1">
        <f t="shared" si="2"/>
        <v>36.866066860970733</v>
      </c>
      <c r="F94" s="10">
        <v>7.6388888888888895E-2</v>
      </c>
      <c r="G94" s="3" t="s">
        <v>203</v>
      </c>
      <c r="H94" s="3" t="s">
        <v>204</v>
      </c>
      <c r="I94" s="3" t="s">
        <v>251</v>
      </c>
      <c r="J94" s="3">
        <f t="shared" si="38"/>
        <v>364145.2672952463</v>
      </c>
      <c r="K94" s="20">
        <f t="shared" si="4"/>
        <v>364145.2672952463</v>
      </c>
      <c r="L94" s="22"/>
      <c r="M94" s="23"/>
    </row>
    <row r="95" spans="1:13" x14ac:dyDescent="0.2">
      <c r="A95" s="2" t="s">
        <v>46</v>
      </c>
      <c r="B95" s="1" t="s">
        <v>190</v>
      </c>
      <c r="C95" s="4">
        <v>32.2349044042382</v>
      </c>
      <c r="D95" s="1">
        <f t="shared" si="1"/>
        <v>1.8422753516469192</v>
      </c>
      <c r="E95" s="1">
        <f t="shared" si="2"/>
        <v>69.546511704513193</v>
      </c>
      <c r="F95" s="10">
        <v>7.6388888888888895E-2</v>
      </c>
      <c r="G95" s="3" t="s">
        <v>203</v>
      </c>
      <c r="H95" s="3" t="s">
        <v>204</v>
      </c>
      <c r="I95" s="3" t="s">
        <v>213</v>
      </c>
      <c r="J95" s="3">
        <f>(E95*50*50)/246.7*1000</f>
        <v>704768.05537609651</v>
      </c>
      <c r="K95" s="20">
        <f t="shared" si="4"/>
        <v>704768.05537609651</v>
      </c>
      <c r="L95" s="22">
        <f t="shared" ref="L95" si="39">AVERAGE(K95:K97)</f>
        <v>565458.70526281931</v>
      </c>
      <c r="M95" s="23" t="s">
        <v>222</v>
      </c>
    </row>
    <row r="96" spans="1:13" x14ac:dyDescent="0.2">
      <c r="A96" s="2" t="s">
        <v>48</v>
      </c>
      <c r="B96" s="1" t="s">
        <v>190</v>
      </c>
      <c r="C96" s="4">
        <v>32.7303855818082</v>
      </c>
      <c r="D96" s="1">
        <f t="shared" si="1"/>
        <v>1.7067646915522909</v>
      </c>
      <c r="E96" s="1">
        <f t="shared" si="2"/>
        <v>50.905498131162794</v>
      </c>
      <c r="F96" s="10">
        <v>7.6388888888888895E-2</v>
      </c>
      <c r="G96" s="3" t="s">
        <v>203</v>
      </c>
      <c r="H96" s="3" t="s">
        <v>204</v>
      </c>
      <c r="I96" s="3" t="s">
        <v>213</v>
      </c>
      <c r="J96" s="3">
        <f t="shared" ref="J96:J97" si="40">(E96*50*50)/246.7*1000</f>
        <v>515864.39127647749</v>
      </c>
      <c r="K96" s="20">
        <f t="shared" si="4"/>
        <v>515864.39127647749</v>
      </c>
      <c r="L96" s="22"/>
      <c r="M96" s="23"/>
    </row>
    <row r="97" spans="1:13" x14ac:dyDescent="0.2">
      <c r="A97" s="2" t="s">
        <v>49</v>
      </c>
      <c r="B97" s="1" t="s">
        <v>190</v>
      </c>
      <c r="C97" s="4">
        <v>32.858953867558597</v>
      </c>
      <c r="D97" s="1">
        <f t="shared" si="1"/>
        <v>1.6716021585278962</v>
      </c>
      <c r="E97" s="1">
        <f t="shared" si="2"/>
        <v>46.94638527032901</v>
      </c>
      <c r="F97" s="10">
        <v>7.6388888888888895E-2</v>
      </c>
      <c r="G97" s="3" t="s">
        <v>203</v>
      </c>
      <c r="H97" s="3" t="s">
        <v>204</v>
      </c>
      <c r="I97" s="3" t="s">
        <v>213</v>
      </c>
      <c r="J97" s="3">
        <f t="shared" si="40"/>
        <v>475743.6691358838</v>
      </c>
      <c r="K97" s="20">
        <f t="shared" si="4"/>
        <v>475743.6691358838</v>
      </c>
      <c r="L97" s="22"/>
      <c r="M97" s="23"/>
    </row>
    <row r="98" spans="1:13" x14ac:dyDescent="0.2">
      <c r="A98" s="2" t="s">
        <v>62</v>
      </c>
      <c r="B98" s="1" t="s">
        <v>191</v>
      </c>
      <c r="C98" s="4">
        <v>35.558399755136598</v>
      </c>
      <c r="D98" s="1">
        <f t="shared" si="1"/>
        <v>0.93332246057964063</v>
      </c>
      <c r="E98" s="1">
        <f t="shared" si="2"/>
        <v>8.5767442606498392</v>
      </c>
      <c r="F98" s="10">
        <v>7.6388888888888895E-2</v>
      </c>
      <c r="G98" s="3" t="s">
        <v>203</v>
      </c>
      <c r="H98" s="3" t="s">
        <v>204</v>
      </c>
      <c r="I98" s="3" t="s">
        <v>252</v>
      </c>
      <c r="J98" s="3">
        <f>(E98*50*50)/255.2*1000</f>
        <v>84019.830139594822</v>
      </c>
      <c r="K98" s="20">
        <f t="shared" si="4"/>
        <v>84019.830139594822</v>
      </c>
      <c r="L98" s="22">
        <f t="shared" ref="L98" si="41">AVERAGE(K98:K100)</f>
        <v>117552.81642281039</v>
      </c>
      <c r="M98" s="23" t="s">
        <v>222</v>
      </c>
    </row>
    <row r="99" spans="1:13" x14ac:dyDescent="0.2">
      <c r="A99" s="2" t="s">
        <v>78</v>
      </c>
      <c r="B99" s="1" t="s">
        <v>191</v>
      </c>
      <c r="C99" s="4">
        <v>34.186216537872603</v>
      </c>
      <c r="D99" s="1">
        <f t="shared" si="1"/>
        <v>1.3086050383238685</v>
      </c>
      <c r="E99" s="1">
        <f t="shared" si="2"/>
        <v>20.351903668182302</v>
      </c>
      <c r="F99" s="10">
        <v>7.6388888888888895E-2</v>
      </c>
      <c r="G99" s="3" t="s">
        <v>203</v>
      </c>
      <c r="H99" s="3" t="s">
        <v>204</v>
      </c>
      <c r="I99" s="3" t="s">
        <v>252</v>
      </c>
      <c r="J99" s="3">
        <f t="shared" ref="J99:J100" si="42">(E99*50*50)/255.2*1000</f>
        <v>199372.0970629144</v>
      </c>
      <c r="K99" s="20">
        <f t="shared" si="4"/>
        <v>199372.0970629144</v>
      </c>
      <c r="L99" s="22"/>
      <c r="M99" s="23"/>
    </row>
    <row r="100" spans="1:13" x14ac:dyDescent="0.2">
      <c r="A100" s="2" t="s">
        <v>94</v>
      </c>
      <c r="B100" s="1" t="s">
        <v>191</v>
      </c>
      <c r="C100" s="4">
        <v>35.865019672272901</v>
      </c>
      <c r="D100" s="1">
        <f t="shared" si="1"/>
        <v>0.84946404324666225</v>
      </c>
      <c r="E100" s="1">
        <f t="shared" si="2"/>
        <v>7.0707265724893125</v>
      </c>
      <c r="F100" s="10">
        <v>7.6388888888888895E-2</v>
      </c>
      <c r="G100" s="3" t="s">
        <v>203</v>
      </c>
      <c r="H100" s="3" t="s">
        <v>204</v>
      </c>
      <c r="I100" s="3" t="s">
        <v>252</v>
      </c>
      <c r="J100" s="3">
        <f t="shared" si="42"/>
        <v>69266.522065921949</v>
      </c>
      <c r="K100" s="20">
        <f t="shared" si="4"/>
        <v>69266.522065921949</v>
      </c>
      <c r="L100" s="22"/>
      <c r="M100" s="23"/>
    </row>
    <row r="101" spans="1:13" x14ac:dyDescent="0.2">
      <c r="A101" s="2" t="s">
        <v>126</v>
      </c>
      <c r="B101" s="1" t="s">
        <v>192</v>
      </c>
      <c r="C101" s="4">
        <v>34.520844681882203</v>
      </c>
      <c r="D101" s="1">
        <f t="shared" si="1"/>
        <v>1.2170865655064527</v>
      </c>
      <c r="E101" s="1">
        <f t="shared" si="2"/>
        <v>16.484909433221311</v>
      </c>
      <c r="F101" s="10">
        <v>7.6388888888888895E-2</v>
      </c>
      <c r="G101" s="3" t="s">
        <v>203</v>
      </c>
      <c r="H101" s="3" t="s">
        <v>204</v>
      </c>
      <c r="I101" s="3" t="s">
        <v>253</v>
      </c>
      <c r="J101" s="3">
        <f>(E101*50*50)/255.5*1000</f>
        <v>161300.48369101089</v>
      </c>
      <c r="K101" s="20">
        <f t="shared" si="4"/>
        <v>161300.48369101089</v>
      </c>
      <c r="L101" s="22">
        <f t="shared" ref="L101" si="43">AVERAGE(K101:K103)</f>
        <v>192312.72905504997</v>
      </c>
      <c r="M101" s="23" t="s">
        <v>222</v>
      </c>
    </row>
    <row r="102" spans="1:13" x14ac:dyDescent="0.2">
      <c r="A102" s="2" t="s">
        <v>128</v>
      </c>
      <c r="B102" s="1" t="s">
        <v>192</v>
      </c>
      <c r="C102" s="4">
        <v>33.614468012385601</v>
      </c>
      <c r="D102" s="1">
        <f t="shared" si="1"/>
        <v>1.4649742882656154</v>
      </c>
      <c r="E102" s="1">
        <f t="shared" si="2"/>
        <v>29.172542973511714</v>
      </c>
      <c r="F102" s="10">
        <v>7.6388888888888895E-2</v>
      </c>
      <c r="G102" s="3" t="s">
        <v>203</v>
      </c>
      <c r="H102" s="3" t="s">
        <v>204</v>
      </c>
      <c r="I102" s="3" t="s">
        <v>253</v>
      </c>
      <c r="J102" s="3">
        <f t="shared" ref="J102:J103" si="44">(E102*50*50)/255.5*1000</f>
        <v>285445.62596391106</v>
      </c>
      <c r="K102" s="20">
        <f t="shared" si="4"/>
        <v>285445.62596391106</v>
      </c>
      <c r="L102" s="22"/>
      <c r="M102" s="23"/>
    </row>
    <row r="103" spans="1:13" x14ac:dyDescent="0.2">
      <c r="A103" s="2" t="s">
        <v>129</v>
      </c>
      <c r="B103" s="1" t="s">
        <v>192</v>
      </c>
      <c r="C103" s="4">
        <v>34.861076769618698</v>
      </c>
      <c r="D103" s="1">
        <f t="shared" si="1"/>
        <v>1.1240354530087786</v>
      </c>
      <c r="E103" s="1">
        <f t="shared" si="2"/>
        <v>13.3056303215453</v>
      </c>
      <c r="F103" s="10">
        <v>7.6388888888888895E-2</v>
      </c>
      <c r="G103" s="3" t="s">
        <v>203</v>
      </c>
      <c r="H103" s="3" t="s">
        <v>204</v>
      </c>
      <c r="I103" s="3" t="s">
        <v>253</v>
      </c>
      <c r="J103" s="3">
        <f t="shared" si="44"/>
        <v>130192.07751022799</v>
      </c>
      <c r="K103" s="20">
        <f t="shared" si="4"/>
        <v>130192.07751022799</v>
      </c>
      <c r="L103" s="22"/>
      <c r="M103" s="23"/>
    </row>
  </sheetData>
  <mergeCells count="43">
    <mergeCell ref="L95:L97"/>
    <mergeCell ref="M95:M97"/>
    <mergeCell ref="L98:L100"/>
    <mergeCell ref="M98:M100"/>
    <mergeCell ref="L101:L103"/>
    <mergeCell ref="M101:M103"/>
    <mergeCell ref="L86:L88"/>
    <mergeCell ref="M86:M88"/>
    <mergeCell ref="L89:L91"/>
    <mergeCell ref="M89:M91"/>
    <mergeCell ref="L92:L94"/>
    <mergeCell ref="M92:M94"/>
    <mergeCell ref="L77:L79"/>
    <mergeCell ref="M77:M79"/>
    <mergeCell ref="L80:L82"/>
    <mergeCell ref="M80:M82"/>
    <mergeCell ref="L83:L85"/>
    <mergeCell ref="M83:M85"/>
    <mergeCell ref="L68:L70"/>
    <mergeCell ref="M68:M70"/>
    <mergeCell ref="L71:L73"/>
    <mergeCell ref="M71:M73"/>
    <mergeCell ref="L74:L76"/>
    <mergeCell ref="M74:M76"/>
    <mergeCell ref="L59:L61"/>
    <mergeCell ref="M59:M61"/>
    <mergeCell ref="L62:L64"/>
    <mergeCell ref="M62:M64"/>
    <mergeCell ref="L65:L67"/>
    <mergeCell ref="M65:M67"/>
    <mergeCell ref="L50:L52"/>
    <mergeCell ref="M50:M52"/>
    <mergeCell ref="L53:L55"/>
    <mergeCell ref="M53:M55"/>
    <mergeCell ref="L56:L58"/>
    <mergeCell ref="M56:M58"/>
    <mergeCell ref="L47:L49"/>
    <mergeCell ref="M47:M49"/>
    <mergeCell ref="S7:U8"/>
    <mergeCell ref="L41:L43"/>
    <mergeCell ref="M41:M43"/>
    <mergeCell ref="L44:L46"/>
    <mergeCell ref="M44:M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tetM - plate 1</vt:lpstr>
      <vt:lpstr>tetM - plate 2</vt:lpstr>
      <vt:lpstr>tetM - plate 3</vt:lpstr>
      <vt:lpstr>tetM - plate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dcterms:created xsi:type="dcterms:W3CDTF">2019-06-10T18:26:12Z</dcterms:created>
  <dcterms:modified xsi:type="dcterms:W3CDTF">2021-06-01T17:00:31Z</dcterms:modified>
</cp:coreProperties>
</file>