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C11" i="5"/>
  <c r="C10"/>
  <c r="C9"/>
  <c r="C8"/>
  <c r="C7"/>
  <c r="C6"/>
  <c r="C5"/>
  <c r="C4"/>
  <c r="C3"/>
  <c r="C2"/>
  <c r="D10" i="4"/>
  <c r="E10" s="1"/>
  <c r="D9"/>
  <c r="E9" s="1"/>
  <c r="D8"/>
  <c r="E8" s="1"/>
  <c r="D7"/>
  <c r="C4" i="3"/>
  <c r="R26" i="2"/>
  <c r="R25"/>
  <c r="M25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O27"/>
  <c r="O31"/>
  <c r="O33"/>
  <c r="O26"/>
  <c r="N27"/>
  <c r="N31"/>
  <c r="N33"/>
  <c r="N26"/>
  <c r="K26"/>
  <c r="K27"/>
  <c r="K31"/>
  <c r="K33"/>
  <c r="J27"/>
  <c r="J28"/>
  <c r="K28" s="1"/>
  <c r="N28" s="1"/>
  <c r="O28" s="1"/>
  <c r="J29"/>
  <c r="K29" s="1"/>
  <c r="N29" s="1"/>
  <c r="O29" s="1"/>
  <c r="J30"/>
  <c r="K30" s="1"/>
  <c r="N30" s="1"/>
  <c r="O30" s="1"/>
  <c r="J31"/>
  <c r="J32"/>
  <c r="K32" s="1"/>
  <c r="N32" s="1"/>
  <c r="O32" s="1"/>
  <c r="J33"/>
  <c r="J26"/>
  <c r="E26"/>
  <c r="E29"/>
  <c r="E30"/>
  <c r="E31"/>
  <c r="D28"/>
  <c r="E28" s="1"/>
  <c r="D29"/>
  <c r="D27"/>
  <c r="D31"/>
  <c r="D26"/>
  <c r="F20"/>
  <c r="F19"/>
  <c r="C20"/>
  <c r="D19"/>
  <c r="C19"/>
  <c r="E17"/>
  <c r="D17"/>
  <c r="D12"/>
  <c r="D11"/>
  <c r="D10"/>
  <c r="D9"/>
  <c r="D8"/>
  <c r="D7"/>
  <c r="D6"/>
  <c r="D5"/>
  <c r="D3"/>
  <c r="D4"/>
  <c r="F11" i="1"/>
  <c r="L13"/>
  <c r="H13"/>
  <c r="O11"/>
  <c r="L12"/>
  <c r="L11"/>
  <c r="K11"/>
  <c r="H12"/>
  <c r="H11"/>
  <c r="G11"/>
  <c r="F12"/>
  <c r="D12"/>
  <c r="D11"/>
  <c r="B12"/>
  <c r="B11"/>
</calcChain>
</file>

<file path=xl/sharedStrings.xml><?xml version="1.0" encoding="utf-8"?>
<sst xmlns="http://schemas.openxmlformats.org/spreadsheetml/2006/main" count="73" uniqueCount="53">
  <si>
    <t>mg</t>
  </si>
  <si>
    <t>ABS</t>
  </si>
  <si>
    <t>T1</t>
  </si>
  <si>
    <t>T2</t>
  </si>
  <si>
    <t>Concentración</t>
  </si>
  <si>
    <t>mg/ml</t>
  </si>
  <si>
    <t>C inicial</t>
  </si>
  <si>
    <t>Media</t>
  </si>
  <si>
    <t>mg en el sobrenadante</t>
  </si>
  <si>
    <t>media</t>
  </si>
  <si>
    <t>mg proteínas/g muestra</t>
  </si>
  <si>
    <t>Tubo</t>
  </si>
  <si>
    <t>ABS a 400nm</t>
  </si>
  <si>
    <t>micromol PNF</t>
  </si>
  <si>
    <t>blanco enzima</t>
  </si>
  <si>
    <t>tubo 1</t>
  </si>
  <si>
    <t xml:space="preserve">ABS a 400 nm </t>
  </si>
  <si>
    <t>tubo 1 menos blanco enzima</t>
  </si>
  <si>
    <t>micromol pnf</t>
  </si>
  <si>
    <t>Actividad enzimática</t>
  </si>
  <si>
    <t>Actividad específica</t>
  </si>
  <si>
    <t>Act total</t>
  </si>
  <si>
    <t>Blanco enzima</t>
  </si>
  <si>
    <t>abs</t>
  </si>
  <si>
    <t>práctica 3</t>
  </si>
  <si>
    <t>práctica 4</t>
  </si>
  <si>
    <t>Abs</t>
  </si>
  <si>
    <t>abs-abs enz</t>
  </si>
  <si>
    <t>-</t>
  </si>
  <si>
    <t>%abs</t>
  </si>
  <si>
    <t>pH</t>
  </si>
  <si>
    <t xml:space="preserve">1/[S] </t>
  </si>
  <si>
    <t>Actividad</t>
  </si>
  <si>
    <t>1/ Actividad</t>
  </si>
  <si>
    <t>V max</t>
  </si>
  <si>
    <t>Km</t>
  </si>
  <si>
    <t>[S] microM</t>
  </si>
  <si>
    <t>1/[S]</t>
  </si>
  <si>
    <t>1/V</t>
  </si>
  <si>
    <t>blanco e cont</t>
  </si>
  <si>
    <t>blan e 4</t>
  </si>
  <si>
    <t>blanc e 37</t>
  </si>
  <si>
    <t>blanc e 70</t>
  </si>
  <si>
    <t>tc</t>
  </si>
  <si>
    <t>t4</t>
  </si>
  <si>
    <t>t37</t>
  </si>
  <si>
    <t>t70</t>
  </si>
  <si>
    <t>abs 400</t>
  </si>
  <si>
    <t>abs tubo- abs blanco</t>
  </si>
  <si>
    <t>Hacer grafico de % absorbancia con temperatura</t>
  </si>
  <si>
    <t>temperatura abscisas</t>
  </si>
  <si>
    <t>T</t>
  </si>
  <si>
    <r>
      <t>Tu</t>
    </r>
    <r>
      <rPr>
        <sz val="11"/>
        <color theme="1"/>
        <rFont val="Calibri"/>
        <family val="2"/>
        <scheme val="minor"/>
      </rPr>
      <t>bo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</si>
</sst>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Goudy Old Style"/>
      <family val="1"/>
    </font>
    <font>
      <sz val="12"/>
      <color theme="1"/>
      <name val="Goudy Old Style"/>
      <family val="1"/>
    </font>
    <font>
      <sz val="11"/>
      <color theme="1"/>
      <name val="Goudy Old Style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Recta</a:t>
            </a:r>
            <a:r>
              <a:rPr lang="en-US" baseline="0"/>
              <a:t> patrón de SAB.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32458442694676"/>
          <c:y val="0.165582167900654"/>
          <c:w val="0.81128792040529818"/>
          <c:h val="0.61900826575782508"/>
        </c:manualLayout>
      </c:layout>
      <c:scatterChart>
        <c:scatterStyle val="lineMarker"/>
        <c:ser>
          <c:idx val="0"/>
          <c:order val="0"/>
          <c:tx>
            <c:strRef>
              <c:f>Sheet1!$C$2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0364584148651341E-2"/>
                  <c:y val="0.32397007090531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9.1999999999999998E-2</c:v>
                </c:pt>
                <c:pt idx="1">
                  <c:v>0.215</c:v>
                </c:pt>
                <c:pt idx="2">
                  <c:v>0.46300000000000002</c:v>
                </c:pt>
                <c:pt idx="3">
                  <c:v>0.59199999999999997</c:v>
                </c:pt>
                <c:pt idx="4">
                  <c:v>0.66700000000000004</c:v>
                </c:pt>
                <c:pt idx="5">
                  <c:v>0.82699999999999996</c:v>
                </c:pt>
              </c:numCache>
            </c:numRef>
          </c:yVal>
        </c:ser>
        <c:axId val="152480768"/>
        <c:axId val="152499328"/>
      </c:scatterChart>
      <c:valAx>
        <c:axId val="152480768"/>
        <c:scaling>
          <c:orientation val="minMax"/>
          <c:max val="0.25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_tradnl" sz="1100"/>
                  <a:t>Miligramos</a:t>
                </a:r>
                <a:r>
                  <a:rPr lang="es-ES_tradnl" sz="1100" baseline="0"/>
                  <a:t> de SAB</a:t>
                </a:r>
                <a:endParaRPr lang="es-ES_tradnl" sz="1100"/>
              </a:p>
            </c:rich>
          </c:tx>
          <c:layout/>
        </c:title>
        <c:numFmt formatCode="General" sourceLinked="1"/>
        <c:tickLblPos val="nextTo"/>
        <c:crossAx val="152499328"/>
        <c:crosses val="autoZero"/>
        <c:crossBetween val="midCat"/>
      </c:valAx>
      <c:valAx>
        <c:axId val="15249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ES_tradnl" sz="1100"/>
                  <a:t>Absorbancia</a:t>
                </a:r>
              </a:p>
            </c:rich>
          </c:tx>
          <c:layout>
            <c:manualLayout>
              <c:xMode val="edge"/>
              <c:yMode val="edge"/>
              <c:x val="2.0671834625323088E-2"/>
              <c:y val="0.35283738786383095"/>
            </c:manualLayout>
          </c:layout>
        </c:title>
        <c:numFmt formatCode="General" sourceLinked="1"/>
        <c:tickLblPos val="nextTo"/>
        <c:crossAx val="152480768"/>
        <c:crosses val="autoZero"/>
        <c:crossBetween val="midCat"/>
      </c:valAx>
    </c:plotArea>
    <c:plotVisOnly val="1"/>
  </c:chart>
  <c:txPr>
    <a:bodyPr/>
    <a:lstStyle/>
    <a:p>
      <a:pPr>
        <a:defRPr>
          <a:latin typeface="Goudy Old Style" pitchFamily="18" charset="0"/>
        </a:defRPr>
      </a:pPr>
      <a:endParaRPr lang="es-ES_tradn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>
                <a:latin typeface="Goudy Old Style" pitchFamily="18" charset="0"/>
              </a:rPr>
              <a:t>Recta</a:t>
            </a:r>
            <a:r>
              <a:rPr lang="en-US" baseline="0">
                <a:latin typeface="Goudy Old Style" pitchFamily="18" charset="0"/>
              </a:rPr>
              <a:t> patrón de PNF.</a:t>
            </a:r>
            <a:endParaRPr lang="en-US">
              <a:latin typeface="Goudy Old Style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4156270722082293"/>
          <c:y val="0.15249650896701991"/>
          <c:w val="0.77703788637727278"/>
          <c:h val="0.67033477361290861"/>
        </c:manualLayout>
      </c:layout>
      <c:scatterChart>
        <c:scatterStyle val="lineMarker"/>
        <c:ser>
          <c:idx val="0"/>
          <c:order val="0"/>
          <c:tx>
            <c:strRef>
              <c:f>Sheet2!$C$2</c:f>
              <c:strCache>
                <c:ptCount val="1"/>
                <c:pt idx="0">
                  <c:v>ABS a 400nm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695284391226245E-2"/>
                  <c:y val="0.3150004631773978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  <c:txPr>
                <a:bodyPr/>
                <a:lstStyle/>
                <a:p>
                  <a:pPr>
                    <a:defRPr>
                      <a:latin typeface="Goudy Old Style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Sheet2!$D$3:$D$12</c:f>
              <c:numCache>
                <c:formatCode>General</c:formatCode>
                <c:ptCount val="10"/>
                <c:pt idx="0">
                  <c:v>10.000000000000002</c:v>
                </c:pt>
                <c:pt idx="1">
                  <c:v>20.000000000000004</c:v>
                </c:pt>
                <c:pt idx="2">
                  <c:v>30</c:v>
                </c:pt>
                <c:pt idx="3">
                  <c:v>40.000000000000007</c:v>
                </c:pt>
                <c:pt idx="4">
                  <c:v>50</c:v>
                </c:pt>
                <c:pt idx="5">
                  <c:v>60</c:v>
                </c:pt>
                <c:pt idx="6">
                  <c:v>69.999999999999986</c:v>
                </c:pt>
                <c:pt idx="7">
                  <c:v>80.000000000000014</c:v>
                </c:pt>
                <c:pt idx="8">
                  <c:v>90.000000000000014</c:v>
                </c:pt>
                <c:pt idx="9">
                  <c:v>100</c:v>
                </c:pt>
              </c:numCache>
            </c:numRef>
          </c:xVal>
          <c:yVal>
            <c:numRef>
              <c:f>Sheet2!$C$3:$C$12</c:f>
              <c:numCache>
                <c:formatCode>General</c:formatCode>
                <c:ptCount val="10"/>
                <c:pt idx="0">
                  <c:v>0.109</c:v>
                </c:pt>
                <c:pt idx="1">
                  <c:v>0.17899999999999999</c:v>
                </c:pt>
                <c:pt idx="2">
                  <c:v>0.23799999999999999</c:v>
                </c:pt>
                <c:pt idx="3">
                  <c:v>0.29499999999999998</c:v>
                </c:pt>
                <c:pt idx="4">
                  <c:v>0.33600000000000002</c:v>
                </c:pt>
                <c:pt idx="5">
                  <c:v>0.379</c:v>
                </c:pt>
                <c:pt idx="6">
                  <c:v>0.499</c:v>
                </c:pt>
                <c:pt idx="7">
                  <c:v>0.52200000000000002</c:v>
                </c:pt>
                <c:pt idx="8">
                  <c:v>0.61399999999999999</c:v>
                </c:pt>
                <c:pt idx="9">
                  <c:v>0.65300000000000002</c:v>
                </c:pt>
              </c:numCache>
            </c:numRef>
          </c:yVal>
        </c:ser>
        <c:axId val="153368448"/>
        <c:axId val="153378816"/>
      </c:scatterChart>
      <c:valAx>
        <c:axId val="15336844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 sz="1200">
                    <a:latin typeface="Goudy Old Style" pitchFamily="18" charset="0"/>
                  </a:defRPr>
                </a:pPr>
                <a:r>
                  <a:rPr lang="es-ES_tradnl" sz="1200">
                    <a:latin typeface="Goudy Old Style" pitchFamily="18" charset="0"/>
                  </a:rPr>
                  <a:t>Micromoles</a:t>
                </a:r>
                <a:r>
                  <a:rPr lang="es-ES_tradnl" sz="1200" baseline="0">
                    <a:latin typeface="Goudy Old Style" pitchFamily="18" charset="0"/>
                  </a:rPr>
                  <a:t> de PNF</a:t>
                </a:r>
                <a:endParaRPr lang="es-ES_tradnl" sz="1200">
                  <a:latin typeface="Goudy Old Style" pitchFamily="18" charset="0"/>
                </a:endParaRPr>
              </a:p>
            </c:rich>
          </c:tx>
          <c:layout>
            <c:manualLayout>
              <c:xMode val="edge"/>
              <c:yMode val="edge"/>
              <c:x val="0.37537064684171639"/>
              <c:y val="0.9088380526250388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>
                <a:latin typeface="Goudy Old Style" pitchFamily="18" charset="0"/>
              </a:defRPr>
            </a:pPr>
            <a:endParaRPr lang="es-ES_tradnl"/>
          </a:p>
        </c:txPr>
        <c:crossAx val="153378816"/>
        <c:crosses val="autoZero"/>
        <c:crossBetween val="midCat"/>
      </c:valAx>
      <c:valAx>
        <c:axId val="15337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Goudy Old Style" pitchFamily="18" charset="0"/>
                  </a:defRPr>
                </a:pPr>
                <a:r>
                  <a:rPr lang="en-US" sz="1100">
                    <a:latin typeface="Goudy Old Style" pitchFamily="18" charset="0"/>
                  </a:rPr>
                  <a:t>Absorbancia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Goudy Old Style" pitchFamily="18" charset="0"/>
              </a:defRPr>
            </a:pPr>
            <a:endParaRPr lang="es-ES_tradnl"/>
          </a:p>
        </c:txPr>
        <c:crossAx val="15336844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Sheet2!$F$26:$F$31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Sheet2!$E$26:$E$31</c:f>
              <c:numCache>
                <c:formatCode>General</c:formatCode>
                <c:ptCount val="6"/>
                <c:pt idx="0">
                  <c:v>86.552567237163828</c:v>
                </c:pt>
                <c:pt idx="1">
                  <c:v>100</c:v>
                </c:pt>
                <c:pt idx="2">
                  <c:v>77.401129943502823</c:v>
                </c:pt>
                <c:pt idx="3">
                  <c:v>21.610169491525419</c:v>
                </c:pt>
                <c:pt idx="4">
                  <c:v>0</c:v>
                </c:pt>
                <c:pt idx="5">
                  <c:v>2.5423728813559343</c:v>
                </c:pt>
              </c:numCache>
            </c:numRef>
          </c:yVal>
        </c:ser>
        <c:axId val="153389312"/>
        <c:axId val="153403392"/>
      </c:scatterChart>
      <c:valAx>
        <c:axId val="153389312"/>
        <c:scaling>
          <c:orientation val="minMax"/>
        </c:scaling>
        <c:axPos val="b"/>
        <c:numFmt formatCode="General" sourceLinked="1"/>
        <c:tickLblPos val="nextTo"/>
        <c:crossAx val="153403392"/>
        <c:crosses val="autoZero"/>
        <c:crossBetween val="midCat"/>
      </c:valAx>
      <c:valAx>
        <c:axId val="153403392"/>
        <c:scaling>
          <c:orientation val="minMax"/>
        </c:scaling>
        <c:axPos val="l"/>
        <c:majorGridlines/>
        <c:numFmt formatCode="General" sourceLinked="1"/>
        <c:tickLblPos val="nextTo"/>
        <c:crossAx val="15338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Michaelis-Menten.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Sheet2!$L$26:$L$33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Sheet2!$N$26:$N$33</c:f>
              <c:numCache>
                <c:formatCode>General</c:formatCode>
                <c:ptCount val="8"/>
                <c:pt idx="0">
                  <c:v>3.15</c:v>
                </c:pt>
                <c:pt idx="1">
                  <c:v>4.2833333333333332</c:v>
                </c:pt>
                <c:pt idx="2">
                  <c:v>5.1166666666666654</c:v>
                </c:pt>
                <c:pt idx="3">
                  <c:v>5.6583333333333314</c:v>
                </c:pt>
                <c:pt idx="4">
                  <c:v>5.8666666666666663</c:v>
                </c:pt>
                <c:pt idx="5">
                  <c:v>5.9833333333333325</c:v>
                </c:pt>
                <c:pt idx="6">
                  <c:v>6.0333333333333332</c:v>
                </c:pt>
                <c:pt idx="7">
                  <c:v>6.299999999999998</c:v>
                </c:pt>
              </c:numCache>
            </c:numRef>
          </c:yVal>
        </c:ser>
        <c:axId val="153410560"/>
        <c:axId val="152634112"/>
      </c:scatterChart>
      <c:valAx>
        <c:axId val="153410560"/>
        <c:scaling>
          <c:orientation val="minMax"/>
        </c:scaling>
        <c:axPos val="b"/>
        <c:numFmt formatCode="General" sourceLinked="1"/>
        <c:tickLblPos val="nextTo"/>
        <c:crossAx val="152634112"/>
        <c:crosses val="autoZero"/>
        <c:crossBetween val="midCat"/>
      </c:valAx>
      <c:valAx>
        <c:axId val="152634112"/>
        <c:scaling>
          <c:orientation val="minMax"/>
        </c:scaling>
        <c:axPos val="l"/>
        <c:majorGridlines/>
        <c:numFmt formatCode="General" sourceLinked="1"/>
        <c:tickLblPos val="nextTo"/>
        <c:crossAx val="15341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La Impronunciable.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dPt>
            <c:idx val="0"/>
            <c:marker>
              <c:symbol val="none"/>
            </c:marker>
          </c:dPt>
          <c:trendline>
            <c:trendlineType val="linear"/>
            <c:dispRSqr val="1"/>
            <c:dispEq val="1"/>
            <c:trendlineLbl>
              <c:layout>
                <c:manualLayout>
                  <c:x val="0.41098556430446276"/>
                  <c:y val="-8.3692403032954207E-2"/>
                </c:manualLayout>
              </c:layout>
              <c:numFmt formatCode="General" sourceLinked="0"/>
            </c:trendlineLbl>
          </c:trendline>
          <c:xVal>
            <c:numRef>
              <c:f>Sheet2!$M$25:$M$33</c:f>
              <c:numCache>
                <c:formatCode>General</c:formatCode>
                <c:ptCount val="9"/>
                <c:pt idx="0">
                  <c:v>-7.16674629718108E-3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2E-3</c:v>
                </c:pt>
                <c:pt idx="4">
                  <c:v>1.3333333333333333E-3</c:v>
                </c:pt>
                <c:pt idx="5">
                  <c:v>1E-3</c:v>
                </c:pt>
                <c:pt idx="6">
                  <c:v>8.0000000000000004E-4</c:v>
                </c:pt>
                <c:pt idx="7">
                  <c:v>6.6666666666666664E-4</c:v>
                </c:pt>
                <c:pt idx="8">
                  <c:v>5.0000000000000001E-4</c:v>
                </c:pt>
              </c:numCache>
            </c:numRef>
          </c:xVal>
          <c:yVal>
            <c:numRef>
              <c:f>Sheet2!$O$25:$O$33</c:f>
              <c:numCache>
                <c:formatCode>General</c:formatCode>
                <c:ptCount val="9"/>
                <c:pt idx="0">
                  <c:v>0</c:v>
                </c:pt>
                <c:pt idx="1">
                  <c:v>0.31746031746031744</c:v>
                </c:pt>
                <c:pt idx="2">
                  <c:v>0.23346303501945526</c:v>
                </c:pt>
                <c:pt idx="3">
                  <c:v>0.19543973941368084</c:v>
                </c:pt>
                <c:pt idx="4">
                  <c:v>0.17673048600883659</c:v>
                </c:pt>
                <c:pt idx="5">
                  <c:v>0.17045454545454547</c:v>
                </c:pt>
                <c:pt idx="6">
                  <c:v>0.16713091922005574</c:v>
                </c:pt>
                <c:pt idx="7">
                  <c:v>0.16574585635359115</c:v>
                </c:pt>
                <c:pt idx="8">
                  <c:v>0.15873015873015878</c:v>
                </c:pt>
              </c:numCache>
            </c:numRef>
          </c:yVal>
        </c:ser>
        <c:axId val="152671360"/>
        <c:axId val="152672896"/>
      </c:scatterChart>
      <c:valAx>
        <c:axId val="152671360"/>
        <c:scaling>
          <c:orientation val="minMax"/>
        </c:scaling>
        <c:axPos val="b"/>
        <c:numFmt formatCode="General" sourceLinked="1"/>
        <c:tickLblPos val="nextTo"/>
        <c:crossAx val="152672896"/>
        <c:crosses val="autoZero"/>
        <c:crossBetween val="midCat"/>
      </c:valAx>
      <c:valAx>
        <c:axId val="152672896"/>
        <c:scaling>
          <c:orientation val="minMax"/>
        </c:scaling>
        <c:axPos val="l"/>
        <c:majorGridlines/>
        <c:numFmt formatCode="General" sourceLinked="1"/>
        <c:tickLblPos val="nextTo"/>
        <c:crossAx val="15267136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scatterChart>
        <c:scatterStyle val="lineMarker"/>
        <c:ser>
          <c:idx val="0"/>
          <c:order val="0"/>
          <c:dPt>
            <c:idx val="0"/>
            <c:marker>
              <c:symbol val="none"/>
            </c:marker>
          </c:dPt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2236329833770779"/>
                  <c:y val="0.34635680956547138"/>
                </c:manualLayout>
              </c:layout>
              <c:numFmt formatCode="General" sourceLinked="0"/>
            </c:trendlineLbl>
          </c:trendline>
          <c:xVal>
            <c:numRef>
              <c:f>Sheet3!$C$4:$C$12</c:f>
              <c:numCache>
                <c:formatCode>General</c:formatCode>
                <c:ptCount val="9"/>
                <c:pt idx="0">
                  <c:v>-3.5207823960880194E-2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6.6666666666666602E-3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2.5000000000000001E-3</c:v>
                </c:pt>
              </c:numCache>
            </c:numRef>
          </c:xVal>
          <c:yVal>
            <c:numRef>
              <c:f>Sheet3!$D$4:$D$12</c:f>
              <c:numCache>
                <c:formatCode>General</c:formatCode>
                <c:ptCount val="9"/>
                <c:pt idx="0">
                  <c:v>0</c:v>
                </c:pt>
                <c:pt idx="1">
                  <c:v>0.15590000000000001</c:v>
                </c:pt>
                <c:pt idx="2">
                  <c:v>0.11</c:v>
                </c:pt>
                <c:pt idx="3">
                  <c:v>9.0999999999999998E-2</c:v>
                </c:pt>
                <c:pt idx="4">
                  <c:v>8.6999999999999994E-2</c:v>
                </c:pt>
                <c:pt idx="5">
                  <c:v>8.2000000000000003E-2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0.08</c:v>
                </c:pt>
              </c:numCache>
            </c:numRef>
          </c:yVal>
        </c:ser>
        <c:axId val="153513984"/>
        <c:axId val="153515520"/>
      </c:scatterChart>
      <c:valAx>
        <c:axId val="153513984"/>
        <c:scaling>
          <c:orientation val="minMax"/>
        </c:scaling>
        <c:axPos val="b"/>
        <c:numFmt formatCode="General" sourceLinked="1"/>
        <c:tickLblPos val="nextTo"/>
        <c:crossAx val="153515520"/>
        <c:crosses val="autoZero"/>
        <c:crossBetween val="midCat"/>
      </c:valAx>
      <c:valAx>
        <c:axId val="153515520"/>
        <c:scaling>
          <c:orientation val="minMax"/>
        </c:scaling>
        <c:axPos val="l"/>
        <c:majorGridlines/>
        <c:numFmt formatCode="General" sourceLinked="1"/>
        <c:tickLblPos val="nextTo"/>
        <c:crossAx val="15351398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Sheet4!$F$7:$F$10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37</c:v>
                </c:pt>
                <c:pt idx="3">
                  <c:v>70</c:v>
                </c:pt>
              </c:numCache>
            </c:numRef>
          </c:xVal>
          <c:yVal>
            <c:numRef>
              <c:f>Sheet4!$E$7:$E$10</c:f>
              <c:numCache>
                <c:formatCode>General</c:formatCode>
                <c:ptCount val="4"/>
                <c:pt idx="0">
                  <c:v>100</c:v>
                </c:pt>
                <c:pt idx="1">
                  <c:v>89.784946236559136</c:v>
                </c:pt>
                <c:pt idx="2">
                  <c:v>86.55913978494624</c:v>
                </c:pt>
                <c:pt idx="3">
                  <c:v>2.6881720430107552</c:v>
                </c:pt>
              </c:numCache>
            </c:numRef>
          </c:yVal>
        </c:ser>
        <c:axId val="153425024"/>
        <c:axId val="153426560"/>
      </c:scatterChart>
      <c:valAx>
        <c:axId val="153425024"/>
        <c:scaling>
          <c:orientation val="minMax"/>
        </c:scaling>
        <c:axPos val="b"/>
        <c:numFmt formatCode="General" sourceLinked="1"/>
        <c:tickLblPos val="nextTo"/>
        <c:crossAx val="153426560"/>
        <c:crosses val="autoZero"/>
        <c:crossBetween val="midCat"/>
      </c:valAx>
      <c:valAx>
        <c:axId val="153426560"/>
        <c:scaling>
          <c:orientation val="minMax"/>
        </c:scaling>
        <c:axPos val="l"/>
        <c:majorGridlines/>
        <c:numFmt formatCode="General" sourceLinked="1"/>
        <c:tickLblPos val="nextTo"/>
        <c:crossAx val="15342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12</xdr:row>
      <xdr:rowOff>200024</xdr:rowOff>
    </xdr:from>
    <xdr:to>
      <xdr:col>10</xdr:col>
      <xdr:colOff>276225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114299</xdr:rowOff>
    </xdr:from>
    <xdr:to>
      <xdr:col>12</xdr:col>
      <xdr:colOff>400051</xdr:colOff>
      <xdr:row>17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31</xdr:row>
      <xdr:rowOff>66675</xdr:rowOff>
    </xdr:from>
    <xdr:to>
      <xdr:col>4</xdr:col>
      <xdr:colOff>590550</xdr:colOff>
      <xdr:row>43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33</xdr:row>
      <xdr:rowOff>114300</xdr:rowOff>
    </xdr:from>
    <xdr:to>
      <xdr:col>12</xdr:col>
      <xdr:colOff>209550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1028700</xdr:colOff>
      <xdr:row>33</xdr:row>
      <xdr:rowOff>180975</xdr:rowOff>
    </xdr:from>
    <xdr:to>
      <xdr:col>18</xdr:col>
      <xdr:colOff>19050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5</xdr:row>
      <xdr:rowOff>161924</xdr:rowOff>
    </xdr:from>
    <xdr:to>
      <xdr:col>15</xdr:col>
      <xdr:colOff>390524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200025</xdr:rowOff>
    </xdr:from>
    <xdr:to>
      <xdr:col>14</xdr:col>
      <xdr:colOff>466725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opLeftCell="E8" workbookViewId="0">
      <selection activeCell="L25" sqref="L25"/>
    </sheetView>
  </sheetViews>
  <sheetFormatPr defaultRowHeight="15"/>
  <sheetData>
    <row r="1" spans="1:16" ht="17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25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.25">
      <c r="A3" s="1"/>
      <c r="B3" s="1">
        <v>2.5000000000000001E-2</v>
      </c>
      <c r="C3" s="1">
        <v>9.1999999999999998E-2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.25">
      <c r="A4" s="1"/>
      <c r="B4" s="1">
        <v>0.05</v>
      </c>
      <c r="C4" s="1">
        <v>0.215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.25">
      <c r="A5" s="1"/>
      <c r="B5" s="1">
        <v>0.1</v>
      </c>
      <c r="C5" s="1">
        <v>0.46300000000000002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.25">
      <c r="A6" s="1"/>
      <c r="B6" s="1">
        <v>0.15</v>
      </c>
      <c r="C6" s="1">
        <v>0.59199999999999997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7.25">
      <c r="A7" s="1"/>
      <c r="B7" s="1">
        <v>0.2</v>
      </c>
      <c r="C7" s="1">
        <v>0.66700000000000004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7.25">
      <c r="A8" s="1"/>
      <c r="B8" s="1">
        <v>0.25</v>
      </c>
      <c r="C8" s="1">
        <v>0.82699999999999996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7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7.25">
      <c r="A10" s="1"/>
      <c r="B10" s="1"/>
      <c r="C10" s="1"/>
      <c r="D10" s="1" t="s">
        <v>4</v>
      </c>
      <c r="E10" s="1"/>
      <c r="F10" s="1" t="s">
        <v>6</v>
      </c>
      <c r="G10" s="1" t="s">
        <v>7</v>
      </c>
      <c r="H10" s="1" t="s">
        <v>8</v>
      </c>
      <c r="I10" s="1"/>
      <c r="J10" s="1"/>
      <c r="K10" s="1" t="s">
        <v>9</v>
      </c>
      <c r="L10" s="1" t="s">
        <v>10</v>
      </c>
      <c r="M10" s="1"/>
      <c r="N10" s="1"/>
      <c r="O10" s="1" t="s">
        <v>7</v>
      </c>
      <c r="P10" s="1"/>
    </row>
    <row r="11" spans="1:16" ht="17.25">
      <c r="A11" s="1" t="s">
        <v>2</v>
      </c>
      <c r="B11" s="1">
        <f>(0.581-0.07)/3.14</f>
        <v>0.16273885350318468</v>
      </c>
      <c r="C11" s="1" t="s">
        <v>0</v>
      </c>
      <c r="D11" s="1">
        <f>0.1627/0.4</f>
        <v>0.40675</v>
      </c>
      <c r="E11" s="1" t="s">
        <v>5</v>
      </c>
      <c r="F11" s="1">
        <f>D11*10</f>
        <v>4.0674999999999999</v>
      </c>
      <c r="G11" s="1">
        <f>AVERAGE(F11:F12)</f>
        <v>4.064004777070064</v>
      </c>
      <c r="H11" s="1">
        <f>F11*150</f>
        <v>610.125</v>
      </c>
      <c r="I11" s="1"/>
      <c r="J11" s="1"/>
      <c r="K11" s="1">
        <f>AVERAGE(H11:H12)</f>
        <v>609.60071656050957</v>
      </c>
      <c r="L11" s="1">
        <f>H11/13</f>
        <v>46.932692307692307</v>
      </c>
      <c r="M11" s="1"/>
      <c r="N11" s="1"/>
      <c r="O11" s="1">
        <f>AVERAGE(L11:L12)</f>
        <v>46.892362812346889</v>
      </c>
      <c r="P11" s="1"/>
    </row>
    <row r="12" spans="1:16" ht="17.25">
      <c r="A12" s="1" t="s">
        <v>3</v>
      </c>
      <c r="B12" s="1">
        <f>(0.325-0.07)/3.14</f>
        <v>8.1210191082802544E-2</v>
      </c>
      <c r="C12" s="1" t="s">
        <v>0</v>
      </c>
      <c r="D12" s="1">
        <f>B12/0.4</f>
        <v>0.20302547770700635</v>
      </c>
      <c r="E12" s="1" t="s">
        <v>5</v>
      </c>
      <c r="F12" s="1">
        <f>D12*20</f>
        <v>4.0605095541401273</v>
      </c>
      <c r="G12" s="1"/>
      <c r="H12" s="1">
        <f>F12*150</f>
        <v>609.07643312101914</v>
      </c>
      <c r="I12" s="1"/>
      <c r="J12" s="1"/>
      <c r="K12" s="1"/>
      <c r="L12" s="1">
        <f>H12/13</f>
        <v>46.852033317001471</v>
      </c>
      <c r="M12" s="1"/>
      <c r="N12" s="1"/>
      <c r="O12" s="1"/>
      <c r="P12" s="1"/>
    </row>
    <row r="13" spans="1:16" ht="17.25">
      <c r="A13" s="1"/>
      <c r="B13" s="1"/>
      <c r="C13" s="1"/>
      <c r="D13" s="1"/>
      <c r="E13" s="1"/>
      <c r="F13" s="1"/>
      <c r="G13" s="1"/>
      <c r="H13" s="1">
        <f>G11*150</f>
        <v>609.60071656050957</v>
      </c>
      <c r="I13" s="1"/>
      <c r="J13" s="1"/>
      <c r="K13" s="1"/>
      <c r="L13" s="1">
        <f>H13/13</f>
        <v>46.892362812346889</v>
      </c>
      <c r="M13" s="1"/>
      <c r="N13" s="1"/>
      <c r="O13" s="1"/>
      <c r="P13" s="1"/>
    </row>
    <row r="14" spans="1:16" ht="17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7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7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7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7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7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7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7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7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7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7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7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5"/>
  <sheetViews>
    <sheetView tabSelected="1" topLeftCell="A25" workbookViewId="0">
      <selection activeCell="U29" sqref="U29"/>
    </sheetView>
  </sheetViews>
  <sheetFormatPr defaultRowHeight="15"/>
  <cols>
    <col min="2" max="2" width="17.28515625" customWidth="1"/>
    <col min="3" max="3" width="14.85546875" bestFit="1" customWidth="1"/>
    <col min="4" max="4" width="28.140625" customWidth="1"/>
    <col min="8" max="8" width="18.5703125" customWidth="1"/>
    <col min="10" max="10" width="12.5703125" customWidth="1"/>
    <col min="11" max="11" width="15.7109375" customWidth="1"/>
    <col min="12" max="12" width="14.5703125" customWidth="1"/>
    <col min="14" max="14" width="13.140625" customWidth="1"/>
  </cols>
  <sheetData>
    <row r="1" spans="1:14" ht="17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7.25">
      <c r="A2" s="1"/>
      <c r="B2" s="1" t="s">
        <v>11</v>
      </c>
      <c r="C2" s="1" t="s">
        <v>12</v>
      </c>
      <c r="D2" s="1" t="s">
        <v>13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7.25">
      <c r="A3" s="1"/>
      <c r="B3" s="1">
        <v>1</v>
      </c>
      <c r="C3" s="1">
        <v>0.109</v>
      </c>
      <c r="D3" s="1">
        <f>0.1*0.1*1000</f>
        <v>10.000000000000002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7.25">
      <c r="A4" s="1"/>
      <c r="B4" s="1">
        <v>2</v>
      </c>
      <c r="C4" s="1">
        <v>0.17899999999999999</v>
      </c>
      <c r="D4" s="1">
        <f>0.2*0.1*1000</f>
        <v>20.000000000000004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7.25">
      <c r="A5" s="1"/>
      <c r="B5" s="1">
        <v>3</v>
      </c>
      <c r="C5" s="1">
        <v>0.23799999999999999</v>
      </c>
      <c r="D5" s="1">
        <f>0.3*0.1*1000</f>
        <v>30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7.25">
      <c r="A6" s="1"/>
      <c r="B6" s="1">
        <v>4</v>
      </c>
      <c r="C6" s="1">
        <v>0.29499999999999998</v>
      </c>
      <c r="D6" s="1">
        <f>0.4*0.1*1000</f>
        <v>40.000000000000007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7.25">
      <c r="A7" s="1"/>
      <c r="B7" s="1">
        <v>5</v>
      </c>
      <c r="C7" s="1">
        <v>0.33600000000000002</v>
      </c>
      <c r="D7" s="1">
        <f>0.5*0.1*1000</f>
        <v>50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7.25">
      <c r="A8" s="1"/>
      <c r="B8" s="1">
        <v>6</v>
      </c>
      <c r="C8" s="1">
        <v>0.379</v>
      </c>
      <c r="D8" s="1">
        <f>0.6*0.1*1000</f>
        <v>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7.25">
      <c r="A9" s="1"/>
      <c r="B9" s="1">
        <v>7</v>
      </c>
      <c r="C9" s="1">
        <v>0.499</v>
      </c>
      <c r="D9" s="1">
        <f>0.7*0.1*1000</f>
        <v>69.999999999999986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7.25">
      <c r="A10" s="1"/>
      <c r="B10" s="1">
        <v>8</v>
      </c>
      <c r="C10" s="1">
        <v>0.52200000000000002</v>
      </c>
      <c r="D10" s="1">
        <f>0.8*0.1*1000</f>
        <v>80.000000000000014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7.25">
      <c r="A11" s="1"/>
      <c r="B11" s="1">
        <v>9</v>
      </c>
      <c r="C11" s="1">
        <v>0.61399999999999999</v>
      </c>
      <c r="D11" s="1">
        <f>0.9*0.1*1000</f>
        <v>90.000000000000014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7.25">
      <c r="A12" s="1"/>
      <c r="B12" s="1">
        <v>10</v>
      </c>
      <c r="C12" s="1">
        <v>0.65300000000000002</v>
      </c>
      <c r="D12" s="1">
        <f>1*0.1*1000</f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7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7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7.25">
      <c r="A15" s="1"/>
      <c r="C15" s="1" t="s">
        <v>16</v>
      </c>
      <c r="D15" s="1" t="s">
        <v>17</v>
      </c>
      <c r="E15" s="1" t="s">
        <v>18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ht="17.25">
      <c r="A16" s="1"/>
      <c r="B16" s="1" t="s">
        <v>14</v>
      </c>
      <c r="C16" s="1">
        <v>0.21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9" ht="17.25">
      <c r="A17" s="1"/>
      <c r="B17" s="1" t="s">
        <v>15</v>
      </c>
      <c r="C17" s="1">
        <v>0.57999999999999996</v>
      </c>
      <c r="D17" s="1">
        <f>C17-C16</f>
        <v>0.37</v>
      </c>
      <c r="E17" s="1">
        <f>(D17-0.048)/0.006</f>
        <v>53.666666666666664</v>
      </c>
      <c r="F17" s="1"/>
      <c r="G17" s="1"/>
      <c r="H17" s="1"/>
      <c r="I17" s="1"/>
      <c r="J17" s="1"/>
      <c r="K17" s="1"/>
      <c r="L17" s="1"/>
      <c r="M17" s="1"/>
      <c r="N17" s="1"/>
    </row>
    <row r="18" spans="1:19" ht="17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9" ht="17.25">
      <c r="A19" s="1"/>
      <c r="B19" s="1" t="s">
        <v>19</v>
      </c>
      <c r="C19" s="1">
        <f>E17/(20*0.3)</f>
        <v>8.9444444444444446</v>
      </c>
      <c r="D19" s="1">
        <f>C19*3</f>
        <v>26.833333333333336</v>
      </c>
      <c r="E19" s="1" t="s">
        <v>21</v>
      </c>
      <c r="F19" s="1">
        <f>D19*150</f>
        <v>4025.0000000000005</v>
      </c>
      <c r="G19" s="1"/>
      <c r="H19" s="1"/>
      <c r="I19" s="1"/>
      <c r="J19" s="1"/>
      <c r="K19" s="1"/>
      <c r="L19" s="1"/>
      <c r="M19" s="1"/>
      <c r="N19" s="1"/>
    </row>
    <row r="20" spans="1:19" ht="17.25">
      <c r="A20" s="1"/>
      <c r="B20" s="1" t="s">
        <v>20</v>
      </c>
      <c r="C20" s="1">
        <f>D19/4.064</f>
        <v>6.6026902887139114</v>
      </c>
      <c r="D20" s="1"/>
      <c r="E20" s="1" t="s">
        <v>21</v>
      </c>
      <c r="F20" s="1">
        <f>C20*609.6</f>
        <v>4025.0000000000005</v>
      </c>
      <c r="G20" s="1"/>
      <c r="H20" s="1"/>
      <c r="I20" s="1"/>
      <c r="J20" s="1"/>
      <c r="K20" s="1"/>
      <c r="L20" s="1"/>
      <c r="M20" s="1"/>
      <c r="N20" s="1"/>
    </row>
    <row r="21" spans="1:19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9" ht="17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9" ht="17.25">
      <c r="A23" s="1"/>
      <c r="B23" s="1" t="s">
        <v>24</v>
      </c>
      <c r="C23" s="1"/>
      <c r="D23" s="1"/>
      <c r="E23" s="1"/>
      <c r="F23" s="1"/>
      <c r="G23" s="1"/>
      <c r="H23" s="1" t="s">
        <v>25</v>
      </c>
      <c r="I23" s="1"/>
      <c r="J23" s="1"/>
      <c r="K23" s="1"/>
      <c r="L23" s="1"/>
      <c r="M23" s="1"/>
      <c r="N23" s="1"/>
    </row>
    <row r="24" spans="1:19" ht="17.25">
      <c r="A24" s="1"/>
      <c r="B24" s="1"/>
      <c r="C24" s="1" t="s">
        <v>23</v>
      </c>
      <c r="D24" s="1" t="s">
        <v>27</v>
      </c>
      <c r="E24" s="1" t="s">
        <v>29</v>
      </c>
      <c r="F24" s="1" t="s">
        <v>30</v>
      </c>
      <c r="G24" s="1"/>
      <c r="H24" s="1"/>
      <c r="I24" s="1" t="s">
        <v>26</v>
      </c>
      <c r="J24" s="1" t="s">
        <v>27</v>
      </c>
      <c r="K24" s="1" t="s">
        <v>13</v>
      </c>
      <c r="L24" s="1" t="s">
        <v>36</v>
      </c>
      <c r="M24" s="1" t="s">
        <v>31</v>
      </c>
      <c r="N24" s="1" t="s">
        <v>32</v>
      </c>
      <c r="O24" s="1" t="s">
        <v>33</v>
      </c>
      <c r="P24" s="2"/>
      <c r="Q24" s="2"/>
      <c r="R24" s="2"/>
      <c r="S24" s="2"/>
    </row>
    <row r="25" spans="1:19" ht="17.25">
      <c r="A25" s="1"/>
      <c r="B25" s="1" t="s">
        <v>22</v>
      </c>
      <c r="C25" s="1">
        <v>0.21</v>
      </c>
      <c r="D25" s="1" t="s">
        <v>28</v>
      </c>
      <c r="E25" s="1"/>
      <c r="F25" s="1"/>
      <c r="G25" s="1"/>
      <c r="H25" s="1" t="s">
        <v>22</v>
      </c>
      <c r="I25" s="1">
        <v>0.33800000000000002</v>
      </c>
      <c r="J25" s="1"/>
      <c r="K25" s="1"/>
      <c r="L25" s="1"/>
      <c r="M25" s="1">
        <f>(-0.15)/20.93</f>
        <v>-7.16674629718108E-3</v>
      </c>
      <c r="N25" s="1"/>
      <c r="O25" s="2">
        <v>0</v>
      </c>
      <c r="P25" s="2"/>
      <c r="Q25" s="2" t="s">
        <v>34</v>
      </c>
      <c r="R25" s="2">
        <f>1/0.15</f>
        <v>6.666666666666667</v>
      </c>
      <c r="S25" s="2"/>
    </row>
    <row r="26" spans="1:19" ht="17.25">
      <c r="A26" s="1"/>
      <c r="B26" s="1">
        <v>1</v>
      </c>
      <c r="C26" s="1">
        <v>0.91800000000000004</v>
      </c>
      <c r="D26" s="1">
        <f>C26-$C$25</f>
        <v>0.70800000000000007</v>
      </c>
      <c r="E26" s="1">
        <f>E27*D26/D27</f>
        <v>86.552567237163828</v>
      </c>
      <c r="F26" s="1">
        <v>3</v>
      </c>
      <c r="G26" s="1"/>
      <c r="H26" s="1">
        <v>1</v>
      </c>
      <c r="I26" s="1">
        <v>0.76400000000000001</v>
      </c>
      <c r="J26" s="1">
        <f>I26-$I$25</f>
        <v>0.42599999999999999</v>
      </c>
      <c r="K26" s="1">
        <f>(J26-0.048)/0.006</f>
        <v>63</v>
      </c>
      <c r="L26" s="1">
        <f>0.025*5*1000</f>
        <v>125</v>
      </c>
      <c r="M26" s="1">
        <f>1/L26</f>
        <v>8.0000000000000002E-3</v>
      </c>
      <c r="N26" s="1">
        <f>K26/20</f>
        <v>3.15</v>
      </c>
      <c r="O26" s="2">
        <f>1/N26</f>
        <v>0.31746031746031744</v>
      </c>
      <c r="P26" s="2"/>
      <c r="Q26" s="2" t="s">
        <v>35</v>
      </c>
      <c r="R26" s="2">
        <f>R25*20.94</f>
        <v>139.60000000000002</v>
      </c>
      <c r="S26" s="2"/>
    </row>
    <row r="27" spans="1:19" ht="17.25">
      <c r="A27" s="1"/>
      <c r="B27" s="1">
        <v>2</v>
      </c>
      <c r="C27" s="1">
        <v>1.028</v>
      </c>
      <c r="D27" s="1">
        <f t="shared" ref="D27:D31" si="0">C27-$C$25</f>
        <v>0.81800000000000006</v>
      </c>
      <c r="E27" s="1">
        <v>100</v>
      </c>
      <c r="F27" s="1">
        <v>4</v>
      </c>
      <c r="G27" s="1"/>
      <c r="H27" s="1">
        <v>2</v>
      </c>
      <c r="I27" s="1">
        <v>0.9</v>
      </c>
      <c r="J27" s="1">
        <f t="shared" ref="J27:J33" si="1">I27-$I$25</f>
        <v>0.56200000000000006</v>
      </c>
      <c r="K27" s="1">
        <f t="shared" ref="K27:K33" si="2">(J27-0.048)/0.006</f>
        <v>85.666666666666671</v>
      </c>
      <c r="L27" s="1">
        <f>0.05*5*1000</f>
        <v>250</v>
      </c>
      <c r="M27" s="1">
        <f t="shared" ref="M27:M33" si="3">1/L27</f>
        <v>4.0000000000000001E-3</v>
      </c>
      <c r="N27" s="1">
        <f t="shared" ref="N27:N33" si="4">K27/20</f>
        <v>4.2833333333333332</v>
      </c>
      <c r="O27" s="2">
        <f t="shared" ref="O27:O33" si="5">1/N27</f>
        <v>0.23346303501945526</v>
      </c>
      <c r="P27" s="2"/>
      <c r="Q27" s="2"/>
      <c r="R27" s="2"/>
      <c r="S27" s="2"/>
    </row>
    <row r="28" spans="1:19" ht="17.25">
      <c r="B28" s="1">
        <v>3</v>
      </c>
      <c r="C28" s="1">
        <v>0.75800000000000001</v>
      </c>
      <c r="D28" s="1">
        <f>C28-$C$25</f>
        <v>0.54800000000000004</v>
      </c>
      <c r="E28" s="1">
        <f>$E$27*D28/$D$26</f>
        <v>77.401129943502823</v>
      </c>
      <c r="F28" s="1">
        <v>5</v>
      </c>
      <c r="G28" s="1"/>
      <c r="H28" s="1">
        <v>3</v>
      </c>
      <c r="I28" s="1">
        <v>1</v>
      </c>
      <c r="J28" s="1">
        <f t="shared" si="1"/>
        <v>0.66199999999999992</v>
      </c>
      <c r="K28" s="1">
        <f t="shared" si="2"/>
        <v>102.33333333333331</v>
      </c>
      <c r="L28" s="1">
        <f>0.1*5000</f>
        <v>500</v>
      </c>
      <c r="M28" s="1">
        <f t="shared" si="3"/>
        <v>2E-3</v>
      </c>
      <c r="N28" s="1">
        <f t="shared" si="4"/>
        <v>5.1166666666666654</v>
      </c>
      <c r="O28" s="2">
        <f t="shared" si="5"/>
        <v>0.19543973941368084</v>
      </c>
      <c r="P28" s="2"/>
      <c r="Q28" s="2"/>
      <c r="R28" s="2"/>
      <c r="S28" s="2"/>
    </row>
    <row r="29" spans="1:19" ht="17.25">
      <c r="B29" s="1">
        <v>4</v>
      </c>
      <c r="C29" s="1">
        <v>0.36299999999999999</v>
      </c>
      <c r="D29" s="1">
        <f>C29-$C$25</f>
        <v>0.153</v>
      </c>
      <c r="E29" s="1">
        <f t="shared" ref="E29:E31" si="6">$E$27*D29/$D$26</f>
        <v>21.610169491525419</v>
      </c>
      <c r="F29" s="1">
        <v>6</v>
      </c>
      <c r="G29" s="1"/>
      <c r="H29" s="1">
        <v>4</v>
      </c>
      <c r="I29" s="1">
        <v>1.0649999999999999</v>
      </c>
      <c r="J29" s="1">
        <f t="shared" si="1"/>
        <v>0.72699999999999987</v>
      </c>
      <c r="K29" s="1">
        <f t="shared" si="2"/>
        <v>113.16666666666663</v>
      </c>
      <c r="L29" s="1">
        <f>0.15*5000</f>
        <v>750</v>
      </c>
      <c r="M29" s="1">
        <f t="shared" si="3"/>
        <v>1.3333333333333333E-3</v>
      </c>
      <c r="N29" s="1">
        <f t="shared" si="4"/>
        <v>5.6583333333333314</v>
      </c>
      <c r="O29" s="2">
        <f t="shared" si="5"/>
        <v>0.17673048600883659</v>
      </c>
      <c r="P29" s="2"/>
      <c r="Q29" s="2"/>
      <c r="R29" s="2"/>
      <c r="S29" s="2"/>
    </row>
    <row r="30" spans="1:19" ht="17.25">
      <c r="B30" s="1">
        <v>5</v>
      </c>
      <c r="C30" s="1">
        <v>0.2</v>
      </c>
      <c r="D30" s="1">
        <v>0</v>
      </c>
      <c r="E30" s="1">
        <f t="shared" si="6"/>
        <v>0</v>
      </c>
      <c r="F30" s="1">
        <v>7</v>
      </c>
      <c r="G30" s="1"/>
      <c r="H30" s="1">
        <v>5</v>
      </c>
      <c r="I30" s="1">
        <v>1.0900000000000001</v>
      </c>
      <c r="J30" s="1">
        <f t="shared" si="1"/>
        <v>0.752</v>
      </c>
      <c r="K30" s="1">
        <f t="shared" si="2"/>
        <v>117.33333333333333</v>
      </c>
      <c r="L30" s="1">
        <f>0.2*5000</f>
        <v>1000</v>
      </c>
      <c r="M30" s="1">
        <f t="shared" si="3"/>
        <v>1E-3</v>
      </c>
      <c r="N30" s="1">
        <f t="shared" si="4"/>
        <v>5.8666666666666663</v>
      </c>
      <c r="O30" s="2">
        <f t="shared" si="5"/>
        <v>0.17045454545454547</v>
      </c>
      <c r="P30" s="2"/>
      <c r="Q30" s="2"/>
      <c r="R30" s="2"/>
      <c r="S30" s="2"/>
    </row>
    <row r="31" spans="1:19" ht="17.25">
      <c r="B31" s="1">
        <v>6</v>
      </c>
      <c r="C31" s="1">
        <v>0.22800000000000001</v>
      </c>
      <c r="D31" s="1">
        <f t="shared" si="0"/>
        <v>1.8000000000000016E-2</v>
      </c>
      <c r="E31" s="1">
        <f t="shared" si="6"/>
        <v>2.5423728813559343</v>
      </c>
      <c r="F31" s="1">
        <v>8</v>
      </c>
      <c r="G31" s="1"/>
      <c r="H31" s="1">
        <v>6</v>
      </c>
      <c r="I31" s="1">
        <v>1.1040000000000001</v>
      </c>
      <c r="J31" s="1">
        <f t="shared" si="1"/>
        <v>0.76600000000000001</v>
      </c>
      <c r="K31" s="1">
        <f t="shared" si="2"/>
        <v>119.66666666666666</v>
      </c>
      <c r="L31" s="1">
        <f>0.25*5000</f>
        <v>1250</v>
      </c>
      <c r="M31" s="1">
        <f t="shared" si="3"/>
        <v>8.0000000000000004E-4</v>
      </c>
      <c r="N31" s="1">
        <f t="shared" si="4"/>
        <v>5.9833333333333325</v>
      </c>
      <c r="O31" s="2">
        <f t="shared" si="5"/>
        <v>0.16713091922005574</v>
      </c>
      <c r="P31" s="2"/>
      <c r="Q31" s="2"/>
      <c r="R31" s="2"/>
      <c r="S31" s="2"/>
    </row>
    <row r="32" spans="1:19" ht="17.25">
      <c r="B32" s="1"/>
      <c r="C32" s="1"/>
      <c r="D32" s="1"/>
      <c r="E32" s="1"/>
      <c r="F32" s="1"/>
      <c r="G32" s="1"/>
      <c r="H32" s="1">
        <v>7</v>
      </c>
      <c r="I32" s="1">
        <v>1.1100000000000001</v>
      </c>
      <c r="J32" s="1">
        <f t="shared" si="1"/>
        <v>0.77200000000000002</v>
      </c>
      <c r="K32" s="1">
        <f t="shared" si="2"/>
        <v>120.66666666666666</v>
      </c>
      <c r="L32" s="1">
        <f>0.3*5000</f>
        <v>1500</v>
      </c>
      <c r="M32" s="1">
        <f t="shared" si="3"/>
        <v>6.6666666666666664E-4</v>
      </c>
      <c r="N32" s="1">
        <f t="shared" si="4"/>
        <v>6.0333333333333332</v>
      </c>
      <c r="O32" s="2">
        <f t="shared" si="5"/>
        <v>0.16574585635359115</v>
      </c>
      <c r="P32" s="2"/>
      <c r="Q32" s="2"/>
      <c r="R32" s="2"/>
      <c r="S32" s="2"/>
    </row>
    <row r="33" spans="2:19" ht="17.25">
      <c r="B33" s="1"/>
      <c r="C33" s="1"/>
      <c r="D33" s="1"/>
      <c r="E33" s="1"/>
      <c r="F33" s="1"/>
      <c r="G33" s="1"/>
      <c r="H33" s="1">
        <v>8</v>
      </c>
      <c r="I33" s="1">
        <v>1.1419999999999999</v>
      </c>
      <c r="J33" s="1">
        <f t="shared" si="1"/>
        <v>0.80399999999999983</v>
      </c>
      <c r="K33" s="1">
        <f t="shared" si="2"/>
        <v>125.99999999999996</v>
      </c>
      <c r="L33" s="1">
        <f>0.4*5000</f>
        <v>2000</v>
      </c>
      <c r="M33" s="1">
        <f t="shared" si="3"/>
        <v>5.0000000000000001E-4</v>
      </c>
      <c r="N33" s="1">
        <f t="shared" si="4"/>
        <v>6.299999999999998</v>
      </c>
      <c r="O33" s="2">
        <f t="shared" si="5"/>
        <v>0.15873015873015878</v>
      </c>
      <c r="P33" s="2"/>
      <c r="Q33" s="2"/>
      <c r="R33" s="2"/>
      <c r="S33" s="2"/>
    </row>
    <row r="34" spans="2:19" ht="17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9" ht="17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9" ht="17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9" ht="17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9" ht="17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9" ht="17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9" ht="17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9" ht="17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9" ht="17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9" ht="17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9" ht="17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9" ht="17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9" ht="17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9" ht="17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9" ht="17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ht="17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ht="17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7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ht="17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ht="17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ht="17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ht="17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ht="17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ht="17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ht="17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ht="17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ht="17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ht="17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ht="17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ht="17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ht="17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ht="17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ht="17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ht="17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ht="17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ht="17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ht="17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ht="17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ht="17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ht="17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ht="17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ht="17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</sheetData>
  <pageMargins left="0.7" right="0.7" top="0.75" bottom="0.75" header="0.3" footer="0.3"/>
  <pageSetup paperSize="9" orientation="portrait" horizontalDpi="360" verticalDpi="360" r:id="rId1"/>
  <ignoredErrors>
    <ignoredError sqref="N26:N3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2"/>
  <sheetViews>
    <sheetView workbookViewId="0">
      <selection activeCell="C3" sqref="C3:D12"/>
    </sheetView>
  </sheetViews>
  <sheetFormatPr defaultRowHeight="15"/>
  <sheetData>
    <row r="3" spans="2:4">
      <c r="C3" t="s">
        <v>37</v>
      </c>
      <c r="D3" t="s">
        <v>38</v>
      </c>
    </row>
    <row r="4" spans="2:4">
      <c r="B4">
        <v>0</v>
      </c>
      <c r="C4">
        <f>(-0.072)/2.045</f>
        <v>-3.5207823960880194E-2</v>
      </c>
      <c r="D4">
        <v>0</v>
      </c>
    </row>
    <row r="5" spans="2:4">
      <c r="B5">
        <v>1</v>
      </c>
      <c r="C5">
        <v>0.04</v>
      </c>
      <c r="D5">
        <v>0.15590000000000001</v>
      </c>
    </row>
    <row r="6" spans="2:4">
      <c r="B6">
        <v>2</v>
      </c>
      <c r="C6">
        <v>0.02</v>
      </c>
      <c r="D6">
        <v>0.11</v>
      </c>
    </row>
    <row r="7" spans="2:4">
      <c r="B7">
        <v>3</v>
      </c>
      <c r="C7">
        <v>0.01</v>
      </c>
      <c r="D7">
        <v>9.0999999999999998E-2</v>
      </c>
    </row>
    <row r="8" spans="2:4">
      <c r="B8">
        <v>4</v>
      </c>
      <c r="C8">
        <v>6.6666666666666602E-3</v>
      </c>
      <c r="D8">
        <v>8.6999999999999994E-2</v>
      </c>
    </row>
    <row r="9" spans="2:4">
      <c r="B9">
        <v>5</v>
      </c>
      <c r="C9">
        <v>5.0000000000000001E-3</v>
      </c>
      <c r="D9">
        <v>8.2000000000000003E-2</v>
      </c>
    </row>
    <row r="10" spans="2:4">
      <c r="B10">
        <v>6</v>
      </c>
      <c r="C10">
        <v>4.0000000000000001E-3</v>
      </c>
      <c r="D10">
        <v>0.08</v>
      </c>
    </row>
    <row r="11" spans="2:4">
      <c r="B11">
        <v>7</v>
      </c>
      <c r="C11">
        <v>3.0000000000000001E-3</v>
      </c>
      <c r="D11">
        <v>7.9000000000000001E-2</v>
      </c>
    </row>
    <row r="12" spans="2:4">
      <c r="B12">
        <v>8</v>
      </c>
      <c r="C12">
        <v>2.5000000000000001E-3</v>
      </c>
      <c r="D12">
        <v>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E7" sqref="E7:F10"/>
    </sheetView>
  </sheetViews>
  <sheetFormatPr defaultRowHeight="15"/>
  <cols>
    <col min="2" max="2" width="13.42578125" customWidth="1"/>
    <col min="4" max="4" width="19.5703125" customWidth="1"/>
  </cols>
  <sheetData>
    <row r="1" spans="1:17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7" ht="16.5">
      <c r="A2" s="2"/>
      <c r="B2" s="2" t="s">
        <v>11</v>
      </c>
      <c r="C2" s="2" t="s">
        <v>47</v>
      </c>
      <c r="D2" s="2" t="s">
        <v>48</v>
      </c>
      <c r="E2" s="2" t="s">
        <v>29</v>
      </c>
      <c r="F2" s="2" t="s">
        <v>51</v>
      </c>
      <c r="G2" s="2"/>
      <c r="H2" s="2"/>
      <c r="I2" s="2"/>
      <c r="J2" s="2"/>
      <c r="K2" s="2"/>
      <c r="L2" s="2"/>
      <c r="M2" s="2"/>
    </row>
    <row r="3" spans="1:17" ht="16.5">
      <c r="A3" s="2"/>
      <c r="B3" s="2" t="s">
        <v>39</v>
      </c>
      <c r="C3" s="2">
        <v>0.13200000000000001</v>
      </c>
      <c r="E3" s="2"/>
      <c r="F3" s="2"/>
      <c r="G3" s="2"/>
      <c r="H3" s="2"/>
      <c r="I3" s="2"/>
      <c r="J3" s="2"/>
      <c r="K3" s="2"/>
      <c r="L3" s="2"/>
      <c r="M3" s="2"/>
    </row>
    <row r="4" spans="1:17" ht="16.5">
      <c r="A4" s="2"/>
      <c r="B4" s="2" t="s">
        <v>40</v>
      </c>
      <c r="C4" s="2">
        <v>0.161</v>
      </c>
      <c r="E4" s="2"/>
      <c r="F4" s="2"/>
      <c r="G4" s="2"/>
      <c r="H4" s="2"/>
      <c r="I4" s="2"/>
      <c r="J4" s="2"/>
      <c r="K4" s="2"/>
      <c r="L4" s="2"/>
      <c r="M4" s="2"/>
    </row>
    <row r="5" spans="1:17" ht="16.5">
      <c r="A5" s="2"/>
      <c r="B5" s="2" t="s">
        <v>41</v>
      </c>
      <c r="C5" s="2">
        <v>0.158</v>
      </c>
      <c r="E5" s="2"/>
      <c r="F5" s="2"/>
      <c r="G5" s="2"/>
      <c r="H5" s="2"/>
      <c r="I5" s="2"/>
      <c r="J5" s="2"/>
      <c r="K5" s="2"/>
      <c r="L5" s="2" t="s">
        <v>49</v>
      </c>
      <c r="M5" s="2"/>
      <c r="Q5" t="s">
        <v>50</v>
      </c>
    </row>
    <row r="6" spans="1:17" ht="16.5">
      <c r="A6" s="2"/>
      <c r="B6" s="2" t="s">
        <v>42</v>
      </c>
      <c r="C6" s="2">
        <v>0.29599999999999999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7" ht="16.5">
      <c r="A7" s="2"/>
      <c r="B7" s="2" t="s">
        <v>43</v>
      </c>
      <c r="C7" s="2">
        <v>0.318</v>
      </c>
      <c r="D7" s="2">
        <f>C7-C3</f>
        <v>0.186</v>
      </c>
      <c r="E7" s="2">
        <v>100</v>
      </c>
      <c r="F7" s="2">
        <v>20</v>
      </c>
      <c r="G7" s="2"/>
      <c r="H7" s="2"/>
      <c r="I7" s="2"/>
      <c r="J7" s="2"/>
      <c r="K7" s="2"/>
      <c r="L7" s="2"/>
      <c r="M7" s="2"/>
    </row>
    <row r="8" spans="1:17" ht="16.5">
      <c r="A8" s="2"/>
      <c r="B8" s="2" t="s">
        <v>44</v>
      </c>
      <c r="C8" s="2">
        <v>0.32800000000000001</v>
      </c>
      <c r="D8" s="2">
        <f>C8-C4</f>
        <v>0.16700000000000001</v>
      </c>
      <c r="E8" s="2">
        <f>(E7*D8)/D7</f>
        <v>89.784946236559136</v>
      </c>
      <c r="F8" s="2">
        <v>4</v>
      </c>
      <c r="G8" s="2"/>
      <c r="H8" s="2"/>
      <c r="I8" s="2"/>
      <c r="J8" s="2"/>
      <c r="K8" s="2"/>
      <c r="L8" s="2"/>
      <c r="M8" s="2"/>
    </row>
    <row r="9" spans="1:17" ht="16.5">
      <c r="A9" s="2"/>
      <c r="B9" s="2" t="s">
        <v>45</v>
      </c>
      <c r="C9" s="2">
        <v>0.31900000000000001</v>
      </c>
      <c r="D9" s="2">
        <f>C9-C5</f>
        <v>0.161</v>
      </c>
      <c r="E9" s="2">
        <f>(E7*D9)/D7</f>
        <v>86.55913978494624</v>
      </c>
      <c r="F9" s="2">
        <v>37</v>
      </c>
      <c r="G9" s="2"/>
      <c r="H9" s="2"/>
      <c r="I9" s="2"/>
      <c r="J9" s="2"/>
      <c r="K9" s="2"/>
      <c r="L9" s="2"/>
      <c r="M9" s="2"/>
    </row>
    <row r="10" spans="1:17" ht="16.5">
      <c r="A10" s="2"/>
      <c r="B10" s="2" t="s">
        <v>46</v>
      </c>
      <c r="C10" s="2">
        <v>0.30099999999999999</v>
      </c>
      <c r="D10" s="3">
        <f>C10-C6</f>
        <v>5.0000000000000044E-3</v>
      </c>
      <c r="E10" s="2">
        <f>(E7*D10)/D7</f>
        <v>2.6881720430107552</v>
      </c>
      <c r="F10" s="2">
        <v>70</v>
      </c>
      <c r="G10" s="2"/>
      <c r="H10" s="2"/>
      <c r="I10" s="2"/>
      <c r="J10" s="2"/>
      <c r="K10" s="2"/>
      <c r="L10" s="2"/>
      <c r="M10" s="2"/>
    </row>
    <row r="11" spans="1:17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7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7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7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7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J1" sqref="J1:K10"/>
    </sheetView>
  </sheetViews>
  <sheetFormatPr defaultRowHeight="15"/>
  <sheetData>
    <row r="1" spans="1:11" ht="16.5">
      <c r="A1" s="4" t="s">
        <v>52</v>
      </c>
      <c r="B1" s="4" t="s">
        <v>12</v>
      </c>
      <c r="C1" s="4" t="s">
        <v>13</v>
      </c>
      <c r="D1" s="4" t="s">
        <v>29</v>
      </c>
      <c r="E1" s="4" t="s">
        <v>30</v>
      </c>
      <c r="F1" t="s">
        <v>36</v>
      </c>
      <c r="G1" t="s">
        <v>31</v>
      </c>
      <c r="H1" t="s">
        <v>32</v>
      </c>
      <c r="I1" t="s">
        <v>33</v>
      </c>
      <c r="J1" s="2" t="s">
        <v>29</v>
      </c>
      <c r="K1" s="2" t="s">
        <v>51</v>
      </c>
    </row>
    <row r="2" spans="1:11" ht="16.5">
      <c r="A2" s="4">
        <v>1</v>
      </c>
      <c r="B2" s="4">
        <v>0.109</v>
      </c>
      <c r="C2" s="4">
        <f>0.1*0.1*1000</f>
        <v>10.000000000000002</v>
      </c>
      <c r="D2">
        <v>86.552567237163828</v>
      </c>
      <c r="E2">
        <v>3</v>
      </c>
      <c r="G2">
        <v>-7.16674629718108E-3</v>
      </c>
      <c r="I2">
        <v>0</v>
      </c>
      <c r="J2" s="2">
        <v>100</v>
      </c>
      <c r="K2" s="2">
        <v>20</v>
      </c>
    </row>
    <row r="3" spans="1:11" ht="16.5">
      <c r="A3" s="4">
        <v>2</v>
      </c>
      <c r="B3" s="4">
        <v>0.17899999999999999</v>
      </c>
      <c r="C3" s="4">
        <f>0.2*0.1*1000</f>
        <v>20.000000000000004</v>
      </c>
      <c r="D3">
        <v>100</v>
      </c>
      <c r="E3">
        <v>4</v>
      </c>
      <c r="F3">
        <v>125</v>
      </c>
      <c r="G3">
        <v>8.0000000000000002E-3</v>
      </c>
      <c r="H3">
        <v>3.15</v>
      </c>
      <c r="I3">
        <v>0.31746031746031744</v>
      </c>
      <c r="J3" s="2">
        <v>89.784946236559136</v>
      </c>
      <c r="K3" s="2">
        <v>4</v>
      </c>
    </row>
    <row r="4" spans="1:11" ht="16.5">
      <c r="A4" s="4">
        <v>3</v>
      </c>
      <c r="B4" s="4">
        <v>0.23799999999999999</v>
      </c>
      <c r="C4" s="4">
        <f>0.3*0.1*1000</f>
        <v>30</v>
      </c>
      <c r="D4">
        <v>77.401129943502823</v>
      </c>
      <c r="E4">
        <v>5</v>
      </c>
      <c r="F4">
        <v>250</v>
      </c>
      <c r="G4">
        <v>4.0000000000000001E-3</v>
      </c>
      <c r="H4">
        <v>4.2833333333333332</v>
      </c>
      <c r="I4">
        <v>0.23346303501945526</v>
      </c>
      <c r="J4" s="2">
        <v>86.55913978494624</v>
      </c>
      <c r="K4" s="2">
        <v>37</v>
      </c>
    </row>
    <row r="5" spans="1:11" ht="16.5">
      <c r="A5" s="4">
        <v>4</v>
      </c>
      <c r="B5" s="4">
        <v>0.29499999999999998</v>
      </c>
      <c r="C5" s="4">
        <f>0.4*0.1*1000</f>
        <v>40.000000000000007</v>
      </c>
      <c r="D5">
        <v>21.610169491525419</v>
      </c>
      <c r="E5">
        <v>6</v>
      </c>
      <c r="F5">
        <v>500</v>
      </c>
      <c r="G5">
        <v>2E-3</v>
      </c>
      <c r="H5">
        <v>5.1166666666666654</v>
      </c>
      <c r="I5">
        <v>0.19543973941368084</v>
      </c>
      <c r="J5" s="2">
        <v>2.6881720430107552</v>
      </c>
      <c r="K5" s="2">
        <v>70</v>
      </c>
    </row>
    <row r="6" spans="1:11">
      <c r="A6" s="4">
        <v>5</v>
      </c>
      <c r="B6" s="4">
        <v>0.33600000000000002</v>
      </c>
      <c r="C6" s="4">
        <f>0.5*0.1*1000</f>
        <v>50</v>
      </c>
      <c r="D6">
        <v>0</v>
      </c>
      <c r="E6">
        <v>7</v>
      </c>
      <c r="F6">
        <v>750</v>
      </c>
      <c r="G6">
        <v>1.3333333333333333E-3</v>
      </c>
      <c r="H6">
        <v>5.6583333333333314</v>
      </c>
      <c r="I6">
        <v>0.17673048600883659</v>
      </c>
    </row>
    <row r="7" spans="1:11">
      <c r="A7" s="4">
        <v>6</v>
      </c>
      <c r="B7" s="4">
        <v>0.379</v>
      </c>
      <c r="C7" s="4">
        <f>0.6*0.1*1000</f>
        <v>60</v>
      </c>
      <c r="D7">
        <v>2.5423728813559343</v>
      </c>
      <c r="E7">
        <v>8</v>
      </c>
      <c r="F7">
        <v>1000</v>
      </c>
      <c r="G7">
        <v>1E-3</v>
      </c>
      <c r="H7">
        <v>5.8666666666666663</v>
      </c>
      <c r="I7">
        <v>0.17045454545454547</v>
      </c>
    </row>
    <row r="8" spans="1:11">
      <c r="A8" s="4">
        <v>7</v>
      </c>
      <c r="B8" s="4">
        <v>0.499</v>
      </c>
      <c r="C8" s="4">
        <f>0.7*0.1*1000</f>
        <v>69.999999999999986</v>
      </c>
      <c r="F8">
        <v>1250</v>
      </c>
      <c r="G8">
        <v>8.0000000000000004E-4</v>
      </c>
      <c r="H8">
        <v>5.9833333333333325</v>
      </c>
      <c r="I8">
        <v>0.16713091922005574</v>
      </c>
    </row>
    <row r="9" spans="1:11">
      <c r="A9" s="4">
        <v>8</v>
      </c>
      <c r="B9" s="4">
        <v>0.52200000000000002</v>
      </c>
      <c r="C9" s="4">
        <f>0.8*0.1*1000</f>
        <v>80.000000000000014</v>
      </c>
      <c r="F9">
        <v>1500</v>
      </c>
      <c r="G9">
        <v>6.6666666666666664E-4</v>
      </c>
      <c r="H9">
        <v>6.0333333333333332</v>
      </c>
      <c r="I9">
        <v>0.16574585635359115</v>
      </c>
    </row>
    <row r="10" spans="1:11">
      <c r="A10" s="4">
        <v>9</v>
      </c>
      <c r="B10" s="4">
        <v>0.61399999999999999</v>
      </c>
      <c r="C10" s="4">
        <f>0.9*0.1*1000</f>
        <v>90.000000000000014</v>
      </c>
      <c r="F10">
        <v>2000</v>
      </c>
      <c r="G10">
        <v>5.0000000000000001E-4</v>
      </c>
      <c r="H10">
        <v>6.299999999999998</v>
      </c>
      <c r="I10">
        <v>0.15873015873015878</v>
      </c>
    </row>
    <row r="11" spans="1:11">
      <c r="A11" s="4">
        <v>10</v>
      </c>
      <c r="B11" s="4">
        <v>0.65300000000000002</v>
      </c>
      <c r="C11" s="4">
        <f>1*0.1*1000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2020-10-18T17:16:03Z</dcterms:modified>
</cp:coreProperties>
</file>