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lfrowijn_tudelft_nl/Documents/Research/0.Papers/Paper 3.5 small paper/Model/"/>
    </mc:Choice>
  </mc:AlternateContent>
  <xr:revisionPtr revIDLastSave="130" documentId="8_{2E3E966E-BCAB-4543-8A00-C332693BACE8}" xr6:coauthVersionLast="47" xr6:coauthVersionMax="47" xr10:uidLastSave="{69F8B131-ECE3-4EA2-A6C4-AFD96713B8D8}"/>
  <bookViews>
    <workbookView xWindow="22275" yWindow="-16425" windowWidth="29040" windowHeight="15840" xr2:uid="{00000000-000D-0000-FFFF-FFFF00000000}"/>
  </bookViews>
  <sheets>
    <sheet name="Read me" sheetId="45" r:id="rId1"/>
    <sheet name="Variables" sheetId="14" r:id="rId2"/>
    <sheet name="Modelling" sheetId="44" r:id="rId3"/>
    <sheet name="Data" sheetId="13" r:id="rId4"/>
    <sheet name="wind_source" sheetId="7" r:id="rId5"/>
    <sheet name="IEA 15 MW RWT " sheetId="8" r:id="rId6"/>
  </sheets>
  <externalReferences>
    <externalReference r:id="rId7"/>
  </externalReferences>
  <definedNames>
    <definedName name="_xlnm._FilterDatabase" localSheetId="1" hidden="1">Variables!$C$137:$C$158</definedName>
    <definedName name="n">'[1]Elettr. AEC min'!$G$6</definedName>
    <definedName name="solver_adj" localSheetId="4" hidden="1">wind_source!$J$2</definedName>
    <definedName name="solver_cvg" localSheetId="4" hidden="1">"0,0001"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"0,075"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wind_source!$D$28</definedName>
    <definedName name="solver_pre" localSheetId="4" hidden="1">"0,000001"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230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7" i="44" l="1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16" i="44"/>
  <c r="F115" i="44"/>
  <c r="K115" i="44" s="1"/>
  <c r="H5" i="44"/>
  <c r="C59" i="13" l="1"/>
  <c r="H21" i="13"/>
  <c r="C68" i="13"/>
  <c r="F31" i="44"/>
  <c r="I67" i="13"/>
  <c r="H4" i="44" l="1"/>
  <c r="C29" i="13"/>
  <c r="E40" i="14"/>
  <c r="H6" i="44"/>
  <c r="L83" i="44"/>
  <c r="C20" i="13"/>
  <c r="C67" i="13"/>
  <c r="N55" i="44" l="1"/>
  <c r="I23" i="44" l="1"/>
  <c r="L95" i="44"/>
  <c r="L87" i="44"/>
  <c r="C9" i="13" l="1"/>
  <c r="Y100" i="14" l="1"/>
  <c r="D87" i="44"/>
  <c r="D83" i="44"/>
  <c r="H47" i="13"/>
  <c r="C47" i="13"/>
  <c r="I75" i="13" l="1"/>
  <c r="C30" i="13"/>
  <c r="C21" i="13"/>
  <c r="C75" i="13"/>
  <c r="M75" i="44" l="1"/>
  <c r="C100" i="13" l="1"/>
  <c r="C99" i="13"/>
  <c r="M99" i="44"/>
  <c r="M91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47" i="44"/>
  <c r="F146" i="44"/>
  <c r="F178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F192" i="44"/>
  <c r="F193" i="44"/>
  <c r="F194" i="44"/>
  <c r="F195" i="44"/>
  <c r="F196" i="44"/>
  <c r="F197" i="44"/>
  <c r="F198" i="44"/>
  <c r="F199" i="44"/>
  <c r="F200" i="44"/>
  <c r="F177" i="44"/>
  <c r="F176" i="44"/>
  <c r="F207" i="44"/>
  <c r="F208" i="44"/>
  <c r="F209" i="44"/>
  <c r="F210" i="44"/>
  <c r="F211" i="44"/>
  <c r="F212" i="44"/>
  <c r="F213" i="44"/>
  <c r="F214" i="44"/>
  <c r="F215" i="44"/>
  <c r="F216" i="44"/>
  <c r="F217" i="44"/>
  <c r="F218" i="44"/>
  <c r="F219" i="44"/>
  <c r="F220" i="44"/>
  <c r="F221" i="44"/>
  <c r="F222" i="44"/>
  <c r="F223" i="44"/>
  <c r="F224" i="44"/>
  <c r="F225" i="44"/>
  <c r="F226" i="44"/>
  <c r="F227" i="44"/>
  <c r="F228" i="44"/>
  <c r="F229" i="44"/>
  <c r="F230" i="44"/>
  <c r="F206" i="44"/>
  <c r="F238" i="44"/>
  <c r="F239" i="44"/>
  <c r="F240" i="44"/>
  <c r="F241" i="44"/>
  <c r="F242" i="44"/>
  <c r="F243" i="44"/>
  <c r="F244" i="44"/>
  <c r="F245" i="44"/>
  <c r="F246" i="44"/>
  <c r="F247" i="44"/>
  <c r="F248" i="44"/>
  <c r="F249" i="44"/>
  <c r="F250" i="44"/>
  <c r="F251" i="44"/>
  <c r="F252" i="44"/>
  <c r="F253" i="44"/>
  <c r="F254" i="44"/>
  <c r="F255" i="44"/>
  <c r="F256" i="44"/>
  <c r="F257" i="44"/>
  <c r="F258" i="44"/>
  <c r="F259" i="44"/>
  <c r="F260" i="44"/>
  <c r="F237" i="44"/>
  <c r="F236" i="44"/>
  <c r="F268" i="44"/>
  <c r="F269" i="44"/>
  <c r="F270" i="44"/>
  <c r="F271" i="44"/>
  <c r="F272" i="44"/>
  <c r="F273" i="44"/>
  <c r="F274" i="44"/>
  <c r="F275" i="44"/>
  <c r="F277" i="44"/>
  <c r="F278" i="44"/>
  <c r="F279" i="44"/>
  <c r="F280" i="44"/>
  <c r="F281" i="44"/>
  <c r="F282" i="44"/>
  <c r="F283" i="44"/>
  <c r="F284" i="44"/>
  <c r="F285" i="44"/>
  <c r="F287" i="44"/>
  <c r="F288" i="44"/>
  <c r="F289" i="44"/>
  <c r="F290" i="44"/>
  <c r="F267" i="44"/>
  <c r="F266" i="44"/>
  <c r="F298" i="44"/>
  <c r="F299" i="44"/>
  <c r="F300" i="44"/>
  <c r="F301" i="44"/>
  <c r="F302" i="44"/>
  <c r="F303" i="44"/>
  <c r="F304" i="44"/>
  <c r="F305" i="44"/>
  <c r="F306" i="44"/>
  <c r="F307" i="44"/>
  <c r="F308" i="44"/>
  <c r="F309" i="44"/>
  <c r="F310" i="44"/>
  <c r="F311" i="44"/>
  <c r="F312" i="44"/>
  <c r="F313" i="44"/>
  <c r="F314" i="44"/>
  <c r="F315" i="44"/>
  <c r="F317" i="44"/>
  <c r="F318" i="44"/>
  <c r="F319" i="44"/>
  <c r="F320" i="44"/>
  <c r="F297" i="44"/>
  <c r="F296" i="44"/>
  <c r="F328" i="44"/>
  <c r="F329" i="44"/>
  <c r="F330" i="44"/>
  <c r="F331" i="44"/>
  <c r="F332" i="44"/>
  <c r="F334" i="44"/>
  <c r="F335" i="44"/>
  <c r="F336" i="44"/>
  <c r="F337" i="44"/>
  <c r="F338" i="44"/>
  <c r="F339" i="44"/>
  <c r="F341" i="44"/>
  <c r="F342" i="44"/>
  <c r="F343" i="44"/>
  <c r="F344" i="44"/>
  <c r="F345" i="44"/>
  <c r="F346" i="44"/>
  <c r="F348" i="44"/>
  <c r="F349" i="44"/>
  <c r="F350" i="44"/>
  <c r="F327" i="44"/>
  <c r="F326" i="44"/>
  <c r="F358" i="44"/>
  <c r="F359" i="44"/>
  <c r="F360" i="44"/>
  <c r="F361" i="44"/>
  <c r="F362" i="44"/>
  <c r="F363" i="44"/>
  <c r="F364" i="44"/>
  <c r="F365" i="44"/>
  <c r="F366" i="44"/>
  <c r="F367" i="44"/>
  <c r="F368" i="44"/>
  <c r="F369" i="44"/>
  <c r="F370" i="44"/>
  <c r="F371" i="44"/>
  <c r="F372" i="44"/>
  <c r="F373" i="44"/>
  <c r="F374" i="44"/>
  <c r="F375" i="44"/>
  <c r="F377" i="44"/>
  <c r="F378" i="44"/>
  <c r="F379" i="44"/>
  <c r="F380" i="44"/>
  <c r="F357" i="44"/>
  <c r="F356" i="44"/>
  <c r="F388" i="44"/>
  <c r="F389" i="44"/>
  <c r="F390" i="44"/>
  <c r="F391" i="44"/>
  <c r="F392" i="44"/>
  <c r="F393" i="44"/>
  <c r="F394" i="44"/>
  <c r="F395" i="44"/>
  <c r="F396" i="44"/>
  <c r="F397" i="44"/>
  <c r="F398" i="44"/>
  <c r="F399" i="44"/>
  <c r="F400" i="44"/>
  <c r="F401" i="44"/>
  <c r="F402" i="44"/>
  <c r="F403" i="44"/>
  <c r="F404" i="44"/>
  <c r="F405" i="44"/>
  <c r="F406" i="44"/>
  <c r="F407" i="44"/>
  <c r="F408" i="44"/>
  <c r="F409" i="44"/>
  <c r="F410" i="44"/>
  <c r="F387" i="44"/>
  <c r="F386" i="44"/>
  <c r="F418" i="44"/>
  <c r="F419" i="44"/>
  <c r="F420" i="44"/>
  <c r="F421" i="44"/>
  <c r="F422" i="44"/>
  <c r="F423" i="44"/>
  <c r="F424" i="44"/>
  <c r="F425" i="44"/>
  <c r="F426" i="44"/>
  <c r="F427" i="44"/>
  <c r="F428" i="44"/>
  <c r="F429" i="44"/>
  <c r="F430" i="44"/>
  <c r="F431" i="44"/>
  <c r="F432" i="44"/>
  <c r="F433" i="44"/>
  <c r="F434" i="44"/>
  <c r="F435" i="44"/>
  <c r="F436" i="44"/>
  <c r="F437" i="44"/>
  <c r="F438" i="44"/>
  <c r="F439" i="44"/>
  <c r="F440" i="44"/>
  <c r="F417" i="44"/>
  <c r="F416" i="44"/>
  <c r="H230" i="44"/>
  <c r="I230" i="44" s="1"/>
  <c r="H229" i="44"/>
  <c r="I229" i="44" s="1"/>
  <c r="H228" i="44"/>
  <c r="I228" i="44" s="1"/>
  <c r="H227" i="44"/>
  <c r="I227" i="44" s="1"/>
  <c r="H226" i="44"/>
  <c r="H225" i="44"/>
  <c r="I225" i="44" s="1"/>
  <c r="H224" i="44"/>
  <c r="I224" i="44" s="1"/>
  <c r="H223" i="44"/>
  <c r="H222" i="44"/>
  <c r="I222" i="44" s="1"/>
  <c r="H221" i="44"/>
  <c r="I221" i="44" s="1"/>
  <c r="H220" i="44"/>
  <c r="H219" i="44"/>
  <c r="I219" i="44" s="1"/>
  <c r="I218" i="44"/>
  <c r="H218" i="44"/>
  <c r="H217" i="44"/>
  <c r="H216" i="44"/>
  <c r="I216" i="44" s="1"/>
  <c r="I215" i="44"/>
  <c r="H215" i="44"/>
  <c r="H214" i="44"/>
  <c r="H213" i="44"/>
  <c r="I213" i="44" s="1"/>
  <c r="I212" i="44"/>
  <c r="H212" i="44"/>
  <c r="H211" i="44"/>
  <c r="H210" i="44"/>
  <c r="I210" i="44" s="1"/>
  <c r="H209" i="44"/>
  <c r="H208" i="44"/>
  <c r="H207" i="44"/>
  <c r="I207" i="44" s="1"/>
  <c r="H206" i="44"/>
  <c r="H205" i="44"/>
  <c r="H231" i="44" s="1"/>
  <c r="F483" i="44"/>
  <c r="H67" i="44"/>
  <c r="F484" i="44" s="1"/>
  <c r="H63" i="44"/>
  <c r="F457" i="44" s="1"/>
  <c r="F717" i="44"/>
  <c r="F718" i="44"/>
  <c r="F719" i="44"/>
  <c r="F720" i="44"/>
  <c r="F721" i="44"/>
  <c r="F722" i="44"/>
  <c r="F723" i="44"/>
  <c r="F724" i="44"/>
  <c r="F725" i="44"/>
  <c r="F726" i="44"/>
  <c r="F727" i="44"/>
  <c r="F728" i="44"/>
  <c r="F729" i="44"/>
  <c r="F730" i="44"/>
  <c r="F731" i="44"/>
  <c r="F732" i="44"/>
  <c r="F733" i="44"/>
  <c r="F734" i="44"/>
  <c r="F735" i="44"/>
  <c r="F736" i="44"/>
  <c r="F737" i="44"/>
  <c r="F738" i="44"/>
  <c r="F739" i="44"/>
  <c r="F740" i="44"/>
  <c r="F716" i="44"/>
  <c r="H746" i="44"/>
  <c r="F777" i="44"/>
  <c r="F778" i="44"/>
  <c r="F779" i="44"/>
  <c r="F780" i="44"/>
  <c r="F781" i="44"/>
  <c r="F782" i="44"/>
  <c r="F783" i="44"/>
  <c r="F784" i="44"/>
  <c r="F785" i="44"/>
  <c r="F786" i="44"/>
  <c r="F787" i="44"/>
  <c r="F788" i="44"/>
  <c r="F789" i="44"/>
  <c r="F790" i="44"/>
  <c r="F791" i="44"/>
  <c r="F792" i="44"/>
  <c r="F793" i="44"/>
  <c r="F794" i="44"/>
  <c r="F795" i="44"/>
  <c r="F796" i="44"/>
  <c r="F797" i="44"/>
  <c r="F798" i="44"/>
  <c r="F799" i="44"/>
  <c r="F800" i="44"/>
  <c r="F776" i="44"/>
  <c r="E777" i="44"/>
  <c r="E778" i="44"/>
  <c r="E779" i="44"/>
  <c r="E780" i="44"/>
  <c r="E781" i="44"/>
  <c r="E782" i="44"/>
  <c r="E783" i="44"/>
  <c r="E784" i="44"/>
  <c r="E785" i="44"/>
  <c r="E786" i="44"/>
  <c r="E787" i="44"/>
  <c r="E788" i="44"/>
  <c r="E789" i="44"/>
  <c r="E790" i="44"/>
  <c r="E791" i="44"/>
  <c r="E792" i="44"/>
  <c r="E793" i="44"/>
  <c r="E794" i="44"/>
  <c r="E795" i="44"/>
  <c r="E796" i="44"/>
  <c r="E797" i="44"/>
  <c r="E798" i="44"/>
  <c r="E799" i="44"/>
  <c r="E800" i="44"/>
  <c r="E776" i="44"/>
  <c r="H800" i="44"/>
  <c r="I800" i="44" s="1"/>
  <c r="H799" i="44"/>
  <c r="I799" i="44" s="1"/>
  <c r="H798" i="44"/>
  <c r="I798" i="44" s="1"/>
  <c r="H797" i="44"/>
  <c r="H796" i="44"/>
  <c r="I796" i="44" s="1"/>
  <c r="H795" i="44"/>
  <c r="I795" i="44" s="1"/>
  <c r="H794" i="44"/>
  <c r="I794" i="44" s="1"/>
  <c r="H793" i="44"/>
  <c r="I793" i="44" s="1"/>
  <c r="H792" i="44"/>
  <c r="I792" i="44" s="1"/>
  <c r="H791" i="44"/>
  <c r="I791" i="44" s="1"/>
  <c r="H790" i="44"/>
  <c r="I790" i="44" s="1"/>
  <c r="H789" i="44"/>
  <c r="I789" i="44" s="1"/>
  <c r="H788" i="44"/>
  <c r="I788" i="44" s="1"/>
  <c r="H787" i="44"/>
  <c r="I787" i="44" s="1"/>
  <c r="H786" i="44"/>
  <c r="I786" i="44" s="1"/>
  <c r="H785" i="44"/>
  <c r="I785" i="44" s="1"/>
  <c r="H784" i="44"/>
  <c r="I784" i="44" s="1"/>
  <c r="H783" i="44"/>
  <c r="I783" i="44" s="1"/>
  <c r="H782" i="44"/>
  <c r="I782" i="44" s="1"/>
  <c r="H781" i="44"/>
  <c r="I781" i="44" s="1"/>
  <c r="H780" i="44"/>
  <c r="I780" i="44" s="1"/>
  <c r="H779" i="44"/>
  <c r="I779" i="44" s="1"/>
  <c r="H778" i="44"/>
  <c r="I778" i="44" s="1"/>
  <c r="H777" i="44"/>
  <c r="I777" i="44" s="1"/>
  <c r="H776" i="44"/>
  <c r="I776" i="44" s="1"/>
  <c r="H775" i="44"/>
  <c r="L775" i="44" s="1"/>
  <c r="H770" i="44"/>
  <c r="I770" i="44" s="1"/>
  <c r="H769" i="44"/>
  <c r="I769" i="44" s="1"/>
  <c r="H768" i="44"/>
  <c r="I768" i="44" s="1"/>
  <c r="H767" i="44"/>
  <c r="I767" i="44" s="1"/>
  <c r="H766" i="44"/>
  <c r="I766" i="44" s="1"/>
  <c r="H765" i="44"/>
  <c r="I765" i="44" s="1"/>
  <c r="H764" i="44"/>
  <c r="I764" i="44" s="1"/>
  <c r="H763" i="44"/>
  <c r="I763" i="44" s="1"/>
  <c r="H762" i="44"/>
  <c r="I762" i="44" s="1"/>
  <c r="H761" i="44"/>
  <c r="I761" i="44" s="1"/>
  <c r="H760" i="44"/>
  <c r="I760" i="44" s="1"/>
  <c r="H759" i="44"/>
  <c r="I759" i="44" s="1"/>
  <c r="H758" i="44"/>
  <c r="I758" i="44" s="1"/>
  <c r="H757" i="44"/>
  <c r="I757" i="44" s="1"/>
  <c r="H756" i="44"/>
  <c r="I756" i="44" s="1"/>
  <c r="H755" i="44"/>
  <c r="I755" i="44" s="1"/>
  <c r="H754" i="44"/>
  <c r="I754" i="44" s="1"/>
  <c r="H753" i="44"/>
  <c r="I753" i="44" s="1"/>
  <c r="H752" i="44"/>
  <c r="I752" i="44" s="1"/>
  <c r="H751" i="44"/>
  <c r="I751" i="44" s="1"/>
  <c r="H750" i="44"/>
  <c r="I750" i="44" s="1"/>
  <c r="H749" i="44"/>
  <c r="I749" i="44" s="1"/>
  <c r="H748" i="44"/>
  <c r="I748" i="44" s="1"/>
  <c r="H747" i="44"/>
  <c r="I747" i="44" s="1"/>
  <c r="I746" i="44"/>
  <c r="H745" i="44"/>
  <c r="H740" i="44"/>
  <c r="I740" i="44" s="1"/>
  <c r="H739" i="44"/>
  <c r="I739" i="44" s="1"/>
  <c r="H738" i="44"/>
  <c r="H737" i="44"/>
  <c r="I737" i="44" s="1"/>
  <c r="H736" i="44"/>
  <c r="I736" i="44" s="1"/>
  <c r="H735" i="44"/>
  <c r="H734" i="44"/>
  <c r="I734" i="44" s="1"/>
  <c r="H733" i="44"/>
  <c r="I733" i="44" s="1"/>
  <c r="H732" i="44"/>
  <c r="H731" i="44"/>
  <c r="I731" i="44" s="1"/>
  <c r="H730" i="44"/>
  <c r="I730" i="44" s="1"/>
  <c r="H729" i="44"/>
  <c r="H728" i="44"/>
  <c r="I728" i="44" s="1"/>
  <c r="H727" i="44"/>
  <c r="I727" i="44" s="1"/>
  <c r="H726" i="44"/>
  <c r="H725" i="44"/>
  <c r="I725" i="44" s="1"/>
  <c r="H724" i="44"/>
  <c r="I724" i="44" s="1"/>
  <c r="H723" i="44"/>
  <c r="H722" i="44"/>
  <c r="I722" i="44" s="1"/>
  <c r="H721" i="44"/>
  <c r="I721" i="44" s="1"/>
  <c r="H720" i="44"/>
  <c r="H719" i="44"/>
  <c r="I719" i="44" s="1"/>
  <c r="H718" i="44"/>
  <c r="I718" i="44" s="1"/>
  <c r="H717" i="44"/>
  <c r="H716" i="44"/>
  <c r="I716" i="44" s="1"/>
  <c r="H715" i="44"/>
  <c r="H710" i="44"/>
  <c r="I710" i="44" s="1"/>
  <c r="H709" i="44"/>
  <c r="I709" i="44" s="1"/>
  <c r="H708" i="44"/>
  <c r="H707" i="44"/>
  <c r="I707" i="44" s="1"/>
  <c r="H706" i="44"/>
  <c r="I706" i="44" s="1"/>
  <c r="H705" i="44"/>
  <c r="H704" i="44"/>
  <c r="I704" i="44" s="1"/>
  <c r="H703" i="44"/>
  <c r="I703" i="44" s="1"/>
  <c r="H702" i="44"/>
  <c r="H701" i="44"/>
  <c r="I701" i="44" s="1"/>
  <c r="H700" i="44"/>
  <c r="I700" i="44" s="1"/>
  <c r="H699" i="44"/>
  <c r="H698" i="44"/>
  <c r="I698" i="44" s="1"/>
  <c r="H697" i="44"/>
  <c r="I697" i="44" s="1"/>
  <c r="H696" i="44"/>
  <c r="H695" i="44"/>
  <c r="I695" i="44" s="1"/>
  <c r="H694" i="44"/>
  <c r="I694" i="44" s="1"/>
  <c r="H693" i="44"/>
  <c r="H692" i="44"/>
  <c r="I692" i="44" s="1"/>
  <c r="H691" i="44"/>
  <c r="I691" i="44" s="1"/>
  <c r="H690" i="44"/>
  <c r="H689" i="44"/>
  <c r="I689" i="44" s="1"/>
  <c r="H688" i="44"/>
  <c r="I688" i="44" s="1"/>
  <c r="H687" i="44"/>
  <c r="H686" i="44"/>
  <c r="I686" i="44" s="1"/>
  <c r="H685" i="44"/>
  <c r="H680" i="44"/>
  <c r="I680" i="44" s="1"/>
  <c r="H679" i="44"/>
  <c r="I679" i="44" s="1"/>
  <c r="H678" i="44"/>
  <c r="I678" i="44" s="1"/>
  <c r="H677" i="44"/>
  <c r="I677" i="44" s="1"/>
  <c r="H676" i="44"/>
  <c r="H675" i="44"/>
  <c r="I675" i="44" s="1"/>
  <c r="H674" i="44"/>
  <c r="I674" i="44" s="1"/>
  <c r="H673" i="44"/>
  <c r="I673" i="44" s="1"/>
  <c r="H672" i="44"/>
  <c r="I672" i="44" s="1"/>
  <c r="H671" i="44"/>
  <c r="I671" i="44" s="1"/>
  <c r="H670" i="44"/>
  <c r="H669" i="44"/>
  <c r="I669" i="44" s="1"/>
  <c r="H668" i="44"/>
  <c r="I668" i="44" s="1"/>
  <c r="H667" i="44"/>
  <c r="H666" i="44"/>
  <c r="I666" i="44" s="1"/>
  <c r="H665" i="44"/>
  <c r="I665" i="44" s="1"/>
  <c r="H664" i="44"/>
  <c r="H663" i="44"/>
  <c r="I663" i="44" s="1"/>
  <c r="H662" i="44"/>
  <c r="I662" i="44" s="1"/>
  <c r="H661" i="44"/>
  <c r="I661" i="44" s="1"/>
  <c r="H660" i="44"/>
  <c r="I660" i="44" s="1"/>
  <c r="H659" i="44"/>
  <c r="I659" i="44" s="1"/>
  <c r="H658" i="44"/>
  <c r="I658" i="44" s="1"/>
  <c r="H657" i="44"/>
  <c r="I657" i="44" s="1"/>
  <c r="H656" i="44"/>
  <c r="I656" i="44" s="1"/>
  <c r="H655" i="44"/>
  <c r="L655" i="44" s="1"/>
  <c r="H650" i="44"/>
  <c r="I650" i="44" s="1"/>
  <c r="H649" i="44"/>
  <c r="I649" i="44" s="1"/>
  <c r="H648" i="44"/>
  <c r="I648" i="44" s="1"/>
  <c r="H647" i="44"/>
  <c r="I647" i="44" s="1"/>
  <c r="H646" i="44"/>
  <c r="I646" i="44" s="1"/>
  <c r="H645" i="44"/>
  <c r="I645" i="44" s="1"/>
  <c r="H644" i="44"/>
  <c r="I644" i="44" s="1"/>
  <c r="H643" i="44"/>
  <c r="I643" i="44" s="1"/>
  <c r="H642" i="44"/>
  <c r="I642" i="44" s="1"/>
  <c r="H641" i="44"/>
  <c r="I641" i="44" s="1"/>
  <c r="H640" i="44"/>
  <c r="I640" i="44" s="1"/>
  <c r="H639" i="44"/>
  <c r="I639" i="44" s="1"/>
  <c r="H638" i="44"/>
  <c r="I638" i="44" s="1"/>
  <c r="H637" i="44"/>
  <c r="I637" i="44" s="1"/>
  <c r="H636" i="44"/>
  <c r="I636" i="44" s="1"/>
  <c r="H635" i="44"/>
  <c r="I635" i="44" s="1"/>
  <c r="H634" i="44"/>
  <c r="I634" i="44" s="1"/>
  <c r="H633" i="44"/>
  <c r="I633" i="44" s="1"/>
  <c r="H632" i="44"/>
  <c r="I632" i="44" s="1"/>
  <c r="H631" i="44"/>
  <c r="I631" i="44" s="1"/>
  <c r="H630" i="44"/>
  <c r="I630" i="44" s="1"/>
  <c r="H629" i="44"/>
  <c r="I629" i="44" s="1"/>
  <c r="H628" i="44"/>
  <c r="I628" i="44" s="1"/>
  <c r="H627" i="44"/>
  <c r="I627" i="44" s="1"/>
  <c r="H626" i="44"/>
  <c r="I626" i="44" s="1"/>
  <c r="H625" i="44"/>
  <c r="H620" i="44"/>
  <c r="I620" i="44" s="1"/>
  <c r="H619" i="44"/>
  <c r="I619" i="44" s="1"/>
  <c r="H618" i="44"/>
  <c r="I618" i="44" s="1"/>
  <c r="H617" i="44"/>
  <c r="I617" i="44" s="1"/>
  <c r="H616" i="44"/>
  <c r="I616" i="44" s="1"/>
  <c r="H615" i="44"/>
  <c r="I615" i="44" s="1"/>
  <c r="H614" i="44"/>
  <c r="I614" i="44" s="1"/>
  <c r="H613" i="44"/>
  <c r="I613" i="44" s="1"/>
  <c r="H612" i="44"/>
  <c r="I612" i="44" s="1"/>
  <c r="H611" i="44"/>
  <c r="I611" i="44" s="1"/>
  <c r="H610" i="44"/>
  <c r="I610" i="44" s="1"/>
  <c r="H609" i="44"/>
  <c r="I609" i="44" s="1"/>
  <c r="H608" i="44"/>
  <c r="I608" i="44" s="1"/>
  <c r="H607" i="44"/>
  <c r="I607" i="44" s="1"/>
  <c r="H606" i="44"/>
  <c r="I606" i="44" s="1"/>
  <c r="H605" i="44"/>
  <c r="I605" i="44" s="1"/>
  <c r="H604" i="44"/>
  <c r="I604" i="44" s="1"/>
  <c r="H603" i="44"/>
  <c r="I603" i="44" s="1"/>
  <c r="H602" i="44"/>
  <c r="I602" i="44" s="1"/>
  <c r="H601" i="44"/>
  <c r="I601" i="44" s="1"/>
  <c r="H600" i="44"/>
  <c r="I600" i="44" s="1"/>
  <c r="H599" i="44"/>
  <c r="I599" i="44" s="1"/>
  <c r="H598" i="44"/>
  <c r="I598" i="44" s="1"/>
  <c r="H597" i="44"/>
  <c r="I597" i="44" s="1"/>
  <c r="H596" i="44"/>
  <c r="I596" i="44" s="1"/>
  <c r="H595" i="44"/>
  <c r="L595" i="44" s="1"/>
  <c r="H590" i="44"/>
  <c r="I590" i="44" s="1"/>
  <c r="H589" i="44"/>
  <c r="I589" i="44" s="1"/>
  <c r="H588" i="44"/>
  <c r="I588" i="44" s="1"/>
  <c r="H587" i="44"/>
  <c r="I587" i="44" s="1"/>
  <c r="H586" i="44"/>
  <c r="I586" i="44" s="1"/>
  <c r="H585" i="44"/>
  <c r="I585" i="44" s="1"/>
  <c r="H584" i="44"/>
  <c r="I584" i="44" s="1"/>
  <c r="H583" i="44"/>
  <c r="I583" i="44" s="1"/>
  <c r="H582" i="44"/>
  <c r="I582" i="44" s="1"/>
  <c r="H581" i="44"/>
  <c r="I581" i="44" s="1"/>
  <c r="H580" i="44"/>
  <c r="I580" i="44" s="1"/>
  <c r="H579" i="44"/>
  <c r="I579" i="44" s="1"/>
  <c r="H578" i="44"/>
  <c r="I578" i="44" s="1"/>
  <c r="H577" i="44"/>
  <c r="I577" i="44" s="1"/>
  <c r="H576" i="44"/>
  <c r="I576" i="44" s="1"/>
  <c r="H575" i="44"/>
  <c r="I575" i="44" s="1"/>
  <c r="H574" i="44"/>
  <c r="I574" i="44" s="1"/>
  <c r="H573" i="44"/>
  <c r="I573" i="44" s="1"/>
  <c r="H572" i="44"/>
  <c r="I572" i="44" s="1"/>
  <c r="H571" i="44"/>
  <c r="I571" i="44" s="1"/>
  <c r="H570" i="44"/>
  <c r="I570" i="44" s="1"/>
  <c r="H569" i="44"/>
  <c r="I569" i="44" s="1"/>
  <c r="H568" i="44"/>
  <c r="I568" i="44" s="1"/>
  <c r="H567" i="44"/>
  <c r="I567" i="44" s="1"/>
  <c r="H566" i="44"/>
  <c r="I566" i="44" s="1"/>
  <c r="H565" i="44"/>
  <c r="H560" i="44"/>
  <c r="I560" i="44" s="1"/>
  <c r="H559" i="44"/>
  <c r="H558" i="44"/>
  <c r="I558" i="44" s="1"/>
  <c r="H557" i="44"/>
  <c r="I557" i="44" s="1"/>
  <c r="H556" i="44"/>
  <c r="H555" i="44"/>
  <c r="I555" i="44" s="1"/>
  <c r="H554" i="44"/>
  <c r="I554" i="44" s="1"/>
  <c r="H553" i="44"/>
  <c r="H552" i="44"/>
  <c r="I552" i="44" s="1"/>
  <c r="H551" i="44"/>
  <c r="I551" i="44" s="1"/>
  <c r="H550" i="44"/>
  <c r="H549" i="44"/>
  <c r="I549" i="44" s="1"/>
  <c r="H548" i="44"/>
  <c r="I548" i="44" s="1"/>
  <c r="H547" i="44"/>
  <c r="I547" i="44" s="1"/>
  <c r="H546" i="44"/>
  <c r="I546" i="44" s="1"/>
  <c r="H545" i="44"/>
  <c r="I545" i="44" s="1"/>
  <c r="H544" i="44"/>
  <c r="I544" i="44" s="1"/>
  <c r="H543" i="44"/>
  <c r="I543" i="44" s="1"/>
  <c r="H542" i="44"/>
  <c r="I542" i="44" s="1"/>
  <c r="H541" i="44"/>
  <c r="I541" i="44" s="1"/>
  <c r="H540" i="44"/>
  <c r="I540" i="44" s="1"/>
  <c r="H539" i="44"/>
  <c r="I539" i="44" s="1"/>
  <c r="H538" i="44"/>
  <c r="I538" i="44" s="1"/>
  <c r="H537" i="44"/>
  <c r="I537" i="44" s="1"/>
  <c r="H536" i="44"/>
  <c r="I536" i="44" s="1"/>
  <c r="H535" i="44"/>
  <c r="J535" i="44" s="1"/>
  <c r="H530" i="44"/>
  <c r="I530" i="44" s="1"/>
  <c r="H529" i="44"/>
  <c r="H528" i="44"/>
  <c r="I528" i="44" s="1"/>
  <c r="H527" i="44"/>
  <c r="I527" i="44" s="1"/>
  <c r="H526" i="44"/>
  <c r="H525" i="44"/>
  <c r="I525" i="44" s="1"/>
  <c r="H524" i="44"/>
  <c r="I524" i="44" s="1"/>
  <c r="H523" i="44"/>
  <c r="H522" i="44"/>
  <c r="I522" i="44" s="1"/>
  <c r="H521" i="44"/>
  <c r="I521" i="44" s="1"/>
  <c r="H520" i="44"/>
  <c r="H519" i="44"/>
  <c r="I519" i="44" s="1"/>
  <c r="H518" i="44"/>
  <c r="I518" i="44" s="1"/>
  <c r="H517" i="44"/>
  <c r="H516" i="44"/>
  <c r="I516" i="44" s="1"/>
  <c r="H515" i="44"/>
  <c r="I515" i="44" s="1"/>
  <c r="H514" i="44"/>
  <c r="H513" i="44"/>
  <c r="I513" i="44" s="1"/>
  <c r="H512" i="44"/>
  <c r="I512" i="44" s="1"/>
  <c r="H511" i="44"/>
  <c r="H510" i="44"/>
  <c r="I510" i="44" s="1"/>
  <c r="H509" i="44"/>
  <c r="I509" i="44" s="1"/>
  <c r="H508" i="44"/>
  <c r="H507" i="44"/>
  <c r="I507" i="44" s="1"/>
  <c r="H506" i="44"/>
  <c r="I506" i="44" s="1"/>
  <c r="H505" i="44"/>
  <c r="H500" i="44"/>
  <c r="I500" i="44" s="1"/>
  <c r="H499" i="44"/>
  <c r="I499" i="44" s="1"/>
  <c r="H498" i="44"/>
  <c r="I498" i="44" s="1"/>
  <c r="H497" i="44"/>
  <c r="I497" i="44" s="1"/>
  <c r="H496" i="44"/>
  <c r="I496" i="44" s="1"/>
  <c r="H495" i="44"/>
  <c r="I495" i="44" s="1"/>
  <c r="H494" i="44"/>
  <c r="I494" i="44" s="1"/>
  <c r="H493" i="44"/>
  <c r="I493" i="44" s="1"/>
  <c r="H492" i="44"/>
  <c r="I492" i="44" s="1"/>
  <c r="H491" i="44"/>
  <c r="I491" i="44" s="1"/>
  <c r="H490" i="44"/>
  <c r="I490" i="44" s="1"/>
  <c r="H489" i="44"/>
  <c r="I489" i="44" s="1"/>
  <c r="H488" i="44"/>
  <c r="I488" i="44" s="1"/>
  <c r="H487" i="44"/>
  <c r="I487" i="44" s="1"/>
  <c r="H486" i="44"/>
  <c r="H485" i="44"/>
  <c r="I485" i="44" s="1"/>
  <c r="H484" i="44"/>
  <c r="I484" i="44" s="1"/>
  <c r="H483" i="44"/>
  <c r="I483" i="44" s="1"/>
  <c r="H482" i="44"/>
  <c r="I482" i="44" s="1"/>
  <c r="H481" i="44"/>
  <c r="I481" i="44" s="1"/>
  <c r="H480" i="44"/>
  <c r="I480" i="44" s="1"/>
  <c r="H479" i="44"/>
  <c r="I479" i="44" s="1"/>
  <c r="H478" i="44"/>
  <c r="I478" i="44" s="1"/>
  <c r="H477" i="44"/>
  <c r="I477" i="44" s="1"/>
  <c r="H476" i="44"/>
  <c r="I476" i="44" s="1"/>
  <c r="H475" i="44"/>
  <c r="K475" i="44" s="1"/>
  <c r="H470" i="44"/>
  <c r="I470" i="44" s="1"/>
  <c r="H469" i="44"/>
  <c r="H468" i="44"/>
  <c r="H467" i="44"/>
  <c r="I467" i="44" s="1"/>
  <c r="H466" i="44"/>
  <c r="H465" i="44"/>
  <c r="H464" i="44"/>
  <c r="I464" i="44" s="1"/>
  <c r="H463" i="44"/>
  <c r="H462" i="44"/>
  <c r="H461" i="44"/>
  <c r="I461" i="44" s="1"/>
  <c r="H460" i="44"/>
  <c r="H459" i="44"/>
  <c r="I459" i="44" s="1"/>
  <c r="H458" i="44"/>
  <c r="I458" i="44" s="1"/>
  <c r="H457" i="44"/>
  <c r="H456" i="44"/>
  <c r="I456" i="44" s="1"/>
  <c r="H455" i="44"/>
  <c r="I455" i="44" s="1"/>
  <c r="H454" i="44"/>
  <c r="H453" i="44"/>
  <c r="I453" i="44" s="1"/>
  <c r="H452" i="44"/>
  <c r="I452" i="44" s="1"/>
  <c r="H451" i="44"/>
  <c r="H450" i="44"/>
  <c r="I450" i="44" s="1"/>
  <c r="H449" i="44"/>
  <c r="I449" i="44" s="1"/>
  <c r="H448" i="44"/>
  <c r="H447" i="44"/>
  <c r="I447" i="44" s="1"/>
  <c r="H446" i="44"/>
  <c r="I446" i="44" s="1"/>
  <c r="H445" i="44"/>
  <c r="H440" i="44"/>
  <c r="I440" i="44" s="1"/>
  <c r="H439" i="44"/>
  <c r="H438" i="44"/>
  <c r="I438" i="44" s="1"/>
  <c r="H437" i="44"/>
  <c r="I437" i="44" s="1"/>
  <c r="H436" i="44"/>
  <c r="H435" i="44"/>
  <c r="I435" i="44" s="1"/>
  <c r="H434" i="44"/>
  <c r="I434" i="44" s="1"/>
  <c r="H433" i="44"/>
  <c r="H432" i="44"/>
  <c r="I432" i="44" s="1"/>
  <c r="H431" i="44"/>
  <c r="I431" i="44" s="1"/>
  <c r="H430" i="44"/>
  <c r="I430" i="44" s="1"/>
  <c r="H429" i="44"/>
  <c r="I429" i="44" s="1"/>
  <c r="H428" i="44"/>
  <c r="I428" i="44" s="1"/>
  <c r="H427" i="44"/>
  <c r="H426" i="44"/>
  <c r="I426" i="44" s="1"/>
  <c r="H425" i="44"/>
  <c r="I425" i="44" s="1"/>
  <c r="H424" i="44"/>
  <c r="H423" i="44"/>
  <c r="I423" i="44" s="1"/>
  <c r="H422" i="44"/>
  <c r="I422" i="44" s="1"/>
  <c r="H421" i="44"/>
  <c r="H420" i="44"/>
  <c r="I420" i="44" s="1"/>
  <c r="H419" i="44"/>
  <c r="I419" i="44" s="1"/>
  <c r="H418" i="44"/>
  <c r="H417" i="44"/>
  <c r="I417" i="44" s="1"/>
  <c r="H416" i="44"/>
  <c r="I416" i="44" s="1"/>
  <c r="H415" i="44"/>
  <c r="K415" i="44" s="1"/>
  <c r="H410" i="44"/>
  <c r="I410" i="44" s="1"/>
  <c r="H409" i="44"/>
  <c r="I409" i="44" s="1"/>
  <c r="H408" i="44"/>
  <c r="I408" i="44" s="1"/>
  <c r="H407" i="44"/>
  <c r="I407" i="44" s="1"/>
  <c r="H406" i="44"/>
  <c r="H405" i="44"/>
  <c r="I405" i="44" s="1"/>
  <c r="H404" i="44"/>
  <c r="I404" i="44" s="1"/>
  <c r="H403" i="44"/>
  <c r="I403" i="44" s="1"/>
  <c r="H402" i="44"/>
  <c r="I402" i="44" s="1"/>
  <c r="H401" i="44"/>
  <c r="I401" i="44" s="1"/>
  <c r="H400" i="44"/>
  <c r="I400" i="44" s="1"/>
  <c r="H399" i="44"/>
  <c r="I399" i="44" s="1"/>
  <c r="H398" i="44"/>
  <c r="I398" i="44" s="1"/>
  <c r="H397" i="44"/>
  <c r="I397" i="44" s="1"/>
  <c r="H396" i="44"/>
  <c r="I396" i="44" s="1"/>
  <c r="H395" i="44"/>
  <c r="I395" i="44" s="1"/>
  <c r="H394" i="44"/>
  <c r="I394" i="44" s="1"/>
  <c r="H393" i="44"/>
  <c r="I393" i="44" s="1"/>
  <c r="H392" i="44"/>
  <c r="I392" i="44" s="1"/>
  <c r="H391" i="44"/>
  <c r="I391" i="44" s="1"/>
  <c r="H390" i="44"/>
  <c r="I390" i="44" s="1"/>
  <c r="H389" i="44"/>
  <c r="I389" i="44" s="1"/>
  <c r="H388" i="44"/>
  <c r="I388" i="44" s="1"/>
  <c r="H387" i="44"/>
  <c r="I387" i="44" s="1"/>
  <c r="H386" i="44"/>
  <c r="I386" i="44" s="1"/>
  <c r="H385" i="44"/>
  <c r="H380" i="44"/>
  <c r="I380" i="44" s="1"/>
  <c r="H379" i="44"/>
  <c r="H378" i="44"/>
  <c r="I378" i="44" s="1"/>
  <c r="H377" i="44"/>
  <c r="I377" i="44" s="1"/>
  <c r="H376" i="44"/>
  <c r="H375" i="44"/>
  <c r="I375" i="44" s="1"/>
  <c r="H374" i="44"/>
  <c r="I374" i="44" s="1"/>
  <c r="H373" i="44"/>
  <c r="H372" i="44"/>
  <c r="I372" i="44" s="1"/>
  <c r="H371" i="44"/>
  <c r="I371" i="44" s="1"/>
  <c r="H370" i="44"/>
  <c r="H369" i="44"/>
  <c r="I369" i="44" s="1"/>
  <c r="H368" i="44"/>
  <c r="I368" i="44" s="1"/>
  <c r="H367" i="44"/>
  <c r="H366" i="44"/>
  <c r="I366" i="44" s="1"/>
  <c r="H365" i="44"/>
  <c r="I365" i="44" s="1"/>
  <c r="H364" i="44"/>
  <c r="H363" i="44"/>
  <c r="I363" i="44" s="1"/>
  <c r="H362" i="44"/>
  <c r="I362" i="44" s="1"/>
  <c r="H361" i="44"/>
  <c r="H360" i="44"/>
  <c r="I360" i="44" s="1"/>
  <c r="H359" i="44"/>
  <c r="I359" i="44" s="1"/>
  <c r="H358" i="44"/>
  <c r="H357" i="44"/>
  <c r="I357" i="44" s="1"/>
  <c r="H356" i="44"/>
  <c r="I356" i="44" s="1"/>
  <c r="H355" i="44"/>
  <c r="H350" i="44"/>
  <c r="I350" i="44" s="1"/>
  <c r="H349" i="44"/>
  <c r="H348" i="44"/>
  <c r="I348" i="44" s="1"/>
  <c r="H347" i="44"/>
  <c r="I347" i="44" s="1"/>
  <c r="H346" i="44"/>
  <c r="H345" i="44"/>
  <c r="I345" i="44" s="1"/>
  <c r="H344" i="44"/>
  <c r="I344" i="44" s="1"/>
  <c r="H343" i="44"/>
  <c r="H342" i="44"/>
  <c r="I342" i="44" s="1"/>
  <c r="H341" i="44"/>
  <c r="I341" i="44" s="1"/>
  <c r="H340" i="44"/>
  <c r="H339" i="44"/>
  <c r="I339" i="44" s="1"/>
  <c r="H338" i="44"/>
  <c r="I338" i="44" s="1"/>
  <c r="H337" i="44"/>
  <c r="H336" i="44"/>
  <c r="I336" i="44" s="1"/>
  <c r="H335" i="44"/>
  <c r="I335" i="44" s="1"/>
  <c r="H334" i="44"/>
  <c r="H333" i="44"/>
  <c r="I333" i="44" s="1"/>
  <c r="H332" i="44"/>
  <c r="I332" i="44" s="1"/>
  <c r="H331" i="44"/>
  <c r="H330" i="44"/>
  <c r="I330" i="44" s="1"/>
  <c r="H329" i="44"/>
  <c r="I329" i="44" s="1"/>
  <c r="H328" i="44"/>
  <c r="I328" i="44" s="1"/>
  <c r="H327" i="44"/>
  <c r="I327" i="44" s="1"/>
  <c r="H326" i="44"/>
  <c r="I326" i="44" s="1"/>
  <c r="H325" i="44"/>
  <c r="K325" i="44" s="1"/>
  <c r="H320" i="44"/>
  <c r="I320" i="44" s="1"/>
  <c r="H319" i="44"/>
  <c r="H318" i="44"/>
  <c r="H317" i="44"/>
  <c r="I317" i="44" s="1"/>
  <c r="H316" i="44"/>
  <c r="H315" i="44"/>
  <c r="H314" i="44"/>
  <c r="I314" i="44" s="1"/>
  <c r="H313" i="44"/>
  <c r="I313" i="44" s="1"/>
  <c r="H312" i="44"/>
  <c r="I312" i="44" s="1"/>
  <c r="H311" i="44"/>
  <c r="I311" i="44" s="1"/>
  <c r="H310" i="44"/>
  <c r="I310" i="44" s="1"/>
  <c r="H309" i="44"/>
  <c r="I309" i="44" s="1"/>
  <c r="H308" i="44"/>
  <c r="I308" i="44" s="1"/>
  <c r="H307" i="44"/>
  <c r="H306" i="44"/>
  <c r="I306" i="44" s="1"/>
  <c r="H305" i="44"/>
  <c r="I305" i="44" s="1"/>
  <c r="H304" i="44"/>
  <c r="H303" i="44"/>
  <c r="I303" i="44" s="1"/>
  <c r="H302" i="44"/>
  <c r="I302" i="44" s="1"/>
  <c r="H301" i="44"/>
  <c r="H300" i="44"/>
  <c r="I300" i="44" s="1"/>
  <c r="H299" i="44"/>
  <c r="I299" i="44" s="1"/>
  <c r="H298" i="44"/>
  <c r="H297" i="44"/>
  <c r="I297" i="44" s="1"/>
  <c r="H296" i="44"/>
  <c r="I296" i="44" s="1"/>
  <c r="H295" i="44"/>
  <c r="H290" i="44"/>
  <c r="I290" i="44" s="1"/>
  <c r="H289" i="44"/>
  <c r="I289" i="44" s="1"/>
  <c r="H288" i="44"/>
  <c r="H287" i="44"/>
  <c r="I287" i="44" s="1"/>
  <c r="H286" i="44"/>
  <c r="I286" i="44" s="1"/>
  <c r="H285" i="44"/>
  <c r="I285" i="44" s="1"/>
  <c r="H284" i="44"/>
  <c r="I284" i="44" s="1"/>
  <c r="H283" i="44"/>
  <c r="I283" i="44" s="1"/>
  <c r="H282" i="44"/>
  <c r="I282" i="44" s="1"/>
  <c r="H281" i="44"/>
  <c r="I281" i="44" s="1"/>
  <c r="H280" i="44"/>
  <c r="I280" i="44" s="1"/>
  <c r="H279" i="44"/>
  <c r="I279" i="44" s="1"/>
  <c r="H278" i="44"/>
  <c r="I278" i="44" s="1"/>
  <c r="H277" i="44"/>
  <c r="I277" i="44" s="1"/>
  <c r="H276" i="44"/>
  <c r="I276" i="44" s="1"/>
  <c r="H275" i="44"/>
  <c r="I275" i="44" s="1"/>
  <c r="H274" i="44"/>
  <c r="I274" i="44" s="1"/>
  <c r="H273" i="44"/>
  <c r="I273" i="44" s="1"/>
  <c r="H272" i="44"/>
  <c r="I272" i="44" s="1"/>
  <c r="H271" i="44"/>
  <c r="I271" i="44" s="1"/>
  <c r="H270" i="44"/>
  <c r="I270" i="44" s="1"/>
  <c r="H269" i="44"/>
  <c r="I269" i="44" s="1"/>
  <c r="H268" i="44"/>
  <c r="I268" i="44" s="1"/>
  <c r="H267" i="44"/>
  <c r="H266" i="44"/>
  <c r="I266" i="44" s="1"/>
  <c r="H265" i="44"/>
  <c r="H260" i="44"/>
  <c r="I260" i="44" s="1"/>
  <c r="H259" i="44"/>
  <c r="H258" i="44"/>
  <c r="H257" i="44"/>
  <c r="I257" i="44" s="1"/>
  <c r="H256" i="44"/>
  <c r="H255" i="44"/>
  <c r="H254" i="44"/>
  <c r="I254" i="44" s="1"/>
  <c r="H253" i="44"/>
  <c r="H252" i="44"/>
  <c r="H251" i="44"/>
  <c r="I251" i="44" s="1"/>
  <c r="H250" i="44"/>
  <c r="H249" i="44"/>
  <c r="H248" i="44"/>
  <c r="I248" i="44" s="1"/>
  <c r="H247" i="44"/>
  <c r="H246" i="44"/>
  <c r="H245" i="44"/>
  <c r="I245" i="44" s="1"/>
  <c r="H244" i="44"/>
  <c r="H243" i="44"/>
  <c r="H242" i="44"/>
  <c r="I242" i="44" s="1"/>
  <c r="H241" i="44"/>
  <c r="H240" i="44"/>
  <c r="H239" i="44"/>
  <c r="I239" i="44" s="1"/>
  <c r="H238" i="44"/>
  <c r="H237" i="44"/>
  <c r="H236" i="44"/>
  <c r="I236" i="44" s="1"/>
  <c r="H235" i="44"/>
  <c r="L235" i="44" s="1"/>
  <c r="H200" i="44"/>
  <c r="I200" i="44" s="1"/>
  <c r="H199" i="44"/>
  <c r="I199" i="44" s="1"/>
  <c r="H198" i="44"/>
  <c r="I198" i="44" s="1"/>
  <c r="H197" i="44"/>
  <c r="I197" i="44" s="1"/>
  <c r="H196" i="44"/>
  <c r="H195" i="44"/>
  <c r="H194" i="44"/>
  <c r="I194" i="44" s="1"/>
  <c r="H193" i="44"/>
  <c r="I193" i="44" s="1"/>
  <c r="H192" i="44"/>
  <c r="I192" i="44" s="1"/>
  <c r="H191" i="44"/>
  <c r="I191" i="44" s="1"/>
  <c r="H190" i="44"/>
  <c r="H189" i="44"/>
  <c r="H188" i="44"/>
  <c r="I188" i="44" s="1"/>
  <c r="H187" i="44"/>
  <c r="H186" i="44"/>
  <c r="H185" i="44"/>
  <c r="I185" i="44" s="1"/>
  <c r="H184" i="44"/>
  <c r="I184" i="44" s="1"/>
  <c r="H183" i="44"/>
  <c r="I183" i="44" s="1"/>
  <c r="H182" i="44"/>
  <c r="I182" i="44" s="1"/>
  <c r="H181" i="44"/>
  <c r="H180" i="44"/>
  <c r="I180" i="44" s="1"/>
  <c r="H179" i="44"/>
  <c r="I179" i="44" s="1"/>
  <c r="H178" i="44"/>
  <c r="I178" i="44" s="1"/>
  <c r="H177" i="44"/>
  <c r="I177" i="44" s="1"/>
  <c r="H176" i="44"/>
  <c r="I176" i="44" s="1"/>
  <c r="H175" i="44"/>
  <c r="H170" i="44"/>
  <c r="I170" i="44" s="1"/>
  <c r="H169" i="44"/>
  <c r="H168" i="44"/>
  <c r="I168" i="44" s="1"/>
  <c r="H167" i="44"/>
  <c r="I167" i="44" s="1"/>
  <c r="H166" i="44"/>
  <c r="H165" i="44"/>
  <c r="I165" i="44" s="1"/>
  <c r="H164" i="44"/>
  <c r="I164" i="44" s="1"/>
  <c r="H163" i="44"/>
  <c r="H162" i="44"/>
  <c r="I162" i="44" s="1"/>
  <c r="H161" i="44"/>
  <c r="I161" i="44" s="1"/>
  <c r="H160" i="44"/>
  <c r="H159" i="44"/>
  <c r="I159" i="44" s="1"/>
  <c r="H158" i="44"/>
  <c r="I158" i="44" s="1"/>
  <c r="H157" i="44"/>
  <c r="H156" i="44"/>
  <c r="I156" i="44" s="1"/>
  <c r="H155" i="44"/>
  <c r="I155" i="44" s="1"/>
  <c r="H154" i="44"/>
  <c r="H153" i="44"/>
  <c r="I153" i="44" s="1"/>
  <c r="H152" i="44"/>
  <c r="I152" i="44" s="1"/>
  <c r="H151" i="44"/>
  <c r="H150" i="44"/>
  <c r="I150" i="44" s="1"/>
  <c r="H149" i="44"/>
  <c r="I149" i="44" s="1"/>
  <c r="H148" i="44"/>
  <c r="H147" i="44"/>
  <c r="I147" i="44" s="1"/>
  <c r="H146" i="44"/>
  <c r="I146" i="44" s="1"/>
  <c r="H145" i="44"/>
  <c r="H7" i="13"/>
  <c r="L23" i="44" s="1"/>
  <c r="D95" i="44" l="1"/>
  <c r="G95" i="44" s="1"/>
  <c r="D685" i="44" s="1"/>
  <c r="D91" i="44"/>
  <c r="L91" i="44"/>
  <c r="F454" i="44"/>
  <c r="J205" i="44"/>
  <c r="F495" i="44"/>
  <c r="K205" i="44"/>
  <c r="F493" i="44"/>
  <c r="L205" i="44"/>
  <c r="F481" i="44"/>
  <c r="F468" i="44"/>
  <c r="E801" i="44"/>
  <c r="F466" i="44"/>
  <c r="F456" i="44"/>
  <c r="I206" i="44"/>
  <c r="I209" i="44"/>
  <c r="I211" i="44"/>
  <c r="I217" i="44"/>
  <c r="I220" i="44"/>
  <c r="I223" i="44"/>
  <c r="I214" i="44"/>
  <c r="I226" i="44"/>
  <c r="I208" i="44"/>
  <c r="F494" i="44"/>
  <c r="F482" i="44"/>
  <c r="F467" i="44"/>
  <c r="F455" i="44"/>
  <c r="H801" i="44"/>
  <c r="F492" i="44"/>
  <c r="F480" i="44"/>
  <c r="F465" i="44"/>
  <c r="F453" i="44"/>
  <c r="F491" i="44"/>
  <c r="F479" i="44"/>
  <c r="F464" i="44"/>
  <c r="F452" i="44"/>
  <c r="F476" i="44"/>
  <c r="F490" i="44"/>
  <c r="F478" i="44"/>
  <c r="F463" i="44"/>
  <c r="F451" i="44"/>
  <c r="F477" i="44"/>
  <c r="F489" i="44"/>
  <c r="F462" i="44"/>
  <c r="F450" i="44"/>
  <c r="F500" i="44"/>
  <c r="F488" i="44"/>
  <c r="F461" i="44"/>
  <c r="F449" i="44"/>
  <c r="F499" i="44"/>
  <c r="F487" i="44"/>
  <c r="F446" i="44"/>
  <c r="F460" i="44"/>
  <c r="F448" i="44"/>
  <c r="F498" i="44"/>
  <c r="F486" i="44"/>
  <c r="F447" i="44"/>
  <c r="F459" i="44"/>
  <c r="F497" i="44"/>
  <c r="F485" i="44"/>
  <c r="F470" i="44"/>
  <c r="F458" i="44"/>
  <c r="F496" i="44"/>
  <c r="F469" i="44"/>
  <c r="J797" i="44"/>
  <c r="H741" i="44"/>
  <c r="H591" i="44"/>
  <c r="H771" i="44"/>
  <c r="H711" i="44"/>
  <c r="H651" i="44"/>
  <c r="H681" i="44"/>
  <c r="H621" i="44"/>
  <c r="J785" i="44"/>
  <c r="J776" i="44"/>
  <c r="L475" i="44"/>
  <c r="J799" i="44"/>
  <c r="J796" i="44"/>
  <c r="K775" i="44"/>
  <c r="J784" i="44"/>
  <c r="J325" i="44"/>
  <c r="J783" i="44"/>
  <c r="I797" i="44"/>
  <c r="J794" i="44"/>
  <c r="J781" i="44"/>
  <c r="J595" i="44"/>
  <c r="J792" i="44"/>
  <c r="J793" i="44"/>
  <c r="J791" i="44"/>
  <c r="K655" i="44"/>
  <c r="J790" i="44"/>
  <c r="J778" i="44"/>
  <c r="J780" i="44"/>
  <c r="J789" i="44"/>
  <c r="L565" i="44"/>
  <c r="K565" i="44"/>
  <c r="H201" i="44"/>
  <c r="I267" i="44"/>
  <c r="H531" i="44"/>
  <c r="J715" i="44"/>
  <c r="K715" i="44"/>
  <c r="L715" i="44"/>
  <c r="H291" i="44"/>
  <c r="H171" i="44"/>
  <c r="L685" i="44"/>
  <c r="K685" i="44"/>
  <c r="J685" i="44"/>
  <c r="H381" i="44"/>
  <c r="H321" i="44"/>
  <c r="K295" i="44"/>
  <c r="I664" i="44"/>
  <c r="I670" i="44"/>
  <c r="I288" i="44"/>
  <c r="L745" i="44"/>
  <c r="K745" i="44"/>
  <c r="H411" i="44"/>
  <c r="H561" i="44"/>
  <c r="L625" i="44"/>
  <c r="K625" i="44"/>
  <c r="J782" i="44"/>
  <c r="K595" i="44"/>
  <c r="J655" i="44"/>
  <c r="J779" i="44"/>
  <c r="I667" i="44"/>
  <c r="I676" i="44"/>
  <c r="J795" i="44"/>
  <c r="J787" i="44"/>
  <c r="I465" i="44"/>
  <c r="J475" i="44"/>
  <c r="H471" i="44"/>
  <c r="I462" i="44"/>
  <c r="I486" i="44"/>
  <c r="J777" i="44"/>
  <c r="J800" i="44"/>
  <c r="J788" i="44"/>
  <c r="J798" i="44"/>
  <c r="J786" i="44"/>
  <c r="J775" i="44"/>
  <c r="J745" i="44"/>
  <c r="I717" i="44"/>
  <c r="I720" i="44"/>
  <c r="I723" i="44"/>
  <c r="I726" i="44"/>
  <c r="I729" i="44"/>
  <c r="I732" i="44"/>
  <c r="I735" i="44"/>
  <c r="I738" i="44"/>
  <c r="I687" i="44"/>
  <c r="I690" i="44"/>
  <c r="I693" i="44"/>
  <c r="I696" i="44"/>
  <c r="I699" i="44"/>
  <c r="I702" i="44"/>
  <c r="I705" i="44"/>
  <c r="I708" i="44"/>
  <c r="J625" i="44"/>
  <c r="J565" i="44"/>
  <c r="I550" i="44"/>
  <c r="I553" i="44"/>
  <c r="I556" i="44"/>
  <c r="I559" i="44"/>
  <c r="K535" i="44"/>
  <c r="L535" i="44"/>
  <c r="I508" i="44"/>
  <c r="I511" i="44"/>
  <c r="I514" i="44"/>
  <c r="I517" i="44"/>
  <c r="I520" i="44"/>
  <c r="I523" i="44"/>
  <c r="I526" i="44"/>
  <c r="I529" i="44"/>
  <c r="K505" i="44"/>
  <c r="L505" i="44"/>
  <c r="J505" i="44"/>
  <c r="H501" i="44"/>
  <c r="I448" i="44"/>
  <c r="I451" i="44"/>
  <c r="I454" i="44"/>
  <c r="I457" i="44"/>
  <c r="I460" i="44"/>
  <c r="I463" i="44"/>
  <c r="I466" i="44"/>
  <c r="I469" i="44"/>
  <c r="J445" i="44"/>
  <c r="K445" i="44"/>
  <c r="L445" i="44"/>
  <c r="I468" i="44"/>
  <c r="I421" i="44"/>
  <c r="I439" i="44"/>
  <c r="I436" i="44"/>
  <c r="I418" i="44"/>
  <c r="I424" i="44"/>
  <c r="I427" i="44"/>
  <c r="I433" i="44"/>
  <c r="L415" i="44"/>
  <c r="H441" i="44"/>
  <c r="J415" i="44"/>
  <c r="I406" i="44"/>
  <c r="J385" i="44"/>
  <c r="K385" i="44"/>
  <c r="L385" i="44"/>
  <c r="I358" i="44"/>
  <c r="I361" i="44"/>
  <c r="I364" i="44"/>
  <c r="I367" i="44"/>
  <c r="I370" i="44"/>
  <c r="I373" i="44"/>
  <c r="I376" i="44"/>
  <c r="I379" i="44"/>
  <c r="J355" i="44"/>
  <c r="K355" i="44"/>
  <c r="L355" i="44"/>
  <c r="I331" i="44"/>
  <c r="I334" i="44"/>
  <c r="I337" i="44"/>
  <c r="I340" i="44"/>
  <c r="I343" i="44"/>
  <c r="I346" i="44"/>
  <c r="I349" i="44"/>
  <c r="L325" i="44"/>
  <c r="H351" i="44"/>
  <c r="I298" i="44"/>
  <c r="I301" i="44"/>
  <c r="I304" i="44"/>
  <c r="I307" i="44"/>
  <c r="I316" i="44"/>
  <c r="I319" i="44"/>
  <c r="J295" i="44"/>
  <c r="L295" i="44"/>
  <c r="I315" i="44"/>
  <c r="I318" i="44"/>
  <c r="J265" i="44"/>
  <c r="K265" i="44"/>
  <c r="L265" i="44"/>
  <c r="I238" i="44"/>
  <c r="I241" i="44"/>
  <c r="I244" i="44"/>
  <c r="I247" i="44"/>
  <c r="I250" i="44"/>
  <c r="I253" i="44"/>
  <c r="I256" i="44"/>
  <c r="I259" i="44"/>
  <c r="J235" i="44"/>
  <c r="K235" i="44"/>
  <c r="I237" i="44"/>
  <c r="I240" i="44"/>
  <c r="I243" i="44"/>
  <c r="I246" i="44"/>
  <c r="I249" i="44"/>
  <c r="I252" i="44"/>
  <c r="I255" i="44"/>
  <c r="I258" i="44"/>
  <c r="H261" i="44"/>
  <c r="I181" i="44"/>
  <c r="I187" i="44"/>
  <c r="I190" i="44"/>
  <c r="I196" i="44"/>
  <c r="J175" i="44"/>
  <c r="K175" i="44"/>
  <c r="L175" i="44"/>
  <c r="I186" i="44"/>
  <c r="I189" i="44"/>
  <c r="I195" i="44"/>
  <c r="I148" i="44"/>
  <c r="I151" i="44"/>
  <c r="I154" i="44"/>
  <c r="I157" i="44"/>
  <c r="I160" i="44"/>
  <c r="I163" i="44"/>
  <c r="I166" i="44"/>
  <c r="I169" i="44"/>
  <c r="J145" i="44"/>
  <c r="K145" i="44"/>
  <c r="L145" i="44"/>
  <c r="J3" i="7"/>
  <c r="M27" i="44"/>
  <c r="H139" i="44"/>
  <c r="I139" i="44" s="1"/>
  <c r="H138" i="44"/>
  <c r="I138" i="44" s="1"/>
  <c r="H137" i="44"/>
  <c r="I137" i="44" s="1"/>
  <c r="H136" i="44"/>
  <c r="I136" i="44" s="1"/>
  <c r="H135" i="44"/>
  <c r="I135" i="44" s="1"/>
  <c r="H134" i="44"/>
  <c r="I134" i="44" s="1"/>
  <c r="H133" i="44"/>
  <c r="I133" i="44" s="1"/>
  <c r="H132" i="44"/>
  <c r="I132" i="44" s="1"/>
  <c r="H131" i="44"/>
  <c r="I131" i="44" s="1"/>
  <c r="H130" i="44"/>
  <c r="I130" i="44" s="1"/>
  <c r="H129" i="44"/>
  <c r="I129" i="44" s="1"/>
  <c r="H128" i="44"/>
  <c r="I128" i="44" s="1"/>
  <c r="H127" i="44"/>
  <c r="I127" i="44" s="1"/>
  <c r="H126" i="44"/>
  <c r="I126" i="44" s="1"/>
  <c r="H125" i="44"/>
  <c r="I125" i="44" s="1"/>
  <c r="H124" i="44"/>
  <c r="I124" i="44" s="1"/>
  <c r="H123" i="44"/>
  <c r="I123" i="44" s="1"/>
  <c r="H122" i="44"/>
  <c r="I122" i="44" s="1"/>
  <c r="H121" i="44"/>
  <c r="I121" i="44" s="1"/>
  <c r="H120" i="44"/>
  <c r="I120" i="44" s="1"/>
  <c r="H119" i="44"/>
  <c r="I119" i="44" s="1"/>
  <c r="H118" i="44"/>
  <c r="I118" i="44" s="1"/>
  <c r="H117" i="44"/>
  <c r="I117" i="44" s="1"/>
  <c r="H116" i="44"/>
  <c r="I116" i="44" s="1"/>
  <c r="H115" i="44"/>
  <c r="H114" i="44"/>
  <c r="J114" i="44" s="1"/>
  <c r="D108" i="44"/>
  <c r="C107" i="44"/>
  <c r="D104" i="44"/>
  <c r="C103" i="44"/>
  <c r="D100" i="44"/>
  <c r="C99" i="44"/>
  <c r="D96" i="44"/>
  <c r="I95" i="44"/>
  <c r="H95" i="44"/>
  <c r="D92" i="44"/>
  <c r="I91" i="44"/>
  <c r="H91" i="44"/>
  <c r="C91" i="44"/>
  <c r="D88" i="44"/>
  <c r="I87" i="44"/>
  <c r="H87" i="44"/>
  <c r="C87" i="44"/>
  <c r="D84" i="44"/>
  <c r="I83" i="44"/>
  <c r="H83" i="44"/>
  <c r="C83" i="44"/>
  <c r="D76" i="44"/>
  <c r="I75" i="44"/>
  <c r="H75" i="44"/>
  <c r="C75" i="44"/>
  <c r="D72" i="44"/>
  <c r="I71" i="44"/>
  <c r="H71" i="44"/>
  <c r="C71" i="44"/>
  <c r="D68" i="44"/>
  <c r="I67" i="44"/>
  <c r="C67" i="44"/>
  <c r="D64" i="44"/>
  <c r="I63" i="44"/>
  <c r="C63" i="44"/>
  <c r="D60" i="44"/>
  <c r="I59" i="44"/>
  <c r="H59" i="44"/>
  <c r="C59" i="44"/>
  <c r="D56" i="44"/>
  <c r="M55" i="44"/>
  <c r="I55" i="44"/>
  <c r="H55" i="44"/>
  <c r="C55" i="44"/>
  <c r="D52" i="44"/>
  <c r="I51" i="44"/>
  <c r="H51" i="44"/>
  <c r="C51" i="44"/>
  <c r="D48" i="44"/>
  <c r="I47" i="44"/>
  <c r="H47" i="44"/>
  <c r="C47" i="44"/>
  <c r="D44" i="44"/>
  <c r="I43" i="44"/>
  <c r="H43" i="44"/>
  <c r="C43" i="44"/>
  <c r="D40" i="44"/>
  <c r="I39" i="44"/>
  <c r="H39" i="44"/>
  <c r="C39" i="44"/>
  <c r="D36" i="44"/>
  <c r="M35" i="44"/>
  <c r="L35" i="44" s="1"/>
  <c r="I35" i="44"/>
  <c r="H35" i="44"/>
  <c r="C35" i="44"/>
  <c r="D32" i="44"/>
  <c r="M31" i="44"/>
  <c r="I31" i="44"/>
  <c r="H31" i="44"/>
  <c r="C31" i="44"/>
  <c r="D28" i="44"/>
  <c r="I27" i="44"/>
  <c r="H27" i="44"/>
  <c r="C27" i="44"/>
  <c r="D24" i="44"/>
  <c r="H23" i="44"/>
  <c r="F23" i="44"/>
  <c r="C23" i="44"/>
  <c r="D18" i="44"/>
  <c r="F35" i="44" s="1"/>
  <c r="L75" i="44"/>
  <c r="I99" i="13"/>
  <c r="H48" i="13"/>
  <c r="C48" i="13"/>
  <c r="H38" i="13"/>
  <c r="C8" i="13"/>
  <c r="C38" i="13"/>
  <c r="H39" i="13"/>
  <c r="C39" i="13"/>
  <c r="O59" i="13"/>
  <c r="I66" i="13"/>
  <c r="I76" i="13"/>
  <c r="C76" i="13"/>
  <c r="C13" i="14"/>
  <c r="D13" i="14"/>
  <c r="C11" i="14"/>
  <c r="D11" i="14"/>
  <c r="L31" i="44" l="1"/>
  <c r="D31" i="44"/>
  <c r="G31" i="44" s="1"/>
  <c r="D27" i="44"/>
  <c r="C11" i="13"/>
  <c r="D99" i="44"/>
  <c r="D55" i="44"/>
  <c r="L55" i="44"/>
  <c r="D35" i="44"/>
  <c r="K224" i="44"/>
  <c r="K214" i="44"/>
  <c r="K230" i="44"/>
  <c r="K209" i="44"/>
  <c r="K221" i="44"/>
  <c r="K223" i="44"/>
  <c r="K219" i="44"/>
  <c r="K228" i="44"/>
  <c r="K212" i="44"/>
  <c r="K225" i="44"/>
  <c r="K229" i="44"/>
  <c r="K208" i="44"/>
  <c r="K222" i="44"/>
  <c r="K215" i="44"/>
  <c r="K207" i="44"/>
  <c r="K218" i="44"/>
  <c r="K211" i="44"/>
  <c r="K217" i="44"/>
  <c r="K210" i="44"/>
  <c r="M71" i="44"/>
  <c r="L71" i="44" s="1"/>
  <c r="F67" i="44"/>
  <c r="F59" i="44"/>
  <c r="F542" i="44"/>
  <c r="F554" i="44"/>
  <c r="F543" i="44"/>
  <c r="F555" i="44"/>
  <c r="F544" i="44"/>
  <c r="F556" i="44"/>
  <c r="F545" i="44"/>
  <c r="F557" i="44"/>
  <c r="F546" i="44"/>
  <c r="F558" i="44"/>
  <c r="F547" i="44"/>
  <c r="F559" i="44"/>
  <c r="F548" i="44"/>
  <c r="F560" i="44"/>
  <c r="F549" i="44"/>
  <c r="F537" i="44"/>
  <c r="F538" i="44"/>
  <c r="F550" i="44"/>
  <c r="F536" i="44"/>
  <c r="F539" i="44"/>
  <c r="F551" i="44"/>
  <c r="F540" i="44"/>
  <c r="F552" i="44"/>
  <c r="F541" i="44"/>
  <c r="F553" i="44"/>
  <c r="F698" i="44"/>
  <c r="F710" i="44"/>
  <c r="F699" i="44"/>
  <c r="F687" i="44"/>
  <c r="F688" i="44"/>
  <c r="F700" i="44"/>
  <c r="F686" i="44"/>
  <c r="F689" i="44"/>
  <c r="F701" i="44"/>
  <c r="F690" i="44"/>
  <c r="F702" i="44"/>
  <c r="F691" i="44"/>
  <c r="F703" i="44"/>
  <c r="F692" i="44"/>
  <c r="F704" i="44"/>
  <c r="F693" i="44"/>
  <c r="F705" i="44"/>
  <c r="F694" i="44"/>
  <c r="F706" i="44"/>
  <c r="F695" i="44"/>
  <c r="F707" i="44"/>
  <c r="F696" i="44"/>
  <c r="F708" i="44"/>
  <c r="F697" i="44"/>
  <c r="F709" i="44"/>
  <c r="F635" i="44"/>
  <c r="F647" i="44"/>
  <c r="F636" i="44"/>
  <c r="F648" i="44"/>
  <c r="F637" i="44"/>
  <c r="F649" i="44"/>
  <c r="F638" i="44"/>
  <c r="F650" i="44"/>
  <c r="F639" i="44"/>
  <c r="F627" i="44"/>
  <c r="F628" i="44"/>
  <c r="F640" i="44"/>
  <c r="F626" i="44"/>
  <c r="F629" i="44"/>
  <c r="F641" i="44"/>
  <c r="F630" i="44"/>
  <c r="F642" i="44"/>
  <c r="F631" i="44"/>
  <c r="F643" i="44"/>
  <c r="F632" i="44"/>
  <c r="F644" i="44"/>
  <c r="F633" i="44"/>
  <c r="F645" i="44"/>
  <c r="F634" i="44"/>
  <c r="F646" i="44"/>
  <c r="F575" i="44"/>
  <c r="F579" i="44"/>
  <c r="F566" i="44"/>
  <c r="F567" i="44"/>
  <c r="F580" i="44"/>
  <c r="F568" i="44"/>
  <c r="F581" i="44"/>
  <c r="F588" i="44"/>
  <c r="F569" i="44"/>
  <c r="F582" i="44"/>
  <c r="F570" i="44"/>
  <c r="F583" i="44"/>
  <c r="F571" i="44"/>
  <c r="F584" i="44"/>
  <c r="F572" i="44"/>
  <c r="F585" i="44"/>
  <c r="F573" i="44"/>
  <c r="F586" i="44"/>
  <c r="F574" i="44"/>
  <c r="F587" i="44"/>
  <c r="F576" i="44"/>
  <c r="F577" i="44"/>
  <c r="F589" i="44"/>
  <c r="F578" i="44"/>
  <c r="F590" i="44"/>
  <c r="J801" i="44"/>
  <c r="F508" i="44"/>
  <c r="F520" i="44"/>
  <c r="F506" i="44"/>
  <c r="F509" i="44"/>
  <c r="F521" i="44"/>
  <c r="F510" i="44"/>
  <c r="F522" i="44"/>
  <c r="F511" i="44"/>
  <c r="F523" i="44"/>
  <c r="F512" i="44"/>
  <c r="F524" i="44"/>
  <c r="F513" i="44"/>
  <c r="F525" i="44"/>
  <c r="F514" i="44"/>
  <c r="F526" i="44"/>
  <c r="F515" i="44"/>
  <c r="F527" i="44"/>
  <c r="F516" i="44"/>
  <c r="F528" i="44"/>
  <c r="F517" i="44"/>
  <c r="F529" i="44"/>
  <c r="F518" i="44"/>
  <c r="F530" i="44"/>
  <c r="F519" i="44"/>
  <c r="F507" i="44"/>
  <c r="F660" i="44"/>
  <c r="F672" i="44"/>
  <c r="F661" i="44"/>
  <c r="F673" i="44"/>
  <c r="F662" i="44"/>
  <c r="F674" i="44"/>
  <c r="F663" i="44"/>
  <c r="F675" i="44"/>
  <c r="F664" i="44"/>
  <c r="F676" i="44"/>
  <c r="F665" i="44"/>
  <c r="F677" i="44"/>
  <c r="F666" i="44"/>
  <c r="F678" i="44"/>
  <c r="F667" i="44"/>
  <c r="F679" i="44"/>
  <c r="F668" i="44"/>
  <c r="F680" i="44"/>
  <c r="F669" i="44"/>
  <c r="F657" i="44"/>
  <c r="F658" i="44"/>
  <c r="F670" i="44"/>
  <c r="F656" i="44"/>
  <c r="F659" i="44"/>
  <c r="F671" i="44"/>
  <c r="F608" i="44"/>
  <c r="F620" i="44"/>
  <c r="F609" i="44"/>
  <c r="F597" i="44"/>
  <c r="F598" i="44"/>
  <c r="F610" i="44"/>
  <c r="F596" i="44"/>
  <c r="F599" i="44"/>
  <c r="F611" i="44"/>
  <c r="F605" i="44"/>
  <c r="F600" i="44"/>
  <c r="F612" i="44"/>
  <c r="F601" i="44"/>
  <c r="F613" i="44"/>
  <c r="F617" i="44"/>
  <c r="F602" i="44"/>
  <c r="F614" i="44"/>
  <c r="F603" i="44"/>
  <c r="F615" i="44"/>
  <c r="F604" i="44"/>
  <c r="F616" i="44"/>
  <c r="F606" i="44"/>
  <c r="F618" i="44"/>
  <c r="F607" i="44"/>
  <c r="F619" i="44"/>
  <c r="L114" i="44"/>
  <c r="K114" i="44"/>
  <c r="H140" i="44"/>
  <c r="F75" i="44"/>
  <c r="M59" i="44"/>
  <c r="L59" i="44" s="1"/>
  <c r="M67" i="44"/>
  <c r="L67" i="44" s="1"/>
  <c r="L27" i="44"/>
  <c r="M63" i="44"/>
  <c r="D63" i="44" s="1"/>
  <c r="F91" i="44"/>
  <c r="K95" i="44"/>
  <c r="J95" i="44"/>
  <c r="M51" i="44"/>
  <c r="L51" i="44" s="1"/>
  <c r="I115" i="44"/>
  <c r="F99" i="44"/>
  <c r="M43" i="44"/>
  <c r="D43" i="44" s="1"/>
  <c r="M47" i="44"/>
  <c r="D47" i="44" s="1"/>
  <c r="M39" i="44"/>
  <c r="L39" i="44" s="1"/>
  <c r="G99" i="44" l="1"/>
  <c r="D23" i="44"/>
  <c r="D71" i="44"/>
  <c r="D51" i="44"/>
  <c r="D39" i="44"/>
  <c r="G91" i="44"/>
  <c r="D655" i="44" s="1"/>
  <c r="G35" i="44"/>
  <c r="D235" i="44" s="1"/>
  <c r="D715" i="44"/>
  <c r="K206" i="44"/>
  <c r="D565" i="44"/>
  <c r="E686" i="44"/>
  <c r="E697" i="44"/>
  <c r="E709" i="44"/>
  <c r="E698" i="44"/>
  <c r="E710" i="44"/>
  <c r="E699" i="44"/>
  <c r="E688" i="44"/>
  <c r="E700" i="44"/>
  <c r="E689" i="44"/>
  <c r="E701" i="44"/>
  <c r="E690" i="44"/>
  <c r="E702" i="44"/>
  <c r="E691" i="44"/>
  <c r="E703" i="44"/>
  <c r="E692" i="44"/>
  <c r="E704" i="44"/>
  <c r="E693" i="44"/>
  <c r="E705" i="44"/>
  <c r="E694" i="44"/>
  <c r="E706" i="44"/>
  <c r="E695" i="44"/>
  <c r="E707" i="44"/>
  <c r="E687" i="44"/>
  <c r="E696" i="44"/>
  <c r="E708" i="44"/>
  <c r="K660" i="44"/>
  <c r="K498" i="44"/>
  <c r="K469" i="44"/>
  <c r="K457" i="44"/>
  <c r="K440" i="44"/>
  <c r="K428" i="44"/>
  <c r="K399" i="44"/>
  <c r="K387" i="44"/>
  <c r="K358" i="44"/>
  <c r="K341" i="44"/>
  <c r="K312" i="44"/>
  <c r="K300" i="44"/>
  <c r="K271" i="44"/>
  <c r="K254" i="44"/>
  <c r="K242" i="44"/>
  <c r="K154" i="44"/>
  <c r="K120" i="44"/>
  <c r="K132" i="44"/>
  <c r="K138" i="44"/>
  <c r="K259" i="44"/>
  <c r="K147" i="44"/>
  <c r="K584" i="44"/>
  <c r="K485" i="44"/>
  <c r="K468" i="44"/>
  <c r="K439" i="44"/>
  <c r="K427" i="44"/>
  <c r="K410" i="44"/>
  <c r="K398" i="44"/>
  <c r="K369" i="44"/>
  <c r="K357" i="44"/>
  <c r="K328" i="44"/>
  <c r="K299" i="44"/>
  <c r="K282" i="44"/>
  <c r="K270" i="44"/>
  <c r="K253" i="44"/>
  <c r="K241" i="44"/>
  <c r="K194" i="44"/>
  <c r="K182" i="44"/>
  <c r="K121" i="44"/>
  <c r="K133" i="44"/>
  <c r="K148" i="44"/>
  <c r="K392" i="44"/>
  <c r="K288" i="44"/>
  <c r="K159" i="44"/>
  <c r="K525" i="44"/>
  <c r="K484" i="44"/>
  <c r="K455" i="44"/>
  <c r="K438" i="44"/>
  <c r="K409" i="44"/>
  <c r="K380" i="44"/>
  <c r="K368" i="44"/>
  <c r="K339" i="44"/>
  <c r="K327" i="44"/>
  <c r="K298" i="44"/>
  <c r="K281" i="44"/>
  <c r="K269" i="44"/>
  <c r="K252" i="44"/>
  <c r="K240" i="44"/>
  <c r="K193" i="44"/>
  <c r="K164" i="44"/>
  <c r="K152" i="44"/>
  <c r="K134" i="44"/>
  <c r="K126" i="44"/>
  <c r="K433" i="44"/>
  <c r="K334" i="44"/>
  <c r="K200" i="44"/>
  <c r="K274" i="44"/>
  <c r="K628" i="44"/>
  <c r="K524" i="44"/>
  <c r="K425" i="44"/>
  <c r="K408" i="44"/>
  <c r="K379" i="44"/>
  <c r="K350" i="44"/>
  <c r="K338" i="44"/>
  <c r="K309" i="44"/>
  <c r="K297" i="44"/>
  <c r="K268" i="44"/>
  <c r="K192" i="44"/>
  <c r="K180" i="44"/>
  <c r="K163" i="44"/>
  <c r="K151" i="44"/>
  <c r="K123" i="44"/>
  <c r="K177" i="44"/>
  <c r="K735" i="44"/>
  <c r="K755" i="44"/>
  <c r="K668" i="44"/>
  <c r="K569" i="44"/>
  <c r="K494" i="44"/>
  <c r="K482" i="44"/>
  <c r="K465" i="44"/>
  <c r="K424" i="44"/>
  <c r="K395" i="44"/>
  <c r="K378" i="44"/>
  <c r="K349" i="44"/>
  <c r="K337" i="44"/>
  <c r="K320" i="44"/>
  <c r="K279" i="44"/>
  <c r="K267" i="44"/>
  <c r="K238" i="44"/>
  <c r="K179" i="44"/>
  <c r="K162" i="44"/>
  <c r="K150" i="44"/>
  <c r="K124" i="44"/>
  <c r="K752" i="44"/>
  <c r="K450" i="44"/>
  <c r="K315" i="44"/>
  <c r="K725" i="44"/>
  <c r="K609" i="44"/>
  <c r="K597" i="44"/>
  <c r="K522" i="44"/>
  <c r="K510" i="44"/>
  <c r="K493" i="44"/>
  <c r="K481" i="44"/>
  <c r="K464" i="44"/>
  <c r="K452" i="44"/>
  <c r="K435" i="44"/>
  <c r="K394" i="44"/>
  <c r="K365" i="44"/>
  <c r="K348" i="44"/>
  <c r="K319" i="44"/>
  <c r="K307" i="44"/>
  <c r="K290" i="44"/>
  <c r="K278" i="44"/>
  <c r="K249" i="44"/>
  <c r="K237" i="44"/>
  <c r="K178" i="44"/>
  <c r="K161" i="44"/>
  <c r="K149" i="44"/>
  <c r="K137" i="44"/>
  <c r="K139" i="44"/>
  <c r="K198" i="44"/>
  <c r="K795" i="44"/>
  <c r="K620" i="44"/>
  <c r="K608" i="44"/>
  <c r="K538" i="44"/>
  <c r="K521" i="44"/>
  <c r="K509" i="44"/>
  <c r="K492" i="44"/>
  <c r="K480" i="44"/>
  <c r="K422" i="44"/>
  <c r="K405" i="44"/>
  <c r="K364" i="44"/>
  <c r="K335" i="44"/>
  <c r="K318" i="44"/>
  <c r="K289" i="44"/>
  <c r="K277" i="44"/>
  <c r="K260" i="44"/>
  <c r="K248" i="44"/>
  <c r="K189" i="44"/>
  <c r="K619" i="44"/>
  <c r="K578" i="44"/>
  <c r="K508" i="44"/>
  <c r="K421" i="44"/>
  <c r="K305" i="44"/>
  <c r="K344" i="44"/>
  <c r="K549" i="44"/>
  <c r="K479" i="44"/>
  <c r="K404" i="44"/>
  <c r="K247" i="44"/>
  <c r="K127" i="44"/>
  <c r="K722" i="44"/>
  <c r="K664" i="44"/>
  <c r="K635" i="44"/>
  <c r="K519" i="44"/>
  <c r="K507" i="44"/>
  <c r="K478" i="44"/>
  <c r="K461" i="44"/>
  <c r="K449" i="44"/>
  <c r="K432" i="44"/>
  <c r="K420" i="44"/>
  <c r="K403" i="44"/>
  <c r="K391" i="44"/>
  <c r="K374" i="44"/>
  <c r="K362" i="44"/>
  <c r="K345" i="44"/>
  <c r="K304" i="44"/>
  <c r="K275" i="44"/>
  <c r="K258" i="44"/>
  <c r="K199" i="44"/>
  <c r="K187" i="44"/>
  <c r="K170" i="44"/>
  <c r="K158" i="44"/>
  <c r="K128" i="44"/>
  <c r="K116" i="44"/>
  <c r="K733" i="44"/>
  <c r="K692" i="44"/>
  <c r="K675" i="44"/>
  <c r="K588" i="44"/>
  <c r="K559" i="44"/>
  <c r="K530" i="44"/>
  <c r="K477" i="44"/>
  <c r="K448" i="44"/>
  <c r="K419" i="44"/>
  <c r="K332" i="44"/>
  <c r="K169" i="44"/>
  <c r="K117" i="44"/>
  <c r="K721" i="44"/>
  <c r="K634" i="44"/>
  <c r="K605" i="44"/>
  <c r="K518" i="44"/>
  <c r="K489" i="44"/>
  <c r="K431" i="44"/>
  <c r="K402" i="44"/>
  <c r="K373" i="44"/>
  <c r="K245" i="44"/>
  <c r="K157" i="44"/>
  <c r="K791" i="44"/>
  <c r="K761" i="44"/>
  <c r="K662" i="44"/>
  <c r="K575" i="44"/>
  <c r="K529" i="44"/>
  <c r="K517" i="44"/>
  <c r="K500" i="44"/>
  <c r="K488" i="44"/>
  <c r="K447" i="44"/>
  <c r="K418" i="44"/>
  <c r="K401" i="44"/>
  <c r="K389" i="44"/>
  <c r="K372" i="44"/>
  <c r="K360" i="44"/>
  <c r="K343" i="44"/>
  <c r="K331" i="44"/>
  <c r="K314" i="44"/>
  <c r="K302" i="44"/>
  <c r="K285" i="44"/>
  <c r="K244" i="44"/>
  <c r="K185" i="44"/>
  <c r="K168" i="44"/>
  <c r="K118" i="44"/>
  <c r="K130" i="44"/>
  <c r="K458" i="44"/>
  <c r="K301" i="44"/>
  <c r="K272" i="44"/>
  <c r="K119" i="44"/>
  <c r="K131" i="44"/>
  <c r="K690" i="44"/>
  <c r="K673" i="44"/>
  <c r="K661" i="44"/>
  <c r="K615" i="44"/>
  <c r="K528" i="44"/>
  <c r="K499" i="44"/>
  <c r="K487" i="44"/>
  <c r="K470" i="44"/>
  <c r="K429" i="44"/>
  <c r="K417" i="44"/>
  <c r="K388" i="44"/>
  <c r="K371" i="44"/>
  <c r="K359" i="44"/>
  <c r="K342" i="44"/>
  <c r="K330" i="44"/>
  <c r="K313" i="44"/>
  <c r="K284" i="44"/>
  <c r="K255" i="44"/>
  <c r="K184" i="44"/>
  <c r="K155" i="44"/>
  <c r="K799" i="44"/>
  <c r="K751" i="44"/>
  <c r="K611" i="44"/>
  <c r="K718" i="44"/>
  <c r="K641" i="44"/>
  <c r="K552" i="44"/>
  <c r="K705" i="44"/>
  <c r="K570" i="44"/>
  <c r="K567" i="44"/>
  <c r="K780" i="44"/>
  <c r="K695" i="44"/>
  <c r="K195" i="44"/>
  <c r="K191" i="44"/>
  <c r="K637" i="44"/>
  <c r="K702" i="44"/>
  <c r="K181" i="44"/>
  <c r="K792" i="44"/>
  <c r="K728" i="44"/>
  <c r="K776" i="44"/>
  <c r="K642" i="44"/>
  <c r="K495" i="44"/>
  <c r="K462" i="44"/>
  <c r="K638" i="44"/>
  <c r="K781" i="44"/>
  <c r="K544" i="44"/>
  <c r="K800" i="44"/>
  <c r="K548" i="44"/>
  <c r="K708" i="44"/>
  <c r="K188" i="44"/>
  <c r="K613" i="44"/>
  <c r="K515" i="44"/>
  <c r="K777" i="44"/>
  <c r="K630" i="44"/>
  <c r="K631" i="44"/>
  <c r="K762" i="44"/>
  <c r="K720" i="44"/>
  <c r="K648" i="44"/>
  <c r="K459" i="44"/>
  <c r="K614" i="44"/>
  <c r="K523" i="44"/>
  <c r="K361" i="44"/>
  <c r="K165" i="44"/>
  <c r="K397" i="44"/>
  <c r="K731" i="44"/>
  <c r="K632" i="44"/>
  <c r="K512" i="44"/>
  <c r="K710" i="44"/>
  <c r="K542" i="44"/>
  <c r="K770" i="44"/>
  <c r="K602" i="44"/>
  <c r="K749" i="44"/>
  <c r="K768" i="44"/>
  <c r="K612" i="44"/>
  <c r="K769" i="44"/>
  <c r="K678" i="44"/>
  <c r="K703" i="44"/>
  <c r="K748" i="44"/>
  <c r="K627" i="44"/>
  <c r="K600" i="44"/>
  <c r="K688" i="44"/>
  <c r="K539" i="44"/>
  <c r="K798" i="44"/>
  <c r="K491" i="44"/>
  <c r="K793" i="44"/>
  <c r="K699" i="44"/>
  <c r="K367" i="44"/>
  <c r="K732" i="44"/>
  <c r="K618" i="44"/>
  <c r="K747" i="44"/>
  <c r="K679" i="44"/>
  <c r="K739" i="44"/>
  <c r="K778" i="44"/>
  <c r="K789" i="44"/>
  <c r="K727" i="44"/>
  <c r="K788" i="44"/>
  <c r="K511" i="44"/>
  <c r="K649" i="44"/>
  <c r="K757" i="44"/>
  <c r="K463" i="44"/>
  <c r="K740" i="44"/>
  <c r="K689" i="44"/>
  <c r="K697" i="44"/>
  <c r="K738" i="44"/>
  <c r="K694" i="44"/>
  <c r="K574" i="44"/>
  <c r="K687" i="44"/>
  <c r="K758" i="44"/>
  <c r="K454" i="44"/>
  <c r="K717" i="44"/>
  <c r="K560" i="44"/>
  <c r="K583" i="44"/>
  <c r="K724" i="44"/>
  <c r="K674" i="44"/>
  <c r="K547" i="44"/>
  <c r="K665" i="44"/>
  <c r="K643" i="44"/>
  <c r="K701" i="44"/>
  <c r="K451" i="44"/>
  <c r="K283" i="44"/>
  <c r="K709" i="44"/>
  <c r="K787" i="44"/>
  <c r="K650" i="44"/>
  <c r="K672" i="44"/>
  <c r="K579" i="44"/>
  <c r="K782" i="44"/>
  <c r="K691" i="44"/>
  <c r="K671" i="44"/>
  <c r="K604" i="44"/>
  <c r="K558" i="44"/>
  <c r="K698" i="44"/>
  <c r="K572" i="44"/>
  <c r="K329" i="44"/>
  <c r="K375" i="44"/>
  <c r="K779" i="44"/>
  <c r="K784" i="44"/>
  <c r="K645" i="44"/>
  <c r="K667" i="44"/>
  <c r="K754" i="44"/>
  <c r="K764" i="44"/>
  <c r="K658" i="44"/>
  <c r="K554" i="44"/>
  <c r="K553" i="44"/>
  <c r="K629" i="44"/>
  <c r="K657" i="44"/>
  <c r="K590" i="44"/>
  <c r="K659" i="44"/>
  <c r="K581" i="44"/>
  <c r="K598" i="44"/>
  <c r="K239" i="44"/>
  <c r="K514" i="44"/>
  <c r="K308" i="44"/>
  <c r="K759" i="44"/>
  <c r="K644" i="44"/>
  <c r="K585" i="44"/>
  <c r="K390" i="44"/>
  <c r="K734" i="44"/>
  <c r="K551" i="44"/>
  <c r="K750" i="44"/>
  <c r="K785" i="44"/>
  <c r="K545" i="44"/>
  <c r="K568" i="44"/>
  <c r="K765" i="44"/>
  <c r="K607" i="44"/>
  <c r="K582" i="44"/>
  <c r="K794" i="44"/>
  <c r="K311" i="44"/>
  <c r="K719" i="44"/>
  <c r="K434" i="44"/>
  <c r="K729" i="44"/>
  <c r="K704" i="44"/>
  <c r="K599" i="44"/>
  <c r="K555" i="44"/>
  <c r="K251" i="44"/>
  <c r="K540" i="44"/>
  <c r="K589" i="44"/>
  <c r="K680" i="44"/>
  <c r="K577" i="44"/>
  <c r="K537" i="44"/>
  <c r="K541" i="44"/>
  <c r="K763" i="44"/>
  <c r="K669" i="44"/>
  <c r="K601" i="44"/>
  <c r="K639" i="44"/>
  <c r="K571" i="44"/>
  <c r="G23" i="44"/>
  <c r="L63" i="44"/>
  <c r="L43" i="44"/>
  <c r="L47" i="44"/>
  <c r="H92" i="13"/>
  <c r="H83" i="13"/>
  <c r="D7" i="44" l="1"/>
  <c r="D9" i="44"/>
  <c r="K91" i="44"/>
  <c r="E663" i="44" s="1"/>
  <c r="J35" i="44"/>
  <c r="K35" i="44"/>
  <c r="E251" i="44" s="1"/>
  <c r="J91" i="44"/>
  <c r="D145" i="44"/>
  <c r="J23" i="44"/>
  <c r="K99" i="44"/>
  <c r="E578" i="44"/>
  <c r="E590" i="44"/>
  <c r="E567" i="44"/>
  <c r="E579" i="44"/>
  <c r="E566" i="44"/>
  <c r="E568" i="44"/>
  <c r="E580" i="44"/>
  <c r="E569" i="44"/>
  <c r="E581" i="44"/>
  <c r="E570" i="44"/>
  <c r="E582" i="44"/>
  <c r="E571" i="44"/>
  <c r="E583" i="44"/>
  <c r="E572" i="44"/>
  <c r="E584" i="44"/>
  <c r="E587" i="44"/>
  <c r="E573" i="44"/>
  <c r="E585" i="44"/>
  <c r="E574" i="44"/>
  <c r="E586" i="44"/>
  <c r="E575" i="44"/>
  <c r="E576" i="44"/>
  <c r="E588" i="44"/>
  <c r="E577" i="44"/>
  <c r="E589" i="44"/>
  <c r="K716" i="44"/>
  <c r="K626" i="44"/>
  <c r="K656" i="44"/>
  <c r="K746" i="44"/>
  <c r="K686" i="44"/>
  <c r="K596" i="44"/>
  <c r="K566" i="44"/>
  <c r="K536" i="44"/>
  <c r="K236" i="44"/>
  <c r="K176" i="44"/>
  <c r="K446" i="44"/>
  <c r="K326" i="44"/>
  <c r="K506" i="44"/>
  <c r="K146" i="44"/>
  <c r="K266" i="44"/>
  <c r="K296" i="44"/>
  <c r="K476" i="44"/>
  <c r="K386" i="44"/>
  <c r="K356" i="44"/>
  <c r="K416" i="44"/>
  <c r="K23" i="44"/>
  <c r="E667" i="44" l="1"/>
  <c r="E666" i="44"/>
  <c r="E239" i="44"/>
  <c r="E668" i="44"/>
  <c r="E674" i="44"/>
  <c r="E250" i="44"/>
  <c r="E679" i="44"/>
  <c r="E678" i="44"/>
  <c r="E241" i="44"/>
  <c r="E662" i="44"/>
  <c r="E238" i="44"/>
  <c r="E673" i="44"/>
  <c r="E672" i="44"/>
  <c r="E661" i="44"/>
  <c r="E660" i="44"/>
  <c r="E671" i="44"/>
  <c r="E680" i="44"/>
  <c r="E670" i="44"/>
  <c r="E676" i="44"/>
  <c r="E659" i="44"/>
  <c r="E657" i="44"/>
  <c r="E665" i="44"/>
  <c r="E658" i="44"/>
  <c r="E664" i="44"/>
  <c r="E677" i="44"/>
  <c r="E656" i="44"/>
  <c r="E675" i="44"/>
  <c r="E669" i="44"/>
  <c r="E236" i="44"/>
  <c r="E252" i="44"/>
  <c r="E247" i="44"/>
  <c r="E255" i="44"/>
  <c r="E257" i="44"/>
  <c r="E245" i="44"/>
  <c r="E256" i="44"/>
  <c r="E244" i="44"/>
  <c r="E243" i="44"/>
  <c r="E249" i="44"/>
  <c r="E260" i="44"/>
  <c r="E254" i="44"/>
  <c r="E237" i="44"/>
  <c r="E248" i="44"/>
  <c r="E242" i="44"/>
  <c r="E259" i="44"/>
  <c r="E253" i="44"/>
  <c r="E258" i="44"/>
  <c r="E240" i="44"/>
  <c r="E246" i="44"/>
  <c r="E156" i="44"/>
  <c r="E168" i="44"/>
  <c r="E157" i="44"/>
  <c r="E169" i="44"/>
  <c r="E158" i="44"/>
  <c r="E170" i="44"/>
  <c r="E162" i="44"/>
  <c r="E147" i="44"/>
  <c r="E159" i="44"/>
  <c r="E146" i="44"/>
  <c r="E148" i="44"/>
  <c r="E160" i="44"/>
  <c r="E149" i="44"/>
  <c r="E161" i="44"/>
  <c r="E150" i="44"/>
  <c r="E151" i="44"/>
  <c r="E163" i="44"/>
  <c r="E152" i="44"/>
  <c r="E164" i="44"/>
  <c r="E153" i="44"/>
  <c r="E165" i="44"/>
  <c r="E154" i="44"/>
  <c r="E166" i="44"/>
  <c r="E155" i="44"/>
  <c r="E167" i="44"/>
  <c r="E726" i="44"/>
  <c r="E738" i="44"/>
  <c r="E727" i="44"/>
  <c r="E739" i="44"/>
  <c r="E728" i="44"/>
  <c r="E740" i="44"/>
  <c r="E717" i="44"/>
  <c r="E729" i="44"/>
  <c r="E716" i="44"/>
  <c r="E718" i="44"/>
  <c r="E730" i="44"/>
  <c r="E719" i="44"/>
  <c r="E731" i="44"/>
  <c r="E720" i="44"/>
  <c r="E732" i="44"/>
  <c r="E721" i="44"/>
  <c r="E733" i="44"/>
  <c r="E722" i="44"/>
  <c r="E734" i="44"/>
  <c r="E723" i="44"/>
  <c r="E735" i="44"/>
  <c r="E724" i="44"/>
  <c r="E736" i="44"/>
  <c r="E725" i="44"/>
  <c r="E737" i="44"/>
  <c r="J7" i="7"/>
  <c r="J4" i="7" l="1"/>
  <c r="B7" i="7" s="1"/>
  <c r="B27" i="7" l="1"/>
  <c r="C27" i="7" s="1"/>
  <c r="E27" i="7" s="1"/>
  <c r="F27" i="7" s="1"/>
  <c r="D7" i="7"/>
  <c r="C7" i="7"/>
  <c r="E7" i="7" s="1"/>
  <c r="F7" i="7" s="1"/>
  <c r="B22" i="7"/>
  <c r="B10" i="7"/>
  <c r="B21" i="7"/>
  <c r="B9" i="7"/>
  <c r="B4" i="7"/>
  <c r="B15" i="7"/>
  <c r="B17" i="7"/>
  <c r="B3" i="7"/>
  <c r="B24" i="7"/>
  <c r="B12" i="7"/>
  <c r="B5" i="7"/>
  <c r="B19" i="7"/>
  <c r="B16" i="7"/>
  <c r="B2" i="7"/>
  <c r="B23" i="7"/>
  <c r="B11" i="7"/>
  <c r="B18" i="7"/>
  <c r="B25" i="7"/>
  <c r="B13" i="7"/>
  <c r="B6" i="7"/>
  <c r="B20" i="7"/>
  <c r="B8" i="7"/>
  <c r="B26" i="7"/>
  <c r="B14" i="7"/>
  <c r="D27" i="7" l="1"/>
  <c r="C20" i="7"/>
  <c r="E20" i="7" s="1"/>
  <c r="F20" i="7" s="1"/>
  <c r="D20" i="7"/>
  <c r="D24" i="7"/>
  <c r="C24" i="7"/>
  <c r="E24" i="7" s="1"/>
  <c r="F24" i="7" s="1"/>
  <c r="C6" i="7"/>
  <c r="E6" i="7" s="1"/>
  <c r="F6" i="7" s="1"/>
  <c r="D6" i="7"/>
  <c r="D3" i="7"/>
  <c r="C3" i="7"/>
  <c r="E3" i="7" s="1"/>
  <c r="F3" i="7" s="1"/>
  <c r="C13" i="7"/>
  <c r="E13" i="7" s="1"/>
  <c r="F13" i="7" s="1"/>
  <c r="D13" i="7"/>
  <c r="D17" i="7"/>
  <c r="C17" i="7"/>
  <c r="E17" i="7" s="1"/>
  <c r="F17" i="7" s="1"/>
  <c r="C15" i="7"/>
  <c r="E15" i="7" s="1"/>
  <c r="F15" i="7" s="1"/>
  <c r="D15" i="7"/>
  <c r="C8" i="7"/>
  <c r="E8" i="7" s="1"/>
  <c r="F8" i="7" s="1"/>
  <c r="D8" i="7"/>
  <c r="C25" i="7"/>
  <c r="E25" i="7" s="1"/>
  <c r="F25" i="7" s="1"/>
  <c r="D25" i="7"/>
  <c r="C18" i="7"/>
  <c r="E18" i="7" s="1"/>
  <c r="F18" i="7" s="1"/>
  <c r="D18" i="7"/>
  <c r="D4" i="7"/>
  <c r="C4" i="7"/>
  <c r="E4" i="7" s="1"/>
  <c r="F4" i="7" s="1"/>
  <c r="C9" i="7"/>
  <c r="D9" i="7"/>
  <c r="C26" i="7"/>
  <c r="E26" i="7" s="1"/>
  <c r="F26" i="7" s="1"/>
  <c r="D26" i="7"/>
  <c r="D5" i="7"/>
  <c r="C5" i="7"/>
  <c r="E5" i="7" s="1"/>
  <c r="F5" i="7" s="1"/>
  <c r="C12" i="7"/>
  <c r="E12" i="7" s="1"/>
  <c r="F12" i="7" s="1"/>
  <c r="D12" i="7"/>
  <c r="C11" i="7"/>
  <c r="E11" i="7" s="1"/>
  <c r="F11" i="7" s="1"/>
  <c r="D11" i="7"/>
  <c r="C23" i="7"/>
  <c r="D23" i="7"/>
  <c r="C21" i="7"/>
  <c r="E21" i="7" s="1"/>
  <c r="F21" i="7" s="1"/>
  <c r="D21" i="7"/>
  <c r="D2" i="7"/>
  <c r="B28" i="7"/>
  <c r="C2" i="7"/>
  <c r="D10" i="7"/>
  <c r="C10" i="7"/>
  <c r="E10" i="7" s="1"/>
  <c r="F10" i="7" s="1"/>
  <c r="D16" i="7"/>
  <c r="C16" i="7"/>
  <c r="E16" i="7" s="1"/>
  <c r="F16" i="7" s="1"/>
  <c r="D22" i="7"/>
  <c r="C22" i="7"/>
  <c r="E22" i="7" s="1"/>
  <c r="F22" i="7" s="1"/>
  <c r="D14" i="7"/>
  <c r="C14" i="7"/>
  <c r="E14" i="7" s="1"/>
  <c r="F14" i="7" s="1"/>
  <c r="C19" i="7"/>
  <c r="E19" i="7" s="1"/>
  <c r="F19" i="7" s="1"/>
  <c r="D19" i="7"/>
  <c r="E9" i="7" l="1"/>
  <c r="F9" i="7" s="1"/>
  <c r="E23" i="7"/>
  <c r="F23" i="7" s="1"/>
  <c r="E2" i="7"/>
  <c r="F2" i="7" s="1"/>
  <c r="C28" i="7"/>
  <c r="D28" i="7"/>
  <c r="F28" i="7" l="1"/>
  <c r="D6" i="44" s="1"/>
  <c r="E28" i="7"/>
  <c r="D8" i="44" l="1"/>
  <c r="F31" i="7"/>
  <c r="F27" i="44" l="1"/>
  <c r="G27" i="44" s="1"/>
  <c r="K27" i="44" s="1"/>
  <c r="F39" i="44"/>
  <c r="D75" i="44" s="1"/>
  <c r="D19" i="44"/>
  <c r="D59" i="44" s="1"/>
  <c r="F55" i="44"/>
  <c r="F63" i="44" s="1"/>
  <c r="F43" i="44"/>
  <c r="G43" i="44" s="1"/>
  <c r="F47" i="44"/>
  <c r="G47" i="44" s="1"/>
  <c r="F51" i="44"/>
  <c r="G51" i="44" s="1"/>
  <c r="D67" i="44" l="1"/>
  <c r="G67" i="44" s="1"/>
  <c r="F87" i="44"/>
  <c r="G87" i="44" s="1"/>
  <c r="D625" i="44" s="1"/>
  <c r="G39" i="44"/>
  <c r="K39" i="44" s="1"/>
  <c r="G75" i="44"/>
  <c r="F71" i="44"/>
  <c r="G71" i="44" s="1"/>
  <c r="D505" i="44" s="1"/>
  <c r="G55" i="44"/>
  <c r="D385" i="44" s="1"/>
  <c r="K47" i="44"/>
  <c r="D325" i="44"/>
  <c r="K51" i="44"/>
  <c r="D355" i="44"/>
  <c r="K43" i="44"/>
  <c r="D295" i="44"/>
  <c r="G206" i="44"/>
  <c r="G746" i="44"/>
  <c r="G566" i="44"/>
  <c r="G536" i="44"/>
  <c r="G506" i="44"/>
  <c r="G626" i="44"/>
  <c r="G596" i="44"/>
  <c r="G776" i="44"/>
  <c r="G686" i="44"/>
  <c r="G716" i="44"/>
  <c r="G476" i="44"/>
  <c r="G326" i="44"/>
  <c r="G356" i="44"/>
  <c r="G296" i="44"/>
  <c r="G416" i="44"/>
  <c r="G236" i="44"/>
  <c r="G146" i="44"/>
  <c r="G266" i="44"/>
  <c r="G386" i="44"/>
  <c r="G176" i="44"/>
  <c r="G656" i="44"/>
  <c r="G446" i="44"/>
  <c r="G115" i="44"/>
  <c r="L115" i="44" s="1"/>
  <c r="D20" i="44"/>
  <c r="F83" i="44" s="1"/>
  <c r="G83" i="44" s="1"/>
  <c r="D595" i="44" s="1"/>
  <c r="J51" i="44"/>
  <c r="F376" i="44" s="1"/>
  <c r="J47" i="44"/>
  <c r="J43" i="44"/>
  <c r="F316" i="44" s="1"/>
  <c r="E184" i="44" l="1"/>
  <c r="J27" i="44"/>
  <c r="D175" i="44"/>
  <c r="J39" i="44"/>
  <c r="F276" i="44" s="1"/>
  <c r="K276" i="44" s="1"/>
  <c r="D265" i="44"/>
  <c r="K31" i="44"/>
  <c r="J31" i="44"/>
  <c r="D205" i="44"/>
  <c r="K75" i="44"/>
  <c r="D535" i="44"/>
  <c r="J75" i="44"/>
  <c r="G59" i="44"/>
  <c r="D415" i="44" s="1"/>
  <c r="G63" i="44"/>
  <c r="D445" i="44" s="1"/>
  <c r="E303" i="44"/>
  <c r="E315" i="44"/>
  <c r="E304" i="44"/>
  <c r="E316" i="44"/>
  <c r="E308" i="44"/>
  <c r="E317" i="44"/>
  <c r="E309" i="44"/>
  <c r="E306" i="44"/>
  <c r="E318" i="44"/>
  <c r="E320" i="44"/>
  <c r="E307" i="44"/>
  <c r="E319" i="44"/>
  <c r="E298" i="44"/>
  <c r="E310" i="44"/>
  <c r="E299" i="44"/>
  <c r="E311" i="44"/>
  <c r="E297" i="44"/>
  <c r="E300" i="44"/>
  <c r="E312" i="44"/>
  <c r="E301" i="44"/>
  <c r="E313" i="44"/>
  <c r="E305" i="44"/>
  <c r="E296" i="44"/>
  <c r="E302" i="44"/>
  <c r="E314" i="44"/>
  <c r="E357" i="44"/>
  <c r="E369" i="44"/>
  <c r="E356" i="44"/>
  <c r="E358" i="44"/>
  <c r="E370" i="44"/>
  <c r="E371" i="44"/>
  <c r="E360" i="44"/>
  <c r="E372" i="44"/>
  <c r="E362" i="44"/>
  <c r="E374" i="44"/>
  <c r="E375" i="44"/>
  <c r="E361" i="44"/>
  <c r="E373" i="44"/>
  <c r="E364" i="44"/>
  <c r="E376" i="44"/>
  <c r="E365" i="44"/>
  <c r="E377" i="44"/>
  <c r="E366" i="44"/>
  <c r="E378" i="44"/>
  <c r="E363" i="44"/>
  <c r="E367" i="44"/>
  <c r="E379" i="44"/>
  <c r="E359" i="44"/>
  <c r="E368" i="44"/>
  <c r="E380" i="44"/>
  <c r="E330" i="44"/>
  <c r="E342" i="44"/>
  <c r="E331" i="44"/>
  <c r="E343" i="44"/>
  <c r="E344" i="44"/>
  <c r="E335" i="44"/>
  <c r="E333" i="44"/>
  <c r="E345" i="44"/>
  <c r="E347" i="44"/>
  <c r="E334" i="44"/>
  <c r="E346" i="44"/>
  <c r="E337" i="44"/>
  <c r="E349" i="44"/>
  <c r="E338" i="44"/>
  <c r="E350" i="44"/>
  <c r="E336" i="44"/>
  <c r="E327" i="44"/>
  <c r="E339" i="44"/>
  <c r="E326" i="44"/>
  <c r="E332" i="44"/>
  <c r="E328" i="44"/>
  <c r="E340" i="44"/>
  <c r="E329" i="44"/>
  <c r="E341" i="44"/>
  <c r="E348" i="44"/>
  <c r="E183" i="44"/>
  <c r="E195" i="44"/>
  <c r="E199" i="44"/>
  <c r="E178" i="44"/>
  <c r="E190" i="44"/>
  <c r="E179" i="44"/>
  <c r="E191" i="44"/>
  <c r="E189" i="44"/>
  <c r="E180" i="44"/>
  <c r="E192" i="44"/>
  <c r="E197" i="44"/>
  <c r="E181" i="44"/>
  <c r="E193" i="44"/>
  <c r="E185" i="44"/>
  <c r="E176" i="44"/>
  <c r="E182" i="44"/>
  <c r="E194" i="44"/>
  <c r="E177" i="44"/>
  <c r="F333" i="44"/>
  <c r="F347" i="44"/>
  <c r="K347" i="44" s="1"/>
  <c r="F340" i="44"/>
  <c r="K340" i="44" s="1"/>
  <c r="E276" i="44"/>
  <c r="E288" i="44"/>
  <c r="E277" i="44"/>
  <c r="E289" i="44"/>
  <c r="E278" i="44"/>
  <c r="E290" i="44"/>
  <c r="E267" i="44"/>
  <c r="E279" i="44"/>
  <c r="E266" i="44"/>
  <c r="E268" i="44"/>
  <c r="E280" i="44"/>
  <c r="E271" i="44"/>
  <c r="E283" i="44"/>
  <c r="E272" i="44"/>
  <c r="E284" i="44"/>
  <c r="E270" i="44"/>
  <c r="E273" i="44"/>
  <c r="E285" i="44"/>
  <c r="E281" i="44"/>
  <c r="E274" i="44"/>
  <c r="E286" i="44"/>
  <c r="E269" i="44"/>
  <c r="E275" i="44"/>
  <c r="E287" i="44"/>
  <c r="E282" i="44"/>
  <c r="K226" i="44"/>
  <c r="K216" i="44"/>
  <c r="K220" i="44"/>
  <c r="K227" i="44"/>
  <c r="L206" i="44"/>
  <c r="G207" i="44"/>
  <c r="D475" i="44"/>
  <c r="K67" i="44"/>
  <c r="K166" i="44"/>
  <c r="K456" i="44"/>
  <c r="K186" i="44"/>
  <c r="K496" i="44"/>
  <c r="K426" i="44"/>
  <c r="K466" i="44"/>
  <c r="K396" i="44"/>
  <c r="K436" i="44"/>
  <c r="K366" i="44"/>
  <c r="K346" i="44"/>
  <c r="K406" i="44"/>
  <c r="K336" i="44"/>
  <c r="K736" i="44"/>
  <c r="K376" i="44"/>
  <c r="K306" i="44"/>
  <c r="K316" i="44"/>
  <c r="K246" i="44"/>
  <c r="K576" i="44"/>
  <c r="K616" i="44"/>
  <c r="K156" i="44"/>
  <c r="K196" i="44"/>
  <c r="K516" i="44"/>
  <c r="K527" i="44"/>
  <c r="K370" i="44"/>
  <c r="K497" i="44"/>
  <c r="K467" i="44"/>
  <c r="K640" i="44"/>
  <c r="K437" i="44"/>
  <c r="K280" i="44"/>
  <c r="K407" i="44"/>
  <c r="K250" i="44"/>
  <c r="K136" i="44"/>
  <c r="K160" i="44"/>
  <c r="K580" i="44"/>
  <c r="K377" i="44"/>
  <c r="K190" i="44"/>
  <c r="K520" i="44"/>
  <c r="K317" i="44"/>
  <c r="K490" i="44"/>
  <c r="K287" i="44"/>
  <c r="K617" i="44"/>
  <c r="K257" i="44"/>
  <c r="K460" i="44"/>
  <c r="K129" i="44"/>
  <c r="K587" i="44"/>
  <c r="K430" i="44"/>
  <c r="K197" i="44"/>
  <c r="K167" i="44"/>
  <c r="K790" i="44"/>
  <c r="K760" i="44"/>
  <c r="K400" i="44"/>
  <c r="L146" i="44"/>
  <c r="G147" i="44"/>
  <c r="L506" i="44"/>
  <c r="G507" i="44"/>
  <c r="L236" i="44"/>
  <c r="G237" i="44"/>
  <c r="L536" i="44"/>
  <c r="G537" i="44"/>
  <c r="L746" i="44"/>
  <c r="G747" i="44"/>
  <c r="L356" i="44"/>
  <c r="G357" i="44"/>
  <c r="K256" i="44"/>
  <c r="K546" i="44"/>
  <c r="K666" i="44"/>
  <c r="K636" i="44"/>
  <c r="K696" i="44"/>
  <c r="K556" i="44"/>
  <c r="K706" i="44"/>
  <c r="K756" i="44"/>
  <c r="K786" i="44"/>
  <c r="K606" i="44"/>
  <c r="K586" i="44"/>
  <c r="K766" i="44"/>
  <c r="K646" i="44"/>
  <c r="K796" i="44"/>
  <c r="K486" i="44"/>
  <c r="K726" i="44"/>
  <c r="K676" i="44"/>
  <c r="K526" i="44"/>
  <c r="L326" i="44"/>
  <c r="G327" i="44"/>
  <c r="L566" i="44"/>
  <c r="G567" i="44"/>
  <c r="L476" i="44"/>
  <c r="G477" i="44"/>
  <c r="K647" i="44"/>
  <c r="K767" i="44"/>
  <c r="K707" i="44"/>
  <c r="K730" i="44"/>
  <c r="K700" i="44"/>
  <c r="K677" i="44"/>
  <c r="K797" i="44"/>
  <c r="K670" i="44"/>
  <c r="K550" i="44"/>
  <c r="K737" i="44"/>
  <c r="K783" i="44"/>
  <c r="K310" i="44"/>
  <c r="K610" i="44"/>
  <c r="K557" i="44"/>
  <c r="L446" i="44"/>
  <c r="G447" i="44"/>
  <c r="L716" i="44"/>
  <c r="G717" i="44"/>
  <c r="L656" i="44"/>
  <c r="G657" i="44"/>
  <c r="L686" i="44"/>
  <c r="G687" i="44"/>
  <c r="G177" i="44"/>
  <c r="L176" i="44"/>
  <c r="L776" i="44"/>
  <c r="G777" i="44"/>
  <c r="L386" i="44"/>
  <c r="G387" i="44"/>
  <c r="L596" i="44"/>
  <c r="G597" i="44"/>
  <c r="L416" i="44"/>
  <c r="G417" i="44"/>
  <c r="L296" i="44"/>
  <c r="G297" i="44"/>
  <c r="L266" i="44"/>
  <c r="G267" i="44"/>
  <c r="L626" i="44"/>
  <c r="G627" i="44"/>
  <c r="J67" i="44"/>
  <c r="G116" i="44"/>
  <c r="K87" i="44"/>
  <c r="J87" i="44"/>
  <c r="K71" i="44"/>
  <c r="J71" i="44"/>
  <c r="K83" i="44"/>
  <c r="J83" i="44"/>
  <c r="K55" i="44"/>
  <c r="J55" i="44"/>
  <c r="E200" i="44" l="1"/>
  <c r="E188" i="44"/>
  <c r="E187" i="44"/>
  <c r="E198" i="44"/>
  <c r="E186" i="44"/>
  <c r="E196" i="44"/>
  <c r="D103" i="44"/>
  <c r="J63" i="44"/>
  <c r="K125" i="44"/>
  <c r="K63" i="44"/>
  <c r="E456" i="44" s="1"/>
  <c r="F286" i="44"/>
  <c r="K286" i="44" s="1"/>
  <c r="J59" i="44"/>
  <c r="K135" i="44"/>
  <c r="K59" i="44"/>
  <c r="E429" i="44" s="1"/>
  <c r="E556" i="44"/>
  <c r="E539" i="44"/>
  <c r="E541" i="44"/>
  <c r="E536" i="44"/>
  <c r="E538" i="44"/>
  <c r="E540" i="44"/>
  <c r="E545" i="44"/>
  <c r="E551" i="44"/>
  <c r="E558" i="44"/>
  <c r="E555" i="44"/>
  <c r="E552" i="44"/>
  <c r="E557" i="44"/>
  <c r="E537" i="44"/>
  <c r="E546" i="44"/>
  <c r="E543" i="44"/>
  <c r="E553" i="44"/>
  <c r="E547" i="44"/>
  <c r="E544" i="44"/>
  <c r="E549" i="44"/>
  <c r="E559" i="44"/>
  <c r="E550" i="44"/>
  <c r="E542" i="44"/>
  <c r="E548" i="44"/>
  <c r="E554" i="44"/>
  <c r="E560" i="44"/>
  <c r="E213" i="44"/>
  <c r="E219" i="44"/>
  <c r="E215" i="44"/>
  <c r="E220" i="44"/>
  <c r="E224" i="44"/>
  <c r="E225" i="44"/>
  <c r="E206" i="44"/>
  <c r="E214" i="44"/>
  <c r="E228" i="44"/>
  <c r="E209" i="44"/>
  <c r="E226" i="44"/>
  <c r="J226" i="44" s="1"/>
  <c r="E208" i="44"/>
  <c r="E207" i="44"/>
  <c r="E227" i="44"/>
  <c r="E210" i="44"/>
  <c r="E217" i="44"/>
  <c r="E221" i="44"/>
  <c r="E229" i="44"/>
  <c r="E222" i="44"/>
  <c r="J222" i="44" s="1"/>
  <c r="E211" i="44"/>
  <c r="E218" i="44"/>
  <c r="E223" i="44"/>
  <c r="E230" i="44"/>
  <c r="E212" i="44"/>
  <c r="E216" i="44"/>
  <c r="E396" i="44"/>
  <c r="E397" i="44"/>
  <c r="E409" i="44"/>
  <c r="E387" i="44"/>
  <c r="E399" i="44"/>
  <c r="E386" i="44"/>
  <c r="E388" i="44"/>
  <c r="E400" i="44"/>
  <c r="E401" i="44"/>
  <c r="E391" i="44"/>
  <c r="E403" i="44"/>
  <c r="E392" i="44"/>
  <c r="E404" i="44"/>
  <c r="E402" i="44"/>
  <c r="E393" i="44"/>
  <c r="E405" i="44"/>
  <c r="E394" i="44"/>
  <c r="E406" i="44"/>
  <c r="E410" i="44"/>
  <c r="E389" i="44"/>
  <c r="E395" i="44"/>
  <c r="E407" i="44"/>
  <c r="E408" i="44"/>
  <c r="E398" i="44"/>
  <c r="E390" i="44"/>
  <c r="K213" i="44"/>
  <c r="K231" i="44" s="1"/>
  <c r="F231" i="44"/>
  <c r="L207" i="44"/>
  <c r="G208" i="44"/>
  <c r="E518" i="44"/>
  <c r="E530" i="44"/>
  <c r="E507" i="44"/>
  <c r="E519" i="44"/>
  <c r="E506" i="44"/>
  <c r="E508" i="44"/>
  <c r="E520" i="44"/>
  <c r="E509" i="44"/>
  <c r="E521" i="44"/>
  <c r="E510" i="44"/>
  <c r="E522" i="44"/>
  <c r="E511" i="44"/>
  <c r="E523" i="44"/>
  <c r="E512" i="44"/>
  <c r="E524" i="44"/>
  <c r="E513" i="44"/>
  <c r="E525" i="44"/>
  <c r="E515" i="44"/>
  <c r="E514" i="44"/>
  <c r="E526" i="44"/>
  <c r="E527" i="44"/>
  <c r="E516" i="44"/>
  <c r="E528" i="44"/>
  <c r="E517" i="44"/>
  <c r="E529" i="44"/>
  <c r="E482" i="44"/>
  <c r="E494" i="44"/>
  <c r="E483" i="44"/>
  <c r="E495" i="44"/>
  <c r="E484" i="44"/>
  <c r="E496" i="44"/>
  <c r="E485" i="44"/>
  <c r="E497" i="44"/>
  <c r="E486" i="44"/>
  <c r="E498" i="44"/>
  <c r="E487" i="44"/>
  <c r="E499" i="44"/>
  <c r="E488" i="44"/>
  <c r="E500" i="44"/>
  <c r="E477" i="44"/>
  <c r="E489" i="44"/>
  <c r="E476" i="44"/>
  <c r="E478" i="44"/>
  <c r="E490" i="44"/>
  <c r="E479" i="44"/>
  <c r="E491" i="44"/>
  <c r="E480" i="44"/>
  <c r="E492" i="44"/>
  <c r="E481" i="44"/>
  <c r="E493" i="44"/>
  <c r="E606" i="44"/>
  <c r="E618" i="44"/>
  <c r="E607" i="44"/>
  <c r="E619" i="44"/>
  <c r="E608" i="44"/>
  <c r="E620" i="44"/>
  <c r="E597" i="44"/>
  <c r="E609" i="44"/>
  <c r="E596" i="44"/>
  <c r="E598" i="44"/>
  <c r="E610" i="44"/>
  <c r="E615" i="44"/>
  <c r="E599" i="44"/>
  <c r="E611" i="44"/>
  <c r="E600" i="44"/>
  <c r="E612" i="44"/>
  <c r="E601" i="44"/>
  <c r="E613" i="44"/>
  <c r="E602" i="44"/>
  <c r="E614" i="44"/>
  <c r="E603" i="44"/>
  <c r="E604" i="44"/>
  <c r="E616" i="44"/>
  <c r="E605" i="44"/>
  <c r="E617" i="44"/>
  <c r="E634" i="44"/>
  <c r="E646" i="44"/>
  <c r="E635" i="44"/>
  <c r="E647" i="44"/>
  <c r="E636" i="44"/>
  <c r="E648" i="44"/>
  <c r="E637" i="44"/>
  <c r="E649" i="44"/>
  <c r="E638" i="44"/>
  <c r="E650" i="44"/>
  <c r="E627" i="44"/>
  <c r="E639" i="44"/>
  <c r="E628" i="44"/>
  <c r="E640" i="44"/>
  <c r="E626" i="44"/>
  <c r="E629" i="44"/>
  <c r="E641" i="44"/>
  <c r="E630" i="44"/>
  <c r="E642" i="44"/>
  <c r="E631" i="44"/>
  <c r="E643" i="44"/>
  <c r="E632" i="44"/>
  <c r="E644" i="44"/>
  <c r="E633" i="44"/>
  <c r="E645" i="44"/>
  <c r="K801" i="44"/>
  <c r="F261" i="44"/>
  <c r="F801" i="44"/>
  <c r="K753" i="44"/>
  <c r="K771" i="44" s="1"/>
  <c r="F771" i="44"/>
  <c r="K663" i="44"/>
  <c r="K681" i="44" s="1"/>
  <c r="F681" i="44"/>
  <c r="K723" i="44"/>
  <c r="K741" i="44" s="1"/>
  <c r="F741" i="44"/>
  <c r="K633" i="44"/>
  <c r="K651" i="44" s="1"/>
  <c r="F651" i="44"/>
  <c r="K603" i="44"/>
  <c r="K621" i="44" s="1"/>
  <c r="F621" i="44"/>
  <c r="K693" i="44"/>
  <c r="K711" i="44" s="1"/>
  <c r="F711" i="44"/>
  <c r="K573" i="44"/>
  <c r="K591" i="44" s="1"/>
  <c r="F591" i="44"/>
  <c r="G658" i="44"/>
  <c r="L657" i="44"/>
  <c r="K363" i="44"/>
  <c r="K381" i="44" s="1"/>
  <c r="F381" i="44"/>
  <c r="G748" i="44"/>
  <c r="L747" i="44"/>
  <c r="G598" i="44"/>
  <c r="L597" i="44"/>
  <c r="K183" i="44"/>
  <c r="K201" i="44" s="1"/>
  <c r="F201" i="44"/>
  <c r="L477" i="44"/>
  <c r="G478" i="44"/>
  <c r="G148" i="44"/>
  <c r="L147" i="44"/>
  <c r="G388" i="44"/>
  <c r="L387" i="44"/>
  <c r="L357" i="44"/>
  <c r="G358" i="44"/>
  <c r="G628" i="44"/>
  <c r="L627" i="44"/>
  <c r="L297" i="44"/>
  <c r="G298" i="44"/>
  <c r="G778" i="44"/>
  <c r="L777" i="44"/>
  <c r="K153" i="44"/>
  <c r="K171" i="44" s="1"/>
  <c r="F171" i="44"/>
  <c r="L327" i="44"/>
  <c r="G328" i="44"/>
  <c r="K303" i="44"/>
  <c r="K321" i="44" s="1"/>
  <c r="F321" i="44"/>
  <c r="K513" i="44"/>
  <c r="K531" i="44" s="1"/>
  <c r="F531" i="44"/>
  <c r="L537" i="44"/>
  <c r="G538" i="44"/>
  <c r="L417" i="44"/>
  <c r="G418" i="44"/>
  <c r="G718" i="44"/>
  <c r="L717" i="44"/>
  <c r="K483" i="44"/>
  <c r="K501" i="44" s="1"/>
  <c r="F501" i="44"/>
  <c r="K453" i="44"/>
  <c r="K471" i="44" s="1"/>
  <c r="F471" i="44"/>
  <c r="L177" i="44"/>
  <c r="G178" i="44"/>
  <c r="K273" i="44"/>
  <c r="K423" i="44"/>
  <c r="K441" i="44" s="1"/>
  <c r="F441" i="44"/>
  <c r="L267" i="44"/>
  <c r="G268" i="44"/>
  <c r="G688" i="44"/>
  <c r="L687" i="44"/>
  <c r="L237" i="44"/>
  <c r="G238" i="44"/>
  <c r="L507" i="44"/>
  <c r="G508" i="44"/>
  <c r="L447" i="44"/>
  <c r="G448" i="44"/>
  <c r="K243" i="44"/>
  <c r="K261" i="44" s="1"/>
  <c r="K333" i="44"/>
  <c r="K351" i="44" s="1"/>
  <c r="F351" i="44"/>
  <c r="K393" i="44"/>
  <c r="K411" i="44" s="1"/>
  <c r="F411" i="44"/>
  <c r="K543" i="44"/>
  <c r="K561" i="44" s="1"/>
  <c r="F561" i="44"/>
  <c r="G568" i="44"/>
  <c r="L567" i="44"/>
  <c r="L116" i="44"/>
  <c r="G117" i="44"/>
  <c r="K122" i="44"/>
  <c r="G103" i="44" l="1"/>
  <c r="D107" i="44" s="1"/>
  <c r="G107" i="44" s="1"/>
  <c r="D775" i="44" s="1"/>
  <c r="K103" i="44"/>
  <c r="E116" i="44" s="1"/>
  <c r="E470" i="44"/>
  <c r="J470" i="44" s="1"/>
  <c r="E447" i="44"/>
  <c r="J447" i="44" s="1"/>
  <c r="E452" i="44"/>
  <c r="J452" i="44" s="1"/>
  <c r="E455" i="44"/>
  <c r="J455" i="44" s="1"/>
  <c r="E466" i="44"/>
  <c r="J466" i="44" s="1"/>
  <c r="E464" i="44"/>
  <c r="J464" i="44" s="1"/>
  <c r="E449" i="44"/>
  <c r="J449" i="44" s="1"/>
  <c r="E446" i="44"/>
  <c r="E459" i="44"/>
  <c r="J459" i="44" s="1"/>
  <c r="E460" i="44"/>
  <c r="J460" i="44" s="1"/>
  <c r="E465" i="44"/>
  <c r="J465" i="44" s="1"/>
  <c r="E453" i="44"/>
  <c r="J453" i="44" s="1"/>
  <c r="E448" i="44"/>
  <c r="J448" i="44" s="1"/>
  <c r="E454" i="44"/>
  <c r="J454" i="44" s="1"/>
  <c r="E467" i="44"/>
  <c r="J467" i="44" s="1"/>
  <c r="E451" i="44"/>
  <c r="J451" i="44" s="1"/>
  <c r="E469" i="44"/>
  <c r="J469" i="44" s="1"/>
  <c r="E463" i="44"/>
  <c r="J463" i="44" s="1"/>
  <c r="E462" i="44"/>
  <c r="J462" i="44" s="1"/>
  <c r="E457" i="44"/>
  <c r="J457" i="44" s="1"/>
  <c r="E450" i="44"/>
  <c r="J450" i="44" s="1"/>
  <c r="E468" i="44"/>
  <c r="J468" i="44" s="1"/>
  <c r="E458" i="44"/>
  <c r="J458" i="44" s="1"/>
  <c r="E461" i="44"/>
  <c r="J461" i="44" s="1"/>
  <c r="F291" i="44"/>
  <c r="E439" i="44"/>
  <c r="J439" i="44" s="1"/>
  <c r="E418" i="44"/>
  <c r="J418" i="44" s="1"/>
  <c r="E417" i="44"/>
  <c r="J417" i="44" s="1"/>
  <c r="K291" i="44"/>
  <c r="E423" i="44"/>
  <c r="J423" i="44" s="1"/>
  <c r="E434" i="44"/>
  <c r="J434" i="44" s="1"/>
  <c r="E433" i="44"/>
  <c r="J433" i="44" s="1"/>
  <c r="E419" i="44"/>
  <c r="J419" i="44" s="1"/>
  <c r="E425" i="44"/>
  <c r="J425" i="44" s="1"/>
  <c r="E436" i="44"/>
  <c r="J436" i="44" s="1"/>
  <c r="E422" i="44"/>
  <c r="J422" i="44" s="1"/>
  <c r="E430" i="44"/>
  <c r="J430" i="44" s="1"/>
  <c r="E440" i="44"/>
  <c r="J440" i="44" s="1"/>
  <c r="E424" i="44"/>
  <c r="J424" i="44" s="1"/>
  <c r="E416" i="44"/>
  <c r="E428" i="44"/>
  <c r="J428" i="44" s="1"/>
  <c r="E435" i="44"/>
  <c r="J435" i="44" s="1"/>
  <c r="E427" i="44"/>
  <c r="J427" i="44" s="1"/>
  <c r="E421" i="44"/>
  <c r="J421" i="44" s="1"/>
  <c r="K140" i="44"/>
  <c r="E438" i="44"/>
  <c r="J438" i="44" s="1"/>
  <c r="E432" i="44"/>
  <c r="J432" i="44" s="1"/>
  <c r="F140" i="44"/>
  <c r="E426" i="44"/>
  <c r="J426" i="44" s="1"/>
  <c r="E420" i="44"/>
  <c r="J420" i="44" s="1"/>
  <c r="E437" i="44"/>
  <c r="J437" i="44" s="1"/>
  <c r="E431" i="44"/>
  <c r="J431" i="44" s="1"/>
  <c r="J220" i="44"/>
  <c r="J230" i="44"/>
  <c r="G209" i="44"/>
  <c r="L208" i="44"/>
  <c r="J215" i="44"/>
  <c r="J217" i="44"/>
  <c r="J227" i="44"/>
  <c r="J224" i="44"/>
  <c r="J223" i="44"/>
  <c r="J225" i="44"/>
  <c r="J209" i="44"/>
  <c r="J229" i="44"/>
  <c r="J218" i="44"/>
  <c r="J208" i="44"/>
  <c r="J206" i="44"/>
  <c r="J211" i="44"/>
  <c r="J221" i="44"/>
  <c r="J216" i="44"/>
  <c r="J212" i="44"/>
  <c r="J210" i="44"/>
  <c r="J213" i="44"/>
  <c r="J228" i="44"/>
  <c r="J207" i="44"/>
  <c r="J214" i="44"/>
  <c r="J219" i="44"/>
  <c r="J494" i="44"/>
  <c r="J522" i="44"/>
  <c r="J694" i="44"/>
  <c r="J702" i="44"/>
  <c r="J691" i="44"/>
  <c r="J344" i="44"/>
  <c r="J301" i="44"/>
  <c r="J582" i="44"/>
  <c r="J732" i="44"/>
  <c r="J296" i="44"/>
  <c r="J189" i="44"/>
  <c r="J548" i="44"/>
  <c r="J410" i="44"/>
  <c r="J268" i="44"/>
  <c r="J541" i="44"/>
  <c r="J661" i="44"/>
  <c r="J480" i="44"/>
  <c r="J693" i="44"/>
  <c r="J304" i="44"/>
  <c r="J192" i="44"/>
  <c r="J557" i="44"/>
  <c r="J613" i="44"/>
  <c r="J664" i="44"/>
  <c r="J477" i="44"/>
  <c r="J150" i="44"/>
  <c r="J237" i="44"/>
  <c r="J636" i="44"/>
  <c r="J270" i="44"/>
  <c r="J508" i="44"/>
  <c r="J734" i="44"/>
  <c r="J657" i="44"/>
  <c r="J617" i="44"/>
  <c r="J328" i="44"/>
  <c r="J160" i="44"/>
  <c r="J161" i="44"/>
  <c r="J367" i="44"/>
  <c r="J191" i="44"/>
  <c r="L448" i="44"/>
  <c r="G449" i="44"/>
  <c r="J667" i="44"/>
  <c r="J668" i="44"/>
  <c r="J515" i="44"/>
  <c r="J337" i="44"/>
  <c r="J489" i="44"/>
  <c r="J168" i="44"/>
  <c r="J287" i="44"/>
  <c r="J500" i="44"/>
  <c r="J157" i="44"/>
  <c r="J403" i="44"/>
  <c r="J242" i="44"/>
  <c r="J518" i="44"/>
  <c r="J735" i="44"/>
  <c r="J736" i="44"/>
  <c r="J705" i="44"/>
  <c r="J507" i="44"/>
  <c r="J178" i="44"/>
  <c r="J188" i="44"/>
  <c r="J726" i="44"/>
  <c r="J703" i="44"/>
  <c r="J334" i="44"/>
  <c r="J665" i="44"/>
  <c r="J701" i="44"/>
  <c r="J182" i="44"/>
  <c r="J645" i="44"/>
  <c r="J551" i="44"/>
  <c r="J267" i="44"/>
  <c r="J728" i="44"/>
  <c r="J338" i="44"/>
  <c r="J320" i="44"/>
  <c r="J330" i="44"/>
  <c r="J487" i="44"/>
  <c r="J395" i="44"/>
  <c r="J362" i="44"/>
  <c r="J520" i="44"/>
  <c r="J271" i="44"/>
  <c r="J601" i="44"/>
  <c r="J588" i="44"/>
  <c r="J521" i="44"/>
  <c r="J149" i="44"/>
  <c r="J327" i="44"/>
  <c r="J723" i="44"/>
  <c r="J198" i="44"/>
  <c r="J517" i="44"/>
  <c r="J282" i="44"/>
  <c r="J523" i="44"/>
  <c r="J567" i="44"/>
  <c r="J375" i="44"/>
  <c r="J598" i="44"/>
  <c r="J539" i="44"/>
  <c r="J401" i="44"/>
  <c r="J377" i="44"/>
  <c r="J690" i="44"/>
  <c r="J181" i="44"/>
  <c r="J340" i="44"/>
  <c r="J612" i="44"/>
  <c r="J614" i="44"/>
  <c r="J516" i="44"/>
  <c r="J529" i="44"/>
  <c r="J376" i="44"/>
  <c r="J306" i="44"/>
  <c r="J704" i="44"/>
  <c r="J738" i="44"/>
  <c r="J259" i="44"/>
  <c r="J154" i="44"/>
  <c r="J186" i="44"/>
  <c r="J627" i="44"/>
  <c r="J708" i="44"/>
  <c r="J620" i="44"/>
  <c r="J670" i="44"/>
  <c r="J555" i="44"/>
  <c r="J513" i="44"/>
  <c r="J543" i="44"/>
  <c r="J550" i="44"/>
  <c r="J269" i="44"/>
  <c r="J633" i="44"/>
  <c r="J576" i="44"/>
  <c r="J638" i="44"/>
  <c r="J346" i="44"/>
  <c r="J187" i="44"/>
  <c r="J290" i="44"/>
  <c r="J724" i="44"/>
  <c r="J674" i="44"/>
  <c r="J331" i="44"/>
  <c r="J164" i="44"/>
  <c r="J666" i="44"/>
  <c r="J722" i="44"/>
  <c r="J274" i="44"/>
  <c r="J619" i="44"/>
  <c r="J729" i="44"/>
  <c r="J318" i="44"/>
  <c r="J378" i="44"/>
  <c r="J611" i="44"/>
  <c r="J556" i="44"/>
  <c r="J552" i="44"/>
  <c r="J169" i="44"/>
  <c r="J252" i="44"/>
  <c r="J278" i="44"/>
  <c r="J589" i="44"/>
  <c r="J640" i="44"/>
  <c r="J316" i="44"/>
  <c r="J275" i="44"/>
  <c r="J605" i="44"/>
  <c r="J241" i="44"/>
  <c r="J662" i="44"/>
  <c r="J559" i="44"/>
  <c r="J526" i="44"/>
  <c r="J285" i="44"/>
  <c r="J496" i="44"/>
  <c r="J577" i="44"/>
  <c r="J374" i="44"/>
  <c r="J199" i="44"/>
  <c r="J573" i="44"/>
  <c r="J366" i="44"/>
  <c r="J177" i="44"/>
  <c r="J671" i="44"/>
  <c r="J486" i="44"/>
  <c r="J398" i="44"/>
  <c r="J659" i="44"/>
  <c r="J163" i="44"/>
  <c r="J272" i="44"/>
  <c r="J578" i="44"/>
  <c r="J394" i="44"/>
  <c r="J586" i="44"/>
  <c r="J631" i="44"/>
  <c r="J273" i="44"/>
  <c r="J397" i="44"/>
  <c r="J680" i="44"/>
  <c r="J286" i="44"/>
  <c r="L748" i="44"/>
  <c r="G749" i="44"/>
  <c r="J247" i="44"/>
  <c r="J298" i="44"/>
  <c r="J303" i="44"/>
  <c r="L658" i="44"/>
  <c r="G659" i="44"/>
  <c r="J545" i="44"/>
  <c r="J700" i="44"/>
  <c r="J310" i="44"/>
  <c r="J166" i="44"/>
  <c r="J152" i="44"/>
  <c r="J485" i="44"/>
  <c r="J392" i="44"/>
  <c r="J317" i="44"/>
  <c r="J493" i="44"/>
  <c r="J616" i="44"/>
  <c r="J342" i="44"/>
  <c r="J254" i="44"/>
  <c r="J642" i="44"/>
  <c r="J158" i="44"/>
  <c r="J391" i="44"/>
  <c r="J488" i="44"/>
  <c r="J276" i="44"/>
  <c r="J575" i="44"/>
  <c r="J313" i="44"/>
  <c r="J695" i="44"/>
  <c r="J606" i="44"/>
  <c r="J597" i="44"/>
  <c r="J260" i="44"/>
  <c r="J371" i="44"/>
  <c r="J369" i="44"/>
  <c r="J343" i="44"/>
  <c r="J648" i="44"/>
  <c r="J542" i="44"/>
  <c r="J165" i="44"/>
  <c r="L298" i="44"/>
  <c r="G299" i="44"/>
  <c r="J370" i="44"/>
  <c r="J706" i="44"/>
  <c r="J663" i="44"/>
  <c r="J707" i="44"/>
  <c r="J456" i="44"/>
  <c r="J345" i="44"/>
  <c r="J281" i="44"/>
  <c r="J246" i="44"/>
  <c r="J350" i="44"/>
  <c r="J512" i="44"/>
  <c r="J159" i="44"/>
  <c r="J709" i="44"/>
  <c r="J490" i="44"/>
  <c r="J491" i="44"/>
  <c r="J257" i="44"/>
  <c r="G509" i="44"/>
  <c r="L508" i="44"/>
  <c r="J258" i="44"/>
  <c r="J253" i="44"/>
  <c r="J495" i="44"/>
  <c r="J368" i="44"/>
  <c r="J373" i="44"/>
  <c r="J319" i="44"/>
  <c r="L178" i="44"/>
  <c r="G179" i="44"/>
  <c r="J569" i="44"/>
  <c r="J740" i="44"/>
  <c r="J570" i="44"/>
  <c r="J360" i="44"/>
  <c r="J372" i="44"/>
  <c r="J497" i="44"/>
  <c r="J650" i="44"/>
  <c r="J240" i="44"/>
  <c r="J239" i="44"/>
  <c r="J193" i="44"/>
  <c r="J510" i="44"/>
  <c r="J725" i="44"/>
  <c r="J379" i="44"/>
  <c r="L388" i="44"/>
  <c r="G389" i="44"/>
  <c r="J519" i="44"/>
  <c r="J309" i="44"/>
  <c r="J311" i="44"/>
  <c r="J554" i="44"/>
  <c r="L598" i="44"/>
  <c r="G599" i="44"/>
  <c r="J527" i="44"/>
  <c r="J399" i="44"/>
  <c r="L778" i="44"/>
  <c r="G779" i="44"/>
  <c r="J153" i="44"/>
  <c r="J669" i="44"/>
  <c r="J479" i="44"/>
  <c r="J406" i="44"/>
  <c r="J302" i="44"/>
  <c r="J400" i="44"/>
  <c r="J658" i="44"/>
  <c r="J297" i="44"/>
  <c r="J697" i="44"/>
  <c r="J558" i="44"/>
  <c r="L688" i="44"/>
  <c r="G689" i="44"/>
  <c r="J525" i="44"/>
  <c r="J629" i="44"/>
  <c r="J632" i="44"/>
  <c r="J719" i="44"/>
  <c r="J361" i="44"/>
  <c r="J727" i="44"/>
  <c r="J649" i="44"/>
  <c r="J162" i="44"/>
  <c r="J335" i="44"/>
  <c r="J190" i="44"/>
  <c r="J280" i="44"/>
  <c r="J660" i="44"/>
  <c r="J583" i="44"/>
  <c r="J200" i="44"/>
  <c r="J482" i="44"/>
  <c r="J195" i="44"/>
  <c r="J357" i="44"/>
  <c r="J256" i="44"/>
  <c r="J509" i="44"/>
  <c r="J544" i="44"/>
  <c r="J603" i="44"/>
  <c r="J568" i="44"/>
  <c r="J585" i="44"/>
  <c r="J675" i="44"/>
  <c r="J151" i="44"/>
  <c r="J608" i="44"/>
  <c r="J279" i="44"/>
  <c r="J389" i="44"/>
  <c r="J407" i="44"/>
  <c r="J721" i="44"/>
  <c r="G239" i="44"/>
  <c r="L238" i="44"/>
  <c r="J365" i="44"/>
  <c r="J184" i="44"/>
  <c r="J530" i="44"/>
  <c r="J333" i="44"/>
  <c r="J283" i="44"/>
  <c r="J393" i="44"/>
  <c r="J245" i="44"/>
  <c r="J560" i="44"/>
  <c r="J540" i="44"/>
  <c r="J599" i="44"/>
  <c r="J349" i="44"/>
  <c r="J250" i="44"/>
  <c r="J347" i="44"/>
  <c r="J249" i="44"/>
  <c r="J170" i="44"/>
  <c r="J647" i="44"/>
  <c r="J348" i="44"/>
  <c r="L628" i="44"/>
  <c r="G629" i="44"/>
  <c r="J402" i="44"/>
  <c r="J679" i="44"/>
  <c r="J408" i="44"/>
  <c r="J484" i="44"/>
  <c r="L148" i="44"/>
  <c r="G149" i="44"/>
  <c r="J511" i="44"/>
  <c r="J630" i="44"/>
  <c r="J574" i="44"/>
  <c r="J692" i="44"/>
  <c r="J312" i="44"/>
  <c r="J148" i="44"/>
  <c r="J390" i="44"/>
  <c r="J339" i="44"/>
  <c r="J478" i="44"/>
  <c r="J307" i="44"/>
  <c r="J699" i="44"/>
  <c r="J584" i="44"/>
  <c r="J185" i="44"/>
  <c r="J637" i="44"/>
  <c r="J553" i="44"/>
  <c r="J396" i="44"/>
  <c r="J332" i="44"/>
  <c r="J314" i="44"/>
  <c r="J255" i="44"/>
  <c r="J590" i="44"/>
  <c r="J194" i="44"/>
  <c r="J305" i="44"/>
  <c r="J628" i="44"/>
  <c r="J388" i="44"/>
  <c r="G539" i="44"/>
  <c r="L538" i="44"/>
  <c r="J580" i="44"/>
  <c r="J618" i="44"/>
  <c r="J243" i="44"/>
  <c r="J277" i="44"/>
  <c r="J610" i="44"/>
  <c r="L328" i="44"/>
  <c r="G329" i="44"/>
  <c r="J677" i="44"/>
  <c r="J602" i="44"/>
  <c r="J336" i="44"/>
  <c r="J646" i="44"/>
  <c r="J689" i="44"/>
  <c r="J359" i="44"/>
  <c r="J514" i="44"/>
  <c r="J572" i="44"/>
  <c r="J634" i="44"/>
  <c r="J528" i="44"/>
  <c r="J579" i="44"/>
  <c r="J607" i="44"/>
  <c r="J364" i="44"/>
  <c r="J183" i="44"/>
  <c r="J644" i="44"/>
  <c r="J404" i="44"/>
  <c r="G419" i="44"/>
  <c r="L418" i="44"/>
  <c r="L568" i="44"/>
  <c r="G569" i="44"/>
  <c r="J405" i="44"/>
  <c r="J409" i="44"/>
  <c r="J635" i="44"/>
  <c r="J251" i="44"/>
  <c r="J498" i="44"/>
  <c r="J363" i="44"/>
  <c r="J687" i="44"/>
  <c r="J717" i="44"/>
  <c r="J315" i="44"/>
  <c r="J180" i="44"/>
  <c r="J731" i="44"/>
  <c r="J156" i="44"/>
  <c r="L718" i="44"/>
  <c r="G719" i="44"/>
  <c r="J720" i="44"/>
  <c r="J641" i="44"/>
  <c r="J284" i="44"/>
  <c r="J288" i="44"/>
  <c r="J673" i="44"/>
  <c r="J289" i="44"/>
  <c r="J238" i="44"/>
  <c r="J329" i="44"/>
  <c r="J571" i="44"/>
  <c r="J676" i="44"/>
  <c r="J733" i="44"/>
  <c r="J308" i="44"/>
  <c r="J710" i="44"/>
  <c r="J299" i="44"/>
  <c r="J643" i="44"/>
  <c r="J737" i="44"/>
  <c r="J639" i="44"/>
  <c r="J483" i="44"/>
  <c r="J147" i="44"/>
  <c r="J587" i="44"/>
  <c r="J730" i="44"/>
  <c r="J248" i="44"/>
  <c r="J696" i="44"/>
  <c r="G269" i="44"/>
  <c r="L268" i="44"/>
  <c r="J615" i="44"/>
  <c r="J537" i="44"/>
  <c r="J196" i="44"/>
  <c r="J341" i="44"/>
  <c r="J672" i="44"/>
  <c r="J429" i="44"/>
  <c r="J197" i="44"/>
  <c r="J718" i="44"/>
  <c r="J387" i="44"/>
  <c r="J499" i="44"/>
  <c r="J604" i="44"/>
  <c r="J244" i="44"/>
  <c r="J380" i="44"/>
  <c r="J609" i="44"/>
  <c r="J549" i="44"/>
  <c r="J678" i="44"/>
  <c r="J481" i="44"/>
  <c r="J688" i="44"/>
  <c r="J581" i="44"/>
  <c r="J538" i="44"/>
  <c r="J547" i="44"/>
  <c r="J179" i="44"/>
  <c r="J492" i="44"/>
  <c r="J300" i="44"/>
  <c r="J524" i="44"/>
  <c r="G359" i="44"/>
  <c r="L358" i="44"/>
  <c r="G479" i="44"/>
  <c r="L478" i="44"/>
  <c r="J358" i="44"/>
  <c r="J546" i="44"/>
  <c r="J600" i="44"/>
  <c r="J698" i="44"/>
  <c r="J155" i="44"/>
  <c r="J739" i="44"/>
  <c r="J167" i="44"/>
  <c r="L117" i="44"/>
  <c r="G118" i="44"/>
  <c r="E127" i="44" l="1"/>
  <c r="J127" i="44" s="1"/>
  <c r="E115" i="44"/>
  <c r="J115" i="44" s="1"/>
  <c r="D745" i="44"/>
  <c r="J116" i="44"/>
  <c r="E139" i="44"/>
  <c r="J139" i="44" s="1"/>
  <c r="E129" i="44"/>
  <c r="J129" i="44" s="1"/>
  <c r="E133" i="44"/>
  <c r="J133" i="44" s="1"/>
  <c r="E128" i="44"/>
  <c r="J128" i="44" s="1"/>
  <c r="E120" i="44"/>
  <c r="J120" i="44" s="1"/>
  <c r="E761" i="44"/>
  <c r="J761" i="44" s="1"/>
  <c r="E749" i="44"/>
  <c r="J749" i="44" s="1"/>
  <c r="E760" i="44"/>
  <c r="J760" i="44" s="1"/>
  <c r="E119" i="44"/>
  <c r="J119" i="44" s="1"/>
  <c r="E748" i="44"/>
  <c r="J748" i="44" s="1"/>
  <c r="E752" i="44"/>
  <c r="J752" i="44" s="1"/>
  <c r="E750" i="44"/>
  <c r="J750" i="44" s="1"/>
  <c r="E137" i="44"/>
  <c r="J137" i="44" s="1"/>
  <c r="E746" i="44"/>
  <c r="J746" i="44" s="1"/>
  <c r="E763" i="44"/>
  <c r="J763" i="44" s="1"/>
  <c r="E123" i="44"/>
  <c r="J123" i="44" s="1"/>
  <c r="E759" i="44"/>
  <c r="J759" i="44" s="1"/>
  <c r="E757" i="44"/>
  <c r="J757" i="44" s="1"/>
  <c r="E136" i="44"/>
  <c r="J136" i="44" s="1"/>
  <c r="E768" i="44"/>
  <c r="J768" i="44" s="1"/>
  <c r="E121" i="44"/>
  <c r="J121" i="44" s="1"/>
  <c r="E135" i="44"/>
  <c r="J135" i="44" s="1"/>
  <c r="E770" i="44"/>
  <c r="J770" i="44" s="1"/>
  <c r="E767" i="44"/>
  <c r="J767" i="44" s="1"/>
  <c r="E138" i="44"/>
  <c r="J138" i="44" s="1"/>
  <c r="E131" i="44"/>
  <c r="J131" i="44" s="1"/>
  <c r="E132" i="44"/>
  <c r="J132" i="44" s="1"/>
  <c r="E758" i="44"/>
  <c r="J758" i="44" s="1"/>
  <c r="E755" i="44"/>
  <c r="J755" i="44" s="1"/>
  <c r="E747" i="44"/>
  <c r="J747" i="44" s="1"/>
  <c r="E130" i="44"/>
  <c r="J130" i="44" s="1"/>
  <c r="E124" i="44"/>
  <c r="J124" i="44" s="1"/>
  <c r="E769" i="44"/>
  <c r="J769" i="44" s="1"/>
  <c r="E756" i="44"/>
  <c r="J756" i="44" s="1"/>
  <c r="E126" i="44"/>
  <c r="J126" i="44" s="1"/>
  <c r="E125" i="44"/>
  <c r="J125" i="44" s="1"/>
  <c r="E118" i="44"/>
  <c r="J118" i="44" s="1"/>
  <c r="E765" i="44"/>
  <c r="J765" i="44" s="1"/>
  <c r="E766" i="44"/>
  <c r="J766" i="44" s="1"/>
  <c r="E117" i="44"/>
  <c r="J117" i="44" s="1"/>
  <c r="E122" i="44"/>
  <c r="J122" i="44" s="1"/>
  <c r="E751" i="44"/>
  <c r="J751" i="44" s="1"/>
  <c r="E753" i="44"/>
  <c r="J753" i="44" s="1"/>
  <c r="E754" i="44"/>
  <c r="J754" i="44" s="1"/>
  <c r="E134" i="44"/>
  <c r="J134" i="44" s="1"/>
  <c r="E762" i="44"/>
  <c r="J762" i="44" s="1"/>
  <c r="E764" i="44"/>
  <c r="J764" i="44" s="1"/>
  <c r="J231" i="44"/>
  <c r="E231" i="44"/>
  <c r="L209" i="44"/>
  <c r="G210" i="44"/>
  <c r="I775" i="44"/>
  <c r="I801" i="44" s="1"/>
  <c r="D801" i="44"/>
  <c r="J686" i="44"/>
  <c r="J711" i="44" s="1"/>
  <c r="E711" i="44"/>
  <c r="J626" i="44"/>
  <c r="J651" i="44" s="1"/>
  <c r="E651" i="44"/>
  <c r="J716" i="44"/>
  <c r="J741" i="44" s="1"/>
  <c r="E741" i="44"/>
  <c r="J656" i="44"/>
  <c r="J681" i="44" s="1"/>
  <c r="E681" i="44"/>
  <c r="J596" i="44"/>
  <c r="J621" i="44" s="1"/>
  <c r="E621" i="44"/>
  <c r="J566" i="44"/>
  <c r="J591" i="44" s="1"/>
  <c r="E591" i="44"/>
  <c r="L239" i="44"/>
  <c r="G240" i="44"/>
  <c r="L779" i="44"/>
  <c r="G780" i="44"/>
  <c r="G270" i="44"/>
  <c r="L269" i="44"/>
  <c r="E321" i="44"/>
  <c r="G450" i="44"/>
  <c r="L449" i="44"/>
  <c r="E201" i="44"/>
  <c r="J176" i="44"/>
  <c r="J201" i="44" s="1"/>
  <c r="L569" i="44"/>
  <c r="G570" i="44"/>
  <c r="L149" i="44"/>
  <c r="G150" i="44"/>
  <c r="G600" i="44"/>
  <c r="L599" i="44"/>
  <c r="L749" i="44"/>
  <c r="G750" i="44"/>
  <c r="E501" i="44"/>
  <c r="J476" i="44"/>
  <c r="J501" i="44" s="1"/>
  <c r="J506" i="44"/>
  <c r="E531" i="44"/>
  <c r="L299" i="44"/>
  <c r="G300" i="44"/>
  <c r="E381" i="44"/>
  <c r="J356" i="44"/>
  <c r="J381" i="44" s="1"/>
  <c r="G480" i="44"/>
  <c r="L479" i="44"/>
  <c r="L419" i="44"/>
  <c r="G420" i="44"/>
  <c r="E171" i="44"/>
  <c r="J146" i="44"/>
  <c r="J171" i="44" s="1"/>
  <c r="J536" i="44"/>
  <c r="J561" i="44" s="1"/>
  <c r="E561" i="44"/>
  <c r="G720" i="44"/>
  <c r="L719" i="44"/>
  <c r="G330" i="44"/>
  <c r="L329" i="44"/>
  <c r="L539" i="44"/>
  <c r="G540" i="44"/>
  <c r="G510" i="44"/>
  <c r="L509" i="44"/>
  <c r="E291" i="44"/>
  <c r="J266" i="44"/>
  <c r="J291" i="44" s="1"/>
  <c r="L359" i="44"/>
  <c r="G360" i="44"/>
  <c r="E471" i="44"/>
  <c r="J446" i="44"/>
  <c r="J471" i="44" s="1"/>
  <c r="G390" i="44"/>
  <c r="L389" i="44"/>
  <c r="G180" i="44"/>
  <c r="L179" i="44"/>
  <c r="L629" i="44"/>
  <c r="G630" i="44"/>
  <c r="L659" i="44"/>
  <c r="G660" i="44"/>
  <c r="L689" i="44"/>
  <c r="G690" i="44"/>
  <c r="J416" i="44"/>
  <c r="J441" i="44" s="1"/>
  <c r="E441" i="44"/>
  <c r="E261" i="44"/>
  <c r="J236" i="44"/>
  <c r="J261" i="44" s="1"/>
  <c r="E411" i="44"/>
  <c r="J386" i="44"/>
  <c r="J411" i="44" s="1"/>
  <c r="E351" i="44"/>
  <c r="J326" i="44"/>
  <c r="J351" i="44" s="1"/>
  <c r="J321" i="44"/>
  <c r="D114" i="44"/>
  <c r="L118" i="44"/>
  <c r="G119" i="44"/>
  <c r="E771" i="44" l="1"/>
  <c r="J771" i="44"/>
  <c r="E140" i="44"/>
  <c r="L210" i="44"/>
  <c r="G211" i="44"/>
  <c r="D231" i="44"/>
  <c r="I205" i="44"/>
  <c r="I231" i="44" s="1"/>
  <c r="I745" i="44"/>
  <c r="I771" i="44" s="1"/>
  <c r="D771" i="44"/>
  <c r="I625" i="44"/>
  <c r="I651" i="44" s="1"/>
  <c r="D651" i="44"/>
  <c r="I655" i="44"/>
  <c r="I681" i="44" s="1"/>
  <c r="D681" i="44"/>
  <c r="I685" i="44"/>
  <c r="I711" i="44" s="1"/>
  <c r="D711" i="44"/>
  <c r="I595" i="44"/>
  <c r="I621" i="44" s="1"/>
  <c r="D621" i="44"/>
  <c r="I715" i="44"/>
  <c r="I741" i="44" s="1"/>
  <c r="D741" i="44"/>
  <c r="I565" i="44"/>
  <c r="I591" i="44" s="1"/>
  <c r="D591" i="44"/>
  <c r="J140" i="44"/>
  <c r="D261" i="44"/>
  <c r="I235" i="44"/>
  <c r="I261" i="44" s="1"/>
  <c r="D411" i="44"/>
  <c r="I385" i="44"/>
  <c r="I411" i="44" s="1"/>
  <c r="L420" i="44"/>
  <c r="G421" i="44"/>
  <c r="D471" i="44"/>
  <c r="I445" i="44"/>
  <c r="I471" i="44" s="1"/>
  <c r="G691" i="44"/>
  <c r="L690" i="44"/>
  <c r="D561" i="44"/>
  <c r="I535" i="44"/>
  <c r="I561" i="44" s="1"/>
  <c r="G781" i="44"/>
  <c r="L780" i="44"/>
  <c r="L300" i="44"/>
  <c r="G301" i="44"/>
  <c r="L510" i="44"/>
  <c r="G511" i="44"/>
  <c r="G721" i="44"/>
  <c r="L720" i="44"/>
  <c r="L750" i="44"/>
  <c r="G751" i="44"/>
  <c r="L240" i="44"/>
  <c r="G241" i="44"/>
  <c r="D201" i="44"/>
  <c r="I175" i="44"/>
  <c r="I201" i="44" s="1"/>
  <c r="L180" i="44"/>
  <c r="G181" i="44"/>
  <c r="L480" i="44"/>
  <c r="G481" i="44"/>
  <c r="D531" i="44"/>
  <c r="I505" i="44"/>
  <c r="I531" i="44" s="1"/>
  <c r="L390" i="44"/>
  <c r="G391" i="44"/>
  <c r="L360" i="44"/>
  <c r="G361" i="44"/>
  <c r="L540" i="44"/>
  <c r="G541" i="44"/>
  <c r="L600" i="44"/>
  <c r="G601" i="44"/>
  <c r="L450" i="44"/>
  <c r="G451" i="44"/>
  <c r="G571" i="44"/>
  <c r="L570" i="44"/>
  <c r="D501" i="44"/>
  <c r="I475" i="44"/>
  <c r="I501" i="44" s="1"/>
  <c r="J531" i="44"/>
  <c r="D171" i="44"/>
  <c r="I145" i="44"/>
  <c r="I171" i="44" s="1"/>
  <c r="G631" i="44"/>
  <c r="L630" i="44"/>
  <c r="L330" i="44"/>
  <c r="G331" i="44"/>
  <c r="D381" i="44"/>
  <c r="I355" i="44"/>
  <c r="I381" i="44" s="1"/>
  <c r="L150" i="44"/>
  <c r="G151" i="44"/>
  <c r="L270" i="44"/>
  <c r="G271" i="44"/>
  <c r="D441" i="44"/>
  <c r="I415" i="44"/>
  <c r="I441" i="44" s="1"/>
  <c r="G661" i="44"/>
  <c r="L660" i="44"/>
  <c r="D291" i="44"/>
  <c r="I265" i="44"/>
  <c r="I291" i="44" s="1"/>
  <c r="D321" i="44"/>
  <c r="I295" i="44"/>
  <c r="I321" i="44" s="1"/>
  <c r="D351" i="44"/>
  <c r="I325" i="44"/>
  <c r="I351" i="44" s="1"/>
  <c r="D140" i="44"/>
  <c r="I114" i="44"/>
  <c r="I140" i="44" s="1"/>
  <c r="L119" i="44"/>
  <c r="G120" i="44"/>
  <c r="G212" i="44" l="1"/>
  <c r="L211" i="44"/>
  <c r="G572" i="44"/>
  <c r="L571" i="44"/>
  <c r="G392" i="44"/>
  <c r="L391" i="44"/>
  <c r="L241" i="44"/>
  <c r="G242" i="44"/>
  <c r="G422" i="44"/>
  <c r="L421" i="44"/>
  <c r="G272" i="44"/>
  <c r="L271" i="44"/>
  <c r="G602" i="44"/>
  <c r="L601" i="44"/>
  <c r="G482" i="44"/>
  <c r="L481" i="44"/>
  <c r="G752" i="44"/>
  <c r="L751" i="44"/>
  <c r="G692" i="44"/>
  <c r="L691" i="44"/>
  <c r="L301" i="44"/>
  <c r="G302" i="44"/>
  <c r="G722" i="44"/>
  <c r="L721" i="44"/>
  <c r="G452" i="44"/>
  <c r="L451" i="44"/>
  <c r="G542" i="44"/>
  <c r="L541" i="44"/>
  <c r="L181" i="44"/>
  <c r="G182" i="44"/>
  <c r="G662" i="44"/>
  <c r="L661" i="44"/>
  <c r="G512" i="44"/>
  <c r="L511" i="44"/>
  <c r="G782" i="44"/>
  <c r="L781" i="44"/>
  <c r="G152" i="44"/>
  <c r="L151" i="44"/>
  <c r="G332" i="44"/>
  <c r="L331" i="44"/>
  <c r="L631" i="44"/>
  <c r="G632" i="44"/>
  <c r="G362" i="44"/>
  <c r="L361" i="44"/>
  <c r="L120" i="44"/>
  <c r="G121" i="44"/>
  <c r="L212" i="44" l="1"/>
  <c r="G213" i="44"/>
  <c r="G183" i="44"/>
  <c r="L182" i="44"/>
  <c r="L722" i="44"/>
  <c r="G723" i="44"/>
  <c r="G693" i="44"/>
  <c r="L692" i="44"/>
  <c r="L752" i="44"/>
  <c r="G753" i="44"/>
  <c r="G363" i="44"/>
  <c r="L362" i="44"/>
  <c r="G543" i="44"/>
  <c r="L542" i="44"/>
  <c r="G303" i="44"/>
  <c r="L302" i="44"/>
  <c r="G483" i="44"/>
  <c r="L482" i="44"/>
  <c r="G393" i="44"/>
  <c r="L392" i="44"/>
  <c r="G783" i="44"/>
  <c r="L782" i="44"/>
  <c r="G573" i="44"/>
  <c r="L572" i="44"/>
  <c r="G333" i="44"/>
  <c r="L332" i="44"/>
  <c r="G243" i="44"/>
  <c r="L242" i="44"/>
  <c r="L662" i="44"/>
  <c r="G663" i="44"/>
  <c r="G453" i="44"/>
  <c r="L452" i="44"/>
  <c r="G603" i="44"/>
  <c r="L602" i="44"/>
  <c r="G273" i="44"/>
  <c r="L272" i="44"/>
  <c r="L632" i="44"/>
  <c r="G633" i="44"/>
  <c r="G153" i="44"/>
  <c r="L152" i="44"/>
  <c r="G513" i="44"/>
  <c r="L512" i="44"/>
  <c r="G423" i="44"/>
  <c r="L422" i="44"/>
  <c r="L121" i="44"/>
  <c r="G122" i="44"/>
  <c r="L213" i="44" l="1"/>
  <c r="G214" i="44"/>
  <c r="L363" i="44"/>
  <c r="G364" i="44"/>
  <c r="G694" i="44"/>
  <c r="L693" i="44"/>
  <c r="L273" i="44"/>
  <c r="G274" i="44"/>
  <c r="G394" i="44"/>
  <c r="L393" i="44"/>
  <c r="G724" i="44"/>
  <c r="L723" i="44"/>
  <c r="L513" i="44"/>
  <c r="G514" i="44"/>
  <c r="G484" i="44"/>
  <c r="L483" i="44"/>
  <c r="G604" i="44"/>
  <c r="L603" i="44"/>
  <c r="L453" i="44"/>
  <c r="G454" i="44"/>
  <c r="G424" i="44"/>
  <c r="L423" i="44"/>
  <c r="L303" i="44"/>
  <c r="G304" i="44"/>
  <c r="G184" i="44"/>
  <c r="L183" i="44"/>
  <c r="G754" i="44"/>
  <c r="L753" i="44"/>
  <c r="L153" i="44"/>
  <c r="G154" i="44"/>
  <c r="G574" i="44"/>
  <c r="L573" i="44"/>
  <c r="L543" i="44"/>
  <c r="G544" i="44"/>
  <c r="G334" i="44"/>
  <c r="L333" i="44"/>
  <c r="L243" i="44"/>
  <c r="G244" i="44"/>
  <c r="G634" i="44"/>
  <c r="L633" i="44"/>
  <c r="G664" i="44"/>
  <c r="L663" i="44"/>
  <c r="G784" i="44"/>
  <c r="L783" i="44"/>
  <c r="L122" i="44"/>
  <c r="G123" i="44"/>
  <c r="G215" i="44" l="1"/>
  <c r="L214" i="44"/>
  <c r="L394" i="44"/>
  <c r="G395" i="44"/>
  <c r="L274" i="44"/>
  <c r="G275" i="44"/>
  <c r="G665" i="44"/>
  <c r="L664" i="44"/>
  <c r="G515" i="44"/>
  <c r="L514" i="44"/>
  <c r="G455" i="44"/>
  <c r="L454" i="44"/>
  <c r="G695" i="44"/>
  <c r="L694" i="44"/>
  <c r="L364" i="44"/>
  <c r="G365" i="44"/>
  <c r="G366" i="44" s="1"/>
  <c r="G185" i="44"/>
  <c r="L184" i="44"/>
  <c r="L544" i="44"/>
  <c r="G545" i="44"/>
  <c r="L304" i="44"/>
  <c r="G305" i="44"/>
  <c r="G605" i="44"/>
  <c r="L604" i="44"/>
  <c r="G785" i="44"/>
  <c r="L784" i="44"/>
  <c r="G575" i="44"/>
  <c r="L574" i="44"/>
  <c r="G755" i="44"/>
  <c r="L754" i="44"/>
  <c r="L724" i="44"/>
  <c r="G725" i="44"/>
  <c r="G635" i="44"/>
  <c r="L634" i="44"/>
  <c r="G245" i="44"/>
  <c r="L244" i="44"/>
  <c r="G155" i="44"/>
  <c r="L154" i="44"/>
  <c r="G335" i="44"/>
  <c r="L334" i="44"/>
  <c r="G425" i="44"/>
  <c r="L424" i="44"/>
  <c r="G485" i="44"/>
  <c r="L484" i="44"/>
  <c r="L123" i="44"/>
  <c r="G124" i="44"/>
  <c r="L725" i="44" l="1"/>
  <c r="G726" i="44"/>
  <c r="L305" i="44"/>
  <c r="G306" i="44"/>
  <c r="L395" i="44"/>
  <c r="G396" i="44"/>
  <c r="L335" i="44"/>
  <c r="G336" i="44"/>
  <c r="L695" i="44"/>
  <c r="G696" i="44"/>
  <c r="L665" i="44"/>
  <c r="G666" i="44"/>
  <c r="L545" i="44"/>
  <c r="G546" i="44"/>
  <c r="L275" i="44"/>
  <c r="G276" i="44"/>
  <c r="L785" i="44"/>
  <c r="G786" i="44"/>
  <c r="L455" i="44"/>
  <c r="G456" i="44"/>
  <c r="L425" i="44"/>
  <c r="G426" i="44"/>
  <c r="L755" i="44"/>
  <c r="G756" i="44"/>
  <c r="L575" i="44"/>
  <c r="G576" i="44"/>
  <c r="L515" i="44"/>
  <c r="G516" i="44"/>
  <c r="L485" i="44"/>
  <c r="G486" i="44"/>
  <c r="L155" i="44"/>
  <c r="G156" i="44"/>
  <c r="L605" i="44"/>
  <c r="G606" i="44"/>
  <c r="L185" i="44"/>
  <c r="G186" i="44"/>
  <c r="L245" i="44"/>
  <c r="G246" i="44"/>
  <c r="L635" i="44"/>
  <c r="G636" i="44"/>
  <c r="G367" i="44"/>
  <c r="L366" i="44"/>
  <c r="L215" i="44"/>
  <c r="G216" i="44"/>
  <c r="L365" i="44"/>
  <c r="L124" i="44"/>
  <c r="G125" i="44"/>
  <c r="G757" i="44" l="1"/>
  <c r="L756" i="44"/>
  <c r="L276" i="44"/>
  <c r="G277" i="44"/>
  <c r="L606" i="44"/>
  <c r="G607" i="44"/>
  <c r="L546" i="44"/>
  <c r="G547" i="44"/>
  <c r="G727" i="44"/>
  <c r="L726" i="44"/>
  <c r="L216" i="44"/>
  <c r="G217" i="44"/>
  <c r="L156" i="44"/>
  <c r="G157" i="44"/>
  <c r="G667" i="44"/>
  <c r="L666" i="44"/>
  <c r="L486" i="44"/>
  <c r="G487" i="44"/>
  <c r="G457" i="44"/>
  <c r="L456" i="44"/>
  <c r="G697" i="44"/>
  <c r="L696" i="44"/>
  <c r="L367" i="44"/>
  <c r="G368" i="44"/>
  <c r="L636" i="44"/>
  <c r="G637" i="44"/>
  <c r="L516" i="44"/>
  <c r="G517" i="44"/>
  <c r="G787" i="44"/>
  <c r="L786" i="44"/>
  <c r="G337" i="44"/>
  <c r="L336" i="44"/>
  <c r="G187" i="44"/>
  <c r="L186" i="44"/>
  <c r="L306" i="44"/>
  <c r="G307" i="44"/>
  <c r="L426" i="44"/>
  <c r="G427" i="44"/>
  <c r="L246" i="44"/>
  <c r="G247" i="44"/>
  <c r="G577" i="44"/>
  <c r="L576" i="44"/>
  <c r="L396" i="44"/>
  <c r="G397" i="44"/>
  <c r="G126" i="44"/>
  <c r="L125" i="44"/>
  <c r="L457" i="44" l="1"/>
  <c r="G458" i="44"/>
  <c r="L487" i="44"/>
  <c r="G488" i="44"/>
  <c r="G369" i="44"/>
  <c r="L368" i="44"/>
  <c r="G758" i="44"/>
  <c r="L757" i="44"/>
  <c r="L727" i="44"/>
  <c r="G728" i="44"/>
  <c r="L337" i="44"/>
  <c r="G338" i="44"/>
  <c r="G548" i="44"/>
  <c r="L547" i="44"/>
  <c r="G218" i="44"/>
  <c r="L217" i="44"/>
  <c r="G578" i="44"/>
  <c r="L577" i="44"/>
  <c r="G248" i="44"/>
  <c r="L247" i="44"/>
  <c r="L187" i="44"/>
  <c r="G188" i="44"/>
  <c r="G668" i="44"/>
  <c r="L667" i="44"/>
  <c r="L427" i="44"/>
  <c r="G428" i="44"/>
  <c r="G308" i="44"/>
  <c r="L307" i="44"/>
  <c r="G278" i="44"/>
  <c r="L277" i="44"/>
  <c r="G398" i="44"/>
  <c r="L397" i="44"/>
  <c r="L787" i="44"/>
  <c r="G788" i="44"/>
  <c r="L157" i="44"/>
  <c r="G158" i="44"/>
  <c r="L607" i="44"/>
  <c r="G608" i="44"/>
  <c r="G638" i="44"/>
  <c r="L637" i="44"/>
  <c r="L517" i="44"/>
  <c r="G518" i="44"/>
  <c r="L697" i="44"/>
  <c r="G698" i="44"/>
  <c r="L126" i="44"/>
  <c r="G127" i="44"/>
  <c r="L369" i="44" l="1"/>
  <c r="G370" i="44"/>
  <c r="L758" i="44"/>
  <c r="G759" i="44"/>
  <c r="L158" i="44"/>
  <c r="G159" i="44"/>
  <c r="L698" i="44"/>
  <c r="G699" i="44"/>
  <c r="G700" i="44" s="1"/>
  <c r="G219" i="44"/>
  <c r="G220" i="44" s="1"/>
  <c r="L218" i="44"/>
  <c r="L398" i="44"/>
  <c r="G399" i="44"/>
  <c r="L638" i="44"/>
  <c r="G639" i="44"/>
  <c r="G640" i="44" s="1"/>
  <c r="G249" i="44"/>
  <c r="G250" i="44" s="1"/>
  <c r="L248" i="44"/>
  <c r="G459" i="44"/>
  <c r="G460" i="44" s="1"/>
  <c r="L458" i="44"/>
  <c r="L428" i="44"/>
  <c r="G429" i="44"/>
  <c r="G669" i="44"/>
  <c r="L668" i="44"/>
  <c r="L518" i="44"/>
  <c r="G519" i="44"/>
  <c r="G520" i="44" s="1"/>
  <c r="L548" i="44"/>
  <c r="G549" i="44"/>
  <c r="G339" i="44"/>
  <c r="G340" i="44" s="1"/>
  <c r="L338" i="44"/>
  <c r="G309" i="44"/>
  <c r="G310" i="44" s="1"/>
  <c r="L308" i="44"/>
  <c r="L728" i="44"/>
  <c r="G729" i="44"/>
  <c r="L578" i="44"/>
  <c r="G579" i="44"/>
  <c r="G789" i="44"/>
  <c r="L788" i="44"/>
  <c r="G189" i="44"/>
  <c r="G190" i="44" s="1"/>
  <c r="L188" i="44"/>
  <c r="G489" i="44"/>
  <c r="G490" i="44" s="1"/>
  <c r="L488" i="44"/>
  <c r="L278" i="44"/>
  <c r="G279" i="44"/>
  <c r="G280" i="44" s="1"/>
  <c r="G609" i="44"/>
  <c r="L608" i="44"/>
  <c r="L127" i="44"/>
  <c r="G128" i="44"/>
  <c r="L579" i="44" l="1"/>
  <c r="G580" i="44"/>
  <c r="L220" i="44"/>
  <c r="G221" i="44"/>
  <c r="L729" i="44"/>
  <c r="G730" i="44"/>
  <c r="G371" i="44"/>
  <c r="L370" i="44"/>
  <c r="G281" i="44"/>
  <c r="L280" i="44"/>
  <c r="L159" i="44"/>
  <c r="G160" i="44"/>
  <c r="L700" i="44"/>
  <c r="G701" i="44"/>
  <c r="G311" i="44"/>
  <c r="L310" i="44"/>
  <c r="L460" i="44"/>
  <c r="G461" i="44"/>
  <c r="L429" i="44"/>
  <c r="G430" i="44"/>
  <c r="L490" i="44"/>
  <c r="G491" i="44"/>
  <c r="L250" i="44"/>
  <c r="G251" i="44"/>
  <c r="L759" i="44"/>
  <c r="G760" i="44"/>
  <c r="L669" i="44"/>
  <c r="G670" i="44"/>
  <c r="L609" i="44"/>
  <c r="G610" i="44"/>
  <c r="L549" i="44"/>
  <c r="G550" i="44"/>
  <c r="G641" i="44"/>
  <c r="L640" i="44"/>
  <c r="G341" i="44"/>
  <c r="L340" i="44"/>
  <c r="G191" i="44"/>
  <c r="L190" i="44"/>
  <c r="G521" i="44"/>
  <c r="L520" i="44"/>
  <c r="L399" i="44"/>
  <c r="G400" i="44"/>
  <c r="L789" i="44"/>
  <c r="G790" i="44"/>
  <c r="L219" i="44"/>
  <c r="L519" i="44"/>
  <c r="L639" i="44"/>
  <c r="L489" i="44"/>
  <c r="L189" i="44"/>
  <c r="L699" i="44"/>
  <c r="L339" i="44"/>
  <c r="L459" i="44"/>
  <c r="L249" i="44"/>
  <c r="L279" i="44"/>
  <c r="L309" i="44"/>
  <c r="L128" i="44"/>
  <c r="G129" i="44"/>
  <c r="G671" i="44" l="1"/>
  <c r="L670" i="44"/>
  <c r="L281" i="44"/>
  <c r="G282" i="44"/>
  <c r="L191" i="44"/>
  <c r="G192" i="44"/>
  <c r="L461" i="44"/>
  <c r="G462" i="44"/>
  <c r="L341" i="44"/>
  <c r="G342" i="44"/>
  <c r="G731" i="44"/>
  <c r="L730" i="44"/>
  <c r="G791" i="44"/>
  <c r="L790" i="44"/>
  <c r="G252" i="44"/>
  <c r="L251" i="44"/>
  <c r="L311" i="44"/>
  <c r="G312" i="44"/>
  <c r="G761" i="44"/>
  <c r="L760" i="44"/>
  <c r="L701" i="44"/>
  <c r="G702" i="44"/>
  <c r="G492" i="44"/>
  <c r="L491" i="44"/>
  <c r="L641" i="44"/>
  <c r="G642" i="44"/>
  <c r="L221" i="44"/>
  <c r="G222" i="44"/>
  <c r="G401" i="44"/>
  <c r="L400" i="44"/>
  <c r="L550" i="44"/>
  <c r="G551" i="44"/>
  <c r="G372" i="44"/>
  <c r="L371" i="44"/>
  <c r="G161" i="44"/>
  <c r="L160" i="44"/>
  <c r="G581" i="44"/>
  <c r="L580" i="44"/>
  <c r="G611" i="44"/>
  <c r="L610" i="44"/>
  <c r="G522" i="44"/>
  <c r="L521" i="44"/>
  <c r="G431" i="44"/>
  <c r="L430" i="44"/>
  <c r="L129" i="44"/>
  <c r="G130" i="44"/>
  <c r="L252" i="44" l="1"/>
  <c r="G253" i="44"/>
  <c r="L372" i="44"/>
  <c r="G373" i="44"/>
  <c r="L492" i="44"/>
  <c r="G493" i="44"/>
  <c r="L702" i="44"/>
  <c r="G703" i="44"/>
  <c r="G612" i="44"/>
  <c r="L611" i="44"/>
  <c r="G402" i="44"/>
  <c r="L401" i="44"/>
  <c r="L731" i="44"/>
  <c r="G732" i="44"/>
  <c r="L671" i="44"/>
  <c r="G672" i="44"/>
  <c r="G343" i="44"/>
  <c r="L342" i="44"/>
  <c r="L222" i="44"/>
  <c r="G223" i="44"/>
  <c r="L282" i="44"/>
  <c r="G283" i="44"/>
  <c r="L761" i="44"/>
  <c r="G762" i="44"/>
  <c r="G432" i="44"/>
  <c r="L431" i="44"/>
  <c r="G643" i="44"/>
  <c r="L642" i="44"/>
  <c r="G313" i="44"/>
  <c r="L312" i="44"/>
  <c r="L462" i="44"/>
  <c r="G463" i="44"/>
  <c r="L791" i="44"/>
  <c r="G792" i="44"/>
  <c r="G582" i="44"/>
  <c r="L581" i="44"/>
  <c r="L522" i="44"/>
  <c r="G523" i="44"/>
  <c r="L551" i="44"/>
  <c r="G552" i="44"/>
  <c r="L161" i="44"/>
  <c r="G162" i="44"/>
  <c r="G193" i="44"/>
  <c r="L192" i="44"/>
  <c r="G131" i="44"/>
  <c r="L130" i="44"/>
  <c r="L373" i="44" l="1"/>
  <c r="G374" i="44"/>
  <c r="L162" i="44"/>
  <c r="G163" i="44"/>
  <c r="G793" i="44"/>
  <c r="L792" i="44"/>
  <c r="G254" i="44"/>
  <c r="L253" i="44"/>
  <c r="G763" i="44"/>
  <c r="L762" i="44"/>
  <c r="G464" i="44"/>
  <c r="L463" i="44"/>
  <c r="G613" i="44"/>
  <c r="L612" i="44"/>
  <c r="G344" i="44"/>
  <c r="L343" i="44"/>
  <c r="L672" i="44"/>
  <c r="G673" i="44"/>
  <c r="L552" i="44"/>
  <c r="G553" i="44"/>
  <c r="L732" i="44"/>
  <c r="G733" i="44"/>
  <c r="G194" i="44"/>
  <c r="L193" i="44"/>
  <c r="G524" i="44"/>
  <c r="L523" i="44"/>
  <c r="L703" i="44"/>
  <c r="G704" i="44"/>
  <c r="G314" i="44"/>
  <c r="L313" i="44"/>
  <c r="G433" i="44"/>
  <c r="L432" i="44"/>
  <c r="L283" i="44"/>
  <c r="G284" i="44"/>
  <c r="L223" i="44"/>
  <c r="G224" i="44"/>
  <c r="G403" i="44"/>
  <c r="L402" i="44"/>
  <c r="G494" i="44"/>
  <c r="L493" i="44"/>
  <c r="G583" i="44"/>
  <c r="L582" i="44"/>
  <c r="L643" i="44"/>
  <c r="G644" i="44"/>
  <c r="G132" i="44"/>
  <c r="L131" i="44"/>
  <c r="L194" i="44" l="1"/>
  <c r="G195" i="44"/>
  <c r="G734" i="44"/>
  <c r="L733" i="44"/>
  <c r="G614" i="44"/>
  <c r="L613" i="44"/>
  <c r="G375" i="44"/>
  <c r="G376" i="44" s="1"/>
  <c r="L374" i="44"/>
  <c r="L494" i="44"/>
  <c r="G495" i="44"/>
  <c r="L314" i="44"/>
  <c r="G315" i="44"/>
  <c r="G554" i="44"/>
  <c r="L553" i="44"/>
  <c r="G764" i="44"/>
  <c r="L763" i="44"/>
  <c r="L464" i="44"/>
  <c r="G465" i="44"/>
  <c r="G225" i="44"/>
  <c r="L224" i="44"/>
  <c r="G434" i="44"/>
  <c r="L433" i="44"/>
  <c r="L254" i="44"/>
  <c r="G255" i="44"/>
  <c r="L704" i="44"/>
  <c r="G705" i="44"/>
  <c r="G674" i="44"/>
  <c r="L673" i="44"/>
  <c r="L284" i="44"/>
  <c r="G285" i="44"/>
  <c r="L524" i="44"/>
  <c r="G525" i="44"/>
  <c r="G584" i="44"/>
  <c r="L583" i="44"/>
  <c r="L344" i="44"/>
  <c r="G345" i="44"/>
  <c r="L793" i="44"/>
  <c r="G794" i="44"/>
  <c r="G404" i="44"/>
  <c r="L403" i="44"/>
  <c r="L644" i="44"/>
  <c r="G645" i="44"/>
  <c r="G164" i="44"/>
  <c r="L163" i="44"/>
  <c r="L132" i="44"/>
  <c r="G133" i="44"/>
  <c r="L376" i="44" l="1"/>
  <c r="G377" i="44"/>
  <c r="L495" i="44"/>
  <c r="G496" i="44"/>
  <c r="G706" i="44"/>
  <c r="L705" i="44"/>
  <c r="G466" i="44"/>
  <c r="L465" i="44"/>
  <c r="G646" i="44"/>
  <c r="L645" i="44"/>
  <c r="G675" i="44"/>
  <c r="L674" i="44"/>
  <c r="L764" i="44"/>
  <c r="G765" i="44"/>
  <c r="L584" i="44"/>
  <c r="G585" i="44"/>
  <c r="L614" i="44"/>
  <c r="G615" i="44"/>
  <c r="G526" i="44"/>
  <c r="L525" i="44"/>
  <c r="L554" i="44"/>
  <c r="G555" i="44"/>
  <c r="L375" i="44"/>
  <c r="L734" i="44"/>
  <c r="G735" i="44"/>
  <c r="G405" i="44"/>
  <c r="G406" i="44" s="1"/>
  <c r="L404" i="44"/>
  <c r="L794" i="44"/>
  <c r="G795" i="44"/>
  <c r="G286" i="44"/>
  <c r="L285" i="44"/>
  <c r="G316" i="44"/>
  <c r="L315" i="44"/>
  <c r="G196" i="44"/>
  <c r="L195" i="44"/>
  <c r="L434" i="44"/>
  <c r="G435" i="44"/>
  <c r="G436" i="44" s="1"/>
  <c r="G165" i="44"/>
  <c r="G166" i="44" s="1"/>
  <c r="L164" i="44"/>
  <c r="G256" i="44"/>
  <c r="L255" i="44"/>
  <c r="G346" i="44"/>
  <c r="L345" i="44"/>
  <c r="G226" i="44"/>
  <c r="L225" i="44"/>
  <c r="L133" i="44"/>
  <c r="G134" i="44"/>
  <c r="L496" i="44" l="1"/>
  <c r="G497" i="44"/>
  <c r="L406" i="44"/>
  <c r="G407" i="44"/>
  <c r="L166" i="44"/>
  <c r="G167" i="44"/>
  <c r="L377" i="44"/>
  <c r="G378" i="44"/>
  <c r="L436" i="44"/>
  <c r="G437" i="44"/>
  <c r="L555" i="44"/>
  <c r="G556" i="44"/>
  <c r="L256" i="44"/>
  <c r="G257" i="44"/>
  <c r="G796" i="44"/>
  <c r="L795" i="44"/>
  <c r="L526" i="44"/>
  <c r="G527" i="44"/>
  <c r="L286" i="44"/>
  <c r="G287" i="44"/>
  <c r="G616" i="44"/>
  <c r="L615" i="44"/>
  <c r="L466" i="44"/>
  <c r="G467" i="44"/>
  <c r="L435" i="44"/>
  <c r="L405" i="44"/>
  <c r="L226" i="44"/>
  <c r="G227" i="44"/>
  <c r="G586" i="44"/>
  <c r="L585" i="44"/>
  <c r="L706" i="44"/>
  <c r="G707" i="44"/>
  <c r="L165" i="44"/>
  <c r="L646" i="44"/>
  <c r="G647" i="44"/>
  <c r="L196" i="44"/>
  <c r="G197" i="44"/>
  <c r="G766" i="44"/>
  <c r="L765" i="44"/>
  <c r="G736" i="44"/>
  <c r="L735" i="44"/>
  <c r="L316" i="44"/>
  <c r="G317" i="44"/>
  <c r="L346" i="44"/>
  <c r="G347" i="44"/>
  <c r="G676" i="44"/>
  <c r="L675" i="44"/>
  <c r="G135" i="44"/>
  <c r="L134" i="44"/>
  <c r="L437" i="44" l="1"/>
  <c r="G438" i="44"/>
  <c r="L378" i="44"/>
  <c r="G379" i="44"/>
  <c r="L167" i="44"/>
  <c r="G168" i="44"/>
  <c r="G408" i="44"/>
  <c r="L407" i="44"/>
  <c r="L556" i="44"/>
  <c r="G557" i="44"/>
  <c r="L497" i="44"/>
  <c r="G498" i="44"/>
  <c r="L676" i="44"/>
  <c r="G677" i="44"/>
  <c r="L586" i="44"/>
  <c r="G587" i="44"/>
  <c r="L616" i="44"/>
  <c r="G617" i="44"/>
  <c r="L197" i="44"/>
  <c r="G198" i="44"/>
  <c r="L227" i="44"/>
  <c r="G228" i="44"/>
  <c r="L287" i="44"/>
  <c r="G288" i="44"/>
  <c r="L317" i="44"/>
  <c r="G318" i="44"/>
  <c r="L647" i="44"/>
  <c r="G648" i="44"/>
  <c r="G528" i="44"/>
  <c r="L527" i="44"/>
  <c r="L766" i="44"/>
  <c r="G767" i="44"/>
  <c r="L796" i="44"/>
  <c r="G797" i="44"/>
  <c r="L736" i="44"/>
  <c r="G737" i="44"/>
  <c r="L467" i="44"/>
  <c r="G468" i="44"/>
  <c r="L257" i="44"/>
  <c r="G258" i="44"/>
  <c r="G348" i="44"/>
  <c r="L347" i="44"/>
  <c r="L707" i="44"/>
  <c r="G708" i="44"/>
  <c r="L135" i="44"/>
  <c r="G136" i="44"/>
  <c r="G409" i="44" l="1"/>
  <c r="L408" i="44"/>
  <c r="G169" i="44"/>
  <c r="L168" i="44"/>
  <c r="L498" i="44"/>
  <c r="G499" i="44"/>
  <c r="L379" i="44"/>
  <c r="G380" i="44"/>
  <c r="L380" i="44" s="1"/>
  <c r="L557" i="44"/>
  <c r="G558" i="44"/>
  <c r="L438" i="44"/>
  <c r="G439" i="44"/>
  <c r="L228" i="44"/>
  <c r="G229" i="44"/>
  <c r="L258" i="44"/>
  <c r="G259" i="44"/>
  <c r="L617" i="44"/>
  <c r="G618" i="44"/>
  <c r="L468" i="44"/>
  <c r="G469" i="44"/>
  <c r="L528" i="44"/>
  <c r="G529" i="44"/>
  <c r="G588" i="44"/>
  <c r="L587" i="44"/>
  <c r="G738" i="44"/>
  <c r="L737" i="44"/>
  <c r="G319" i="44"/>
  <c r="L318" i="44"/>
  <c r="G678" i="44"/>
  <c r="L677" i="44"/>
  <c r="L767" i="44"/>
  <c r="G768" i="44"/>
  <c r="L198" i="44"/>
  <c r="G199" i="44"/>
  <c r="G709" i="44"/>
  <c r="L708" i="44"/>
  <c r="L288" i="44"/>
  <c r="G289" i="44"/>
  <c r="L348" i="44"/>
  <c r="G349" i="44"/>
  <c r="G649" i="44"/>
  <c r="L648" i="44"/>
  <c r="G798" i="44"/>
  <c r="L797" i="44"/>
  <c r="G137" i="44"/>
  <c r="L136" i="44"/>
  <c r="L381" i="44" l="1"/>
  <c r="M355" i="44" s="1"/>
  <c r="L499" i="44"/>
  <c r="G500" i="44"/>
  <c r="L500" i="44" s="1"/>
  <c r="G440" i="44"/>
  <c r="L439" i="44"/>
  <c r="G170" i="44"/>
  <c r="L169" i="44"/>
  <c r="L558" i="44"/>
  <c r="G559" i="44"/>
  <c r="L409" i="44"/>
  <c r="G410" i="44"/>
  <c r="L410" i="44" s="1"/>
  <c r="G381" i="44"/>
  <c r="G470" i="44"/>
  <c r="L469" i="44"/>
  <c r="L678" i="44"/>
  <c r="G679" i="44"/>
  <c r="G619" i="44"/>
  <c r="L618" i="44"/>
  <c r="G320" i="44"/>
  <c r="L319" i="44"/>
  <c r="L199" i="44"/>
  <c r="G200" i="44"/>
  <c r="L798" i="44"/>
  <c r="G799" i="44"/>
  <c r="G260" i="44"/>
  <c r="L259" i="44"/>
  <c r="L349" i="44"/>
  <c r="G350" i="44"/>
  <c r="G739" i="44"/>
  <c r="L738" i="44"/>
  <c r="G530" i="44"/>
  <c r="L529" i="44"/>
  <c r="G290" i="44"/>
  <c r="L289" i="44"/>
  <c r="G230" i="44"/>
  <c r="L229" i="44"/>
  <c r="G769" i="44"/>
  <c r="L768" i="44"/>
  <c r="G650" i="44"/>
  <c r="L649" i="44"/>
  <c r="G710" i="44"/>
  <c r="L709" i="44"/>
  <c r="G589" i="44"/>
  <c r="L588" i="44"/>
  <c r="G138" i="44"/>
  <c r="L137" i="44"/>
  <c r="L411" i="44" l="1"/>
  <c r="M385" i="44" s="1"/>
  <c r="L501" i="44"/>
  <c r="M475" i="44" s="1"/>
  <c r="L170" i="44"/>
  <c r="L171" i="44" s="1"/>
  <c r="M145" i="44" s="1"/>
  <c r="G171" i="44"/>
  <c r="L440" i="44"/>
  <c r="L441" i="44" s="1"/>
  <c r="M415" i="44" s="1"/>
  <c r="G441" i="44"/>
  <c r="G411" i="44"/>
  <c r="G501" i="44"/>
  <c r="L559" i="44"/>
  <c r="G560" i="44"/>
  <c r="L560" i="44" s="1"/>
  <c r="L530" i="44"/>
  <c r="L531" i="44" s="1"/>
  <c r="M505" i="44" s="1"/>
  <c r="G531" i="44"/>
  <c r="L320" i="44"/>
  <c r="L321" i="44" s="1"/>
  <c r="M295" i="44" s="1"/>
  <c r="G321" i="44"/>
  <c r="L589" i="44"/>
  <c r="G590" i="44"/>
  <c r="L230" i="44"/>
  <c r="L231" i="44" s="1"/>
  <c r="M205" i="44" s="1"/>
  <c r="G231" i="44"/>
  <c r="G620" i="44"/>
  <c r="L619" i="44"/>
  <c r="L679" i="44"/>
  <c r="G680" i="44"/>
  <c r="L200" i="44"/>
  <c r="L201" i="44" s="1"/>
  <c r="M175" i="44" s="1"/>
  <c r="G201" i="44"/>
  <c r="L710" i="44"/>
  <c r="L711" i="44" s="1"/>
  <c r="M685" i="44" s="1"/>
  <c r="G711" i="44"/>
  <c r="L650" i="44"/>
  <c r="L651" i="44" s="1"/>
  <c r="M625" i="44" s="1"/>
  <c r="G651" i="44"/>
  <c r="L290" i="44"/>
  <c r="L291" i="44" s="1"/>
  <c r="M265" i="44" s="1"/>
  <c r="G291" i="44"/>
  <c r="L350" i="44"/>
  <c r="L351" i="44" s="1"/>
  <c r="M325" i="44" s="1"/>
  <c r="G351" i="44"/>
  <c r="L799" i="44"/>
  <c r="G800" i="44"/>
  <c r="L800" i="44" s="1"/>
  <c r="G740" i="44"/>
  <c r="L739" i="44"/>
  <c r="G770" i="44"/>
  <c r="L769" i="44"/>
  <c r="L260" i="44"/>
  <c r="L261" i="44" s="1"/>
  <c r="M235" i="44" s="1"/>
  <c r="G261" i="44"/>
  <c r="L470" i="44"/>
  <c r="L471" i="44" s="1"/>
  <c r="M445" i="44" s="1"/>
  <c r="G471" i="44"/>
  <c r="L138" i="44"/>
  <c r="G139" i="44"/>
  <c r="G561" i="44" l="1"/>
  <c r="L561" i="44"/>
  <c r="M535" i="44" s="1"/>
  <c r="L801" i="44"/>
  <c r="M775" i="44" s="1"/>
  <c r="L680" i="44"/>
  <c r="L681" i="44" s="1"/>
  <c r="M655" i="44" s="1"/>
  <c r="G681" i="44"/>
  <c r="L590" i="44"/>
  <c r="L591" i="44" s="1"/>
  <c r="M565" i="44" s="1"/>
  <c r="G591" i="44"/>
  <c r="L770" i="44"/>
  <c r="L771" i="44" s="1"/>
  <c r="M745" i="44" s="1"/>
  <c r="G771" i="44"/>
  <c r="L620" i="44"/>
  <c r="L621" i="44" s="1"/>
  <c r="M595" i="44" s="1"/>
  <c r="G621" i="44"/>
  <c r="L740" i="44"/>
  <c r="L741" i="44" s="1"/>
  <c r="M715" i="44" s="1"/>
  <c r="G741" i="44"/>
  <c r="G801" i="44"/>
  <c r="L139" i="44"/>
  <c r="L140" i="44" s="1"/>
  <c r="D1" i="44" s="1"/>
  <c r="E3" i="14" s="1"/>
  <c r="G140" i="44"/>
  <c r="M805" i="44" l="1"/>
</calcChain>
</file>

<file path=xl/sharedStrings.xml><?xml version="1.0" encoding="utf-8"?>
<sst xmlns="http://schemas.openxmlformats.org/spreadsheetml/2006/main" count="1114" uniqueCount="289">
  <si>
    <t>km</t>
  </si>
  <si>
    <t>Output</t>
  </si>
  <si>
    <t>LCOH</t>
  </si>
  <si>
    <t>economic parameters</t>
  </si>
  <si>
    <t>component</t>
  </si>
  <si>
    <t>Specific cost</t>
  </si>
  <si>
    <t>lifetime [years]</t>
  </si>
  <si>
    <t>OPEX [€/y]</t>
  </si>
  <si>
    <t>discount rate</t>
  </si>
  <si>
    <t>[-]</t>
  </si>
  <si>
    <t>inflation</t>
  </si>
  <si>
    <t>r</t>
  </si>
  <si>
    <t>lifetime</t>
  </si>
  <si>
    <t>opex cost</t>
  </si>
  <si>
    <t>€/kg</t>
  </si>
  <si>
    <t>YEAR</t>
  </si>
  <si>
    <t>CAPEX  [€]</t>
  </si>
  <si>
    <t>OPEX [€]</t>
  </si>
  <si>
    <t>SUBSTITUTION COSTS  [€]</t>
  </si>
  <si>
    <t>HYDROGEN [kg]</t>
  </si>
  <si>
    <t>Discount factor [-]</t>
  </si>
  <si>
    <t>CAPEX att.</t>
  </si>
  <si>
    <t>OPEX act.</t>
  </si>
  <si>
    <t>SUBSTIT. act.</t>
  </si>
  <si>
    <t>H2 production act.</t>
  </si>
  <si>
    <t>length</t>
  </si>
  <si>
    <t>Tot.</t>
  </si>
  <si>
    <t>input</t>
  </si>
  <si>
    <t xml:space="preserve">fixed parameter </t>
  </si>
  <si>
    <t>calculation</t>
  </si>
  <si>
    <t>results</t>
  </si>
  <si>
    <t>Wind Speed bins [m/s]</t>
  </si>
  <si>
    <t>Frequelcy [%]</t>
  </si>
  <si>
    <t>Time [h]</t>
  </si>
  <si>
    <t>Wind power density [W/m^2]</t>
  </si>
  <si>
    <t>Wind farm energy production (gross) [MWh]</t>
  </si>
  <si>
    <t>Wind farm energy production (Net) [MWh]</t>
  </si>
  <si>
    <t>Wind Farm data</t>
  </si>
  <si>
    <t>shape factor</t>
  </si>
  <si>
    <t>k</t>
  </si>
  <si>
    <t xml:space="preserve">average wind speed </t>
  </si>
  <si>
    <t>Vmean</t>
  </si>
  <si>
    <t>[m/s]</t>
  </si>
  <si>
    <t>scale factor</t>
  </si>
  <si>
    <t>λ</t>
  </si>
  <si>
    <t>Wake and park lossess</t>
  </si>
  <si>
    <t>Wind Farm installed capacity</t>
  </si>
  <si>
    <t>[MW]</t>
  </si>
  <si>
    <t>Number of turbines</t>
  </si>
  <si>
    <t>Total:</t>
  </si>
  <si>
    <t>[%]</t>
  </si>
  <si>
    <t>[h]</t>
  </si>
  <si>
    <t>[W/m^2]</t>
  </si>
  <si>
    <t>[MWh]</t>
  </si>
  <si>
    <t>Wind Turbine curve [MW]</t>
  </si>
  <si>
    <t>RWT IEA 15 MW</t>
  </si>
  <si>
    <t>Parameter</t>
  </si>
  <si>
    <t>IEA 15 MW Reference Wind Turbine</t>
  </si>
  <si>
    <t>Power rating [MW]</t>
  </si>
  <si>
    <t>Turbine class</t>
  </si>
  <si>
    <t>IEC Class IB</t>
  </si>
  <si>
    <t>Rotor diameter [m]</t>
  </si>
  <si>
    <t>Rotor orientation</t>
  </si>
  <si>
    <t>Upwind</t>
  </si>
  <si>
    <t>Number of blades</t>
  </si>
  <si>
    <t>Cut-in wind speed [m/s]</t>
  </si>
  <si>
    <t>Rated wind speed [m/s]</t>
  </si>
  <si>
    <t>Cut-out wind speed [m/s]</t>
  </si>
  <si>
    <t>Hub height [m]</t>
  </si>
  <si>
    <t>Design tip speed ratio</t>
  </si>
  <si>
    <t>Cost</t>
  </si>
  <si>
    <t>[EUR/MW]</t>
  </si>
  <si>
    <t>Input</t>
  </si>
  <si>
    <t>CAPEX</t>
  </si>
  <si>
    <t>OPEX</t>
  </si>
  <si>
    <t>[km]</t>
  </si>
  <si>
    <t>HHV</t>
  </si>
  <si>
    <t>Replacement cost [%]</t>
  </si>
  <si>
    <t>Replacement cost [€]</t>
  </si>
  <si>
    <t>Wind farm</t>
  </si>
  <si>
    <t>ALK stacks</t>
  </si>
  <si>
    <t>CAPEX[€]</t>
  </si>
  <si>
    <t>[years]</t>
  </si>
  <si>
    <t>Production</t>
  </si>
  <si>
    <t>Hydrogen</t>
  </si>
  <si>
    <t>Efficiency</t>
  </si>
  <si>
    <t>[MWh/kg]</t>
  </si>
  <si>
    <t>€/MW</t>
  </si>
  <si>
    <t>hot tab</t>
  </si>
  <si>
    <t>cost</t>
  </si>
  <si>
    <t>EUR</t>
  </si>
  <si>
    <t>replacement</t>
  </si>
  <si>
    <t>degredation efficiency</t>
  </si>
  <si>
    <t>[per year]</t>
  </si>
  <si>
    <t>Opex</t>
  </si>
  <si>
    <t>Installed Power [MW]</t>
  </si>
  <si>
    <t>System efficiency</t>
  </si>
  <si>
    <t>[kg/year]</t>
  </si>
  <si>
    <t>[MWh/year]</t>
  </si>
  <si>
    <t>CF</t>
  </si>
  <si>
    <t>On [1] or off [0]</t>
  </si>
  <si>
    <t>Wind power produced</t>
  </si>
  <si>
    <t># Installed unit</t>
  </si>
  <si>
    <t>[%/year]</t>
  </si>
  <si>
    <t>Replacement cost</t>
  </si>
  <si>
    <t xml:space="preserve"> [% of CAPEX]</t>
  </si>
  <si>
    <t>Distance to shore</t>
  </si>
  <si>
    <t>Inter array distance</t>
  </si>
  <si>
    <t>[GW]</t>
  </si>
  <si>
    <t>Rounded average wind output capacity</t>
  </si>
  <si>
    <t>efficiency (per compressor)</t>
  </si>
  <si>
    <t>System contigency cost</t>
  </si>
  <si>
    <t>CAPEX Turbine</t>
  </si>
  <si>
    <t>[% of CAPEX]</t>
  </si>
  <si>
    <t>Desalination (reverse osmosis) system</t>
  </si>
  <si>
    <t>ALK electrolyzer system (without stack)</t>
  </si>
  <si>
    <t>[% per year]</t>
  </si>
  <si>
    <t>Sources</t>
  </si>
  <si>
    <t>[EUR/GW/km]</t>
  </si>
  <si>
    <t>Deloitte, 2021; ISPT, 2023</t>
  </si>
  <si>
    <t>Electricity cables (AC)</t>
  </si>
  <si>
    <t>System efficiency before reacing the electrolyzer</t>
  </si>
  <si>
    <t>Rogeau et al., 2023</t>
  </si>
  <si>
    <t>Singlitico et al., 2021; Rogeau et al., 2023</t>
  </si>
  <si>
    <t>[EUR/per Turbine]</t>
  </si>
  <si>
    <t>Turbines [#]</t>
  </si>
  <si>
    <t>Data input</t>
  </si>
  <si>
    <t>Infrastructure</t>
  </si>
  <si>
    <t>Electricity cables (DC)</t>
  </si>
  <si>
    <t>Alkaline</t>
  </si>
  <si>
    <t>PEM</t>
  </si>
  <si>
    <t>Distance to Shore</t>
  </si>
  <si>
    <t>Wind turbines</t>
  </si>
  <si>
    <t>Electrolysis</t>
  </si>
  <si>
    <t>Other cost</t>
  </si>
  <si>
    <t>Assumed</t>
  </si>
  <si>
    <t>Rounded values</t>
  </si>
  <si>
    <t>Unit</t>
  </si>
  <si>
    <t>Lifetime</t>
  </si>
  <si>
    <t>NREL, 2022</t>
  </si>
  <si>
    <t>Comment</t>
  </si>
  <si>
    <t>PEM stacks</t>
  </si>
  <si>
    <t>PEM electrolyzer system (without stack)</t>
  </si>
  <si>
    <t xml:space="preserve">Offshore </t>
  </si>
  <si>
    <t>Local infrastructure at wind farm</t>
  </si>
  <si>
    <t>Converer station</t>
  </si>
  <si>
    <t>€/turbine</t>
  </si>
  <si>
    <t>Efficiency losses already included in wind source data</t>
  </si>
  <si>
    <t>HVDC Substation</t>
  </si>
  <si>
    <t>HVAC Substation</t>
  </si>
  <si>
    <t>Hill et al., 2024</t>
  </si>
  <si>
    <t>[km/GW]</t>
  </si>
  <si>
    <t>Length</t>
  </si>
  <si>
    <t>Alvestad, 2022</t>
  </si>
  <si>
    <t>[% of CAPEX/year]</t>
  </si>
  <si>
    <t>assumed</t>
  </si>
  <si>
    <t>[EUR/km]</t>
  </si>
  <si>
    <t>Hyway 27</t>
  </si>
  <si>
    <t>EHB, 2022</t>
  </si>
  <si>
    <t>Nami et al., 2022</t>
  </si>
  <si>
    <t>Locatelli et al., 2018; Deloitte, 2021</t>
  </si>
  <si>
    <t>ISPT 2023; Krishnan et al., 2023; Ibrahim et al., 2022; Deloitte, 2021</t>
  </si>
  <si>
    <t>ISPT, 2023</t>
  </si>
  <si>
    <t>ISPT, 2023; Krishnan et al., 2023; Glenk &amp; Reichelstein, 2018; Deloitte, 2021</t>
  </si>
  <si>
    <t>Khan et al., 2021; deloitte, 2021</t>
  </si>
  <si>
    <t>Khan et al., 2021; Locatelli et al., 2018; Deloitte, 2021</t>
  </si>
  <si>
    <t>[Efficiency per km]</t>
  </si>
  <si>
    <t>Rogeau et al., 2024; Miao et al., 2021</t>
  </si>
  <si>
    <t>[EUR/per unit]</t>
  </si>
  <si>
    <t>Additional energy requirement is assumed to lower the efficiency</t>
  </si>
  <si>
    <t>Breunis, 2021</t>
  </si>
  <si>
    <t>Sdanghi et al., 2019; Singlitico et al., 2021; Song et al., 2021; EHB, 2022</t>
  </si>
  <si>
    <t>[EUR/m3]</t>
  </si>
  <si>
    <t>Bindels et al., 2020; Singlitico et al., 2021</t>
  </si>
  <si>
    <t>Wind turbines (with direct coupling to electrolyzers)</t>
  </si>
  <si>
    <t>Included Yes [1] or no [0]</t>
  </si>
  <si>
    <t>Pipeline (36 inch)</t>
  </si>
  <si>
    <t>CAPEX existing pipeline</t>
  </si>
  <si>
    <t>Water requirement</t>
  </si>
  <si>
    <t>m3</t>
  </si>
  <si>
    <t>[% off all capex in system)</t>
  </si>
  <si>
    <t>Hill et al., 2024;Gao et al., 2024; Catapult, 2023</t>
  </si>
  <si>
    <t>Efficiency to system (depends on if included or not)</t>
  </si>
  <si>
    <t>Cleaned water (m3)</t>
  </si>
  <si>
    <t>Specific cost [EUR/m3]</t>
  </si>
  <si>
    <t>Specific cost [Per compressor]</t>
  </si>
  <si>
    <t>Specific cost [Per unit]</t>
  </si>
  <si>
    <t>Specific cost (per turbine)</t>
  </si>
  <si>
    <t>System configuration</t>
  </si>
  <si>
    <t>Electrolyzer</t>
  </si>
  <si>
    <t>Onshore centralized electrolysis</t>
  </si>
  <si>
    <t>Offshore centralized electrolysis</t>
  </si>
  <si>
    <t>Offshore decentralized electrolysis</t>
  </si>
  <si>
    <t>System Configuration</t>
  </si>
  <si>
    <t>rounded and excluding sand cost</t>
  </si>
  <si>
    <t>Area needed</t>
  </si>
  <si>
    <t>Additional cost</t>
  </si>
  <si>
    <t>[ratio]</t>
  </si>
  <si>
    <t>Additional area</t>
  </si>
  <si>
    <t>CAPEX (with BOP, civil, utilities, power electronics, indirect cost, owner cost,BoP)</t>
  </si>
  <si>
    <t>Cardella et al., 2017; Song et al., 2021</t>
  </si>
  <si>
    <t>[EUR/kg/km]</t>
  </si>
  <si>
    <t>CAPEX (compressor offshore)</t>
  </si>
  <si>
    <t>Energy requirement</t>
  </si>
  <si>
    <t>MW</t>
  </si>
  <si>
    <t>Onshore compressor system</t>
  </si>
  <si>
    <t>efficiency</t>
  </si>
  <si>
    <t>Offshore compressor system</t>
  </si>
  <si>
    <t>Chrsitensen, 2020</t>
  </si>
  <si>
    <t>Singlitico et al., 2021; EHB, 2022</t>
  </si>
  <si>
    <t>Specific cost [EUR/kg/km]</t>
  </si>
  <si>
    <t>[kg*km]</t>
  </si>
  <si>
    <t>Offshore electrolysis only</t>
  </si>
  <si>
    <t>Decentralized only</t>
  </si>
  <si>
    <t>Existing</t>
  </si>
  <si>
    <t>New</t>
  </si>
  <si>
    <t>Selection</t>
  </si>
  <si>
    <t>Artificial island / Offshore substructure</t>
  </si>
  <si>
    <t>Offshore cenetralized only</t>
  </si>
  <si>
    <t>Offshore cost factor [-]</t>
  </si>
  <si>
    <t>Alkaline Stack [EUR/MW]</t>
  </si>
  <si>
    <t>Alkaline rest of electrolyzer [EUR/MW]</t>
  </si>
  <si>
    <t>PEM Stack [EUR/MW]</t>
  </si>
  <si>
    <t>PEM rest of electrolyzer [EUR/MW]</t>
  </si>
  <si>
    <t>Pipeline (large) [EUR/km]</t>
  </si>
  <si>
    <t>Centralized electrolysis only</t>
  </si>
  <si>
    <t>Streamlines development process [%]</t>
  </si>
  <si>
    <t>Less material - cost reduction [%]</t>
  </si>
  <si>
    <t>Less conversion steps - losses [%]</t>
  </si>
  <si>
    <t>Alkaline Stack efficiency [%]</t>
  </si>
  <si>
    <t>PEM Stack efficiency [%]</t>
  </si>
  <si>
    <t>CAPEX  BoS + substructure</t>
  </si>
  <si>
    <t>Hours per year assumed</t>
  </si>
  <si>
    <t>Specific cost [EUR/MW electrolyzer]</t>
  </si>
  <si>
    <t>Total Capex</t>
  </si>
  <si>
    <t>Soft cost</t>
  </si>
  <si>
    <t>land area [EUR/ha]</t>
  </si>
  <si>
    <t>Other cost (labor, development, permitting, etc.)</t>
  </si>
  <si>
    <t>Land area cost</t>
  </si>
  <si>
    <t>Land area cost CAPEX</t>
  </si>
  <si>
    <t>[EUR/ha]</t>
  </si>
  <si>
    <t>[ha/GW</t>
  </si>
  <si>
    <t>ha</t>
  </si>
  <si>
    <t>Offshore location [EUR/MW]</t>
  </si>
  <si>
    <t>EUR/kg</t>
  </si>
  <si>
    <t>Electricity cables (inter-array)</t>
  </si>
  <si>
    <t>Pipeline (12 inch)</t>
  </si>
  <si>
    <t>Brine disposal [EUR/l]</t>
  </si>
  <si>
    <t>Infrastruture cost [-]</t>
  </si>
  <si>
    <t>Infrastrucutre losses [-]</t>
  </si>
  <si>
    <t>Impact</t>
  </si>
  <si>
    <t>Total</t>
  </si>
  <si>
    <t>Per component</t>
  </si>
  <si>
    <t>part of LCOH</t>
  </si>
  <si>
    <t>Converter station</t>
  </si>
  <si>
    <t>Offshore size factor [-]</t>
  </si>
  <si>
    <t>MW on offshore structure</t>
  </si>
  <si>
    <t>Wind turbine [EUR/turbine]</t>
  </si>
  <si>
    <t>Wind BoS [EUR/turbine]</t>
  </si>
  <si>
    <t>Catapult, 2023</t>
  </si>
  <si>
    <t>Rogeau et al., 2023, Catapult, 2023</t>
  </si>
  <si>
    <t>Rogeau et al., 2023, Singlitico et al., 2021</t>
  </si>
  <si>
    <t>Timmers et al., 2022, Patel et al., 2022, Alvestad, 2022</t>
  </si>
  <si>
    <t>NREL, 2022, TNO, 2021</t>
  </si>
  <si>
    <t>Miao et al., 2021</t>
  </si>
  <si>
    <t>ISPT, 2023; krishnan et al., 2023, IRENA, 2020, deloitte,2021</t>
  </si>
  <si>
    <t>Alkaline rest of electrolyzer efficiency [%]</t>
  </si>
  <si>
    <t>PEM rest of electrolyzer efficiency [%]</t>
  </si>
  <si>
    <t>all together</t>
  </si>
  <si>
    <t>Gea-Bermúdez et al., 2023</t>
  </si>
  <si>
    <t>Specific cost [Per ha]</t>
  </si>
  <si>
    <t>DNW, 2015</t>
  </si>
  <si>
    <t>[%/km]</t>
  </si>
  <si>
    <t>Hardy et al., 2019</t>
  </si>
  <si>
    <t>HVDC cables</t>
  </si>
  <si>
    <t>Pipeline small cost</t>
  </si>
  <si>
    <t>TNO, 2021; Singlitico et al., 2021, Hill et al., 2024</t>
  </si>
  <si>
    <t>Bindels et al., 2020</t>
  </si>
  <si>
    <t>Hot tap</t>
  </si>
  <si>
    <t>Input ranges</t>
  </si>
  <si>
    <t>All</t>
  </si>
  <si>
    <t>Read me</t>
  </si>
  <si>
    <t>Variables: Select Distance to shore (50, 150, or 150 km), System configuration (three alternatives), and Electrolyzer (PEM or alkaline).</t>
  </si>
  <si>
    <t>Variables: Select specific data for the scenario to simulate LCOH of the system configurations.</t>
  </si>
  <si>
    <t>Modelling: Sheet were the LCOH is also presented as well as the total hydrogen production (in kg) and system efficiency.</t>
  </si>
  <si>
    <t>Data: Overview of all considered data and sources.</t>
  </si>
  <si>
    <t>wind_source: Sheet with wind data.</t>
  </si>
  <si>
    <t>IEA 15 MW RWT: Sheet with wind power curve.</t>
  </si>
  <si>
    <t>Navigate through the different sheets to explore the variables, modelling, data, and wind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</si>
</sst>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€&quot;\ * #,##0.00_ ;_ &quot;€&quot;\ * \-#,##0.00_ ;_ &quot;€&quot;\ * &quot;-&quot;??_ ;_ @_ "/>
    <numFmt numFmtId="164" formatCode="0.0"/>
    <numFmt numFmtId="165" formatCode="0.0%"/>
    <numFmt numFmtId="166" formatCode="0.000%"/>
    <numFmt numFmtId="167" formatCode="0.0000"/>
    <numFmt numFmtId="168" formatCode="0.000"/>
    <numFmt numFmtId="169" formatCode="0.00000%"/>
  </numFmts>
  <fonts count="2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5" tint="-0.249977111117893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9C0006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color rgb="FF0061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5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16">
    <xf numFmtId="0" fontId="0" fillId="0" borderId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7" fillId="17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45" applyNumberFormat="0" applyAlignment="0" applyProtection="0"/>
    <xf numFmtId="0" fontId="12" fillId="21" borderId="45" applyNumberFormat="0" applyAlignment="0" applyProtection="0"/>
    <xf numFmtId="0" fontId="13" fillId="22" borderId="46" applyNumberFormat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</cellStyleXfs>
  <cellXfs count="2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6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2" borderId="1" xfId="0" applyNumberFormat="1" applyFill="1" applyBorder="1"/>
    <xf numFmtId="2" fontId="0" fillId="6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164" fontId="0" fillId="4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3" borderId="9" xfId="0" applyNumberFormat="1" applyFill="1" applyBorder="1"/>
    <xf numFmtId="164" fontId="0" fillId="4" borderId="10" xfId="0" applyNumberFormat="1" applyFill="1" applyBorder="1"/>
    <xf numFmtId="2" fontId="0" fillId="0" borderId="4" xfId="0" applyNumberFormat="1" applyBorder="1"/>
    <xf numFmtId="2" fontId="0" fillId="3" borderId="11" xfId="0" applyNumberFormat="1" applyFill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8" xfId="0" applyNumberFormat="1" applyBorder="1"/>
    <xf numFmtId="2" fontId="0" fillId="5" borderId="0" xfId="0" applyNumberFormat="1" applyFill="1"/>
    <xf numFmtId="2" fontId="0" fillId="0" borderId="13" xfId="0" applyNumberFormat="1" applyBorder="1"/>
    <xf numFmtId="2" fontId="0" fillId="3" borderId="0" xfId="0" applyNumberFormat="1" applyFill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3" borderId="1" xfId="0" applyNumberFormat="1" applyFill="1" applyBorder="1"/>
    <xf numFmtId="164" fontId="0" fillId="4" borderId="17" xfId="0" applyNumberFormat="1" applyFill="1" applyBorder="1"/>
    <xf numFmtId="2" fontId="0" fillId="6" borderId="21" xfId="0" applyNumberFormat="1" applyFill="1" applyBorder="1"/>
    <xf numFmtId="2" fontId="0" fillId="6" borderId="18" xfId="0" applyNumberFormat="1" applyFill="1" applyBorder="1"/>
    <xf numFmtId="2" fontId="0" fillId="6" borderId="22" xfId="0" applyNumberFormat="1" applyFill="1" applyBorder="1"/>
    <xf numFmtId="2" fontId="0" fillId="6" borderId="23" xfId="0" applyNumberFormat="1" applyFill="1" applyBorder="1"/>
    <xf numFmtId="0" fontId="0" fillId="6" borderId="0" xfId="0" applyFill="1"/>
    <xf numFmtId="0" fontId="0" fillId="4" borderId="4" xfId="0" applyFill="1" applyBorder="1"/>
    <xf numFmtId="2" fontId="0" fillId="4" borderId="6" xfId="0" applyNumberFormat="1" applyFill="1" applyBorder="1"/>
    <xf numFmtId="0" fontId="0" fillId="4" borderId="8" xfId="0" applyFill="1" applyBorder="1"/>
    <xf numFmtId="2" fontId="0" fillId="4" borderId="10" xfId="0" applyNumberFormat="1" applyFill="1" applyBorder="1"/>
    <xf numFmtId="2" fontId="0" fillId="4" borderId="4" xfId="0" applyNumberFormat="1" applyFill="1" applyBorder="1"/>
    <xf numFmtId="0" fontId="0" fillId="6" borderId="6" xfId="0" applyFill="1" applyBorder="1"/>
    <xf numFmtId="2" fontId="0" fillId="4" borderId="8" xfId="0" applyNumberFormat="1" applyFill="1" applyBorder="1"/>
    <xf numFmtId="0" fontId="0" fillId="6" borderId="10" xfId="0" applyFill="1" applyBorder="1"/>
    <xf numFmtId="0" fontId="0" fillId="6" borderId="17" xfId="0" applyFill="1" applyBorder="1"/>
    <xf numFmtId="2" fontId="0" fillId="4" borderId="17" xfId="0" applyNumberFormat="1" applyFill="1" applyBorder="1"/>
    <xf numFmtId="0" fontId="0" fillId="6" borderId="18" xfId="0" applyFill="1" applyBorder="1"/>
    <xf numFmtId="0" fontId="0" fillId="6" borderId="20" xfId="0" applyFill="1" applyBorder="1"/>
    <xf numFmtId="0" fontId="0" fillId="0" borderId="24" xfId="0" applyBorder="1"/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0" fillId="0" borderId="40" xfId="0" applyBorder="1"/>
    <xf numFmtId="10" fontId="0" fillId="0" borderId="24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8" borderId="34" xfId="2" applyBorder="1" applyAlignment="1">
      <alignment horizontal="center" vertical="center"/>
    </xf>
    <xf numFmtId="0" fontId="1" fillId="7" borderId="35" xfId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/>
    </xf>
    <xf numFmtId="165" fontId="0" fillId="0" borderId="24" xfId="0" applyNumberFormat="1" applyBorder="1" applyAlignment="1">
      <alignment horizontal="center" vertical="center"/>
    </xf>
    <xf numFmtId="9" fontId="0" fillId="0" borderId="35" xfId="4" applyFont="1" applyBorder="1" applyAlignment="1">
      <alignment horizontal="center" vertical="center"/>
    </xf>
    <xf numFmtId="9" fontId="0" fillId="0" borderId="32" xfId="4" applyFont="1" applyBorder="1" applyAlignment="1">
      <alignment horizontal="center" vertical="center"/>
    </xf>
    <xf numFmtId="2" fontId="0" fillId="9" borderId="0" xfId="0" applyNumberFormat="1" applyFill="1"/>
    <xf numFmtId="0" fontId="8" fillId="15" borderId="21" xfId="5" applyFont="1" applyBorder="1" applyAlignment="1">
      <alignment horizontal="center" vertical="center"/>
    </xf>
    <xf numFmtId="2" fontId="8" fillId="15" borderId="18" xfId="5" applyNumberFormat="1" applyFont="1" applyBorder="1" applyAlignment="1">
      <alignment horizontal="center" vertical="center"/>
    </xf>
    <xf numFmtId="1" fontId="7" fillId="17" borderId="35" xfId="7" applyNumberFormat="1" applyBorder="1" applyAlignment="1">
      <alignment horizontal="center" vertical="center"/>
    </xf>
    <xf numFmtId="0" fontId="7" fillId="17" borderId="34" xfId="7" applyBorder="1"/>
    <xf numFmtId="0" fontId="7" fillId="17" borderId="39" xfId="7" applyBorder="1" applyAlignment="1">
      <alignment horizontal="center" vertical="center"/>
    </xf>
    <xf numFmtId="9" fontId="7" fillId="17" borderId="27" xfId="7" applyNumberFormat="1" applyBorder="1" applyAlignment="1">
      <alignment horizontal="center" vertical="center"/>
    </xf>
    <xf numFmtId="0" fontId="7" fillId="17" borderId="41" xfId="7" applyBorder="1"/>
    <xf numFmtId="0" fontId="7" fillId="17" borderId="27" xfId="7" applyBorder="1" applyAlignment="1">
      <alignment horizontal="center" vertical="center"/>
    </xf>
    <xf numFmtId="0" fontId="0" fillId="17" borderId="36" xfId="7" applyFont="1" applyBorder="1" applyAlignment="1">
      <alignment horizontal="center" vertical="center"/>
    </xf>
    <xf numFmtId="1" fontId="0" fillId="0" borderId="0" xfId="0" applyNumberFormat="1"/>
    <xf numFmtId="1" fontId="0" fillId="18" borderId="0" xfId="0" applyNumberFormat="1" applyFill="1"/>
    <xf numFmtId="1" fontId="0" fillId="3" borderId="28" xfId="0" applyNumberFormat="1" applyFill="1" applyBorder="1" applyAlignment="1">
      <alignment horizontal="center" vertical="center"/>
    </xf>
    <xf numFmtId="0" fontId="0" fillId="6" borderId="24" xfId="0" applyFill="1" applyBorder="1"/>
    <xf numFmtId="0" fontId="0" fillId="0" borderId="9" xfId="0" applyBorder="1" applyAlignment="1">
      <alignment horizontal="center" vertical="center"/>
    </xf>
    <xf numFmtId="0" fontId="2" fillId="0" borderId="0" xfId="2" applyFill="1" applyAlignment="1"/>
    <xf numFmtId="1" fontId="0" fillId="6" borderId="24" xfId="0" applyNumberFormat="1" applyFill="1" applyBorder="1" applyAlignment="1">
      <alignment horizontal="center"/>
    </xf>
    <xf numFmtId="0" fontId="7" fillId="23" borderId="24" xfId="12" applyBorder="1" applyAlignment="1">
      <alignment horizontal="center" vertical="center"/>
    </xf>
    <xf numFmtId="0" fontId="7" fillId="23" borderId="24" xfId="12" applyBorder="1"/>
    <xf numFmtId="166" fontId="0" fillId="0" borderId="24" xfId="0" applyNumberFormat="1" applyBorder="1" applyAlignment="1">
      <alignment horizontal="center" vertical="center"/>
    </xf>
    <xf numFmtId="10" fontId="0" fillId="0" borderId="0" xfId="4" applyNumberFormat="1" applyFont="1"/>
    <xf numFmtId="2" fontId="0" fillId="0" borderId="24" xfId="0" applyNumberFormat="1" applyBorder="1" applyAlignment="1">
      <alignment horizontal="center"/>
    </xf>
    <xf numFmtId="9" fontId="0" fillId="0" borderId="24" xfId="4" applyFont="1" applyBorder="1" applyAlignment="1">
      <alignment horizontal="center" vertical="center"/>
    </xf>
    <xf numFmtId="0" fontId="0" fillId="0" borderId="24" xfId="4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9" fontId="0" fillId="0" borderId="24" xfId="0" applyNumberFormat="1" applyBorder="1" applyAlignment="1">
      <alignment horizontal="center"/>
    </xf>
    <xf numFmtId="9" fontId="0" fillId="0" borderId="24" xfId="4" applyFont="1" applyBorder="1" applyAlignment="1">
      <alignment horizontal="center"/>
    </xf>
    <xf numFmtId="0" fontId="12" fillId="21" borderId="45" xfId="10" applyAlignment="1">
      <alignment horizontal="left" vertical="center"/>
    </xf>
    <xf numFmtId="9" fontId="0" fillId="0" borderId="40" xfId="4" applyFont="1" applyBorder="1" applyAlignment="1">
      <alignment horizontal="center" vertical="center"/>
    </xf>
    <xf numFmtId="10" fontId="0" fillId="0" borderId="40" xfId="4" applyNumberFormat="1" applyFont="1" applyBorder="1" applyAlignment="1">
      <alignment horizontal="center" vertical="center"/>
    </xf>
    <xf numFmtId="0" fontId="15" fillId="19" borderId="34" xfId="8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0" fontId="13" fillId="22" borderId="46" xfId="11"/>
    <xf numFmtId="0" fontId="17" fillId="7" borderId="46" xfId="1" applyFont="1" applyBorder="1"/>
    <xf numFmtId="0" fontId="17" fillId="7" borderId="46" xfId="1" applyFont="1" applyBorder="1" applyAlignment="1">
      <alignment horizontal="left" vertical="center"/>
    </xf>
    <xf numFmtId="1" fontId="0" fillId="3" borderId="24" xfId="0" applyNumberFormat="1" applyFill="1" applyBorder="1" applyAlignment="1">
      <alignment horizontal="center" vertical="center"/>
    </xf>
    <xf numFmtId="1" fontId="0" fillId="3" borderId="38" xfId="0" applyNumberFormat="1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0" fillId="0" borderId="0" xfId="4" applyNumberFormat="1" applyFont="1" applyBorder="1" applyAlignment="1">
      <alignment horizontal="center" vertical="center"/>
    </xf>
    <xf numFmtId="2" fontId="17" fillId="7" borderId="46" xfId="1" applyNumberFormat="1" applyFont="1" applyBorder="1"/>
    <xf numFmtId="0" fontId="7" fillId="17" borderId="10" xfId="7" applyBorder="1" applyAlignment="1">
      <alignment horizontal="center" vertical="center"/>
    </xf>
    <xf numFmtId="0" fontId="19" fillId="26" borderId="0" xfId="0" applyFont="1" applyFill="1"/>
    <xf numFmtId="0" fontId="0" fillId="18" borderId="0" xfId="0" applyFill="1"/>
    <xf numFmtId="9" fontId="0" fillId="0" borderId="0" xfId="4" applyFont="1"/>
    <xf numFmtId="167" fontId="0" fillId="0" borderId="0" xfId="0" applyNumberFormat="1"/>
    <xf numFmtId="164" fontId="0" fillId="0" borderId="0" xfId="0" applyNumberFormat="1"/>
    <xf numFmtId="1" fontId="13" fillId="22" borderId="46" xfId="11" applyNumberFormat="1"/>
    <xf numFmtId="9" fontId="13" fillId="22" borderId="46" xfId="4" applyFont="1" applyFill="1" applyBorder="1"/>
    <xf numFmtId="0" fontId="0" fillId="6" borderId="9" xfId="0" applyFill="1" applyBorder="1"/>
    <xf numFmtId="1" fontId="0" fillId="0" borderId="24" xfId="4" applyNumberFormat="1" applyFont="1" applyBorder="1" applyAlignment="1">
      <alignment horizontal="center" vertical="center"/>
    </xf>
    <xf numFmtId="9" fontId="0" fillId="0" borderId="0" xfId="4" applyFont="1" applyFill="1" applyBorder="1"/>
    <xf numFmtId="0" fontId="0" fillId="0" borderId="0" xfId="4" applyNumberFormat="1" applyFont="1" applyFill="1" applyBorder="1"/>
    <xf numFmtId="0" fontId="18" fillId="0" borderId="0" xfId="0" applyFont="1"/>
    <xf numFmtId="1" fontId="18" fillId="0" borderId="0" xfId="0" applyNumberFormat="1" applyFont="1"/>
    <xf numFmtId="9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24" fillId="27" borderId="0" xfId="0" applyFont="1" applyFill="1"/>
    <xf numFmtId="1" fontId="0" fillId="3" borderId="22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/>
    <xf numFmtId="0" fontId="23" fillId="28" borderId="0" xfId="0" applyFont="1" applyFill="1"/>
    <xf numFmtId="168" fontId="23" fillId="28" borderId="0" xfId="0" applyNumberFormat="1" applyFont="1" applyFill="1"/>
    <xf numFmtId="0" fontId="14" fillId="18" borderId="0" xfId="0" applyFont="1" applyFill="1"/>
    <xf numFmtId="0" fontId="0" fillId="0" borderId="0" xfId="4" applyNumberFormat="1" applyFont="1"/>
    <xf numFmtId="0" fontId="13" fillId="22" borderId="46" xfId="4" applyNumberFormat="1" applyFont="1" applyFill="1" applyBorder="1"/>
    <xf numFmtId="166" fontId="0" fillId="0" borderId="40" xfId="4" applyNumberFormat="1" applyFont="1" applyBorder="1" applyAlignment="1">
      <alignment horizontal="center" vertical="center"/>
    </xf>
    <xf numFmtId="166" fontId="0" fillId="0" borderId="0" xfId="0" applyNumberFormat="1"/>
    <xf numFmtId="169" fontId="0" fillId="0" borderId="24" xfId="0" applyNumberFormat="1" applyBorder="1" applyAlignment="1">
      <alignment horizontal="center" vertical="center"/>
    </xf>
    <xf numFmtId="1" fontId="14" fillId="0" borderId="0" xfId="0" applyNumberFormat="1" applyFont="1"/>
    <xf numFmtId="0" fontId="7" fillId="23" borderId="26" xfId="12" applyBorder="1"/>
    <xf numFmtId="0" fontId="0" fillId="6" borderId="26" xfId="0" applyFill="1" applyBorder="1"/>
    <xf numFmtId="0" fontId="7" fillId="23" borderId="53" xfId="12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7" fillId="0" borderId="0" xfId="12" applyFill="1" applyBorder="1"/>
    <xf numFmtId="0" fontId="0" fillId="0" borderId="0" xfId="0" applyAlignment="1">
      <alignment horizontal="left" vertical="center"/>
    </xf>
    <xf numFmtId="9" fontId="0" fillId="0" borderId="0" xfId="4" applyFont="1" applyFill="1"/>
    <xf numFmtId="0" fontId="21" fillId="0" borderId="0" xfId="0" applyFont="1" applyAlignment="1">
      <alignment vertical="center"/>
    </xf>
    <xf numFmtId="0" fontId="20" fillId="0" borderId="0" xfId="0" applyFont="1"/>
    <xf numFmtId="0" fontId="13" fillId="22" borderId="54" xfId="11" applyBorder="1"/>
    <xf numFmtId="0" fontId="14" fillId="0" borderId="0" xfId="13" applyFont="1" applyFill="1" applyBorder="1"/>
    <xf numFmtId="0" fontId="14" fillId="0" borderId="0" xfId="14" applyFont="1" applyFill="1" applyBorder="1"/>
    <xf numFmtId="0" fontId="7" fillId="0" borderId="0" xfId="14" applyFill="1" applyBorder="1" applyAlignment="1">
      <alignment horizontal="left"/>
    </xf>
    <xf numFmtId="2" fontId="7" fillId="0" borderId="0" xfId="14" applyNumberFormat="1" applyFill="1" applyBorder="1" applyAlignment="1">
      <alignment horizontal="left"/>
    </xf>
    <xf numFmtId="2" fontId="12" fillId="0" borderId="0" xfId="10" applyNumberFormat="1" applyFill="1" applyBorder="1" applyAlignment="1">
      <alignment horizontal="left"/>
    </xf>
    <xf numFmtId="0" fontId="14" fillId="0" borderId="0" xfId="14" applyFont="1" applyFill="1" applyBorder="1" applyAlignment="1">
      <alignment horizontal="left"/>
    </xf>
    <xf numFmtId="165" fontId="0" fillId="0" borderId="0" xfId="4" applyNumberFormat="1" applyFont="1" applyFill="1"/>
    <xf numFmtId="10" fontId="0" fillId="0" borderId="0" xfId="4" applyNumberFormat="1" applyFont="1" applyFill="1"/>
    <xf numFmtId="0" fontId="22" fillId="0" borderId="0" xfId="0" applyFont="1"/>
    <xf numFmtId="0" fontId="23" fillId="0" borderId="0" xfId="0" applyFont="1"/>
    <xf numFmtId="164" fontId="14" fillId="0" borderId="0" xfId="0" applyNumberFormat="1" applyFont="1"/>
    <xf numFmtId="165" fontId="0" fillId="0" borderId="0" xfId="0" applyNumberFormat="1"/>
    <xf numFmtId="165" fontId="0" fillId="0" borderId="0" xfId="4" applyNumberFormat="1" applyFont="1" applyFill="1" applyBorder="1"/>
    <xf numFmtId="10" fontId="0" fillId="0" borderId="0" xfId="0" applyNumberFormat="1"/>
    <xf numFmtId="164" fontId="0" fillId="0" borderId="0" xfId="4" applyNumberFormat="1" applyFont="1" applyFill="1" applyBorder="1"/>
    <xf numFmtId="2" fontId="0" fillId="0" borderId="0" xfId="4" applyNumberFormat="1" applyFont="1" applyFill="1"/>
    <xf numFmtId="2" fontId="23" fillId="18" borderId="0" xfId="0" applyNumberFormat="1" applyFont="1" applyFill="1"/>
    <xf numFmtId="0" fontId="26" fillId="16" borderId="24" xfId="6" applyFont="1" applyBorder="1"/>
    <xf numFmtId="0" fontId="20" fillId="23" borderId="24" xfId="12" applyFont="1" applyBorder="1"/>
    <xf numFmtId="0" fontId="3" fillId="15" borderId="16" xfId="5" applyBorder="1"/>
    <xf numFmtId="0" fontId="3" fillId="15" borderId="15" xfId="5" applyBorder="1"/>
    <xf numFmtId="0" fontId="3" fillId="15" borderId="14" xfId="5" applyBorder="1"/>
    <xf numFmtId="0" fontId="7" fillId="29" borderId="13" xfId="15" applyBorder="1"/>
    <xf numFmtId="0" fontId="7" fillId="29" borderId="0" xfId="15" applyBorder="1"/>
    <xf numFmtId="0" fontId="7" fillId="29" borderId="8" xfId="15" applyBorder="1"/>
    <xf numFmtId="0" fontId="7" fillId="29" borderId="12" xfId="15" applyBorder="1"/>
    <xf numFmtId="0" fontId="7" fillId="29" borderId="11" xfId="15" applyBorder="1"/>
    <xf numFmtId="0" fontId="7" fillId="29" borderId="4" xfId="15" applyBorder="1"/>
    <xf numFmtId="0" fontId="7" fillId="24" borderId="13" xfId="13" applyBorder="1"/>
    <xf numFmtId="0" fontId="7" fillId="24" borderId="0" xfId="13" applyBorder="1"/>
    <xf numFmtId="0" fontId="7" fillId="24" borderId="8" xfId="13" applyBorder="1"/>
    <xf numFmtId="0" fontId="0" fillId="0" borderId="24" xfId="0" applyBorder="1" applyAlignment="1">
      <alignment horizontal="left" vertical="center"/>
    </xf>
    <xf numFmtId="44" fontId="9" fillId="10" borderId="13" xfId="3" applyFont="1" applyFill="1" applyBorder="1" applyAlignment="1">
      <alignment horizontal="center"/>
    </xf>
    <xf numFmtId="44" fontId="9" fillId="10" borderId="0" xfId="3" applyFont="1" applyFill="1" applyBorder="1" applyAlignment="1">
      <alignment horizontal="center"/>
    </xf>
    <xf numFmtId="0" fontId="3" fillId="16" borderId="20" xfId="6" applyBorder="1" applyAlignment="1">
      <alignment horizontal="center" vertical="center"/>
    </xf>
    <xf numFmtId="0" fontId="3" fillId="16" borderId="19" xfId="6" applyBorder="1" applyAlignment="1">
      <alignment horizontal="center" vertical="center"/>
    </xf>
    <xf numFmtId="0" fontId="3" fillId="16" borderId="18" xfId="6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/>
    </xf>
    <xf numFmtId="0" fontId="6" fillId="14" borderId="19" xfId="0" applyFont="1" applyFill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4" fillId="13" borderId="51" xfId="0" applyFont="1" applyFill="1" applyBorder="1" applyAlignment="1">
      <alignment horizontal="center" vertical="center"/>
    </xf>
    <xf numFmtId="0" fontId="4" fillId="13" borderId="52" xfId="0" applyFont="1" applyFill="1" applyBorder="1" applyAlignment="1">
      <alignment horizontal="center" vertical="center"/>
    </xf>
    <xf numFmtId="0" fontId="4" fillId="13" borderId="42" xfId="0" applyFont="1" applyFill="1" applyBorder="1" applyAlignment="1">
      <alignment horizontal="center" vertical="center"/>
    </xf>
    <xf numFmtId="0" fontId="4" fillId="13" borderId="43" xfId="0" applyFont="1" applyFill="1" applyBorder="1" applyAlignment="1">
      <alignment horizontal="center" vertical="center"/>
    </xf>
    <xf numFmtId="0" fontId="4" fillId="13" borderId="44" xfId="0" applyFont="1" applyFill="1" applyBorder="1" applyAlignment="1">
      <alignment horizontal="center" vertical="center"/>
    </xf>
    <xf numFmtId="0" fontId="11" fillId="20" borderId="50" xfId="9" applyBorder="1" applyAlignment="1">
      <alignment horizontal="center"/>
    </xf>
    <xf numFmtId="0" fontId="11" fillId="20" borderId="0" xfId="9" applyBorder="1" applyAlignment="1">
      <alignment horizontal="center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2" xfId="0" applyFont="1" applyFill="1" applyBorder="1" applyAlignment="1">
      <alignment horizontal="center" vertical="center" wrapText="1"/>
    </xf>
    <xf numFmtId="0" fontId="2" fillId="8" borderId="0" xfId="2" applyAlignment="1">
      <alignment horizontal="center"/>
    </xf>
    <xf numFmtId="0" fontId="11" fillId="20" borderId="47" xfId="9" applyBorder="1" applyAlignment="1">
      <alignment horizontal="center"/>
    </xf>
    <xf numFmtId="0" fontId="11" fillId="20" borderId="48" xfId="9" applyBorder="1" applyAlignment="1">
      <alignment horizontal="center"/>
    </xf>
    <xf numFmtId="0" fontId="11" fillId="20" borderId="49" xfId="9" applyBorder="1" applyAlignment="1">
      <alignment horizontal="center"/>
    </xf>
    <xf numFmtId="2" fontId="0" fillId="6" borderId="20" xfId="0" applyNumberFormat="1" applyFill="1" applyBorder="1" applyAlignment="1">
      <alignment horizontal="center"/>
    </xf>
    <xf numFmtId="2" fontId="0" fillId="6" borderId="19" xfId="0" applyNumberFormat="1" applyFill="1" applyBorder="1" applyAlignment="1">
      <alignment horizontal="center"/>
    </xf>
    <xf numFmtId="2" fontId="0" fillId="6" borderId="18" xfId="0" applyNumberForma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8" xfId="0" applyFill="1" applyBorder="1" applyAlignment="1">
      <alignment horizontal="center"/>
    </xf>
  </cellXfs>
  <cellStyles count="16">
    <cellStyle name="20% - Accent1" xfId="15" builtinId="30"/>
    <cellStyle name="20% - Accent2" xfId="12" builtinId="34"/>
    <cellStyle name="20% - Accent4" xfId="14" builtinId="42"/>
    <cellStyle name="40% - Accent2" xfId="7" builtinId="35"/>
    <cellStyle name="60% - Accent1" xfId="13" builtinId="32"/>
    <cellStyle name="Accent1" xfId="5" builtinId="29"/>
    <cellStyle name="Accent2" xfId="6" builtinId="33"/>
    <cellStyle name="Bad" xfId="8" builtinId="27"/>
    <cellStyle name="Calculation" xfId="10" builtinId="22"/>
    <cellStyle name="Check Cell" xfId="11" builtinId="23"/>
    <cellStyle name="Currency" xfId="3" builtinId="4"/>
    <cellStyle name="Good" xfId="1" builtinId="26"/>
    <cellStyle name="Input" xfId="9" builtinId="20"/>
    <cellStyle name="Neutral" xfId="2" builtinId="28"/>
    <cellStyle name="Normal" xfId="0" builtinId="0"/>
    <cellStyle name="Percent" xfId="4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Variables!$P$57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Variables!$M$75:$N$81</c:f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243-4934-B261-B6CDEFE28FAC}"/>
            </c:ext>
          </c:extLst>
        </c:ser>
        <c:ser>
          <c:idx val="1"/>
          <c:order val="1"/>
          <c:tx>
            <c:strRef>
              <c:f>Variables!$L$75</c:f>
              <c:strCache>
                <c:ptCount val="1"/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Variables!$M$75:$N$81</c:f>
            </c:multiLvlStrRef>
          </c:cat>
          <c:val>
            <c:numRef>
              <c:f>Variables!$P$75:$P$81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243-4934-B261-B6CDEFE2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956064"/>
        <c:axId val="1455951744"/>
      </c:barChart>
      <c:catAx>
        <c:axId val="1455956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1744"/>
        <c:crosses val="autoZero"/>
        <c:auto val="1"/>
        <c:lblAlgn val="ctr"/>
        <c:lblOffset val="100"/>
        <c:noMultiLvlLbl val="0"/>
      </c:catAx>
      <c:valAx>
        <c:axId val="1455951744"/>
        <c:scaling>
          <c:orientation val="minMax"/>
          <c:max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Eur/kgH2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strRef>
              <c:f>Variables!$L$59</c:f>
              <c:strCache>
                <c:ptCount val="1"/>
              </c:strCache>
            </c:strRef>
          </c:tx>
          <c:invertIfNegative val="0"/>
          <c:cat>
            <c:multiLvlStrRef>
              <c:f>Variables!$M$59:$N$65</c:f>
            </c:multiLvlStrRef>
          </c:cat>
          <c:val>
            <c:numRef>
              <c:f>Variables!$Q$59:$Q$65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0C9-4370-9C53-5B7F62BFDB69}"/>
            </c:ext>
          </c:extLst>
        </c:ser>
        <c:ser>
          <c:idx val="5"/>
          <c:order val="5"/>
          <c:tx>
            <c:strRef>
              <c:f>Variables!$L$67</c:f>
              <c:strCache>
                <c:ptCount val="1"/>
              </c:strCache>
            </c:strRef>
          </c:tx>
          <c:invertIfNegative val="0"/>
          <c:cat>
            <c:multiLvlStrRef>
              <c:f>Variables!$M$67:$N$73</c:f>
            </c:multiLvlStrRef>
          </c:cat>
          <c:val>
            <c:numRef>
              <c:f>Variables!$Q$67:$Q$73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80C9-4370-9C53-5B7F62BFDB69}"/>
            </c:ext>
          </c:extLst>
        </c:ser>
        <c:ser>
          <c:idx val="1"/>
          <c:order val="6"/>
          <c:tx>
            <c:strRef>
              <c:f>Variables!$L$75</c:f>
              <c:strCache>
                <c:ptCount val="1"/>
              </c:strCache>
            </c:strRef>
          </c:tx>
          <c:invertIfNegative val="0"/>
          <c:cat>
            <c:multiLvlStrRef>
              <c:f>Variables!$M$75:$N$81</c:f>
            </c:multiLvlStrRef>
          </c:cat>
          <c:val>
            <c:numRef>
              <c:f>Variables!$Q$75:$Q$81</c:f>
              <c:numCache>
                <c:formatCode>0.0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80C9-4370-9C53-5B7F62BFDB69}"/>
            </c:ext>
          </c:extLst>
        </c:ser>
        <c:ser>
          <c:idx val="4"/>
          <c:order val="7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Variables!$M$67:$N$73</c:f>
              <c:extLst xmlns:c15="http://schemas.microsoft.com/office/drawing/2012/chart"/>
            </c:multiLvlStrRef>
          </c:cat>
          <c:val>
            <c:numRef>
              <c:f>Variables!$O$67:$O$73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0C9-4370-9C53-5B7F62BFDB69}"/>
            </c:ext>
          </c:extLst>
        </c:ser>
        <c:ser>
          <c:idx val="0"/>
          <c:order val="8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  <a:effectLst/>
          </c:spPr>
          <c:invertIfNegative val="0"/>
          <c:cat>
            <c:multiLvlStrRef>
              <c:f>Variables!$M$75:$N$81</c:f>
              <c:extLst xmlns:c15="http://schemas.microsoft.com/office/drawing/2012/chart"/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0C9-4370-9C53-5B7F62BFDB69}"/>
            </c:ext>
          </c:extLst>
        </c:ser>
        <c:ser>
          <c:idx val="2"/>
          <c:order val="9"/>
          <c:tx>
            <c:strRef>
              <c:f>Variables!$P$57</c:f>
              <c:strCache>
                <c:ptCount val="1"/>
              </c:strCache>
              <c:extLst xmlns:c15="http://schemas.microsoft.com/office/drawing/2012/chart"/>
            </c:strRef>
          </c:tx>
          <c:spPr>
            <a:noFill/>
          </c:spPr>
          <c:invertIfNegative val="0"/>
          <c:cat>
            <c:multiLvlStrRef>
              <c:f>Variables!$M$59:$N$65</c:f>
              <c:extLst xmlns:c15="http://schemas.microsoft.com/office/drawing/2012/chart"/>
            </c:multiLvlStrRef>
          </c:cat>
          <c:val>
            <c:numRef>
              <c:f>Variables!$O$75:$O$81</c:f>
              <c:numCache>
                <c:formatCode>0.0</c:formatCode>
                <c:ptCount val="7"/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0C9-4370-9C53-5B7F62BF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956064"/>
        <c:axId val="1455951744"/>
        <c:extLst>
          <c:ext xmlns:c15="http://schemas.microsoft.com/office/drawing/2012/chart" uri="{02D57815-91ED-43cb-92C2-25804820EDAC}">
            <c15:filteredBa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Variables!$M$59:$N$65</c15:sqref>
                        </c15:formulaRef>
                      </c:ext>
                    </c:extLst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Variables!$O$75:$O$81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80C9-4370-9C53-5B7F62BFDB69}"/>
                  </c:ext>
                </c:extLst>
              </c15:ser>
            </c15:filteredBarSeries>
            <c15:filteredBa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Variables!$L$59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20000"/>
                      <a:lumOff val="80000"/>
                    </a:schemeClr>
                  </a:solidFill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Variables!$M$59:$N$65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Variables!$P$59:$P$65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0C9-4370-9C53-5B7F62BFDB69}"/>
                  </c:ext>
                </c:extLst>
              </c15:ser>
            </c15:filteredBarSeries>
            <c15:filteredBar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Variables!$M$67:$N$73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Variables!$O$67:$O$73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0C9-4370-9C53-5B7F62BFDB69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Variables!$P$57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Variables!$M$75:$N$81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Variables!$O$75:$O$81</c15:sqref>
                        </c15:formulaRef>
                      </c:ext>
                    </c:extLst>
                    <c:numCache>
                      <c:formatCode>0.0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C9-4370-9C53-5B7F62BFDB69}"/>
                  </c:ext>
                </c:extLst>
              </c15:ser>
            </c15:filteredBarSeries>
          </c:ext>
        </c:extLst>
      </c:barChart>
      <c:catAx>
        <c:axId val="14559560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1744"/>
        <c:crosses val="autoZero"/>
        <c:auto val="1"/>
        <c:lblAlgn val="ctr"/>
        <c:lblOffset val="100"/>
        <c:noMultiLvlLbl val="0"/>
      </c:catAx>
      <c:valAx>
        <c:axId val="145595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Eur/kgH2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9560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CAPEX Onshore Electrolysis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Capex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61-497B-959D-68DB8FF63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57-4562-8717-754B021B80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57-4562-8717-754B021B80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61-497B-959D-68DB8FF633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61-497B-959D-68DB8FF633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61-497B-959D-68DB8FF633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57-4562-8717-754B021B80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57-4562-8717-754B021B80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E61-497B-959D-68DB8FF6339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57-4562-8717-754B021B80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357-4562-8717-754B021B80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E61-497B-959D-68DB8FF633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E61-497B-959D-68DB8FF6339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357-4562-8717-754B021B806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E61-497B-959D-68DB8FF6339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E61-497B-959D-68DB8FF6339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357-4562-8717-754B021B806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E61-497B-959D-68DB8FF633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E61-497B-959D-68DB8FF6339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E61-497B-959D-68DB8FF6339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E61-497B-959D-68DB8FF633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Modelling!$C$23,Modelling!$C$27,Modelling!$C$31,Modelling!$C$35,Modelling!$C$39,Modelling!$C$43,Modelling!$C$47,Modelling!$C$51,Modelling!$C$55,Modelling!$C$59,Modelling!$C$63,Modelling!$C$67,Modelling!$C$71,Modelling!$C$75,Modelling!$C$79,Modelling!$C$83,Modelling!$C$87,Modelling!$C$91,Modelling!$C$95,Modelling!$C$99,Modelling!$C$103,Modelling!$C$107)</c15:sqref>
                  </c15:fullRef>
                </c:ext>
              </c:extLst>
              <c:f>(Modelling!$C$23,Modelling!$C$27,Modelling!$C$31,Modelling!$C$35,Modelling!$C$39,Modelling!$C$43,Modelling!$C$47,Modelling!$C$51,Modelling!$C$55,Modelling!$C$59,Modelling!$C$63,Modelling!$C$67,Modelling!$C$71,Modelling!$C$75,Modelling!$C$83,Modelling!$C$87,Modelling!$C$91,Modelling!$C$95,Modelling!$C$99,Modelling!$C$103,Modelling!$C$107)</c:f>
              <c:strCache>
                <c:ptCount val="21"/>
                <c:pt idx="0">
                  <c:v>Wind turbines</c:v>
                </c:pt>
                <c:pt idx="1">
                  <c:v>Artificial island / Offshore substructure</c:v>
                </c:pt>
                <c:pt idx="2">
                  <c:v>Pipeline (12 inch)</c:v>
                </c:pt>
                <c:pt idx="3">
                  <c:v>Electricity cables (inter-array)</c:v>
                </c:pt>
                <c:pt idx="4">
                  <c:v>ALK stacks</c:v>
                </c:pt>
                <c:pt idx="5">
                  <c:v>ALK electrolyzer system (without stack)</c:v>
                </c:pt>
                <c:pt idx="6">
                  <c:v>PEM stacks</c:v>
                </c:pt>
                <c:pt idx="7">
                  <c:v>PEM electrolyzer system (without stack)</c:v>
                </c:pt>
                <c:pt idx="8">
                  <c:v>Converer station</c:v>
                </c:pt>
                <c:pt idx="9">
                  <c:v>Electricity cables (AC)</c:v>
                </c:pt>
                <c:pt idx="10">
                  <c:v>HVAC Substation</c:v>
                </c:pt>
                <c:pt idx="11">
                  <c:v>Electricity cables (DC)</c:v>
                </c:pt>
                <c:pt idx="12">
                  <c:v>HVDC Substation</c:v>
                </c:pt>
                <c:pt idx="13">
                  <c:v>Pipeline (36 inch)</c:v>
                </c:pt>
                <c:pt idx="14">
                  <c:v>Desalination (reverse osmosis) system</c:v>
                </c:pt>
                <c:pt idx="15">
                  <c:v>Onshore compressor system</c:v>
                </c:pt>
                <c:pt idx="16">
                  <c:v>Offshore compressor system</c:v>
                </c:pt>
                <c:pt idx="17">
                  <c:v>Hot tap</c:v>
                </c:pt>
                <c:pt idx="18">
                  <c:v>Land area cost</c:v>
                </c:pt>
                <c:pt idx="19">
                  <c:v>Other cost (labor, development, permitting, etc.)</c:v>
                </c:pt>
                <c:pt idx="20">
                  <c:v>System contigency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odelling!$G$23,Modelling!$G$27,Modelling!$G$31,Modelling!$G$35,Modelling!$G$39,Modelling!$G$43,Modelling!$G$47,Modelling!$G$51,Modelling!$G$55,Modelling!$G$59,Modelling!$G$63,Modelling!$G$67,Modelling!$G$71,Modelling!$G$75,Modelling!$G$79,Modelling!$G$83,Modelling!$G$87,Modelling!$G$91,Modelling!$G$95,Modelling!$G$99,Modelling!$G$103,Modelling!$G$107)</c15:sqref>
                  </c15:fullRef>
                </c:ext>
              </c:extLst>
              <c:f>(Modelling!$G$23,Modelling!$G$27,Modelling!$G$31,Modelling!$G$35,Modelling!$G$39,Modelling!$G$43,Modelling!$G$47,Modelling!$G$51,Modelling!$G$55,Modelling!$G$59,Modelling!$G$63,Modelling!$G$67,Modelling!$G$71,Modelling!$G$75,Modelling!$G$83,Modelling!$G$87,Modelling!$G$91,Modelling!$G$95,Modelling!$G$99,Modelling!$G$103,Modelling!$G$107)</c:f>
              <c:numCache>
                <c:formatCode>General</c:formatCode>
                <c:ptCount val="21"/>
                <c:pt idx="0">
                  <c:v>19042850000</c:v>
                </c:pt>
                <c:pt idx="1">
                  <c:v>0</c:v>
                </c:pt>
                <c:pt idx="2">
                  <c:v>0</c:v>
                </c:pt>
                <c:pt idx="3">
                  <c:v>705352500</c:v>
                </c:pt>
                <c:pt idx="4">
                  <c:v>0</c:v>
                </c:pt>
                <c:pt idx="5">
                  <c:v>0</c:v>
                </c:pt>
                <c:pt idx="6">
                  <c:v>331324468.51140499</c:v>
                </c:pt>
                <c:pt idx="7">
                  <c:v>773090426.52661157</c:v>
                </c:pt>
                <c:pt idx="8">
                  <c:v>1710807331.9562674</c:v>
                </c:pt>
                <c:pt idx="9">
                  <c:v>0</c:v>
                </c:pt>
                <c:pt idx="10">
                  <c:v>0</c:v>
                </c:pt>
                <c:pt idx="11">
                  <c:v>7503540929.6327515</c:v>
                </c:pt>
                <c:pt idx="12">
                  <c:v>3739311585.4568138</c:v>
                </c:pt>
                <c:pt idx="13">
                  <c:v>0</c:v>
                </c:pt>
                <c:pt idx="14">
                  <c:v>339728.45183151448</c:v>
                </c:pt>
                <c:pt idx="15">
                  <c:v>129198878.81023557</c:v>
                </c:pt>
                <c:pt idx="16">
                  <c:v>0</c:v>
                </c:pt>
                <c:pt idx="17">
                  <c:v>1000000</c:v>
                </c:pt>
                <c:pt idx="18">
                  <c:v>3750000</c:v>
                </c:pt>
                <c:pt idx="19">
                  <c:v>6788113169.8691835</c:v>
                </c:pt>
                <c:pt idx="20">
                  <c:v>4072867901.9215107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C-0E61-497B-959D-68DB8FF6339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OPEX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OPEX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0E-4083-85DD-05DD04EA2F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0E-4083-85DD-05DD04EA2F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0E-4083-85DD-05DD04EA2F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0E-4083-85DD-05DD04EA2F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80E-4083-85DD-05DD04EA2F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80E-4083-85DD-05DD04EA2F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80E-4083-85DD-05DD04EA2F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80E-4083-85DD-05DD04EA2F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80E-4083-85DD-05DD04EA2F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80E-4083-85DD-05DD04EA2F0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80E-4083-85DD-05DD04EA2F0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80E-4083-85DD-05DD04EA2F0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80E-4083-85DD-05DD04EA2F0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80E-4083-85DD-05DD04EA2F0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280E-4083-85DD-05DD04EA2F0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280E-4083-85DD-05DD04EA2F0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280E-4083-85DD-05DD04EA2F0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280E-4083-85DD-05DD04EA2F0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280E-4083-85DD-05DD04EA2F0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280E-4083-85DD-05DD04EA2F0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280E-4083-85DD-05DD04EA2F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Modelling!$C$23,Modelling!$C$27,Modelling!$C$31,Modelling!$C$35,Modelling!$C$39,Modelling!$C$43,Modelling!$C$47,Modelling!$C$51,Modelling!$C$55,Modelling!$C$59,Modelling!$C$63,Modelling!$C$67,Modelling!$C$71,Modelling!$C$75,Modelling!$C$79,Modelling!$C$83,Modelling!$C$87,Modelling!$C$91,Modelling!$C$95,Modelling!$C$99,Modelling!$C$103,Modelling!$C$107)</c15:sqref>
                  </c15:fullRef>
                </c:ext>
              </c:extLst>
              <c:f>(Modelling!$C$23,Modelling!$C$27,Modelling!$C$31,Modelling!$C$35,Modelling!$C$39,Modelling!$C$43,Modelling!$C$47,Modelling!$C$51,Modelling!$C$55,Modelling!$C$59,Modelling!$C$63,Modelling!$C$67,Modelling!$C$71,Modelling!$C$75,Modelling!$C$83,Modelling!$C$87,Modelling!$C$91,Modelling!$C$95,Modelling!$C$99,Modelling!$C$103,Modelling!$C$107)</c:f>
              <c:strCache>
                <c:ptCount val="21"/>
                <c:pt idx="0">
                  <c:v>Wind turbines</c:v>
                </c:pt>
                <c:pt idx="1">
                  <c:v>Artificial island / Offshore substructure</c:v>
                </c:pt>
                <c:pt idx="2">
                  <c:v>Pipeline (12 inch)</c:v>
                </c:pt>
                <c:pt idx="3">
                  <c:v>Electricity cables (inter-array)</c:v>
                </c:pt>
                <c:pt idx="4">
                  <c:v>ALK stacks</c:v>
                </c:pt>
                <c:pt idx="5">
                  <c:v>ALK electrolyzer system (without stack)</c:v>
                </c:pt>
                <c:pt idx="6">
                  <c:v>PEM stacks</c:v>
                </c:pt>
                <c:pt idx="7">
                  <c:v>PEM electrolyzer system (without stack)</c:v>
                </c:pt>
                <c:pt idx="8">
                  <c:v>Converer station</c:v>
                </c:pt>
                <c:pt idx="9">
                  <c:v>Electricity cables (AC)</c:v>
                </c:pt>
                <c:pt idx="10">
                  <c:v>HVAC Substation</c:v>
                </c:pt>
                <c:pt idx="11">
                  <c:v>Electricity cables (DC)</c:v>
                </c:pt>
                <c:pt idx="12">
                  <c:v>HVDC Substation</c:v>
                </c:pt>
                <c:pt idx="13">
                  <c:v>Pipeline (36 inch)</c:v>
                </c:pt>
                <c:pt idx="14">
                  <c:v>Desalination (reverse osmosis) system</c:v>
                </c:pt>
                <c:pt idx="15">
                  <c:v>Onshore compressor system</c:v>
                </c:pt>
                <c:pt idx="16">
                  <c:v>Offshore compressor system</c:v>
                </c:pt>
                <c:pt idx="17">
                  <c:v>Hot tap</c:v>
                </c:pt>
                <c:pt idx="18">
                  <c:v>Land area cost</c:v>
                </c:pt>
                <c:pt idx="19">
                  <c:v>Other cost (labor, development, permitting, etc.)</c:v>
                </c:pt>
                <c:pt idx="20">
                  <c:v>System contigency cost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odelling!$K$23,Modelling!$K$27,Modelling!$K$31,Modelling!$K$35,Modelling!$K$39,Modelling!$K$43,Modelling!$K$47,Modelling!$K$51,Modelling!$K$55,Modelling!$K$59,Modelling!$K$63,Modelling!$K$67,Modelling!$K$71,Modelling!$K$75,Modelling!$K$79,Modelling!$K$83,Modelling!$K$87,Modelling!$K$91,Modelling!$K$95,Modelling!$K$99,Modelling!$K$103,Modelling!$K$107)</c15:sqref>
                  </c15:fullRef>
                </c:ext>
              </c:extLst>
              <c:f>(Modelling!$K$23,Modelling!$K$27,Modelling!$K$31,Modelling!$K$35,Modelling!$K$39,Modelling!$K$43,Modelling!$K$47,Modelling!$K$51,Modelling!$K$55,Modelling!$K$59,Modelling!$K$63,Modelling!$K$67,Modelling!$K$71,Modelling!$K$75,Modelling!$K$83,Modelling!$K$87,Modelling!$K$91,Modelling!$K$95,Modelling!$K$99,Modelling!$K$103,Modelling!$K$107)</c:f>
              <c:numCache>
                <c:formatCode>General</c:formatCode>
                <c:ptCount val="21"/>
                <c:pt idx="0">
                  <c:v>380857000</c:v>
                </c:pt>
                <c:pt idx="1">
                  <c:v>0</c:v>
                </c:pt>
                <c:pt idx="2">
                  <c:v>0</c:v>
                </c:pt>
                <c:pt idx="3">
                  <c:v>7053525</c:v>
                </c:pt>
                <c:pt idx="4" formatCode="0">
                  <c:v>0</c:v>
                </c:pt>
                <c:pt idx="5" formatCode="0">
                  <c:v>0</c:v>
                </c:pt>
                <c:pt idx="6">
                  <c:v>9939734.055342149</c:v>
                </c:pt>
                <c:pt idx="7">
                  <c:v>23192712.795798346</c:v>
                </c:pt>
                <c:pt idx="8">
                  <c:v>51324219.958688021</c:v>
                </c:pt>
                <c:pt idx="9">
                  <c:v>0</c:v>
                </c:pt>
                <c:pt idx="10">
                  <c:v>0</c:v>
                </c:pt>
                <c:pt idx="11">
                  <c:v>75035409.296327516</c:v>
                </c:pt>
                <c:pt idx="12">
                  <c:v>93482789.636420354</c:v>
                </c:pt>
                <c:pt idx="13">
                  <c:v>0</c:v>
                </c:pt>
                <c:pt idx="14">
                  <c:v>8493.2112957878617</c:v>
                </c:pt>
                <c:pt idx="15" formatCode="0">
                  <c:v>3875966.3643070669</c:v>
                </c:pt>
                <c:pt idx="16">
                  <c:v>0</c:v>
                </c:pt>
                <c:pt idx="17">
                  <c:v>10000</c:v>
                </c:pt>
                <c:pt idx="18">
                  <c:v>187500</c:v>
                </c:pt>
                <c:pt idx="19">
                  <c:v>135762263.39738366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Modelling!$K$79</c15:sqref>
                  <c15:spPr xmlns:c15="http://schemas.microsoft.com/office/drawing/2012/chart"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280E-4083-85DD-05DD04EA2F0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Weibull distribution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46813252117068E-2"/>
          <c:y val="0.12394319131161237"/>
          <c:w val="0.90716324964096462"/>
          <c:h val="0.778067478407304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wind_source!$A$2:$A$27</c:f>
              <c:numCache>
                <c:formatCode>0.0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wind_source!$B$2:$B$27</c:f>
              <c:numCache>
                <c:formatCode>0.00</c:formatCode>
                <c:ptCount val="26"/>
                <c:pt idx="0">
                  <c:v>0</c:v>
                </c:pt>
                <c:pt idx="1">
                  <c:v>2.1346982258931449E-3</c:v>
                </c:pt>
                <c:pt idx="2">
                  <c:v>8.4963370984512815E-3</c:v>
                </c:pt>
                <c:pt idx="3">
                  <c:v>1.8859862211708281E-2</c:v>
                </c:pt>
                <c:pt idx="4">
                  <c:v>3.2656810247449534E-2</c:v>
                </c:pt>
                <c:pt idx="5">
                  <c:v>4.885731300106623E-2</c:v>
                </c:pt>
                <c:pt idx="6">
                  <c:v>6.5940218172006168E-2</c:v>
                </c:pt>
                <c:pt idx="7">
                  <c:v>8.1991586817625042E-2</c:v>
                </c:pt>
                <c:pt idx="8">
                  <c:v>9.4948923547681155E-2</c:v>
                </c:pt>
                <c:pt idx="9">
                  <c:v>0.10296461061203684</c:v>
                </c:pt>
                <c:pt idx="10">
                  <c:v>0.10480847183568115</c:v>
                </c:pt>
                <c:pt idx="11">
                  <c:v>0.10018904209339485</c:v>
                </c:pt>
                <c:pt idx="12">
                  <c:v>8.9872196124903186E-2</c:v>
                </c:pt>
                <c:pt idx="13">
                  <c:v>7.5528632538531107E-2</c:v>
                </c:pt>
                <c:pt idx="14">
                  <c:v>5.9336454723502921E-2</c:v>
                </c:pt>
                <c:pt idx="15">
                  <c:v>4.3462199533608907E-2</c:v>
                </c:pt>
                <c:pt idx="16">
                  <c:v>2.9593774985636586E-2</c:v>
                </c:pt>
                <c:pt idx="17">
                  <c:v>1.8672459497163854E-2</c:v>
                </c:pt>
                <c:pt idx="18">
                  <c:v>1.0880492179366328E-2</c:v>
                </c:pt>
                <c:pt idx="19">
                  <c:v>5.8346075635810398E-3</c:v>
                </c:pt>
                <c:pt idx="20">
                  <c:v>2.8688704160665266E-3</c:v>
                </c:pt>
                <c:pt idx="21">
                  <c:v>1.2886236575359088E-3</c:v>
                </c:pt>
                <c:pt idx="22">
                  <c:v>5.2674936932890467E-4</c:v>
                </c:pt>
                <c:pt idx="23">
                  <c:v>1.9519314989139793E-4</c:v>
                </c:pt>
                <c:pt idx="24">
                  <c:v>6.5313839000766204E-5</c:v>
                </c:pt>
                <c:pt idx="25">
                  <c:v>1.9656431010394641E-5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4-443D-84AB-C13499F3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70560"/>
        <c:axId val="350967680"/>
      </c:scatterChart>
      <c:valAx>
        <c:axId val="35097056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67680"/>
        <c:crosses val="autoZero"/>
        <c:crossBetween val="midCat"/>
      </c:valAx>
      <c:valAx>
        <c:axId val="350967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Frequency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IEA 15 MW RWT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43574595192414E-2"/>
          <c:y val="0.10715780651842173"/>
          <c:w val="0.89367879435238662"/>
          <c:h val="0.7878994619394748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'IEA 15 MW RWT '!$A$2:$A$27</c:f>
              <c:numCache>
                <c:formatCode>0.00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'IEA 15 MW RWT '!$B$2:$B$27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1.4</c:v>
                </c:pt>
                <c:pt idx="6">
                  <c:v>2.65</c:v>
                </c:pt>
                <c:pt idx="7">
                  <c:v>4.2</c:v>
                </c:pt>
                <c:pt idx="8">
                  <c:v>6.4</c:v>
                </c:pt>
                <c:pt idx="9">
                  <c:v>9.1</c:v>
                </c:pt>
                <c:pt idx="10">
                  <c:v>12.2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5-4BA1-888F-0EB9AE86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62864"/>
        <c:axId val="658147024"/>
      </c:scatterChart>
      <c:valAx>
        <c:axId val="65816286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47024"/>
        <c:crosses val="autoZero"/>
        <c:crossBetween val="midCat"/>
      </c:valAx>
      <c:valAx>
        <c:axId val="6581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282459</xdr:colOff>
      <xdr:row>81</xdr:row>
      <xdr:rowOff>154424</xdr:rowOff>
    </xdr:from>
    <xdr:to>
      <xdr:col>43</xdr:col>
      <xdr:colOff>338488</xdr:colOff>
      <xdr:row>111</xdr:row>
      <xdr:rowOff>135950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9A7E63-0469-43AD-9ECA-D1426D91A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96</xdr:row>
      <xdr:rowOff>0</xdr:rowOff>
    </xdr:from>
    <xdr:to>
      <xdr:col>55</xdr:col>
      <xdr:colOff>501239</xdr:colOff>
      <xdr:row>125</xdr:row>
      <xdr:rowOff>164156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A14936-4698-4F46-B4B8-A6DC7D05F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506557</xdr:colOff>
      <xdr:row>12</xdr:row>
      <xdr:rowOff>136071</xdr:rowOff>
    </xdr:from>
    <xdr:to>
      <xdr:col>30</xdr:col>
      <xdr:colOff>296182</xdr:colOff>
      <xdr:row>47</xdr:row>
      <xdr:rowOff>13606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B5AE85-5956-471D-AF57-C303A5C74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530679</xdr:colOff>
      <xdr:row>50</xdr:row>
      <xdr:rowOff>283443</xdr:rowOff>
    </xdr:from>
    <xdr:to>
      <xdr:col>28</xdr:col>
      <xdr:colOff>108166</xdr:colOff>
      <xdr:row>88</xdr:row>
      <xdr:rowOff>2632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85ADE4C-0441-4C4B-BCA1-7C34FD942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7</xdr:row>
      <xdr:rowOff>9524</xdr:rowOff>
    </xdr:from>
    <xdr:to>
      <xdr:col>17</xdr:col>
      <xdr:colOff>114300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15FE0-1064-4900-852F-3F4DE85C4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12</xdr:row>
      <xdr:rowOff>76200</xdr:rowOff>
    </xdr:from>
    <xdr:to>
      <xdr:col>12</xdr:col>
      <xdr:colOff>47625</xdr:colOff>
      <xdr:row>35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C5A89-4374-458A-B941-08C753713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f022\Desktop\Tesi\File%20Tesi\Primo%20confronto%20-%20Oggi\Elettr.%20AEC.xlsx" TargetMode="External"/><Relationship Id="rId1" Type="http://schemas.openxmlformats.org/officeDocument/2006/relationships/externalLinkPath" Target="/Users/tf022/Desktop/Tesi/File%20Tesi/Primo%20confronto%20-%20Oggi/Elettr.%20A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ttr. AEC min"/>
      <sheetName val="Elettr. AEC max"/>
      <sheetName val="Grafico a dispersione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8D6F-F7D1-4274-970B-3377463B3A82}">
  <dimension ref="A1:M8"/>
  <sheetViews>
    <sheetView tabSelected="1" workbookViewId="0">
      <selection activeCell="F30" sqref="F30"/>
    </sheetView>
  </sheetViews>
  <sheetFormatPr defaultRowHeight="14.5" x14ac:dyDescent="0.35"/>
  <cols>
    <col min="1" max="16384" width="8.7265625" style="35"/>
  </cols>
  <sheetData>
    <row r="1" spans="1:13" x14ac:dyDescent="0.35">
      <c r="A1" s="190" t="s">
        <v>281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2"/>
    </row>
    <row r="2" spans="1:13" x14ac:dyDescent="0.35">
      <c r="A2" s="199" t="s">
        <v>288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1"/>
    </row>
    <row r="3" spans="1:13" x14ac:dyDescent="0.35">
      <c r="A3" s="193" t="s">
        <v>282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5"/>
    </row>
    <row r="4" spans="1:13" x14ac:dyDescent="0.35">
      <c r="A4" s="193" t="s">
        <v>283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5"/>
    </row>
    <row r="5" spans="1:13" x14ac:dyDescent="0.35">
      <c r="A5" s="193" t="s">
        <v>284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5"/>
    </row>
    <row r="6" spans="1:13" x14ac:dyDescent="0.35">
      <c r="A6" s="193" t="s">
        <v>285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5"/>
    </row>
    <row r="7" spans="1:13" x14ac:dyDescent="0.35">
      <c r="A7" s="193" t="s">
        <v>286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5"/>
    </row>
    <row r="8" spans="1:13" ht="15" thickBot="1" x14ac:dyDescent="0.4">
      <c r="A8" s="196" t="s">
        <v>287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5FCD-A596-4E10-BC0C-1504D6656DF7}">
  <dimension ref="A1:AV228"/>
  <sheetViews>
    <sheetView zoomScale="70" zoomScaleNormal="70" workbookViewId="0">
      <selection activeCell="G30" sqref="G30"/>
    </sheetView>
  </sheetViews>
  <sheetFormatPr defaultRowHeight="14.5" x14ac:dyDescent="0.35"/>
  <cols>
    <col min="1" max="1" width="32" customWidth="1"/>
    <col min="2" max="2" width="49.26953125" customWidth="1"/>
    <col min="3" max="3" width="31.90625" customWidth="1"/>
    <col min="4" max="4" width="20.36328125" customWidth="1"/>
    <col min="5" max="5" width="21.90625" customWidth="1"/>
    <col min="6" max="7" width="13.54296875" bestFit="1" customWidth="1"/>
    <col min="8" max="8" width="13.453125" bestFit="1" customWidth="1"/>
    <col min="9" max="9" width="19" customWidth="1"/>
    <col min="10" max="10" width="12.36328125" bestFit="1" customWidth="1"/>
    <col min="11" max="11" width="18.1796875" customWidth="1"/>
    <col min="12" max="12" width="11.453125" bestFit="1" customWidth="1"/>
    <col min="13" max="13" width="33.6328125" customWidth="1"/>
    <col min="14" max="14" width="9.453125" customWidth="1"/>
    <col min="15" max="15" width="30.453125" customWidth="1"/>
    <col min="16" max="16" width="21.81640625" customWidth="1"/>
    <col min="17" max="17" width="21" customWidth="1"/>
    <col min="18" max="18" width="11.36328125" bestFit="1" customWidth="1"/>
    <col min="19" max="19" width="24.1796875" bestFit="1" customWidth="1"/>
    <col min="20" max="20" width="14.7265625" bestFit="1" customWidth="1"/>
    <col min="21" max="22" width="11.36328125" bestFit="1" customWidth="1"/>
    <col min="27" max="27" width="16.08984375" bestFit="1" customWidth="1"/>
    <col min="32" max="32" width="21.7265625" customWidth="1"/>
    <col min="34" max="34" width="19.1796875" bestFit="1" customWidth="1"/>
    <col min="37" max="37" width="15.81640625" bestFit="1" customWidth="1"/>
  </cols>
  <sheetData>
    <row r="1" spans="1:29" ht="21" x14ac:dyDescent="0.5">
      <c r="A1" s="203" t="s">
        <v>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</row>
    <row r="2" spans="1:29" ht="23.5" x14ac:dyDescent="0.55000000000000004">
      <c r="A2" s="188" t="s">
        <v>106</v>
      </c>
      <c r="B2" s="189">
        <v>250</v>
      </c>
      <c r="Z2" s="6"/>
      <c r="AA2" s="134"/>
    </row>
    <row r="3" spans="1:29" ht="23.5" x14ac:dyDescent="0.55000000000000004">
      <c r="A3" s="188" t="s">
        <v>188</v>
      </c>
      <c r="B3" s="189" t="s">
        <v>190</v>
      </c>
      <c r="D3" s="154" t="s">
        <v>2</v>
      </c>
      <c r="E3" s="187">
        <f>Modelling!$D$1</f>
        <v>2.4715418947651613</v>
      </c>
      <c r="F3" s="154" t="s">
        <v>244</v>
      </c>
      <c r="I3" s="6"/>
      <c r="J3" s="6"/>
      <c r="K3" s="6"/>
      <c r="Z3" s="6"/>
      <c r="AA3" s="134"/>
    </row>
    <row r="4" spans="1:29" ht="23.5" x14ac:dyDescent="0.55000000000000004">
      <c r="A4" s="188" t="s">
        <v>189</v>
      </c>
      <c r="B4" s="189" t="s">
        <v>130</v>
      </c>
      <c r="Z4" s="6"/>
      <c r="AA4" s="134"/>
    </row>
    <row r="5" spans="1:29" x14ac:dyDescent="0.35">
      <c r="N5" s="6"/>
      <c r="O5" s="6"/>
      <c r="P5" s="6"/>
      <c r="Q5" s="6"/>
      <c r="S5" s="95"/>
      <c r="T5" s="95"/>
      <c r="U5" s="95"/>
      <c r="Z5" s="6"/>
      <c r="AA5" s="134"/>
    </row>
    <row r="6" spans="1:29" x14ac:dyDescent="0.35">
      <c r="N6" s="6"/>
      <c r="O6" s="6"/>
      <c r="P6" s="6"/>
      <c r="Q6" s="6"/>
      <c r="S6" s="95"/>
      <c r="T6" s="95"/>
      <c r="U6" s="95"/>
      <c r="Z6" s="6"/>
      <c r="AA6" s="134"/>
    </row>
    <row r="7" spans="1:29" x14ac:dyDescent="0.35">
      <c r="N7" s="6"/>
      <c r="O7" s="6"/>
      <c r="P7" s="6"/>
      <c r="Q7" s="6"/>
      <c r="S7" s="95"/>
      <c r="T7" s="95"/>
      <c r="U7" s="95"/>
      <c r="Z7" s="6"/>
      <c r="AA7" s="134"/>
      <c r="AC7" s="6"/>
    </row>
    <row r="8" spans="1:29" ht="23.5" customHeight="1" x14ac:dyDescent="0.55000000000000004">
      <c r="A8" t="s">
        <v>279</v>
      </c>
      <c r="C8" s="169"/>
      <c r="D8" s="169"/>
      <c r="E8" s="169"/>
      <c r="F8" s="169"/>
      <c r="G8" s="169"/>
      <c r="H8" s="169"/>
      <c r="I8" s="168"/>
      <c r="N8" s="6"/>
      <c r="O8" s="6"/>
      <c r="P8" s="6"/>
      <c r="Q8" s="6"/>
      <c r="S8" s="95"/>
      <c r="T8" s="95"/>
      <c r="U8" s="95"/>
      <c r="AA8" s="145"/>
    </row>
    <row r="9" spans="1:29" ht="19" customHeight="1" thickBot="1" x14ac:dyDescent="0.5">
      <c r="A9" s="132" t="s">
        <v>280</v>
      </c>
      <c r="B9" s="132" t="s">
        <v>216</v>
      </c>
      <c r="C9" s="143"/>
      <c r="H9" s="143"/>
      <c r="I9" s="168"/>
      <c r="N9" s="6"/>
      <c r="O9" s="6"/>
      <c r="P9" s="6"/>
      <c r="Q9" s="6"/>
      <c r="S9" s="95"/>
      <c r="T9" s="95"/>
      <c r="U9" s="95"/>
      <c r="Y9" s="6"/>
      <c r="Z9" s="6"/>
      <c r="AA9" s="134"/>
    </row>
    <row r="10" spans="1:29" ht="15.5" thickTop="1" thickBot="1" x14ac:dyDescent="0.4">
      <c r="A10" t="s">
        <v>220</v>
      </c>
      <c r="B10" s="123">
        <v>52000</v>
      </c>
      <c r="C10">
        <v>52000</v>
      </c>
      <c r="D10">
        <v>490000</v>
      </c>
      <c r="H10" s="143"/>
      <c r="N10" s="6"/>
      <c r="O10" s="6"/>
      <c r="P10" s="6"/>
      <c r="Q10" s="6"/>
      <c r="S10" s="95"/>
      <c r="T10" s="95"/>
      <c r="U10" s="95"/>
      <c r="Y10" s="135"/>
      <c r="Z10" s="6"/>
      <c r="AA10" s="134"/>
    </row>
    <row r="11" spans="1:29" ht="15.5" thickTop="1" thickBot="1" x14ac:dyDescent="0.4">
      <c r="A11" t="s">
        <v>221</v>
      </c>
      <c r="B11" s="137">
        <v>121333.33333333333</v>
      </c>
      <c r="C11" s="95">
        <f>(C10/0.3)*0.7</f>
        <v>121333.33333333333</v>
      </c>
      <c r="D11" s="95">
        <f>(D10/0.35)*0.65</f>
        <v>910000</v>
      </c>
      <c r="G11" s="95"/>
      <c r="H11" s="144"/>
      <c r="N11" s="6"/>
      <c r="O11" s="6"/>
      <c r="P11" s="6"/>
      <c r="Y11" s="6"/>
      <c r="Z11" s="6"/>
      <c r="AA11" s="134"/>
    </row>
    <row r="12" spans="1:29" ht="15.5" thickTop="1" thickBot="1" x14ac:dyDescent="0.4">
      <c r="A12" t="s">
        <v>222</v>
      </c>
      <c r="B12" s="123">
        <v>63000</v>
      </c>
      <c r="C12">
        <v>63000</v>
      </c>
      <c r="D12">
        <v>630000</v>
      </c>
      <c r="H12" s="143"/>
      <c r="Y12" s="6"/>
      <c r="Z12" s="6"/>
      <c r="AA12" s="134"/>
    </row>
    <row r="13" spans="1:29" ht="15.5" thickTop="1" thickBot="1" x14ac:dyDescent="0.4">
      <c r="A13" t="s">
        <v>223</v>
      </c>
      <c r="B13" s="137">
        <v>147000</v>
      </c>
      <c r="C13" s="95">
        <f>(C12/0.3)*0.7</f>
        <v>147000</v>
      </c>
      <c r="D13" s="95">
        <f>(D12/0.35)*0.65</f>
        <v>1170000</v>
      </c>
      <c r="G13" s="95"/>
      <c r="H13" s="144"/>
      <c r="K13" s="105"/>
      <c r="Y13" s="6"/>
      <c r="Z13" s="6"/>
      <c r="AA13" s="134"/>
    </row>
    <row r="14" spans="1:29" ht="15" thickTop="1" x14ac:dyDescent="0.35">
      <c r="C14" s="95"/>
      <c r="D14" s="95"/>
      <c r="E14" s="95"/>
      <c r="F14" s="95"/>
      <c r="G14" s="95"/>
      <c r="H14" s="95"/>
      <c r="I14" s="145"/>
      <c r="Y14" s="6"/>
      <c r="Z14" s="6"/>
      <c r="AA14" s="134"/>
    </row>
    <row r="15" spans="1:29" ht="15" thickBot="1" x14ac:dyDescent="0.4">
      <c r="I15" s="145"/>
      <c r="AA15" s="145"/>
    </row>
    <row r="16" spans="1:29" ht="17" thickTop="1" thickBot="1" x14ac:dyDescent="0.45">
      <c r="A16" t="s">
        <v>236</v>
      </c>
      <c r="B16" s="137">
        <v>500000</v>
      </c>
      <c r="D16">
        <v>500000</v>
      </c>
      <c r="E16">
        <v>1000000</v>
      </c>
      <c r="O16" s="179"/>
      <c r="P16" s="179"/>
      <c r="Q16" s="179"/>
    </row>
    <row r="17" spans="1:22" ht="19.5" thickTop="1" thickBot="1" x14ac:dyDescent="0.5">
      <c r="A17" t="s">
        <v>229</v>
      </c>
      <c r="B17" s="138">
        <v>0.84</v>
      </c>
      <c r="C17" s="134">
        <v>0.6</v>
      </c>
      <c r="D17" s="134"/>
      <c r="E17" s="134">
        <v>0.84</v>
      </c>
      <c r="H17" s="141"/>
      <c r="I17" s="167"/>
      <c r="M17" s="180"/>
    </row>
    <row r="18" spans="1:22" ht="19.5" thickTop="1" thickBot="1" x14ac:dyDescent="0.5">
      <c r="A18" t="s">
        <v>266</v>
      </c>
      <c r="B18" s="138">
        <v>0.94</v>
      </c>
      <c r="C18" s="134">
        <v>0.84</v>
      </c>
      <c r="D18" s="134"/>
      <c r="E18" s="134">
        <v>0.94</v>
      </c>
      <c r="H18" s="141"/>
      <c r="I18" s="167"/>
      <c r="M18" s="180"/>
    </row>
    <row r="19" spans="1:22" ht="15.5" thickTop="1" thickBot="1" x14ac:dyDescent="0.4">
      <c r="A19" t="s">
        <v>230</v>
      </c>
      <c r="B19" s="138">
        <v>0.84</v>
      </c>
      <c r="C19" s="134">
        <v>0.6</v>
      </c>
      <c r="D19" s="134"/>
      <c r="E19" s="145">
        <v>0.84</v>
      </c>
      <c r="F19" s="134"/>
      <c r="H19" s="141"/>
      <c r="I19" s="167"/>
      <c r="M19" s="146"/>
      <c r="O19" s="136"/>
      <c r="P19" s="136"/>
      <c r="Q19" s="136"/>
      <c r="R19" s="6"/>
      <c r="T19" s="160"/>
      <c r="U19" s="160"/>
      <c r="V19" s="160"/>
    </row>
    <row r="20" spans="1:22" ht="15.5" thickTop="1" thickBot="1" x14ac:dyDescent="0.4">
      <c r="A20" t="s">
        <v>267</v>
      </c>
      <c r="B20" s="138">
        <v>0.96</v>
      </c>
      <c r="C20" s="134">
        <v>0.79</v>
      </c>
      <c r="D20" s="134"/>
      <c r="E20" s="145">
        <v>0.96</v>
      </c>
      <c r="F20" s="134"/>
      <c r="H20" s="141"/>
      <c r="I20" s="167"/>
      <c r="M20" s="146"/>
      <c r="O20" s="136"/>
      <c r="P20" s="136"/>
      <c r="Q20" s="136"/>
      <c r="R20" s="6"/>
      <c r="T20" s="160"/>
      <c r="U20" s="160"/>
      <c r="V20" s="160"/>
    </row>
    <row r="21" spans="1:22" ht="15.5" thickTop="1" thickBot="1" x14ac:dyDescent="0.4">
      <c r="A21" t="s">
        <v>219</v>
      </c>
      <c r="B21" s="123">
        <v>2</v>
      </c>
      <c r="C21" s="155">
        <v>1</v>
      </c>
      <c r="D21">
        <v>1.5</v>
      </c>
      <c r="E21">
        <v>1.7</v>
      </c>
      <c r="F21">
        <v>2</v>
      </c>
      <c r="M21" s="146"/>
      <c r="O21" s="136"/>
      <c r="P21" s="136"/>
      <c r="Q21" s="136"/>
      <c r="R21" s="6"/>
      <c r="T21" s="160"/>
      <c r="U21" s="160"/>
      <c r="V21" s="160"/>
    </row>
    <row r="22" spans="1:22" ht="15.5" thickTop="1" thickBot="1" x14ac:dyDescent="0.4">
      <c r="A22" t="s">
        <v>255</v>
      </c>
      <c r="B22" s="123">
        <v>1.5</v>
      </c>
      <c r="D22">
        <v>1.5</v>
      </c>
      <c r="E22">
        <v>1.7</v>
      </c>
      <c r="F22">
        <v>2</v>
      </c>
      <c r="M22" s="146"/>
      <c r="O22" s="136"/>
      <c r="P22" s="136"/>
      <c r="Q22" s="136"/>
      <c r="R22" s="6"/>
      <c r="T22" s="160"/>
      <c r="U22" s="160"/>
      <c r="V22" s="160"/>
    </row>
    <row r="23" spans="1:22" ht="15.5" thickTop="1" thickBot="1" x14ac:dyDescent="0.4">
      <c r="A23" t="s">
        <v>257</v>
      </c>
      <c r="B23" s="123">
        <v>12000000</v>
      </c>
      <c r="C23" s="95">
        <v>12000000</v>
      </c>
      <c r="D23" s="95">
        <v>15000000</v>
      </c>
      <c r="E23">
        <v>21000000</v>
      </c>
      <c r="M23" s="146"/>
      <c r="O23" s="136"/>
      <c r="P23" s="136"/>
      <c r="Q23" s="136"/>
      <c r="R23" s="6"/>
      <c r="T23" s="160"/>
      <c r="U23" s="160"/>
      <c r="V23" s="160"/>
    </row>
    <row r="24" spans="1:22" ht="15.5" thickTop="1" thickBot="1" x14ac:dyDescent="0.4">
      <c r="A24" t="s">
        <v>258</v>
      </c>
      <c r="B24" s="123">
        <v>7550000</v>
      </c>
      <c r="C24" s="95">
        <v>7550000</v>
      </c>
      <c r="D24" s="95">
        <v>10000000</v>
      </c>
      <c r="M24" s="146"/>
      <c r="O24" s="136"/>
      <c r="P24" s="136"/>
      <c r="Q24" s="136"/>
      <c r="R24" s="6"/>
      <c r="T24" s="160"/>
      <c r="U24" s="160"/>
      <c r="V24" s="160"/>
    </row>
    <row r="25" spans="1:22" ht="15.5" thickTop="1" thickBot="1" x14ac:dyDescent="0.4">
      <c r="A25" t="s">
        <v>247</v>
      </c>
      <c r="B25" s="123">
        <v>0.01</v>
      </c>
      <c r="C25">
        <v>0.01</v>
      </c>
      <c r="D25">
        <v>10</v>
      </c>
      <c r="M25" s="146"/>
      <c r="O25" s="136"/>
      <c r="P25" s="136"/>
      <c r="Q25" s="136"/>
      <c r="R25" s="6"/>
      <c r="T25" s="160"/>
      <c r="U25" s="160"/>
      <c r="V25" s="160"/>
    </row>
    <row r="26" spans="1:22" ht="19.5" thickTop="1" thickBot="1" x14ac:dyDescent="0.5">
      <c r="A26" s="132" t="s">
        <v>225</v>
      </c>
      <c r="B26" s="132"/>
      <c r="I26" s="145"/>
      <c r="M26" s="146"/>
      <c r="O26" s="136"/>
      <c r="P26" s="136"/>
      <c r="Q26" s="136"/>
      <c r="R26" s="6"/>
      <c r="T26" s="160"/>
      <c r="U26" s="160"/>
      <c r="V26" s="160"/>
    </row>
    <row r="27" spans="1:22" ht="15.5" thickTop="1" thickBot="1" x14ac:dyDescent="0.4">
      <c r="A27" t="s">
        <v>249</v>
      </c>
      <c r="B27" s="123">
        <v>1</v>
      </c>
      <c r="D27">
        <v>0.95</v>
      </c>
      <c r="E27">
        <v>1</v>
      </c>
      <c r="I27" s="145"/>
      <c r="M27" s="146"/>
      <c r="O27" s="136"/>
      <c r="P27" s="136"/>
      <c r="Q27" s="136"/>
      <c r="R27" s="6"/>
      <c r="T27" s="160"/>
      <c r="U27" s="160"/>
      <c r="V27" s="160"/>
    </row>
    <row r="28" spans="1:22" ht="15.5" thickTop="1" thickBot="1" x14ac:dyDescent="0.4">
      <c r="A28" t="s">
        <v>248</v>
      </c>
      <c r="B28" s="123">
        <v>1</v>
      </c>
      <c r="C28">
        <v>1</v>
      </c>
      <c r="D28">
        <v>1.05</v>
      </c>
      <c r="E28">
        <v>1.1000000000000001</v>
      </c>
      <c r="I28" s="145"/>
      <c r="M28" s="146"/>
      <c r="O28" s="136"/>
      <c r="P28" s="136"/>
      <c r="Q28" s="136"/>
      <c r="R28" s="6"/>
      <c r="T28" s="160"/>
      <c r="U28" s="160"/>
      <c r="V28" s="160"/>
    </row>
    <row r="29" spans="1:22" ht="15.5" thickTop="1" thickBot="1" x14ac:dyDescent="0.4">
      <c r="A29" t="s">
        <v>274</v>
      </c>
      <c r="B29" s="123">
        <v>2500000</v>
      </c>
      <c r="C29">
        <v>2500000</v>
      </c>
      <c r="E29">
        <v>3500000</v>
      </c>
      <c r="M29" s="146"/>
      <c r="O29" s="136"/>
      <c r="P29" s="136"/>
      <c r="Q29" s="136"/>
      <c r="R29" s="6"/>
      <c r="T29" s="160"/>
      <c r="U29" s="160"/>
      <c r="V29" s="160"/>
    </row>
    <row r="30" spans="1:22" ht="19.5" thickTop="1" thickBot="1" x14ac:dyDescent="0.5">
      <c r="A30" s="132" t="s">
        <v>212</v>
      </c>
      <c r="B30" s="132"/>
      <c r="C30" t="s">
        <v>214</v>
      </c>
      <c r="D30" t="s">
        <v>215</v>
      </c>
      <c r="I30" s="145"/>
      <c r="M30" s="146"/>
      <c r="O30" s="136"/>
      <c r="P30" s="136"/>
      <c r="Q30" s="136"/>
      <c r="R30" s="6"/>
      <c r="T30" s="160"/>
      <c r="U30" s="160"/>
      <c r="V30" s="160"/>
    </row>
    <row r="31" spans="1:22" ht="15.5" thickTop="1" thickBot="1" x14ac:dyDescent="0.4">
      <c r="A31" t="s">
        <v>224</v>
      </c>
      <c r="B31" s="123">
        <v>840000</v>
      </c>
      <c r="C31">
        <v>840000</v>
      </c>
      <c r="D31">
        <v>3200000</v>
      </c>
      <c r="T31" s="147"/>
      <c r="U31" s="147"/>
      <c r="V31" s="147"/>
    </row>
    <row r="32" spans="1:22" ht="15.5" thickTop="1" thickBot="1" x14ac:dyDescent="0.4">
      <c r="B32" s="123"/>
      <c r="I32" s="145"/>
      <c r="M32" s="146"/>
      <c r="O32" s="136"/>
      <c r="P32" s="136"/>
      <c r="Q32" s="136"/>
      <c r="R32" s="6"/>
      <c r="T32" s="147"/>
      <c r="U32" s="147"/>
      <c r="V32" s="147"/>
    </row>
    <row r="33" spans="1:48" ht="15.5" thickTop="1" thickBot="1" x14ac:dyDescent="0.4">
      <c r="A33" t="s">
        <v>275</v>
      </c>
      <c r="B33" s="123">
        <v>235000</v>
      </c>
      <c r="C33">
        <v>235000</v>
      </c>
      <c r="E33">
        <v>1400000</v>
      </c>
      <c r="M33" s="146"/>
      <c r="O33" s="136"/>
      <c r="P33" s="136"/>
      <c r="Q33" s="136"/>
      <c r="R33" s="6"/>
      <c r="T33" s="147"/>
      <c r="U33" s="147"/>
      <c r="V33" s="147"/>
    </row>
    <row r="34" spans="1:48" ht="19.5" thickTop="1" thickBot="1" x14ac:dyDescent="0.5">
      <c r="A34" s="132" t="s">
        <v>213</v>
      </c>
      <c r="B34" s="132"/>
      <c r="I34" s="145"/>
      <c r="M34" s="146"/>
      <c r="O34" s="136"/>
      <c r="P34" s="136"/>
      <c r="Q34" s="136"/>
      <c r="R34" s="6"/>
      <c r="S34" s="141"/>
      <c r="T34" s="134"/>
      <c r="U34" s="134"/>
      <c r="V34" s="147"/>
    </row>
    <row r="35" spans="1:48" ht="15.5" thickTop="1" thickBot="1" x14ac:dyDescent="0.4">
      <c r="A35" t="s">
        <v>228</v>
      </c>
      <c r="B35" s="138">
        <v>1</v>
      </c>
      <c r="C35" s="105">
        <v>0.98</v>
      </c>
      <c r="D35" s="105"/>
      <c r="E35" s="105">
        <v>1</v>
      </c>
      <c r="I35" s="145"/>
      <c r="M35" s="146"/>
      <c r="O35" s="136"/>
      <c r="P35" s="136"/>
      <c r="Q35" s="136"/>
      <c r="R35" s="6"/>
      <c r="S35" s="141"/>
      <c r="T35" s="134"/>
      <c r="U35" s="134"/>
      <c r="V35" s="147"/>
    </row>
    <row r="36" spans="1:48" ht="15.5" thickTop="1" thickBot="1" x14ac:dyDescent="0.4">
      <c r="A36" t="s">
        <v>227</v>
      </c>
      <c r="B36" s="123">
        <v>1</v>
      </c>
      <c r="C36" s="105">
        <v>0.97499999999999998</v>
      </c>
      <c r="E36" s="105">
        <v>1</v>
      </c>
      <c r="I36" s="145"/>
      <c r="M36" s="146"/>
      <c r="O36" s="136"/>
      <c r="P36" s="136"/>
      <c r="Q36" s="136"/>
      <c r="R36" s="6"/>
      <c r="S36" s="141"/>
      <c r="T36" s="134"/>
      <c r="U36" s="134"/>
      <c r="V36" s="147"/>
    </row>
    <row r="37" spans="1:48" ht="15.5" thickTop="1" thickBot="1" x14ac:dyDescent="0.4">
      <c r="A37" t="s">
        <v>226</v>
      </c>
      <c r="B37" s="123">
        <v>1</v>
      </c>
      <c r="C37" s="134">
        <v>1</v>
      </c>
      <c r="D37" s="134">
        <v>0.9</v>
      </c>
      <c r="E37" s="134">
        <v>0.8</v>
      </c>
      <c r="I37" s="145"/>
      <c r="M37" s="146"/>
      <c r="O37" s="136"/>
      <c r="P37" s="136"/>
      <c r="Q37" s="136"/>
      <c r="R37" s="6"/>
      <c r="S37" s="141"/>
      <c r="T37" s="134"/>
      <c r="U37" s="134"/>
      <c r="V37" s="147"/>
    </row>
    <row r="38" spans="1:48" ht="15" thickTop="1" x14ac:dyDescent="0.35">
      <c r="I38" s="145"/>
      <c r="M38" s="146"/>
      <c r="O38" s="136"/>
      <c r="P38" s="136"/>
      <c r="Q38" s="136"/>
      <c r="R38" s="6"/>
      <c r="S38" s="141"/>
      <c r="T38" s="134"/>
      <c r="U38" s="134"/>
      <c r="V38" s="147"/>
      <c r="AN38" s="134"/>
      <c r="AO38" s="134"/>
      <c r="AP38" s="134"/>
      <c r="AQ38" s="134"/>
      <c r="AR38" s="134"/>
      <c r="AS38" s="134"/>
      <c r="AT38" s="134"/>
      <c r="AU38" s="134"/>
      <c r="AV38" s="134"/>
    </row>
    <row r="39" spans="1:48" ht="19" thickBot="1" x14ac:dyDescent="0.5">
      <c r="A39" s="132" t="s">
        <v>218</v>
      </c>
      <c r="B39" s="132"/>
      <c r="I39" s="145"/>
      <c r="M39" s="146"/>
      <c r="O39" s="136"/>
      <c r="P39" s="136"/>
      <c r="Q39" s="136"/>
      <c r="R39" s="6"/>
      <c r="S39" s="141"/>
      <c r="T39" s="134"/>
      <c r="U39" s="134"/>
      <c r="V39" s="147"/>
      <c r="AN39" s="134"/>
      <c r="AO39" s="134"/>
      <c r="AP39" s="134"/>
      <c r="AQ39" s="134"/>
      <c r="AR39" s="134"/>
      <c r="AS39" s="134"/>
      <c r="AT39" s="134"/>
      <c r="AU39" s="134"/>
      <c r="AV39" s="134"/>
    </row>
    <row r="40" spans="1:48" ht="15.5" thickTop="1" thickBot="1" x14ac:dyDescent="0.4">
      <c r="A40" t="s">
        <v>243</v>
      </c>
      <c r="B40" s="156">
        <v>88000</v>
      </c>
      <c r="C40" s="142">
        <v>88000</v>
      </c>
      <c r="D40" s="142"/>
      <c r="E40">
        <f>ROUND(250000/1.09,-4)</f>
        <v>230000</v>
      </c>
      <c r="M40" s="146"/>
      <c r="O40" s="136"/>
      <c r="P40" s="136"/>
      <c r="Q40" s="136"/>
      <c r="R40" s="6"/>
      <c r="S40" s="141"/>
      <c r="T40" s="134"/>
      <c r="U40" s="134"/>
      <c r="V40" s="147"/>
      <c r="AN40" s="134"/>
      <c r="AO40" s="134"/>
      <c r="AP40" s="134"/>
      <c r="AQ40" s="134"/>
      <c r="AR40" s="134"/>
      <c r="AS40" s="134"/>
      <c r="AT40" s="134"/>
      <c r="AU40" s="134"/>
      <c r="AV40" s="134"/>
    </row>
    <row r="41" spans="1:48" ht="15" thickTop="1" x14ac:dyDescent="0.35">
      <c r="M41" s="146"/>
      <c r="O41" s="136"/>
      <c r="P41" s="136"/>
      <c r="Q41" s="136"/>
      <c r="R41" s="6"/>
      <c r="T41" s="147"/>
      <c r="U41" s="147"/>
      <c r="V41" s="147"/>
      <c r="AN41" s="134"/>
      <c r="AO41" s="134"/>
      <c r="AP41" s="134"/>
      <c r="AQ41" s="134"/>
      <c r="AR41" s="134"/>
      <c r="AS41" s="134"/>
      <c r="AT41" s="134"/>
      <c r="AU41" s="134"/>
      <c r="AV41" s="134"/>
    </row>
    <row r="42" spans="1:48" x14ac:dyDescent="0.35">
      <c r="M42" s="146"/>
      <c r="O42" s="136"/>
      <c r="P42" s="136"/>
      <c r="Q42" s="136"/>
      <c r="R42" s="6"/>
      <c r="T42" s="147"/>
      <c r="U42" s="147"/>
      <c r="V42" s="147"/>
      <c r="AN42" s="134"/>
      <c r="AO42" s="134"/>
      <c r="AP42" s="134"/>
      <c r="AQ42" s="134"/>
      <c r="AR42" s="134"/>
      <c r="AS42" s="134"/>
      <c r="AT42" s="134"/>
      <c r="AU42" s="134"/>
      <c r="AV42" s="134"/>
    </row>
    <row r="43" spans="1:48" x14ac:dyDescent="0.35">
      <c r="M43" s="146"/>
      <c r="O43" s="136"/>
      <c r="P43" s="136"/>
      <c r="Q43" s="136"/>
      <c r="R43" s="6"/>
      <c r="T43" s="147"/>
      <c r="U43" s="147"/>
      <c r="V43" s="147"/>
      <c r="AN43" s="134"/>
      <c r="AO43" s="134"/>
      <c r="AP43" s="134"/>
      <c r="AQ43" s="134"/>
      <c r="AR43" s="134"/>
      <c r="AS43" s="134"/>
      <c r="AT43" s="134"/>
      <c r="AU43" s="134"/>
      <c r="AV43" s="134"/>
    </row>
    <row r="44" spans="1:48" x14ac:dyDescent="0.35">
      <c r="M44" s="146"/>
      <c r="O44" s="136"/>
      <c r="P44" s="136"/>
      <c r="Q44" s="136"/>
      <c r="R44" s="6"/>
      <c r="T44" s="147"/>
      <c r="U44" s="147"/>
      <c r="V44" s="147"/>
      <c r="AN44" s="134"/>
      <c r="AO44" s="134"/>
      <c r="AP44" s="134"/>
      <c r="AQ44" s="134"/>
      <c r="AR44" s="134"/>
      <c r="AS44" s="134"/>
      <c r="AT44" s="134"/>
      <c r="AU44" s="134"/>
      <c r="AV44" s="134"/>
    </row>
    <row r="45" spans="1:48" x14ac:dyDescent="0.35">
      <c r="M45" s="146"/>
      <c r="O45" s="136"/>
      <c r="P45" s="136"/>
      <c r="Q45" s="136"/>
      <c r="R45" s="6"/>
      <c r="T45" s="147"/>
      <c r="U45" s="147"/>
      <c r="V45" s="147"/>
      <c r="AN45" s="134"/>
      <c r="AO45" s="134"/>
      <c r="AP45" s="134"/>
      <c r="AQ45" s="134"/>
      <c r="AR45" s="134"/>
      <c r="AS45" s="134"/>
      <c r="AT45" s="134"/>
      <c r="AU45" s="134"/>
      <c r="AV45" s="134"/>
    </row>
    <row r="46" spans="1:48" x14ac:dyDescent="0.35">
      <c r="M46" s="146"/>
      <c r="O46" s="136"/>
      <c r="P46" s="136"/>
      <c r="Q46" s="136"/>
      <c r="R46" s="6"/>
      <c r="T46" s="147"/>
      <c r="U46" s="147"/>
      <c r="V46" s="147"/>
      <c r="AN46" s="134"/>
      <c r="AO46" s="134"/>
      <c r="AP46" s="134"/>
      <c r="AQ46" s="134"/>
      <c r="AR46" s="134"/>
      <c r="AS46" s="134"/>
      <c r="AT46" s="134"/>
      <c r="AU46" s="134"/>
      <c r="AV46" s="134"/>
    </row>
    <row r="47" spans="1:48" x14ac:dyDescent="0.35">
      <c r="R47" s="6"/>
      <c r="T47" s="147"/>
      <c r="U47" s="147"/>
      <c r="V47" s="147"/>
      <c r="AN47" s="134"/>
      <c r="AO47" s="134"/>
      <c r="AP47" s="134"/>
      <c r="AQ47" s="134"/>
      <c r="AR47" s="134"/>
      <c r="AS47" s="134"/>
      <c r="AT47" s="134"/>
      <c r="AU47" s="134"/>
      <c r="AV47" s="134"/>
    </row>
    <row r="48" spans="1:48" ht="15" thickBot="1" x14ac:dyDescent="0.4">
      <c r="A48" s="170" t="s">
        <v>193</v>
      </c>
      <c r="B48" s="170" t="s">
        <v>190</v>
      </c>
      <c r="C48" s="170" t="s">
        <v>191</v>
      </c>
      <c r="D48" s="170" t="s">
        <v>192</v>
      </c>
      <c r="R48" s="6"/>
      <c r="T48" s="147"/>
      <c r="U48" s="147"/>
      <c r="V48" s="147"/>
      <c r="AN48" s="134"/>
      <c r="AO48" s="134"/>
      <c r="AP48" s="134"/>
      <c r="AQ48" s="134"/>
      <c r="AR48" s="134"/>
      <c r="AS48" s="134"/>
      <c r="AT48" s="134"/>
      <c r="AU48" s="134"/>
      <c r="AV48" s="134"/>
    </row>
    <row r="49" spans="1:48" ht="15.5" thickTop="1" thickBot="1" x14ac:dyDescent="0.4">
      <c r="A49" s="123" t="s">
        <v>131</v>
      </c>
      <c r="B49" s="123">
        <v>50</v>
      </c>
      <c r="C49" s="123">
        <v>150</v>
      </c>
      <c r="D49" s="123">
        <v>250</v>
      </c>
      <c r="M49" s="146"/>
      <c r="R49" s="6"/>
      <c r="T49" s="147"/>
      <c r="U49" s="147"/>
      <c r="V49" s="147"/>
      <c r="AN49" s="134"/>
      <c r="AO49" s="134"/>
      <c r="AP49" s="134"/>
      <c r="AQ49" s="134"/>
      <c r="AR49" s="134"/>
      <c r="AS49" s="134"/>
      <c r="AT49" s="134"/>
      <c r="AU49" s="134"/>
      <c r="AV49" s="134"/>
    </row>
    <row r="50" spans="1:48" ht="15.5" thickTop="1" thickBot="1" x14ac:dyDescent="0.4">
      <c r="A50" s="123" t="s">
        <v>189</v>
      </c>
      <c r="B50" s="123" t="s">
        <v>129</v>
      </c>
      <c r="C50" s="123" t="s">
        <v>130</v>
      </c>
      <c r="R50" s="5"/>
      <c r="T50" s="147"/>
      <c r="U50" s="147"/>
      <c r="V50" s="147"/>
      <c r="AM50" s="145"/>
      <c r="AP50" s="134"/>
      <c r="AQ50" s="134"/>
      <c r="AR50" s="134"/>
      <c r="AS50" s="134"/>
      <c r="AT50" s="134"/>
      <c r="AU50" s="134"/>
      <c r="AV50" s="134"/>
    </row>
    <row r="51" spans="1:48" ht="15" thickTop="1" x14ac:dyDescent="0.35">
      <c r="R51" s="6"/>
      <c r="T51" s="147"/>
      <c r="U51" s="147"/>
      <c r="V51" s="147"/>
      <c r="AM51" s="145"/>
      <c r="AN51" s="134"/>
      <c r="AO51" s="134"/>
      <c r="AP51" s="134"/>
      <c r="AQ51" s="134"/>
      <c r="AR51" s="134"/>
      <c r="AS51" s="134"/>
      <c r="AT51" s="134"/>
      <c r="AU51" s="134"/>
      <c r="AV51" s="134"/>
    </row>
    <row r="52" spans="1:48" x14ac:dyDescent="0.35">
      <c r="M52" s="146"/>
      <c r="O52" s="136"/>
      <c r="P52" s="136"/>
      <c r="Q52" s="136"/>
      <c r="R52" s="6"/>
      <c r="T52" s="147"/>
      <c r="U52" s="147"/>
      <c r="V52" s="147"/>
      <c r="AM52" s="145"/>
      <c r="AN52" s="134"/>
      <c r="AO52" s="134"/>
      <c r="AP52" s="134"/>
      <c r="AQ52" s="134"/>
      <c r="AR52" s="134"/>
      <c r="AS52" s="134"/>
      <c r="AT52" s="134"/>
      <c r="AU52" s="134"/>
      <c r="AV52" s="134"/>
    </row>
    <row r="53" spans="1:48" x14ac:dyDescent="0.35">
      <c r="M53" s="146"/>
      <c r="O53" s="136"/>
      <c r="P53" s="136"/>
      <c r="Q53" s="136"/>
      <c r="R53" s="6"/>
      <c r="T53" s="147"/>
      <c r="U53" s="147"/>
      <c r="V53" s="147"/>
    </row>
    <row r="54" spans="1:48" x14ac:dyDescent="0.35">
      <c r="M54" s="146"/>
      <c r="O54" s="136"/>
      <c r="P54" s="136"/>
      <c r="Q54" s="136"/>
      <c r="R54" s="6"/>
      <c r="T54" s="147"/>
      <c r="U54" s="147"/>
      <c r="V54" s="147"/>
      <c r="AN54" s="145"/>
      <c r="AO54" s="145"/>
      <c r="AP54" s="145"/>
    </row>
    <row r="55" spans="1:48" x14ac:dyDescent="0.35">
      <c r="A55" s="171"/>
      <c r="B55" s="172"/>
      <c r="C55" s="172"/>
      <c r="D55" s="172"/>
      <c r="E55" s="172"/>
      <c r="F55" s="172"/>
      <c r="G55" s="172"/>
      <c r="M55" s="146"/>
      <c r="O55" s="136"/>
      <c r="P55" s="136"/>
      <c r="Q55" s="136"/>
      <c r="R55" s="6"/>
      <c r="T55" s="147"/>
      <c r="U55" s="147"/>
      <c r="V55" s="147"/>
      <c r="AM55" s="145"/>
      <c r="AN55" s="145"/>
      <c r="AO55" s="145"/>
      <c r="AP55" s="145"/>
    </row>
    <row r="56" spans="1:48" x14ac:dyDescent="0.35">
      <c r="A56" s="171"/>
      <c r="B56" s="173"/>
      <c r="C56" s="173"/>
      <c r="D56" s="173"/>
      <c r="E56" s="173"/>
      <c r="F56" s="173"/>
      <c r="G56" s="173"/>
      <c r="M56" s="146"/>
      <c r="O56" s="6"/>
      <c r="P56" s="6"/>
      <c r="Q56" s="6"/>
      <c r="R56" s="6"/>
      <c r="T56" s="6"/>
      <c r="U56" s="6"/>
      <c r="V56" s="6"/>
      <c r="W56" s="6"/>
    </row>
    <row r="57" spans="1:48" x14ac:dyDescent="0.35">
      <c r="A57" s="171"/>
      <c r="B57" s="174"/>
      <c r="C57" s="175"/>
      <c r="D57" s="175"/>
      <c r="E57" s="175"/>
      <c r="F57" s="175"/>
      <c r="G57" s="175"/>
    </row>
    <row r="58" spans="1:48" x14ac:dyDescent="0.35">
      <c r="A58" s="171"/>
      <c r="B58" s="173"/>
      <c r="C58" s="173"/>
      <c r="D58" s="173"/>
      <c r="E58" s="173"/>
      <c r="F58" s="173"/>
      <c r="G58" s="173"/>
    </row>
    <row r="59" spans="1:48" x14ac:dyDescent="0.35">
      <c r="A59" s="171"/>
      <c r="B59" s="176"/>
      <c r="C59" s="176"/>
      <c r="D59" s="176"/>
      <c r="E59" s="176"/>
      <c r="F59" s="176"/>
      <c r="G59" s="176"/>
      <c r="O59" s="136"/>
      <c r="P59" s="136"/>
      <c r="Q59" s="136"/>
    </row>
    <row r="60" spans="1:48" x14ac:dyDescent="0.35">
      <c r="A60" s="171"/>
      <c r="B60" s="173"/>
      <c r="C60" s="173"/>
      <c r="D60" s="173"/>
      <c r="E60" s="173"/>
      <c r="F60" s="173"/>
      <c r="G60" s="173"/>
      <c r="O60" s="136"/>
      <c r="P60" s="136"/>
      <c r="Q60" s="136"/>
      <c r="T60" s="136"/>
      <c r="U60" s="136"/>
      <c r="W60" s="136"/>
      <c r="X60" s="136"/>
      <c r="Z60" s="136"/>
      <c r="AA60" s="136"/>
    </row>
    <row r="61" spans="1:48" x14ac:dyDescent="0.35">
      <c r="A61" s="171"/>
      <c r="B61" s="174"/>
      <c r="C61" s="175"/>
      <c r="D61" s="175"/>
      <c r="E61" s="175"/>
      <c r="F61" s="175"/>
      <c r="G61" s="175"/>
      <c r="O61" s="136"/>
      <c r="P61" s="136"/>
      <c r="Q61" s="136"/>
      <c r="T61" s="136"/>
      <c r="U61" s="136"/>
      <c r="W61" s="136"/>
      <c r="X61" s="136"/>
      <c r="Z61" s="136"/>
      <c r="AA61" s="136"/>
    </row>
    <row r="62" spans="1:48" x14ac:dyDescent="0.35">
      <c r="A62" s="171"/>
      <c r="B62" s="173"/>
      <c r="C62" s="173"/>
      <c r="D62" s="173"/>
      <c r="E62" s="173"/>
      <c r="F62" s="173"/>
      <c r="G62" s="173"/>
      <c r="T62" s="136"/>
      <c r="U62" s="136"/>
      <c r="W62" s="136"/>
      <c r="X62" s="136"/>
      <c r="Z62" s="136"/>
      <c r="AA62" s="136"/>
    </row>
    <row r="63" spans="1:48" x14ac:dyDescent="0.35">
      <c r="A63" s="171"/>
      <c r="B63" s="176"/>
      <c r="C63" s="176"/>
      <c r="D63" s="176"/>
      <c r="E63" s="176"/>
      <c r="F63" s="176"/>
      <c r="G63" s="176"/>
      <c r="O63" s="136"/>
      <c r="P63" s="136"/>
      <c r="Q63" s="136"/>
    </row>
    <row r="64" spans="1:48" x14ac:dyDescent="0.35">
      <c r="A64" s="171"/>
      <c r="B64" s="173"/>
      <c r="C64" s="173"/>
      <c r="D64" s="173"/>
      <c r="E64" s="173"/>
      <c r="F64" s="173"/>
      <c r="G64" s="173"/>
      <c r="O64" s="136"/>
      <c r="P64" s="136"/>
      <c r="Q64" s="136"/>
    </row>
    <row r="65" spans="1:27" x14ac:dyDescent="0.35">
      <c r="A65" s="171"/>
      <c r="B65" s="174"/>
      <c r="C65" s="175"/>
      <c r="D65" s="175"/>
      <c r="E65" s="175"/>
      <c r="F65" s="175"/>
      <c r="G65" s="175"/>
      <c r="O65" s="136"/>
      <c r="P65" s="136"/>
      <c r="Q65" s="136"/>
      <c r="T65" s="136"/>
      <c r="U65" s="136"/>
      <c r="W65" s="136"/>
      <c r="X65" s="136"/>
      <c r="Z65" s="136"/>
      <c r="AA65" s="136"/>
    </row>
    <row r="66" spans="1:27" x14ac:dyDescent="0.35">
      <c r="T66" s="136"/>
      <c r="U66" s="136"/>
      <c r="W66" s="136"/>
      <c r="X66" s="136"/>
      <c r="Z66" s="136"/>
      <c r="AA66" s="136"/>
    </row>
    <row r="67" spans="1:27" x14ac:dyDescent="0.35">
      <c r="L67" s="136"/>
      <c r="O67" s="136"/>
      <c r="P67" s="136"/>
      <c r="Q67" s="136"/>
      <c r="T67" s="136"/>
      <c r="U67" s="136"/>
      <c r="W67" s="136"/>
      <c r="X67" s="136"/>
      <c r="Z67" s="136"/>
      <c r="AA67" s="136"/>
    </row>
    <row r="68" spans="1:27" x14ac:dyDescent="0.35">
      <c r="L68" s="146"/>
      <c r="O68" s="136"/>
      <c r="P68" s="136"/>
      <c r="Q68" s="136"/>
    </row>
    <row r="69" spans="1:27" x14ac:dyDescent="0.35">
      <c r="O69" s="136"/>
      <c r="P69" s="136"/>
      <c r="Q69" s="136"/>
    </row>
    <row r="71" spans="1:27" x14ac:dyDescent="0.35">
      <c r="O71" s="136"/>
      <c r="P71" s="136"/>
      <c r="Q71" s="136"/>
    </row>
    <row r="72" spans="1:27" x14ac:dyDescent="0.35">
      <c r="O72" s="136"/>
      <c r="P72" s="136"/>
      <c r="Q72" s="136"/>
    </row>
    <row r="73" spans="1:27" x14ac:dyDescent="0.35">
      <c r="O73" s="136"/>
      <c r="P73" s="136"/>
      <c r="Q73" s="136"/>
    </row>
    <row r="75" spans="1:27" x14ac:dyDescent="0.35">
      <c r="L75" s="136"/>
      <c r="O75" s="136"/>
      <c r="P75" s="136"/>
      <c r="Q75" s="136"/>
    </row>
    <row r="76" spans="1:27" x14ac:dyDescent="0.35">
      <c r="O76" s="136"/>
      <c r="P76" s="136"/>
      <c r="Q76" s="136"/>
    </row>
    <row r="77" spans="1:27" x14ac:dyDescent="0.35">
      <c r="O77" s="136"/>
      <c r="P77" s="136"/>
      <c r="Q77" s="136"/>
    </row>
    <row r="79" spans="1:27" x14ac:dyDescent="0.35">
      <c r="O79" s="136"/>
      <c r="P79" s="136"/>
      <c r="Q79" s="136"/>
    </row>
    <row r="80" spans="1:27" x14ac:dyDescent="0.35">
      <c r="O80" s="136"/>
      <c r="P80" s="136"/>
      <c r="Q80" s="136"/>
    </row>
    <row r="81" spans="15:22" x14ac:dyDescent="0.35">
      <c r="O81" s="136"/>
      <c r="P81" s="136"/>
      <c r="Q81" s="136"/>
    </row>
    <row r="86" spans="15:22" x14ac:dyDescent="0.35">
      <c r="Q86" s="6"/>
      <c r="R86" s="6"/>
      <c r="S86" s="6"/>
    </row>
    <row r="87" spans="15:22" x14ac:dyDescent="0.35">
      <c r="Q87" s="177"/>
      <c r="R87" s="177"/>
      <c r="S87" s="167"/>
      <c r="V87" t="s">
        <v>250</v>
      </c>
    </row>
    <row r="88" spans="15:22" x14ac:dyDescent="0.35">
      <c r="Q88" s="136"/>
      <c r="S88" s="136"/>
    </row>
    <row r="90" spans="15:22" x14ac:dyDescent="0.35">
      <c r="Q90" s="136"/>
      <c r="R90" s="136"/>
      <c r="S90" s="136"/>
    </row>
    <row r="93" spans="15:22" x14ac:dyDescent="0.35">
      <c r="Q93" s="136"/>
      <c r="R93" s="136"/>
      <c r="U93" s="136"/>
      <c r="V93" s="136"/>
    </row>
    <row r="98" spans="3:25" x14ac:dyDescent="0.35">
      <c r="R98" s="6"/>
      <c r="T98" s="6"/>
      <c r="Y98">
        <v>2.9477210758672214</v>
      </c>
    </row>
    <row r="99" spans="3:25" x14ac:dyDescent="0.35">
      <c r="Y99" t="s">
        <v>268</v>
      </c>
    </row>
    <row r="100" spans="3:25" x14ac:dyDescent="0.35">
      <c r="Y100" s="167" t="e">
        <f>(Y98-V93)/V93</f>
        <v>#DIV/0!</v>
      </c>
    </row>
    <row r="101" spans="3:25" x14ac:dyDescent="0.35">
      <c r="R101" s="6"/>
      <c r="S101" s="6"/>
    </row>
    <row r="103" spans="3:25" x14ac:dyDescent="0.35">
      <c r="C103" s="146"/>
    </row>
    <row r="105" spans="3:25" x14ac:dyDescent="0.35">
      <c r="C105" s="135"/>
      <c r="Q105" s="178"/>
      <c r="R105" s="178"/>
      <c r="S105" s="178"/>
      <c r="T105" s="178"/>
      <c r="U105" s="178"/>
      <c r="V105" s="178"/>
    </row>
    <row r="106" spans="3:25" x14ac:dyDescent="0.35">
      <c r="C106" s="135"/>
      <c r="Q106" s="178"/>
      <c r="R106" s="178"/>
      <c r="S106" s="178"/>
      <c r="T106" s="178"/>
      <c r="U106" s="178"/>
      <c r="V106" s="178"/>
    </row>
    <row r="107" spans="3:25" x14ac:dyDescent="0.35">
      <c r="C107" s="135"/>
      <c r="D107" s="167"/>
      <c r="Q107" s="178"/>
      <c r="R107" s="178"/>
      <c r="S107" s="178"/>
      <c r="T107" s="178"/>
      <c r="U107" s="178"/>
      <c r="V107" s="178"/>
    </row>
    <row r="108" spans="3:25" x14ac:dyDescent="0.35">
      <c r="C108" s="135"/>
      <c r="Q108" s="178"/>
      <c r="R108" s="178"/>
      <c r="S108" s="178"/>
      <c r="T108" s="178"/>
      <c r="U108" s="178"/>
      <c r="V108" s="178"/>
    </row>
    <row r="109" spans="3:25" x14ac:dyDescent="0.35">
      <c r="C109" s="135"/>
      <c r="Q109" s="178"/>
      <c r="R109" s="178"/>
      <c r="S109" s="178"/>
      <c r="T109" s="178"/>
      <c r="U109" s="178"/>
      <c r="V109" s="178"/>
    </row>
    <row r="110" spans="3:25" x14ac:dyDescent="0.35">
      <c r="C110" s="135"/>
      <c r="Q110" s="105"/>
      <c r="R110" s="105"/>
      <c r="S110" s="105"/>
      <c r="T110" s="105"/>
      <c r="U110" s="105"/>
      <c r="V110" s="105"/>
    </row>
    <row r="111" spans="3:25" x14ac:dyDescent="0.35">
      <c r="C111" s="135"/>
      <c r="Q111" s="105"/>
      <c r="R111" s="105"/>
      <c r="S111" s="105"/>
      <c r="T111" s="105"/>
      <c r="U111" s="105"/>
      <c r="V111" s="105"/>
    </row>
    <row r="112" spans="3:25" x14ac:dyDescent="0.35">
      <c r="C112" s="135"/>
    </row>
    <row r="113" spans="3:31" x14ac:dyDescent="0.35">
      <c r="C113" s="135"/>
    </row>
    <row r="114" spans="3:31" x14ac:dyDescent="0.35">
      <c r="C114" s="135"/>
    </row>
    <row r="115" spans="3:31" x14ac:dyDescent="0.35">
      <c r="C115" s="135"/>
    </row>
    <row r="116" spans="3:31" x14ac:dyDescent="0.35">
      <c r="C116" s="135"/>
    </row>
    <row r="117" spans="3:31" x14ac:dyDescent="0.35">
      <c r="C117" s="135"/>
    </row>
    <row r="118" spans="3:31" x14ac:dyDescent="0.35">
      <c r="C118" s="135"/>
    </row>
    <row r="119" spans="3:31" x14ac:dyDescent="0.35">
      <c r="C119" s="135"/>
    </row>
    <row r="120" spans="3:31" x14ac:dyDescent="0.35">
      <c r="C120" s="135"/>
    </row>
    <row r="121" spans="3:31" x14ac:dyDescent="0.35">
      <c r="C121" s="135"/>
    </row>
    <row r="122" spans="3:31" x14ac:dyDescent="0.35">
      <c r="C122" s="135"/>
    </row>
    <row r="123" spans="3:31" x14ac:dyDescent="0.35">
      <c r="C123" s="135"/>
    </row>
    <row r="124" spans="3:31" x14ac:dyDescent="0.35">
      <c r="C124" s="135"/>
    </row>
    <row r="125" spans="3:31" x14ac:dyDescent="0.35">
      <c r="C125" s="135"/>
    </row>
    <row r="126" spans="3:31" x14ac:dyDescent="0.35">
      <c r="C126" s="135"/>
    </row>
    <row r="127" spans="3:31" x14ac:dyDescent="0.35">
      <c r="C127" s="181"/>
      <c r="AE127" s="134"/>
    </row>
    <row r="128" spans="3:31" x14ac:dyDescent="0.35">
      <c r="C128" s="6"/>
    </row>
    <row r="130" spans="3:33" x14ac:dyDescent="0.35">
      <c r="G130" s="182"/>
      <c r="H130" s="182"/>
    </row>
    <row r="131" spans="3:33" x14ac:dyDescent="0.35">
      <c r="G131" s="182"/>
      <c r="H131" s="182"/>
    </row>
    <row r="132" spans="3:33" x14ac:dyDescent="0.35">
      <c r="G132" s="183"/>
      <c r="H132" s="183"/>
    </row>
    <row r="133" spans="3:33" x14ac:dyDescent="0.35">
      <c r="G133" s="184"/>
      <c r="H133" s="184"/>
    </row>
    <row r="134" spans="3:33" x14ac:dyDescent="0.35">
      <c r="G134" s="182"/>
      <c r="H134" s="182"/>
      <c r="AC134" s="134"/>
    </row>
    <row r="135" spans="3:33" x14ac:dyDescent="0.35">
      <c r="G135" s="182"/>
      <c r="H135" s="182"/>
      <c r="Z135" s="105"/>
      <c r="AA135" s="105"/>
      <c r="AC135" s="134"/>
      <c r="AD135" s="146"/>
      <c r="AG135" s="134"/>
    </row>
    <row r="137" spans="3:33" x14ac:dyDescent="0.35">
      <c r="C137" s="6"/>
      <c r="D137" s="185"/>
      <c r="E137" s="183"/>
      <c r="F137" s="183"/>
      <c r="AD137" s="146"/>
    </row>
    <row r="138" spans="3:33" x14ac:dyDescent="0.35">
      <c r="C138" s="6"/>
      <c r="D138" s="185"/>
      <c r="E138" s="183"/>
      <c r="F138" s="183"/>
    </row>
    <row r="139" spans="3:33" x14ac:dyDescent="0.35">
      <c r="C139" s="6"/>
      <c r="D139" s="185"/>
      <c r="E139" s="183"/>
      <c r="F139" s="183"/>
      <c r="AD139" s="146"/>
    </row>
    <row r="140" spans="3:33" x14ac:dyDescent="0.35">
      <c r="C140" s="6"/>
      <c r="D140" s="185"/>
      <c r="E140" s="183"/>
      <c r="F140" s="183"/>
    </row>
    <row r="141" spans="3:33" x14ac:dyDescent="0.35">
      <c r="C141" s="6"/>
      <c r="D141" s="185"/>
      <c r="E141" s="183"/>
      <c r="F141" s="183"/>
      <c r="AD141" s="146"/>
    </row>
    <row r="142" spans="3:33" x14ac:dyDescent="0.35">
      <c r="C142" s="6"/>
      <c r="D142" s="185"/>
      <c r="E142" s="183"/>
      <c r="F142" s="183"/>
      <c r="AG142" s="134"/>
    </row>
    <row r="143" spans="3:33" x14ac:dyDescent="0.35">
      <c r="C143" s="6"/>
      <c r="D143" s="185"/>
      <c r="E143" s="183"/>
      <c r="F143" s="183"/>
      <c r="AD143" s="146"/>
    </row>
    <row r="144" spans="3:33" x14ac:dyDescent="0.35">
      <c r="C144" s="6"/>
      <c r="D144" s="185"/>
      <c r="E144" s="183"/>
      <c r="F144" s="183"/>
      <c r="AG144" s="134"/>
    </row>
    <row r="145" spans="3:6" x14ac:dyDescent="0.35">
      <c r="C145" s="6"/>
      <c r="D145" s="185"/>
      <c r="E145" s="183"/>
      <c r="F145" s="183"/>
    </row>
    <row r="146" spans="3:6" x14ac:dyDescent="0.35">
      <c r="C146" s="6"/>
      <c r="D146" s="185"/>
      <c r="E146" s="183"/>
      <c r="F146" s="183"/>
    </row>
    <row r="147" spans="3:6" x14ac:dyDescent="0.35">
      <c r="C147" s="6"/>
      <c r="D147" s="185"/>
      <c r="E147" s="183"/>
      <c r="F147" s="183"/>
    </row>
    <row r="148" spans="3:6" x14ac:dyDescent="0.35">
      <c r="C148" s="6"/>
      <c r="D148" s="185"/>
      <c r="E148" s="183"/>
      <c r="F148" s="183"/>
    </row>
    <row r="149" spans="3:6" x14ac:dyDescent="0.35">
      <c r="C149" s="6"/>
      <c r="D149" s="185"/>
      <c r="E149" s="183"/>
      <c r="F149" s="183"/>
    </row>
    <row r="150" spans="3:6" x14ac:dyDescent="0.35">
      <c r="C150" s="6"/>
      <c r="D150" s="136"/>
      <c r="E150" s="183"/>
      <c r="F150" s="183"/>
    </row>
    <row r="151" spans="3:6" x14ac:dyDescent="0.35">
      <c r="C151" s="6"/>
      <c r="D151" s="136"/>
      <c r="E151" s="183"/>
      <c r="F151" s="183"/>
    </row>
    <row r="152" spans="3:6" x14ac:dyDescent="0.35">
      <c r="C152" s="6"/>
      <c r="D152" s="136"/>
      <c r="E152" s="183"/>
      <c r="F152" s="183"/>
    </row>
    <row r="153" spans="3:6" x14ac:dyDescent="0.35">
      <c r="C153" s="6"/>
      <c r="D153" s="136"/>
      <c r="E153" s="183"/>
      <c r="F153" s="183"/>
    </row>
    <row r="154" spans="3:6" x14ac:dyDescent="0.35">
      <c r="C154" s="6"/>
      <c r="D154" s="136"/>
      <c r="E154" s="183"/>
      <c r="F154" s="183"/>
    </row>
    <row r="155" spans="3:6" x14ac:dyDescent="0.35">
      <c r="C155" s="6"/>
      <c r="D155" s="136"/>
      <c r="E155" s="183"/>
      <c r="F155" s="183"/>
    </row>
    <row r="156" spans="3:6" x14ac:dyDescent="0.35">
      <c r="C156" s="6"/>
      <c r="D156" s="136"/>
      <c r="E156" s="183"/>
      <c r="F156" s="183"/>
    </row>
    <row r="157" spans="3:6" x14ac:dyDescent="0.35">
      <c r="C157" s="6"/>
      <c r="D157" s="136"/>
      <c r="E157" s="183"/>
      <c r="F157" s="183"/>
    </row>
    <row r="158" spans="3:6" x14ac:dyDescent="0.35">
      <c r="C158" s="6"/>
      <c r="D158" s="136"/>
      <c r="E158" s="183"/>
      <c r="F158" s="183"/>
    </row>
    <row r="159" spans="3:6" x14ac:dyDescent="0.35">
      <c r="C159" s="136"/>
      <c r="D159" s="136"/>
    </row>
    <row r="160" spans="3:6" x14ac:dyDescent="0.35">
      <c r="C160" s="6"/>
      <c r="D160" s="6"/>
    </row>
    <row r="164" spans="3:8" x14ac:dyDescent="0.35">
      <c r="G164" s="145"/>
      <c r="H164" s="145"/>
    </row>
    <row r="165" spans="3:8" x14ac:dyDescent="0.35">
      <c r="G165" s="145"/>
      <c r="H165" s="145"/>
    </row>
    <row r="166" spans="3:8" x14ac:dyDescent="0.35">
      <c r="G166" s="167"/>
      <c r="H166" s="167"/>
    </row>
    <row r="167" spans="3:8" x14ac:dyDescent="0.35">
      <c r="G167" s="182"/>
      <c r="H167" s="182"/>
    </row>
    <row r="168" spans="3:8" x14ac:dyDescent="0.35">
      <c r="G168" s="145"/>
      <c r="H168" s="145"/>
    </row>
    <row r="169" spans="3:8" x14ac:dyDescent="0.35">
      <c r="G169" s="145"/>
      <c r="H169" s="145"/>
    </row>
    <row r="171" spans="3:8" x14ac:dyDescent="0.35">
      <c r="C171" s="6"/>
      <c r="D171" s="186"/>
      <c r="E171" s="177"/>
      <c r="F171" s="177"/>
    </row>
    <row r="172" spans="3:8" x14ac:dyDescent="0.35">
      <c r="C172" s="6"/>
      <c r="D172" s="186"/>
      <c r="E172" s="177"/>
      <c r="F172" s="177"/>
    </row>
    <row r="173" spans="3:8" x14ac:dyDescent="0.35">
      <c r="C173" s="6"/>
      <c r="D173" s="186"/>
      <c r="E173" s="177"/>
      <c r="F173" s="177"/>
    </row>
    <row r="174" spans="3:8" x14ac:dyDescent="0.35">
      <c r="C174" s="6"/>
      <c r="D174" s="186"/>
      <c r="E174" s="177"/>
      <c r="F174" s="177"/>
    </row>
    <row r="175" spans="3:8" x14ac:dyDescent="0.35">
      <c r="C175" s="6"/>
      <c r="D175" s="186"/>
      <c r="E175" s="177"/>
      <c r="F175" s="177"/>
    </row>
    <row r="176" spans="3:8" x14ac:dyDescent="0.35">
      <c r="C176" s="6"/>
      <c r="D176" s="186"/>
      <c r="E176" s="177"/>
      <c r="F176" s="177"/>
    </row>
    <row r="177" spans="3:6" x14ac:dyDescent="0.35">
      <c r="C177" s="6"/>
      <c r="D177" s="186"/>
      <c r="E177" s="177"/>
      <c r="F177" s="177"/>
    </row>
    <row r="178" spans="3:6" x14ac:dyDescent="0.35">
      <c r="C178" s="6"/>
      <c r="D178" s="186"/>
      <c r="E178" s="177"/>
      <c r="F178" s="177"/>
    </row>
    <row r="179" spans="3:6" x14ac:dyDescent="0.35">
      <c r="C179" s="6"/>
      <c r="D179" s="186"/>
      <c r="E179" s="177"/>
      <c r="F179" s="177"/>
    </row>
    <row r="180" spans="3:6" x14ac:dyDescent="0.35">
      <c r="C180" s="6"/>
      <c r="D180" s="186"/>
      <c r="E180" s="177"/>
      <c r="F180" s="177"/>
    </row>
    <row r="181" spans="3:6" x14ac:dyDescent="0.35">
      <c r="C181" s="6"/>
      <c r="D181" s="186"/>
      <c r="E181" s="177"/>
      <c r="F181" s="177"/>
    </row>
    <row r="182" spans="3:6" x14ac:dyDescent="0.35">
      <c r="C182" s="6"/>
      <c r="D182" s="186"/>
      <c r="E182" s="177"/>
      <c r="F182" s="177"/>
    </row>
    <row r="183" spans="3:6" x14ac:dyDescent="0.35">
      <c r="C183" s="6"/>
      <c r="D183" s="186"/>
      <c r="E183" s="177"/>
      <c r="F183" s="177"/>
    </row>
    <row r="184" spans="3:6" x14ac:dyDescent="0.35">
      <c r="C184" s="6"/>
      <c r="D184" s="186"/>
      <c r="E184" s="177"/>
      <c r="F184" s="177"/>
    </row>
    <row r="185" spans="3:6" x14ac:dyDescent="0.35">
      <c r="C185" s="6"/>
      <c r="D185" s="186"/>
      <c r="E185" s="177"/>
      <c r="F185" s="177"/>
    </row>
    <row r="186" spans="3:6" x14ac:dyDescent="0.35">
      <c r="C186" s="6"/>
      <c r="D186" s="186"/>
      <c r="E186" s="177"/>
      <c r="F186" s="177"/>
    </row>
    <row r="187" spans="3:6" x14ac:dyDescent="0.35">
      <c r="C187" s="6"/>
      <c r="D187" s="186"/>
      <c r="E187" s="177"/>
      <c r="F187" s="177"/>
    </row>
    <row r="188" spans="3:6" x14ac:dyDescent="0.35">
      <c r="C188" s="6"/>
      <c r="D188" s="186"/>
      <c r="E188" s="177"/>
      <c r="F188" s="177"/>
    </row>
    <row r="189" spans="3:6" x14ac:dyDescent="0.35">
      <c r="C189" s="6"/>
      <c r="D189" s="186"/>
      <c r="E189" s="177"/>
      <c r="F189" s="177"/>
    </row>
    <row r="190" spans="3:6" x14ac:dyDescent="0.35">
      <c r="C190" s="6"/>
      <c r="D190" s="186"/>
      <c r="E190" s="177"/>
      <c r="F190" s="177"/>
    </row>
    <row r="191" spans="3:6" x14ac:dyDescent="0.35">
      <c r="C191" s="6"/>
      <c r="D191" s="186"/>
      <c r="E191" s="177"/>
      <c r="F191" s="177"/>
    </row>
    <row r="192" spans="3:6" x14ac:dyDescent="0.35">
      <c r="C192" s="6"/>
      <c r="D192" s="186"/>
      <c r="E192" s="177"/>
      <c r="F192" s="177"/>
    </row>
    <row r="193" spans="3:8" x14ac:dyDescent="0.35">
      <c r="C193" s="6"/>
      <c r="D193" s="6"/>
    </row>
    <row r="194" spans="3:8" x14ac:dyDescent="0.35">
      <c r="C194" s="136"/>
      <c r="D194" s="136"/>
    </row>
    <row r="198" spans="3:8" x14ac:dyDescent="0.35">
      <c r="G198" s="145"/>
      <c r="H198" s="145"/>
    </row>
    <row r="199" spans="3:8" x14ac:dyDescent="0.35">
      <c r="G199" s="145"/>
      <c r="H199" s="145"/>
    </row>
    <row r="200" spans="3:8" x14ac:dyDescent="0.35">
      <c r="G200" s="167"/>
      <c r="H200" s="167"/>
    </row>
    <row r="201" spans="3:8" x14ac:dyDescent="0.35">
      <c r="G201" s="182"/>
      <c r="H201" s="182"/>
    </row>
    <row r="202" spans="3:8" x14ac:dyDescent="0.35">
      <c r="G202" s="145"/>
      <c r="H202" s="145"/>
    </row>
    <row r="203" spans="3:8" x14ac:dyDescent="0.35">
      <c r="G203" s="145"/>
      <c r="H203" s="145"/>
    </row>
    <row r="205" spans="3:8" x14ac:dyDescent="0.35">
      <c r="C205" s="6"/>
      <c r="D205" s="186"/>
      <c r="E205" s="167"/>
      <c r="F205" s="167"/>
    </row>
    <row r="206" spans="3:8" x14ac:dyDescent="0.35">
      <c r="C206" s="6"/>
      <c r="D206" s="186"/>
      <c r="E206" s="167"/>
      <c r="F206" s="167"/>
    </row>
    <row r="207" spans="3:8" x14ac:dyDescent="0.35">
      <c r="C207" s="6"/>
      <c r="D207" s="186"/>
      <c r="E207" s="167"/>
      <c r="F207" s="167"/>
    </row>
    <row r="208" spans="3:8" x14ac:dyDescent="0.35">
      <c r="C208" s="6"/>
      <c r="D208" s="186"/>
      <c r="E208" s="167"/>
      <c r="F208" s="167"/>
    </row>
    <row r="209" spans="3:6" x14ac:dyDescent="0.35">
      <c r="C209" s="6"/>
      <c r="D209" s="186"/>
      <c r="E209" s="167"/>
      <c r="F209" s="167"/>
    </row>
    <row r="210" spans="3:6" x14ac:dyDescent="0.35">
      <c r="C210" s="6"/>
      <c r="D210" s="186"/>
      <c r="E210" s="167"/>
      <c r="F210" s="167"/>
    </row>
    <row r="211" spans="3:6" x14ac:dyDescent="0.35">
      <c r="C211" s="6"/>
      <c r="D211" s="186"/>
      <c r="E211" s="167"/>
      <c r="F211" s="167"/>
    </row>
    <row r="212" spans="3:6" x14ac:dyDescent="0.35">
      <c r="C212" s="6"/>
      <c r="D212" s="186"/>
      <c r="E212" s="167"/>
      <c r="F212" s="167"/>
    </row>
    <row r="213" spans="3:6" x14ac:dyDescent="0.35">
      <c r="C213" s="6"/>
      <c r="D213" s="186"/>
      <c r="E213" s="167"/>
      <c r="F213" s="167"/>
    </row>
    <row r="214" spans="3:6" x14ac:dyDescent="0.35">
      <c r="C214" s="6"/>
      <c r="D214" s="186"/>
      <c r="E214" s="167"/>
      <c r="F214" s="167"/>
    </row>
    <row r="215" spans="3:6" x14ac:dyDescent="0.35">
      <c r="C215" s="6"/>
      <c r="D215" s="186"/>
      <c r="E215" s="167"/>
      <c r="F215" s="167"/>
    </row>
    <row r="216" spans="3:6" x14ac:dyDescent="0.35">
      <c r="C216" s="6"/>
      <c r="D216" s="186"/>
      <c r="E216" s="167"/>
      <c r="F216" s="167"/>
    </row>
    <row r="217" spans="3:6" x14ac:dyDescent="0.35">
      <c r="C217" s="6"/>
      <c r="D217" s="186"/>
      <c r="E217" s="167"/>
      <c r="F217" s="167"/>
    </row>
    <row r="218" spans="3:6" x14ac:dyDescent="0.35">
      <c r="C218" s="6"/>
      <c r="D218" s="6"/>
      <c r="E218" s="134"/>
      <c r="F218" s="134"/>
    </row>
    <row r="219" spans="3:6" x14ac:dyDescent="0.35">
      <c r="C219" s="6"/>
      <c r="D219" s="6"/>
      <c r="E219" s="134"/>
      <c r="F219" s="134"/>
    </row>
    <row r="220" spans="3:6" x14ac:dyDescent="0.35">
      <c r="C220" s="6"/>
      <c r="D220" s="6"/>
      <c r="E220" s="134"/>
      <c r="F220" s="134"/>
    </row>
    <row r="221" spans="3:6" x14ac:dyDescent="0.35">
      <c r="C221" s="6"/>
      <c r="D221" s="6"/>
      <c r="E221" s="134"/>
      <c r="F221" s="134"/>
    </row>
    <row r="222" spans="3:6" x14ac:dyDescent="0.35">
      <c r="C222" s="6"/>
      <c r="D222" s="6"/>
      <c r="E222" s="134"/>
      <c r="F222" s="134"/>
    </row>
    <row r="223" spans="3:6" x14ac:dyDescent="0.35">
      <c r="C223" s="6"/>
      <c r="D223" s="6"/>
      <c r="E223" s="134"/>
      <c r="F223" s="134"/>
    </row>
    <row r="224" spans="3:6" x14ac:dyDescent="0.35">
      <c r="C224" s="6"/>
      <c r="D224" s="6"/>
      <c r="E224" s="134"/>
      <c r="F224" s="134"/>
    </row>
    <row r="225" spans="3:6" x14ac:dyDescent="0.35">
      <c r="C225" s="6"/>
      <c r="D225" s="6"/>
      <c r="E225" s="134"/>
      <c r="F225" s="134"/>
    </row>
    <row r="226" spans="3:6" x14ac:dyDescent="0.35">
      <c r="C226" s="6"/>
      <c r="D226" s="6"/>
      <c r="E226" s="134"/>
      <c r="F226" s="134"/>
    </row>
    <row r="227" spans="3:6" x14ac:dyDescent="0.35">
      <c r="C227" s="136"/>
      <c r="D227" s="136"/>
    </row>
    <row r="228" spans="3:6" x14ac:dyDescent="0.35">
      <c r="C228" s="136"/>
      <c r="D228" s="136"/>
    </row>
  </sheetData>
  <mergeCells count="1">
    <mergeCell ref="A1:Y1"/>
  </mergeCells>
  <phoneticPr fontId="25" type="noConversion"/>
  <conditionalFormatting sqref="G10:H1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">
    <cfRule type="top10" dxfId="14" priority="9" percent="1" rank="2"/>
    <cfRule type="top10" dxfId="13" priority="10" percent="1" bottom="1" rank="10"/>
    <cfRule type="top10" dxfId="12" priority="11" percent="1" rank="10"/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{4B06525A-523D-434F-BF0C-4AE71B0E2BE9}</x14:id>
        </ext>
      </extLst>
    </cfRule>
  </conditionalFormatting>
  <conditionalFormatting sqref="L75">
    <cfRule type="top10" dxfId="11" priority="5" percent="1" rank="2"/>
    <cfRule type="top10" dxfId="10" priority="6" percent="1" bottom="1" rank="10"/>
    <cfRule type="top10" dxfId="9" priority="7" percent="1" rank="10"/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{1BB4964D-8B16-4EEF-B76B-5E012CA4E0A2}</x14:id>
        </ext>
      </extLst>
    </cfRule>
  </conditionalFormatting>
  <conditionalFormatting sqref="O52:O55 O32:O46 P35:Q46">
    <cfRule type="top10" dxfId="8" priority="133" percent="1" rank="5"/>
  </conditionalFormatting>
  <conditionalFormatting sqref="O75:O77 O79:O81 O67:O69 O71:O73 O59:O61 O63:O65 Q59:Q61 Q63:Q65 Q67:Q69 Q71:Q73 Q75:Q77 Q79:Q8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:Q30">
    <cfRule type="top10" dxfId="7" priority="1" percent="1" bottom="1" rank="25"/>
    <cfRule type="top10" dxfId="6" priority="2" percent="1" rank="20"/>
  </conditionalFormatting>
  <conditionalFormatting sqref="O52:Q55 O32:Q46">
    <cfRule type="top10" dxfId="5" priority="136" percent="1" bottom="1" rank="10"/>
    <cfRule type="top10" dxfId="4" priority="137" percent="1" rank="10"/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{7F1B7CCA-A7CB-42AB-A6DA-67DCAF2634B2}</x14:id>
        </ext>
      </extLst>
    </cfRule>
  </conditionalFormatting>
  <conditionalFormatting sqref="P52:P55 P32:P46">
    <cfRule type="top10" dxfId="3" priority="127" percent="1" rank="2"/>
  </conditionalFormatting>
  <conditionalFormatting sqref="Q52:Q55 Q32:Q46">
    <cfRule type="top10" dxfId="2" priority="130" percent="1" rank="2"/>
  </conditionalFormatting>
  <conditionalFormatting sqref="T19:V33 T41:V55 V34:V40">
    <cfRule type="top10" dxfId="1" priority="70" percent="1" bottom="1" rank="10"/>
    <cfRule type="top10" dxfId="0" priority="71" percent="1" rank="10"/>
  </conditionalFormatting>
  <dataValidations count="11">
    <dataValidation type="list" allowBlank="1" showInputMessage="1" showErrorMessage="1" sqref="B31" xr:uid="{6B85F005-CBBF-44E6-8814-E6C61FD33AE8}">
      <formula1>$C$31:$I$31</formula1>
    </dataValidation>
    <dataValidation type="list" allowBlank="1" showInputMessage="1" showErrorMessage="1" sqref="B16:B25 B10:B13 B27:B29" xr:uid="{2A4E0208-ACA9-4445-B3C5-C5C1D095E9B3}">
      <formula1>C10:I10</formula1>
    </dataValidation>
    <dataValidation type="list" allowBlank="1" showInputMessage="1" showErrorMessage="1" sqref="B32" xr:uid="{83C57340-FC8A-4F44-BC5A-0668FB5FBC67}">
      <formula1>C31:H31</formula1>
    </dataValidation>
    <dataValidation type="list" allowBlank="1" showInputMessage="1" showErrorMessage="1" sqref="B40" xr:uid="{C5D9A0EB-71D2-4D19-9C0C-A34C1CCE36A6}">
      <formula1>$C$40:$I$40</formula1>
    </dataValidation>
    <dataValidation type="list" allowBlank="1" showInputMessage="1" showErrorMessage="1" sqref="B33" xr:uid="{CCFB5CFD-30B4-46A6-B2FE-F671FB43717F}">
      <formula1>$C$33:$I$33</formula1>
    </dataValidation>
    <dataValidation type="list" allowBlank="1" showInputMessage="1" showErrorMessage="1" sqref="B35" xr:uid="{0C89DA2B-B5F9-4E5A-BDC7-8D0FAC357B6A}">
      <formula1>$C$35:$E$35</formula1>
    </dataValidation>
    <dataValidation type="list" allowBlank="1" showInputMessage="1" showErrorMessage="1" sqref="B37" xr:uid="{457A0E8C-E052-44BA-80B3-A1E93E1577F4}">
      <formula1>$C$37:$E$37</formula1>
    </dataValidation>
    <dataValidation type="list" allowBlank="1" showInputMessage="1" showErrorMessage="1" sqref="B2" xr:uid="{31CD5986-550D-4D24-8584-46860B13C91B}">
      <formula1>$B$49:$D$49</formula1>
    </dataValidation>
    <dataValidation type="list" allowBlank="1" showInputMessage="1" showErrorMessage="1" sqref="B3" xr:uid="{7AFABD5E-A495-4781-AEA8-190C81557328}">
      <formula1>$B$48:$D$48</formula1>
    </dataValidation>
    <dataValidation type="list" allowBlank="1" showInputMessage="1" showErrorMessage="1" sqref="B4" xr:uid="{5D5147AF-C477-46E2-B1C7-1D27CC084652}">
      <formula1>$B$50:$C$50</formula1>
    </dataValidation>
    <dataValidation type="list" allowBlank="1" showInputMessage="1" showErrorMessage="1" sqref="B36" xr:uid="{64D54879-3564-4B39-BBA6-13AD10B196D3}">
      <formula1>$C$36:$E$36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06525A-523D-434F-BF0C-4AE71B0E2B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L67</xm:sqref>
        </x14:conditionalFormatting>
        <x14:conditionalFormatting xmlns:xm="http://schemas.microsoft.com/office/excel/2006/main">
          <x14:cfRule type="dataBar" id="{1BB4964D-8B16-4EEF-B76B-5E012CA4E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L75</xm:sqref>
        </x14:conditionalFormatting>
        <x14:conditionalFormatting xmlns:xm="http://schemas.microsoft.com/office/excel/2006/main">
          <x14:cfRule type="dataBar" id="{7F1B7CCA-A7CB-42AB-A6DA-67DCAF263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O52:Q55 O32:Q46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59D6-817A-4F15-AFED-54E5E7E9E384}">
  <dimension ref="A1:Z805"/>
  <sheetViews>
    <sheetView topLeftCell="G1" zoomScale="55" zoomScaleNormal="55" workbookViewId="0">
      <selection activeCell="M23" sqref="M23"/>
    </sheetView>
  </sheetViews>
  <sheetFormatPr defaultRowHeight="14.5" x14ac:dyDescent="0.35"/>
  <cols>
    <col min="2" max="2" width="6.26953125" customWidth="1"/>
    <col min="3" max="3" width="59.7265625" customWidth="1"/>
    <col min="4" max="4" width="44.90625" bestFit="1" customWidth="1"/>
    <col min="5" max="5" width="30.1796875" customWidth="1"/>
    <col min="6" max="7" width="26" bestFit="1" customWidth="1"/>
    <col min="8" max="8" width="55.6328125" customWidth="1"/>
    <col min="9" max="9" width="20.1796875" bestFit="1" customWidth="1"/>
    <col min="10" max="10" width="18.1796875" customWidth="1"/>
    <col min="11" max="11" width="23.26953125" customWidth="1"/>
    <col min="12" max="12" width="57.81640625" customWidth="1"/>
    <col min="13" max="13" width="36.81640625" customWidth="1"/>
    <col min="14" max="14" width="18.26953125" bestFit="1" customWidth="1"/>
    <col min="15" max="16" width="11.54296875" bestFit="1" customWidth="1"/>
    <col min="19" max="19" width="17.26953125" bestFit="1" customWidth="1"/>
    <col min="20" max="20" width="11.81640625" bestFit="1" customWidth="1"/>
    <col min="25" max="25" width="12" bestFit="1" customWidth="1"/>
  </cols>
  <sheetData>
    <row r="1" spans="3:26" ht="31.5" thickBot="1" x14ac:dyDescent="0.4">
      <c r="C1" s="86" t="s">
        <v>2</v>
      </c>
      <c r="D1" s="87">
        <f>(I140+J140+K140)/L140</f>
        <v>2.4715418947651613</v>
      </c>
      <c r="E1" s="86" t="s">
        <v>14</v>
      </c>
    </row>
    <row r="3" spans="3:26" ht="21.5" thickBot="1" x14ac:dyDescent="0.55000000000000004">
      <c r="C3" s="203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</row>
    <row r="4" spans="3:26" ht="24.5" thickTop="1" thickBot="1" x14ac:dyDescent="0.6">
      <c r="C4" t="s">
        <v>72</v>
      </c>
      <c r="G4" s="124" t="s">
        <v>188</v>
      </c>
      <c r="H4" s="124" t="str">
        <f>Variables!B3</f>
        <v>Onshore centralized electrolysis</v>
      </c>
      <c r="I4" s="124"/>
    </row>
    <row r="5" spans="3:26" ht="24.5" thickTop="1" thickBot="1" x14ac:dyDescent="0.6">
      <c r="C5" s="205" t="s">
        <v>83</v>
      </c>
      <c r="D5" s="206"/>
      <c r="E5" s="207"/>
      <c r="G5" s="125" t="s">
        <v>106</v>
      </c>
      <c r="H5" s="130">
        <f>Variables!B2</f>
        <v>250</v>
      </c>
      <c r="I5" s="124" t="s">
        <v>75</v>
      </c>
    </row>
    <row r="6" spans="3:26" ht="24.5" thickTop="1" thickBot="1" x14ac:dyDescent="0.6">
      <c r="C6" s="94" t="s">
        <v>101</v>
      </c>
      <c r="D6" s="88">
        <f>wind_source!F28</f>
        <v>52614828.998584859</v>
      </c>
      <c r="E6" s="89" t="s">
        <v>98</v>
      </c>
      <c r="G6" s="124" t="s">
        <v>189</v>
      </c>
      <c r="H6" s="124" t="str">
        <f>Variables!B4</f>
        <v>PEM</v>
      </c>
      <c r="I6" s="124"/>
    </row>
    <row r="7" spans="3:26" ht="15" thickTop="1" x14ac:dyDescent="0.35">
      <c r="C7" s="90" t="s">
        <v>96</v>
      </c>
      <c r="D7" s="91">
        <f>IF(L23&gt;0, L23, 1) * IF(L27&gt;0, L27, 1) * IF(L31&gt;0, L31, 1) * IF(L35&gt;0, L35, 1) * IF(L39&gt;0, L39, 1) * IF(L43&gt;0, L43, 1) * IF(L47&gt;0, L47, 1) * IF(L51&gt;0, L51, 1) * IF(L55&gt;0, L55, 1) * IF(L59&gt;0, L59, 1) * IF(L63&gt;0, L63, 1) * IF(L67&gt;0, L67, 1) * IF(L71&gt;0, L71, 1) * IF(L75&gt;0, L75, 1) * IF(L79&gt;0, L79, 1) * IF(L83&gt;0, L83, 1) * IF(L87&gt;0, L87, 1) * IF(L91&gt;0, L91, 1)* IF(L95&gt;0, L95, 1)* IF(L99&gt;0, L99, 1)</f>
        <v>0.70649198103886879</v>
      </c>
      <c r="E7" s="92"/>
    </row>
    <row r="8" spans="3:26" x14ac:dyDescent="0.35">
      <c r="C8" s="90" t="s">
        <v>84</v>
      </c>
      <c r="D8" s="93">
        <f>(D6*D7)/D12</f>
        <v>943690143.97642899</v>
      </c>
      <c r="E8" s="92" t="s">
        <v>97</v>
      </c>
    </row>
    <row r="9" spans="3:26" x14ac:dyDescent="0.35">
      <c r="C9" s="90" t="s">
        <v>121</v>
      </c>
      <c r="D9" s="91">
        <f>IF(L23&gt;0, L23, 1) * IF(L27&gt;0, L27, 1) * IF(L31&gt;0, L31, 1) * IF(L35&gt;0, L35, 1)  * IF(L55&gt;0, L55, 1) * IF(L59&gt;0, L59, 1) * IF(L63&gt;0, L63, 1) * IF(L67&gt;0, L67, 1) * IF(L71&gt;0, L71, 1) * IF(L83&gt;0, L83, 1) * IF(L87&gt;0, L87, 1) *IF(L91&gt;0, L91, 1)* IF(L95&gt;0, L95, 1)* IF(L99&gt;0, L99, 1)* IF(L103&gt;0, L103, 1)* IF(L107&gt;0, L107, 1)</f>
        <v>0.87610612728034343</v>
      </c>
      <c r="E9" s="92"/>
    </row>
    <row r="10" spans="3:26" x14ac:dyDescent="0.35">
      <c r="C10" s="51"/>
      <c r="D10" s="61"/>
      <c r="E10" s="60"/>
    </row>
    <row r="11" spans="3:26" x14ac:dyDescent="0.35">
      <c r="C11" s="131" t="s">
        <v>232</v>
      </c>
      <c r="D11">
        <v>8765</v>
      </c>
    </row>
    <row r="12" spans="3:26" ht="15" thickBot="1" x14ac:dyDescent="0.4">
      <c r="C12" s="50" t="s">
        <v>76</v>
      </c>
      <c r="D12" s="50">
        <v>3.9390000000000001E-2</v>
      </c>
      <c r="E12" s="48" t="s">
        <v>86</v>
      </c>
    </row>
    <row r="13" spans="3:26" ht="15" thickBot="1" x14ac:dyDescent="0.4">
      <c r="C13" s="208" t="s">
        <v>3</v>
      </c>
      <c r="D13" s="209"/>
      <c r="E13" s="210"/>
    </row>
    <row r="14" spans="3:26" x14ac:dyDescent="0.35">
      <c r="C14" s="57" t="s">
        <v>8</v>
      </c>
      <c r="D14" s="83">
        <v>0.05</v>
      </c>
      <c r="E14" s="55" t="s">
        <v>9</v>
      </c>
    </row>
    <row r="15" spans="3:26" ht="15" thickBot="1" x14ac:dyDescent="0.4">
      <c r="C15" s="54" t="s">
        <v>10</v>
      </c>
      <c r="D15" s="84">
        <v>0.03</v>
      </c>
      <c r="E15" s="52" t="s">
        <v>9</v>
      </c>
    </row>
    <row r="18" spans="1:13" x14ac:dyDescent="0.35">
      <c r="C18" s="49" t="s">
        <v>107</v>
      </c>
      <c r="D18">
        <f>0.3*wind_source!J6</f>
        <v>3001.5</v>
      </c>
      <c r="E18" t="s">
        <v>75</v>
      </c>
    </row>
    <row r="19" spans="1:13" x14ac:dyDescent="0.35">
      <c r="C19" t="s">
        <v>109</v>
      </c>
      <c r="D19" s="96">
        <f>(D6/D11)/1000</f>
        <v>6.0028327437062012</v>
      </c>
      <c r="E19" t="s">
        <v>108</v>
      </c>
    </row>
    <row r="20" spans="1:13" x14ac:dyDescent="0.35">
      <c r="C20" s="49" t="s">
        <v>178</v>
      </c>
      <c r="D20" s="95">
        <f>D8*0.001*9</f>
        <v>8493211.2957878616</v>
      </c>
      <c r="E20" t="s">
        <v>179</v>
      </c>
      <c r="G20" s="49"/>
      <c r="H20" s="80"/>
    </row>
    <row r="21" spans="1:13" ht="21.5" thickBot="1" x14ac:dyDescent="0.55000000000000004">
      <c r="C21" s="203" t="s">
        <v>1</v>
      </c>
      <c r="D21" s="204"/>
      <c r="E21" s="204"/>
      <c r="F21" s="204"/>
      <c r="G21" s="204"/>
      <c r="H21" s="204"/>
      <c r="I21" s="204"/>
      <c r="J21" s="204"/>
      <c r="K21" s="204"/>
    </row>
    <row r="22" spans="1:13" ht="23.5" x14ac:dyDescent="0.35">
      <c r="A22" s="49"/>
      <c r="B22" s="49"/>
      <c r="C22" s="57" t="s">
        <v>4</v>
      </c>
      <c r="D22" s="56" t="s">
        <v>187</v>
      </c>
      <c r="E22" s="56"/>
      <c r="F22" s="56" t="s">
        <v>125</v>
      </c>
      <c r="G22" s="64" t="s">
        <v>81</v>
      </c>
      <c r="H22" s="56" t="s">
        <v>6</v>
      </c>
      <c r="I22" s="56" t="s">
        <v>77</v>
      </c>
      <c r="J22" s="67" t="s">
        <v>78</v>
      </c>
      <c r="K22" s="66" t="s">
        <v>7</v>
      </c>
      <c r="L22" s="114" t="s">
        <v>182</v>
      </c>
      <c r="M22" s="117" t="s">
        <v>175</v>
      </c>
    </row>
    <row r="23" spans="1:13" ht="24" thickBot="1" x14ac:dyDescent="0.4">
      <c r="A23" s="49"/>
      <c r="B23" s="49"/>
      <c r="C23" s="109" t="str">
        <f>Data!B4</f>
        <v>Wind turbines</v>
      </c>
      <c r="D23" s="79">
        <f>IF(H4="Offshore decentralized electrolysis", (Data!C8+Data!C10*Variables!B37+Data!C9*Variables!B36)*M23, (Data!C11)*M23)</f>
        <v>28550000</v>
      </c>
      <c r="E23" s="50" t="s">
        <v>146</v>
      </c>
      <c r="F23" s="78">
        <f>wind_source!J7</f>
        <v>667</v>
      </c>
      <c r="G23" s="50">
        <f>D23*F23</f>
        <v>19042850000</v>
      </c>
      <c r="H23" s="50">
        <f>Data!C6</f>
        <v>25</v>
      </c>
      <c r="I23" s="62">
        <f>Data!C12</f>
        <v>1</v>
      </c>
      <c r="J23" s="50">
        <f>G23*I23</f>
        <v>19042850000</v>
      </c>
      <c r="K23" s="65">
        <f>G23*Data!C13</f>
        <v>380857000</v>
      </c>
      <c r="L23" s="116">
        <f>IF(H4="Offshore decentralized electrolysis", Data!H7*M23, Data!C7*M23)</f>
        <v>1</v>
      </c>
      <c r="M23" s="118">
        <v>1</v>
      </c>
    </row>
    <row r="24" spans="1:13" ht="24" thickBot="1" x14ac:dyDescent="0.4">
      <c r="A24" s="49"/>
      <c r="B24" s="49"/>
      <c r="C24" s="54" t="s">
        <v>11</v>
      </c>
      <c r="D24" s="83">
        <f>$D$14</f>
        <v>0.05</v>
      </c>
      <c r="E24" s="53"/>
      <c r="F24" s="53"/>
      <c r="G24" s="53"/>
      <c r="H24" s="53"/>
      <c r="I24" s="53"/>
      <c r="J24" s="53"/>
      <c r="K24" s="63"/>
      <c r="L24" s="63"/>
      <c r="M24" s="119"/>
    </row>
    <row r="25" spans="1:13" ht="24" thickBot="1" x14ac:dyDescent="0.6">
      <c r="A25" s="49"/>
      <c r="B25" s="49"/>
      <c r="M25" s="120"/>
    </row>
    <row r="26" spans="1:13" ht="23.5" x14ac:dyDescent="0.35">
      <c r="A26" s="49"/>
      <c r="B26" s="49"/>
      <c r="C26" s="57" t="s">
        <v>4</v>
      </c>
      <c r="D26" s="56" t="s">
        <v>233</v>
      </c>
      <c r="E26" s="56"/>
      <c r="F26" s="56" t="s">
        <v>256</v>
      </c>
      <c r="G26" s="64" t="s">
        <v>81</v>
      </c>
      <c r="H26" s="56" t="s">
        <v>6</v>
      </c>
      <c r="I26" s="56" t="s">
        <v>77</v>
      </c>
      <c r="J26" s="67" t="s">
        <v>78</v>
      </c>
      <c r="K26" s="66" t="s">
        <v>7</v>
      </c>
      <c r="L26" s="114" t="s">
        <v>182</v>
      </c>
      <c r="M26" s="117" t="s">
        <v>175</v>
      </c>
    </row>
    <row r="27" spans="1:13" ht="24" thickBot="1" x14ac:dyDescent="0.4">
      <c r="A27" s="49"/>
      <c r="B27" s="49"/>
      <c r="C27" s="109" t="str">
        <f>Data!N55</f>
        <v>Artificial island / Offshore substructure</v>
      </c>
      <c r="D27" s="108">
        <f>IF(H6="PEM",Data!O59*Data!C100*0.75*M27,Data!O59*Data!C100)</f>
        <v>0</v>
      </c>
      <c r="E27" s="50" t="s">
        <v>146</v>
      </c>
      <c r="F27" s="78">
        <f>(D6*D9)/D11</f>
        <v>5259.1185478000789</v>
      </c>
      <c r="G27" s="50">
        <f>D27*F27*M27</f>
        <v>0</v>
      </c>
      <c r="H27" s="50">
        <f>Data!O57</f>
        <v>50</v>
      </c>
      <c r="I27" s="62">
        <f>Data!O61</f>
        <v>1</v>
      </c>
      <c r="J27" s="50">
        <f>G27*I27</f>
        <v>0</v>
      </c>
      <c r="K27" s="65">
        <f>G27*Data!O60</f>
        <v>0</v>
      </c>
      <c r="L27" s="116">
        <f>Data!H7*M27</f>
        <v>0</v>
      </c>
      <c r="M27" s="118">
        <f>IF(H4="Offshore centralized electrolysis", 1, 0)</f>
        <v>0</v>
      </c>
    </row>
    <row r="28" spans="1:13" ht="24" thickBot="1" x14ac:dyDescent="0.4">
      <c r="A28" s="49"/>
      <c r="B28" s="49"/>
      <c r="C28" s="54" t="s">
        <v>11</v>
      </c>
      <c r="D28" s="83">
        <f>$D$14</f>
        <v>0.05</v>
      </c>
      <c r="E28" s="53"/>
      <c r="F28" s="53"/>
      <c r="G28" s="53"/>
      <c r="H28" s="53"/>
      <c r="I28" s="53"/>
      <c r="J28" s="53"/>
      <c r="K28" s="63"/>
      <c r="L28" s="63"/>
      <c r="M28" s="119"/>
    </row>
    <row r="29" spans="1:13" ht="24" thickBot="1" x14ac:dyDescent="0.6">
      <c r="A29" s="49"/>
      <c r="B29" s="49"/>
      <c r="M29" s="120"/>
    </row>
    <row r="30" spans="1:13" ht="23.5" x14ac:dyDescent="0.35">
      <c r="A30" s="49"/>
      <c r="B30" s="49"/>
      <c r="C30" s="57" t="s">
        <v>4</v>
      </c>
      <c r="D30" s="56" t="s">
        <v>5</v>
      </c>
      <c r="E30" s="56"/>
      <c r="F30" s="56" t="s">
        <v>75</v>
      </c>
      <c r="G30" s="64" t="s">
        <v>81</v>
      </c>
      <c r="H30" s="56" t="s">
        <v>6</v>
      </c>
      <c r="I30" s="56" t="s">
        <v>77</v>
      </c>
      <c r="J30" s="67" t="s">
        <v>78</v>
      </c>
      <c r="K30" s="66" t="s">
        <v>7</v>
      </c>
      <c r="L30" s="114" t="s">
        <v>182</v>
      </c>
      <c r="M30" s="117" t="s">
        <v>175</v>
      </c>
    </row>
    <row r="31" spans="1:13" ht="24" thickBot="1" x14ac:dyDescent="0.4">
      <c r="A31" s="49"/>
      <c r="B31" s="49"/>
      <c r="C31" s="110" t="str">
        <f>Data!G17</f>
        <v>Pipeline (12 inch)</v>
      </c>
      <c r="D31" s="50">
        <f>Data!H21*M31</f>
        <v>0</v>
      </c>
      <c r="E31" s="50" t="s">
        <v>90</v>
      </c>
      <c r="F31" s="50">
        <f>D18</f>
        <v>3001.5</v>
      </c>
      <c r="G31" s="50">
        <f>D31*F31</f>
        <v>0</v>
      </c>
      <c r="H31" s="50">
        <f>Data!H19</f>
        <v>50</v>
      </c>
      <c r="I31" s="62">
        <f>Data!H24</f>
        <v>1</v>
      </c>
      <c r="J31" s="50">
        <f>G31*I31</f>
        <v>0</v>
      </c>
      <c r="K31" s="65">
        <f>G31*Data!H22</f>
        <v>0</v>
      </c>
      <c r="L31" s="116">
        <f>Data!H20^(D18/1000)*M31</f>
        <v>0</v>
      </c>
      <c r="M31" s="118">
        <f>IF(H4="Offshore decentralized electrolysis", 1, 0)</f>
        <v>0</v>
      </c>
    </row>
    <row r="32" spans="1:13" ht="24" thickBot="1" x14ac:dyDescent="0.4">
      <c r="A32" s="49"/>
      <c r="B32" s="49"/>
      <c r="C32" s="54" t="s">
        <v>11</v>
      </c>
      <c r="D32" s="83">
        <f>$D$14</f>
        <v>0.05</v>
      </c>
      <c r="E32" s="53"/>
      <c r="F32" s="53"/>
      <c r="G32" s="53"/>
      <c r="H32" s="53"/>
      <c r="I32" s="53"/>
      <c r="J32" s="53"/>
      <c r="K32" s="63"/>
      <c r="L32" s="63"/>
      <c r="M32" s="119"/>
    </row>
    <row r="33" spans="1:20" ht="24" thickBot="1" x14ac:dyDescent="0.6">
      <c r="A33" s="49"/>
      <c r="B33" s="49"/>
      <c r="M33" s="120"/>
    </row>
    <row r="34" spans="1:20" ht="23.5" x14ac:dyDescent="0.35">
      <c r="A34" s="49"/>
      <c r="B34" s="49"/>
      <c r="C34" s="57" t="s">
        <v>4</v>
      </c>
      <c r="D34" s="56" t="s">
        <v>5</v>
      </c>
      <c r="E34" s="56"/>
      <c r="F34" s="56" t="s">
        <v>75</v>
      </c>
      <c r="G34" s="64" t="s">
        <v>81</v>
      </c>
      <c r="H34" s="56" t="s">
        <v>6</v>
      </c>
      <c r="I34" s="56" t="s">
        <v>77</v>
      </c>
      <c r="J34" s="67" t="s">
        <v>78</v>
      </c>
      <c r="K34" s="66" t="s">
        <v>7</v>
      </c>
      <c r="L34" s="114" t="s">
        <v>182</v>
      </c>
      <c r="M34" s="117" t="s">
        <v>175</v>
      </c>
    </row>
    <row r="35" spans="1:20" ht="24" thickBot="1" x14ac:dyDescent="0.4">
      <c r="A35" s="49"/>
      <c r="B35" s="49"/>
      <c r="C35" s="111" t="str">
        <f>Data!B17</f>
        <v>Electricity cables (inter-array)</v>
      </c>
      <c r="D35" s="50">
        <f>(Data!C21)*M35</f>
        <v>235000</v>
      </c>
      <c r="E35" s="50" t="s">
        <v>90</v>
      </c>
      <c r="F35" s="50">
        <f>D18</f>
        <v>3001.5</v>
      </c>
      <c r="G35" s="50">
        <f>D35*F35</f>
        <v>705352500</v>
      </c>
      <c r="H35" s="50">
        <f>Data!C19</f>
        <v>40</v>
      </c>
      <c r="I35" s="62">
        <f>Data!C24</f>
        <v>1</v>
      </c>
      <c r="J35" s="50">
        <f>G35*I35</f>
        <v>705352500</v>
      </c>
      <c r="K35" s="65">
        <f>G35*Data!C22</f>
        <v>7053525</v>
      </c>
      <c r="L35" s="116">
        <f>Data!C20*M35</f>
        <v>0.95</v>
      </c>
      <c r="M35" s="118">
        <f>IF(OR(H4="Offshore centralized electrolysis", H4="Onshore centralized electrolysis"), 1, 0)</f>
        <v>1</v>
      </c>
    </row>
    <row r="36" spans="1:20" ht="24" thickBot="1" x14ac:dyDescent="0.4">
      <c r="A36" s="49"/>
      <c r="B36" s="49"/>
      <c r="C36" s="54" t="s">
        <v>11</v>
      </c>
      <c r="D36" s="83">
        <f>$D$14</f>
        <v>0.05</v>
      </c>
      <c r="E36" s="53"/>
      <c r="F36" s="53"/>
      <c r="G36" s="53"/>
      <c r="H36" s="53"/>
      <c r="I36" s="53"/>
      <c r="J36" s="53"/>
      <c r="K36" s="63"/>
      <c r="L36" s="63"/>
      <c r="M36" s="119"/>
    </row>
    <row r="37" spans="1:20" ht="24" thickBot="1" x14ac:dyDescent="0.6">
      <c r="A37" s="49"/>
      <c r="B37" s="49"/>
      <c r="M37" s="120"/>
      <c r="Q37" s="49"/>
      <c r="R37" s="49"/>
    </row>
    <row r="38" spans="1:20" ht="23.5" x14ac:dyDescent="0.35">
      <c r="A38" s="49"/>
      <c r="B38" s="49"/>
      <c r="C38" s="57" t="s">
        <v>4</v>
      </c>
      <c r="D38" s="56" t="s">
        <v>5</v>
      </c>
      <c r="E38" s="56"/>
      <c r="F38" s="56" t="s">
        <v>95</v>
      </c>
      <c r="G38" s="64" t="s">
        <v>81</v>
      </c>
      <c r="H38" s="56" t="s">
        <v>6</v>
      </c>
      <c r="I38" s="56" t="s">
        <v>77</v>
      </c>
      <c r="J38" s="67" t="s">
        <v>78</v>
      </c>
      <c r="K38" s="66" t="s">
        <v>7</v>
      </c>
      <c r="L38" s="114" t="s">
        <v>182</v>
      </c>
      <c r="M38" s="117" t="s">
        <v>175</v>
      </c>
      <c r="Q38" s="49"/>
      <c r="R38" s="49"/>
    </row>
    <row r="39" spans="1:20" ht="24" thickBot="1" x14ac:dyDescent="0.4">
      <c r="A39" s="49"/>
      <c r="B39" s="49"/>
      <c r="C39" s="109" t="str">
        <f>Data!B35</f>
        <v>ALK stacks</v>
      </c>
      <c r="D39" s="78">
        <f>IF(H4="Onshore centralized electrolysis", Data!C39*M39, IF(OR(H4="Offshore centralized electrolysis", H4="Offshore decentralized electrolysis"), Data!C39*Data!C99*M39, 0))</f>
        <v>0</v>
      </c>
      <c r="E39" s="50" t="s">
        <v>87</v>
      </c>
      <c r="F39" s="79">
        <f>(D6*D9)/D11</f>
        <v>5259.1185478000789</v>
      </c>
      <c r="G39" s="50">
        <f>D39*F39</f>
        <v>0</v>
      </c>
      <c r="H39" s="50">
        <f>Data!C37</f>
        <v>10</v>
      </c>
      <c r="I39" s="62">
        <f>Data!C40</f>
        <v>0.5</v>
      </c>
      <c r="J39" s="50">
        <f>(G39*I39)</f>
        <v>0</v>
      </c>
      <c r="K39" s="122">
        <f>IF(H4="Offshore decentralized electrolysis", G39*Data!C41*Variables!B38, G39*Data!C41)</f>
        <v>0</v>
      </c>
      <c r="L39" s="116">
        <f>Data!C38*M39</f>
        <v>0</v>
      </c>
      <c r="M39" s="118">
        <f>IF(H6="Alkaline", 1, 0)</f>
        <v>0</v>
      </c>
      <c r="Q39" s="49"/>
      <c r="R39" s="49"/>
    </row>
    <row r="40" spans="1:20" ht="24" thickBot="1" x14ac:dyDescent="0.4">
      <c r="A40" s="49"/>
      <c r="B40" s="49"/>
      <c r="C40" s="54" t="s">
        <v>11</v>
      </c>
      <c r="D40" s="83">
        <f>$D$14</f>
        <v>0.05</v>
      </c>
      <c r="E40" s="53"/>
      <c r="F40" s="53"/>
      <c r="G40" s="53"/>
      <c r="H40" s="53"/>
      <c r="I40" s="53"/>
      <c r="J40" s="53"/>
      <c r="K40" s="63"/>
      <c r="L40" s="63"/>
      <c r="M40" s="119"/>
      <c r="Q40" s="49"/>
      <c r="R40" s="49"/>
    </row>
    <row r="41" spans="1:20" ht="24" thickBot="1" x14ac:dyDescent="0.6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M41" s="120"/>
      <c r="O41" s="49"/>
      <c r="P41" s="49"/>
      <c r="Q41" s="49"/>
      <c r="R41" s="49"/>
      <c r="S41" s="49"/>
      <c r="T41" s="49"/>
    </row>
    <row r="42" spans="1:20" ht="23.5" x14ac:dyDescent="0.35">
      <c r="A42" s="49"/>
      <c r="B42" s="49"/>
      <c r="C42" s="57" t="s">
        <v>4</v>
      </c>
      <c r="D42" s="56" t="s">
        <v>5</v>
      </c>
      <c r="E42" s="56"/>
      <c r="F42" s="56" t="s">
        <v>95</v>
      </c>
      <c r="G42" s="64" t="s">
        <v>81</v>
      </c>
      <c r="H42" s="56" t="s">
        <v>6</v>
      </c>
      <c r="I42" s="56" t="s">
        <v>77</v>
      </c>
      <c r="J42" s="67" t="s">
        <v>78</v>
      </c>
      <c r="K42" s="66" t="s">
        <v>7</v>
      </c>
      <c r="L42" s="114" t="s">
        <v>182</v>
      </c>
      <c r="M42" s="117" t="s">
        <v>175</v>
      </c>
      <c r="O42" s="49"/>
      <c r="P42" s="49"/>
      <c r="Q42" s="49"/>
      <c r="R42" s="49"/>
      <c r="S42" s="49"/>
      <c r="T42" s="49"/>
    </row>
    <row r="43" spans="1:20" ht="24" thickBot="1" x14ac:dyDescent="0.4">
      <c r="A43" s="49"/>
      <c r="B43" s="49"/>
      <c r="C43" s="109" t="str">
        <f>Data!B44</f>
        <v>ALK electrolyzer system (without stack)</v>
      </c>
      <c r="D43" s="78">
        <f>IF(H4="Onshore centralized electrolysis", Data!C48*M43, IF(OR(H4="Offshore centralized electrolysis", H4="Offshore decentralized electrolysis"), Data!C48*Data!C99*M43, 0))</f>
        <v>0</v>
      </c>
      <c r="E43" s="50" t="s">
        <v>87</v>
      </c>
      <c r="F43" s="79">
        <f>(D6*D9)/D11</f>
        <v>5259.1185478000789</v>
      </c>
      <c r="G43" s="50">
        <f>D43*F43</f>
        <v>0</v>
      </c>
      <c r="H43" s="50">
        <f>Data!C46</f>
        <v>20</v>
      </c>
      <c r="I43" s="62">
        <f>Data!C49</f>
        <v>1</v>
      </c>
      <c r="J43" s="50">
        <f>(G43*I43)</f>
        <v>0</v>
      </c>
      <c r="K43" s="122">
        <f>IF(H4="Offshore decentralized electrolysis", G43*Data!C50*Variables!B38, G43*Data!C50)</f>
        <v>0</v>
      </c>
      <c r="L43" s="116">
        <f>Data!C47*M43</f>
        <v>0</v>
      </c>
      <c r="M43" s="118">
        <f>IF(H6="Alkaline", 1, 0)</f>
        <v>0</v>
      </c>
      <c r="O43" s="49"/>
      <c r="P43" s="49"/>
      <c r="Q43" s="49"/>
      <c r="R43" s="49"/>
      <c r="S43" s="49"/>
      <c r="T43" s="49"/>
    </row>
    <row r="44" spans="1:20" ht="24" thickBot="1" x14ac:dyDescent="0.4">
      <c r="A44" s="49"/>
      <c r="B44" s="49"/>
      <c r="C44" s="54" t="s">
        <v>11</v>
      </c>
      <c r="D44" s="83">
        <f>$D$14</f>
        <v>0.05</v>
      </c>
      <c r="E44" s="53"/>
      <c r="G44" s="53"/>
      <c r="H44" s="53"/>
      <c r="I44" s="53"/>
      <c r="J44" s="53"/>
      <c r="K44" s="63"/>
      <c r="L44" s="63"/>
      <c r="M44" s="119"/>
      <c r="O44" s="49"/>
      <c r="P44" s="49"/>
      <c r="Q44" s="49"/>
      <c r="R44" s="49"/>
      <c r="S44" s="49"/>
      <c r="T44" s="49"/>
    </row>
    <row r="45" spans="1:20" ht="24" thickBot="1" x14ac:dyDescent="0.6">
      <c r="A45" s="49"/>
      <c r="B45" s="49"/>
      <c r="M45" s="120"/>
      <c r="O45" s="49"/>
      <c r="P45" s="49"/>
      <c r="Q45" s="49"/>
      <c r="R45" s="49"/>
      <c r="S45" s="49"/>
      <c r="T45" s="49"/>
    </row>
    <row r="46" spans="1:20" ht="23.5" x14ac:dyDescent="0.35">
      <c r="A46" s="49"/>
      <c r="B46" s="49"/>
      <c r="C46" s="57" t="s">
        <v>4</v>
      </c>
      <c r="D46" s="56" t="s">
        <v>5</v>
      </c>
      <c r="E46" s="56"/>
      <c r="F46" s="56" t="s">
        <v>95</v>
      </c>
      <c r="G46" s="64" t="s">
        <v>81</v>
      </c>
      <c r="H46" s="56" t="s">
        <v>6</v>
      </c>
      <c r="I46" s="56" t="s">
        <v>77</v>
      </c>
      <c r="J46" s="67" t="s">
        <v>78</v>
      </c>
      <c r="K46" s="66" t="s">
        <v>7</v>
      </c>
      <c r="L46" s="114" t="s">
        <v>182</v>
      </c>
      <c r="M46" s="117" t="s">
        <v>175</v>
      </c>
      <c r="O46" s="49"/>
      <c r="P46" s="49"/>
      <c r="Q46" s="49"/>
      <c r="R46" s="49"/>
      <c r="S46" s="49"/>
      <c r="T46" s="49"/>
    </row>
    <row r="47" spans="1:20" ht="24" thickBot="1" x14ac:dyDescent="0.4">
      <c r="A47" s="49"/>
      <c r="B47" s="49"/>
      <c r="C47" s="109" t="str">
        <f>Data!G35</f>
        <v>PEM stacks</v>
      </c>
      <c r="D47" s="78">
        <f>IF(H4="Onshore centralized electrolysis", Data!H39*M47, IF(OR(H4="Offshore centralized electrolysis", H4="Offshore decentralized electrolysis"), Data!H39*Data!C99*M47, 0))</f>
        <v>63000</v>
      </c>
      <c r="E47" s="50" t="s">
        <v>87</v>
      </c>
      <c r="F47" s="79">
        <f>(D6*D9)/D11</f>
        <v>5259.1185478000789</v>
      </c>
      <c r="G47" s="50">
        <f>D47*F47</f>
        <v>331324468.51140499</v>
      </c>
      <c r="H47" s="50">
        <f>Data!H37</f>
        <v>7</v>
      </c>
      <c r="I47" s="62">
        <f>Data!H40</f>
        <v>0.5</v>
      </c>
      <c r="J47" s="50">
        <f>(G47*I47)</f>
        <v>165662234.2557025</v>
      </c>
      <c r="K47" s="65">
        <f>IF(H4="Offshore decentralized electrolysis", G47*Data!H41*Variables!B38, G47*Data!H41)</f>
        <v>9939734.055342149</v>
      </c>
      <c r="L47" s="116">
        <f>Data!H38*M47</f>
        <v>0.84</v>
      </c>
      <c r="M47" s="118">
        <f>IF(H6="PEM", 1, 0)</f>
        <v>1</v>
      </c>
      <c r="O47" s="49"/>
      <c r="P47" s="49"/>
      <c r="Q47" s="49"/>
      <c r="R47" s="49"/>
      <c r="S47" s="49"/>
      <c r="T47" s="49"/>
    </row>
    <row r="48" spans="1:20" ht="24" thickBot="1" x14ac:dyDescent="0.4">
      <c r="A48" s="49"/>
      <c r="B48" s="49"/>
      <c r="C48" s="54" t="s">
        <v>11</v>
      </c>
      <c r="D48" s="83">
        <f>$D$14</f>
        <v>0.05</v>
      </c>
      <c r="E48" s="53"/>
      <c r="F48" s="53"/>
      <c r="G48" s="53"/>
      <c r="H48" s="53"/>
      <c r="I48" s="53"/>
      <c r="J48" s="53"/>
      <c r="K48" s="63"/>
      <c r="L48" s="63"/>
      <c r="M48" s="119"/>
      <c r="O48" s="49"/>
      <c r="P48" s="49"/>
      <c r="Q48" s="49"/>
      <c r="R48" s="49"/>
      <c r="S48" s="49"/>
      <c r="T48" s="49"/>
    </row>
    <row r="49" spans="1:20" ht="24" thickBot="1" x14ac:dyDescent="0.6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M49" s="120"/>
      <c r="O49" s="49"/>
      <c r="P49" s="49"/>
    </row>
    <row r="50" spans="1:20" ht="23.5" x14ac:dyDescent="0.35">
      <c r="A50" s="49"/>
      <c r="B50" s="49"/>
      <c r="C50" s="57" t="s">
        <v>4</v>
      </c>
      <c r="D50" s="56" t="s">
        <v>5</v>
      </c>
      <c r="E50" s="56"/>
      <c r="F50" s="56" t="s">
        <v>95</v>
      </c>
      <c r="G50" s="64" t="s">
        <v>81</v>
      </c>
      <c r="H50" s="56" t="s">
        <v>6</v>
      </c>
      <c r="I50" s="56" t="s">
        <v>77</v>
      </c>
      <c r="J50" s="67" t="s">
        <v>78</v>
      </c>
      <c r="K50" s="66" t="s">
        <v>7</v>
      </c>
      <c r="L50" s="114" t="s">
        <v>182</v>
      </c>
      <c r="M50" s="117" t="s">
        <v>175</v>
      </c>
    </row>
    <row r="51" spans="1:20" ht="24" thickBot="1" x14ac:dyDescent="0.4">
      <c r="A51" s="49"/>
      <c r="B51" s="49"/>
      <c r="C51" s="109" t="str">
        <f>Data!G44</f>
        <v>PEM electrolyzer system (without stack)</v>
      </c>
      <c r="D51" s="78">
        <f>IF(H4="Onshore centralized electrolysis", Data!H48*M51, IF(OR(H4="Offshore centralized electrolysis", H4="Offshore decentralized electrolysis"), Data!H48*Data!C99*M51, 0))</f>
        <v>147000</v>
      </c>
      <c r="E51" s="50" t="s">
        <v>87</v>
      </c>
      <c r="F51" s="79">
        <f>(D6*D9)/D11</f>
        <v>5259.1185478000789</v>
      </c>
      <c r="G51" s="50">
        <f>D51*F51</f>
        <v>773090426.52661157</v>
      </c>
      <c r="H51" s="50">
        <f>Data!H46</f>
        <v>20</v>
      </c>
      <c r="I51" s="107">
        <f>Data!H49</f>
        <v>1</v>
      </c>
      <c r="J51" s="50">
        <f>(G51*I51)</f>
        <v>773090426.52661157</v>
      </c>
      <c r="K51" s="65">
        <f>IF(H4="Offshore decentralized electrolysis", G51*Data!H50*Variables!B38, G51*Data!H50)</f>
        <v>23192712.795798346</v>
      </c>
      <c r="L51" s="116">
        <f>Data!H47*M51</f>
        <v>0.96</v>
      </c>
      <c r="M51" s="118">
        <f>IF(H6="PEM", 1, 0)</f>
        <v>1</v>
      </c>
      <c r="Q51" s="49"/>
      <c r="R51" s="49"/>
    </row>
    <row r="52" spans="1:20" ht="24" thickBot="1" x14ac:dyDescent="0.4">
      <c r="A52" s="49"/>
      <c r="B52" s="49"/>
      <c r="C52" s="54" t="s">
        <v>11</v>
      </c>
      <c r="D52" s="83">
        <f>$D$14</f>
        <v>0.05</v>
      </c>
      <c r="E52" s="53"/>
      <c r="F52" s="53"/>
      <c r="G52" s="53"/>
      <c r="H52" s="53"/>
      <c r="I52" s="53"/>
      <c r="J52" s="53"/>
      <c r="K52" s="63"/>
      <c r="L52" s="63"/>
      <c r="M52" s="119"/>
      <c r="Q52" s="49"/>
      <c r="R52" s="49"/>
    </row>
    <row r="53" spans="1:20" ht="24" thickBot="1" x14ac:dyDescent="0.6">
      <c r="A53" s="49"/>
      <c r="B53" s="49"/>
      <c r="M53" s="120"/>
      <c r="Q53" s="49"/>
      <c r="R53" s="49"/>
      <c r="S53" s="49"/>
      <c r="T53" s="49"/>
    </row>
    <row r="54" spans="1:20" ht="29.25" customHeight="1" x14ac:dyDescent="0.35">
      <c r="A54" s="49"/>
      <c r="B54" s="49"/>
      <c r="C54" s="57" t="s">
        <v>4</v>
      </c>
      <c r="D54" s="56" t="s">
        <v>5</v>
      </c>
      <c r="E54" s="56"/>
      <c r="F54" s="56" t="s">
        <v>95</v>
      </c>
      <c r="G54" s="64" t="s">
        <v>81</v>
      </c>
      <c r="H54" s="56" t="s">
        <v>6</v>
      </c>
      <c r="I54" s="56" t="s">
        <v>77</v>
      </c>
      <c r="J54" s="67" t="s">
        <v>78</v>
      </c>
      <c r="K54" s="66" t="s">
        <v>7</v>
      </c>
      <c r="L54" s="114" t="s">
        <v>182</v>
      </c>
      <c r="M54" s="117" t="s">
        <v>175</v>
      </c>
      <c r="Q54" s="49"/>
      <c r="R54" s="49"/>
      <c r="S54" s="49"/>
      <c r="T54" s="49"/>
    </row>
    <row r="55" spans="1:20" ht="24" thickBot="1" x14ac:dyDescent="0.4">
      <c r="A55" s="49"/>
      <c r="B55" s="49"/>
      <c r="C55" s="109" t="str">
        <f>Data!B26</f>
        <v>Converer station</v>
      </c>
      <c r="D55" s="78">
        <f>IF(H4="Onshore centralized electrolysis", (Data!C30+Data!C30*Data!C99)*M55, IF(H4="Offshore centralized electrolysis", (Data!C30*Data!C99)*M55, 0))</f>
        <v>300000</v>
      </c>
      <c r="E55" s="50" t="s">
        <v>87</v>
      </c>
      <c r="F55" s="79">
        <f>(D6*Data!C20)/D11</f>
        <v>5702.6911065208915</v>
      </c>
      <c r="G55" s="50">
        <f>D55*F55</f>
        <v>1710807331.9562674</v>
      </c>
      <c r="H55" s="50">
        <f>Data!C28</f>
        <v>40</v>
      </c>
      <c r="I55" s="62">
        <f>Data!C32</f>
        <v>1</v>
      </c>
      <c r="J55" s="50">
        <f>(G55*I55)</f>
        <v>1710807331.9562674</v>
      </c>
      <c r="K55" s="65">
        <f>G55*Data!C88</f>
        <v>51324219.958688021</v>
      </c>
      <c r="L55" s="116">
        <f>IF(H4="Onshore centralized electrolysis", Data!C29*Data!C29*M55,Data!C29*M55)</f>
        <v>0.98704225000000012</v>
      </c>
      <c r="M55" s="118">
        <f>IF(OR(H4="Offshore centralized electrolysis", H4="Onshore centralized electrolysis"), 1, 0)</f>
        <v>1</v>
      </c>
      <c r="N55" s="158">
        <f>1-Data!C67</f>
        <v>2.9999999999996696E-4</v>
      </c>
      <c r="Q55" s="49"/>
      <c r="R55" s="49"/>
    </row>
    <row r="56" spans="1:20" ht="24" thickBot="1" x14ac:dyDescent="0.4">
      <c r="A56" s="49"/>
      <c r="B56" s="49"/>
      <c r="C56" s="54" t="s">
        <v>11</v>
      </c>
      <c r="D56" s="83">
        <f>$D$14</f>
        <v>0.05</v>
      </c>
      <c r="E56" s="53"/>
      <c r="F56" s="53"/>
      <c r="G56" s="53"/>
      <c r="H56" s="53"/>
      <c r="I56" s="53"/>
      <c r="J56" s="53"/>
      <c r="K56" s="63"/>
      <c r="L56" s="63"/>
      <c r="M56" s="119"/>
      <c r="O56" s="49"/>
      <c r="P56" s="49"/>
      <c r="Q56" s="49"/>
      <c r="R56" s="49"/>
    </row>
    <row r="57" spans="1:20" ht="24" thickBot="1" x14ac:dyDescent="0.6">
      <c r="A57" s="49"/>
      <c r="B57" s="49"/>
      <c r="M57" s="120"/>
      <c r="N57" s="49"/>
      <c r="O57" s="49"/>
      <c r="P57" s="49"/>
      <c r="Q57" s="49"/>
      <c r="R57" s="49"/>
    </row>
    <row r="58" spans="1:20" ht="23.5" x14ac:dyDescent="0.35">
      <c r="A58" s="49"/>
      <c r="B58" s="49"/>
      <c r="C58" s="57" t="s">
        <v>4</v>
      </c>
      <c r="D58" s="56" t="s">
        <v>5</v>
      </c>
      <c r="E58" s="56"/>
      <c r="F58" s="56" t="s">
        <v>75</v>
      </c>
      <c r="G58" s="64" t="s">
        <v>81</v>
      </c>
      <c r="H58" s="56" t="s">
        <v>6</v>
      </c>
      <c r="I58" s="56" t="s">
        <v>77</v>
      </c>
      <c r="J58" s="67" t="s">
        <v>78</v>
      </c>
      <c r="K58" s="66" t="s">
        <v>7</v>
      </c>
      <c r="L58" s="114" t="s">
        <v>182</v>
      </c>
      <c r="M58" s="117" t="s">
        <v>175</v>
      </c>
      <c r="N58" s="49"/>
      <c r="O58" s="49"/>
      <c r="P58" s="49"/>
      <c r="Q58" s="49"/>
      <c r="R58" s="49"/>
    </row>
    <row r="59" spans="1:20" ht="24" thickBot="1" x14ac:dyDescent="0.4">
      <c r="A59" s="49"/>
      <c r="B59" s="49"/>
      <c r="C59" s="111" t="str">
        <f>Data!B64</f>
        <v>Electricity cables (AC)</v>
      </c>
      <c r="D59" s="50">
        <f>(Data!C68*D19*Data!C99)*M59</f>
        <v>0</v>
      </c>
      <c r="E59" s="50" t="s">
        <v>90</v>
      </c>
      <c r="F59" s="78">
        <f>H5</f>
        <v>250</v>
      </c>
      <c r="G59" s="50">
        <f>D59*F59</f>
        <v>0</v>
      </c>
      <c r="H59" s="50">
        <f>Data!C66</f>
        <v>40</v>
      </c>
      <c r="I59" s="62">
        <f>Data!C70</f>
        <v>1</v>
      </c>
      <c r="J59" s="50">
        <f>G59*I59</f>
        <v>0</v>
      </c>
      <c r="K59" s="65">
        <f>G59*Data!C69</f>
        <v>0</v>
      </c>
      <c r="L59" s="116">
        <f>(1-(1-Data!C67)*H5)*M59</f>
        <v>0</v>
      </c>
      <c r="M59" s="118">
        <f>IF(AND(H4="Onshore centralized electrolysis", VALUE(H5)=50), 1, 0)</f>
        <v>0</v>
      </c>
      <c r="N59" s="49"/>
      <c r="O59" s="49"/>
      <c r="P59" s="49"/>
      <c r="Q59" s="49"/>
      <c r="R59" s="49"/>
      <c r="S59" s="49"/>
      <c r="T59" s="49"/>
    </row>
    <row r="60" spans="1:20" ht="24" thickBot="1" x14ac:dyDescent="0.4">
      <c r="A60" s="49"/>
      <c r="B60" s="49"/>
      <c r="C60" s="54" t="s">
        <v>11</v>
      </c>
      <c r="D60" s="83">
        <f>$D$14</f>
        <v>0.05</v>
      </c>
      <c r="E60" s="53"/>
      <c r="F60" s="53"/>
      <c r="G60" s="53"/>
      <c r="H60" s="53"/>
      <c r="I60" s="53"/>
      <c r="J60" s="53"/>
      <c r="K60" s="63"/>
      <c r="L60" s="63"/>
      <c r="M60" s="119"/>
      <c r="N60" s="49"/>
      <c r="O60" s="49"/>
      <c r="P60" s="49"/>
      <c r="Q60" s="49"/>
      <c r="R60" s="49"/>
    </row>
    <row r="61" spans="1:20" ht="24" thickBot="1" x14ac:dyDescent="0.6">
      <c r="A61" s="49"/>
      <c r="B61" s="49"/>
      <c r="M61" s="120"/>
      <c r="N61" s="49"/>
      <c r="O61" s="49"/>
      <c r="P61" s="49"/>
      <c r="Q61" s="49"/>
      <c r="R61" s="49"/>
    </row>
    <row r="62" spans="1:20" ht="23.5" x14ac:dyDescent="0.35">
      <c r="A62" s="49"/>
      <c r="B62" s="49"/>
      <c r="C62" s="57" t="s">
        <v>4</v>
      </c>
      <c r="D62" s="56" t="s">
        <v>5</v>
      </c>
      <c r="E62" s="56"/>
      <c r="F62" s="56" t="s">
        <v>47</v>
      </c>
      <c r="G62" s="64" t="s">
        <v>81</v>
      </c>
      <c r="H62" s="56" t="s">
        <v>6</v>
      </c>
      <c r="I62" s="56" t="s">
        <v>77</v>
      </c>
      <c r="J62" s="67" t="s">
        <v>78</v>
      </c>
      <c r="K62" s="66" t="s">
        <v>7</v>
      </c>
      <c r="L62" s="114" t="s">
        <v>182</v>
      </c>
      <c r="M62" s="117" t="s">
        <v>175</v>
      </c>
      <c r="N62" s="49"/>
      <c r="O62" s="49"/>
      <c r="P62" s="49"/>
      <c r="Q62" s="49"/>
      <c r="R62" s="49"/>
    </row>
    <row r="63" spans="1:20" ht="24" thickBot="1" x14ac:dyDescent="0.4">
      <c r="A63" s="49"/>
      <c r="B63" s="49"/>
      <c r="C63" s="111" t="str">
        <f>Data!B72</f>
        <v>HVAC Substation</v>
      </c>
      <c r="D63" s="50">
        <f>(Data!C75*Data!C99)*M63</f>
        <v>0</v>
      </c>
      <c r="E63" s="50" t="s">
        <v>90</v>
      </c>
      <c r="F63" s="79">
        <f>(F55*Data!C29)</f>
        <v>5665.6236143285059</v>
      </c>
      <c r="G63" s="50">
        <f>D63*F63</f>
        <v>0</v>
      </c>
      <c r="H63" s="50">
        <f>Data!C74</f>
        <v>40</v>
      </c>
      <c r="I63" s="62">
        <f>Data!C78</f>
        <v>1</v>
      </c>
      <c r="J63" s="50">
        <f>G63*I63</f>
        <v>0</v>
      </c>
      <c r="K63" s="65">
        <f>G63*Data!C77</f>
        <v>0</v>
      </c>
      <c r="L63" s="116">
        <f>Data!C76*M63</f>
        <v>0</v>
      </c>
      <c r="M63" s="118">
        <f>IF(AND(H4="Onshore centralized electrolysis", VALUE(H5)=50), 1, 0)</f>
        <v>0</v>
      </c>
      <c r="N63" s="49"/>
      <c r="O63" s="49"/>
      <c r="P63" s="49"/>
      <c r="Q63" s="49"/>
      <c r="R63" s="49"/>
    </row>
    <row r="64" spans="1:20" ht="24" thickBot="1" x14ac:dyDescent="0.4">
      <c r="A64" s="49"/>
      <c r="B64" s="49"/>
      <c r="C64" s="54" t="s">
        <v>11</v>
      </c>
      <c r="D64" s="83">
        <f>$D$14</f>
        <v>0.05</v>
      </c>
      <c r="E64" s="53"/>
      <c r="F64" s="53"/>
      <c r="G64" s="53"/>
      <c r="H64" s="53"/>
      <c r="I64" s="53"/>
      <c r="J64" s="53"/>
      <c r="K64" s="63"/>
      <c r="L64" s="63"/>
      <c r="M64" s="119"/>
      <c r="N64" s="49"/>
      <c r="O64" s="49"/>
      <c r="P64" s="49"/>
      <c r="Q64" s="49"/>
      <c r="R64" s="49"/>
    </row>
    <row r="65" spans="1:20" ht="24" thickBot="1" x14ac:dyDescent="0.6">
      <c r="A65" s="49"/>
      <c r="B65" s="49"/>
      <c r="M65" s="120"/>
      <c r="N65" s="49"/>
      <c r="O65" s="49"/>
      <c r="P65" s="49"/>
      <c r="Q65" s="49"/>
      <c r="R65" s="49"/>
    </row>
    <row r="66" spans="1:20" ht="23.5" x14ac:dyDescent="0.35">
      <c r="A66" s="49"/>
      <c r="B66" s="49"/>
      <c r="C66" s="57" t="s">
        <v>4</v>
      </c>
      <c r="D66" s="56" t="s">
        <v>5</v>
      </c>
      <c r="E66" s="56"/>
      <c r="F66" s="56" t="s">
        <v>75</v>
      </c>
      <c r="G66" s="64" t="s">
        <v>81</v>
      </c>
      <c r="H66" s="56" t="s">
        <v>6</v>
      </c>
      <c r="I66" s="56" t="s">
        <v>77</v>
      </c>
      <c r="J66" s="67" t="s">
        <v>78</v>
      </c>
      <c r="K66" s="66" t="s">
        <v>7</v>
      </c>
      <c r="L66" s="114" t="s">
        <v>182</v>
      </c>
      <c r="M66" s="117" t="s">
        <v>175</v>
      </c>
      <c r="N66" s="49"/>
      <c r="O66" s="49"/>
      <c r="P66" s="49"/>
      <c r="Q66" s="49"/>
      <c r="R66" s="49"/>
    </row>
    <row r="67" spans="1:20" ht="24" thickBot="1" x14ac:dyDescent="0.4">
      <c r="A67" s="49"/>
      <c r="B67" s="49"/>
      <c r="C67" s="111" t="str">
        <f>Data!H63</f>
        <v>Electricity cables (DC)</v>
      </c>
      <c r="D67" s="50">
        <f>(Data!I67*D19*Data!C99)*M67</f>
        <v>30014163.718531005</v>
      </c>
      <c r="E67" s="50" t="s">
        <v>90</v>
      </c>
      <c r="F67" s="78">
        <f>H5</f>
        <v>250</v>
      </c>
      <c r="G67" s="50">
        <f>D67*F67</f>
        <v>7503540929.6327515</v>
      </c>
      <c r="H67" s="50">
        <f>Data!I65</f>
        <v>40</v>
      </c>
      <c r="I67" s="62">
        <f>Data!I69</f>
        <v>1</v>
      </c>
      <c r="J67" s="50">
        <f>G67*I67</f>
        <v>7503540929.6327515</v>
      </c>
      <c r="K67" s="65">
        <f>G67*Data!I68</f>
        <v>75035409.296327516</v>
      </c>
      <c r="L67" s="116">
        <f>(1-((1-Data!I66)*H5))*M67</f>
        <v>0.99250000000000638</v>
      </c>
      <c r="M67" s="118">
        <f>IF(AND(H4="Onshore centralized electrolysis", OR(VALUE(H5)=150, VALUE(H5)=250)), 1, 0)</f>
        <v>1</v>
      </c>
      <c r="N67" s="49"/>
      <c r="O67" s="49"/>
      <c r="P67" s="49"/>
      <c r="Q67" s="49"/>
      <c r="R67" s="49"/>
    </row>
    <row r="68" spans="1:20" ht="24" thickBot="1" x14ac:dyDescent="0.4">
      <c r="A68" s="49"/>
      <c r="B68" s="49"/>
      <c r="C68" s="54" t="s">
        <v>11</v>
      </c>
      <c r="D68" s="83">
        <f>$D$14</f>
        <v>0.05</v>
      </c>
      <c r="E68" s="53"/>
      <c r="F68" s="53"/>
      <c r="G68" s="53"/>
      <c r="H68" s="53"/>
      <c r="I68" s="53"/>
      <c r="J68" s="53"/>
      <c r="K68" s="63"/>
      <c r="L68" s="63"/>
      <c r="M68" s="119"/>
      <c r="N68" s="49"/>
      <c r="O68" s="49"/>
      <c r="P68" s="49"/>
      <c r="Q68" s="49"/>
      <c r="R68" s="49"/>
    </row>
    <row r="69" spans="1:20" ht="24" thickBot="1" x14ac:dyDescent="0.6">
      <c r="A69" s="49"/>
      <c r="B69" s="49"/>
      <c r="M69" s="120"/>
      <c r="N69" s="49"/>
      <c r="O69" s="49"/>
      <c r="P69" s="49"/>
      <c r="Q69" s="49"/>
      <c r="R69" s="49"/>
    </row>
    <row r="70" spans="1:20" ht="23.5" x14ac:dyDescent="0.35">
      <c r="A70" s="49"/>
      <c r="B70" s="49"/>
      <c r="C70" s="57" t="s">
        <v>4</v>
      </c>
      <c r="D70" s="56" t="s">
        <v>5</v>
      </c>
      <c r="E70" s="56"/>
      <c r="F70" s="56" t="s">
        <v>47</v>
      </c>
      <c r="G70" s="64" t="s">
        <v>81</v>
      </c>
      <c r="H70" s="56" t="s">
        <v>6</v>
      </c>
      <c r="I70" s="56" t="s">
        <v>77</v>
      </c>
      <c r="J70" s="67" t="s">
        <v>78</v>
      </c>
      <c r="K70" s="66" t="s">
        <v>7</v>
      </c>
      <c r="L70" s="114" t="s">
        <v>182</v>
      </c>
      <c r="M70" s="117" t="s">
        <v>175</v>
      </c>
      <c r="N70" s="49"/>
      <c r="O70" s="49"/>
      <c r="P70" s="49"/>
      <c r="Q70" s="49"/>
      <c r="R70" s="49"/>
    </row>
    <row r="71" spans="1:20" ht="24" thickBot="1" x14ac:dyDescent="0.4">
      <c r="A71" s="49"/>
      <c r="B71" s="49"/>
      <c r="C71" s="111" t="str">
        <f>Data!H72</f>
        <v>HVDC Substation</v>
      </c>
      <c r="D71" s="50">
        <f>IF(H5=150,(Data!I75*Data!C99*2)*M71,(Data!I75*Data!C99*3)*M71)</f>
        <v>660000</v>
      </c>
      <c r="E71" s="50" t="s">
        <v>90</v>
      </c>
      <c r="F71" s="79">
        <f>F55*Data!C29</f>
        <v>5665.6236143285059</v>
      </c>
      <c r="G71" s="50">
        <f>D71*F71</f>
        <v>3739311585.4568138</v>
      </c>
      <c r="H71" s="50">
        <f>Data!I74</f>
        <v>50</v>
      </c>
      <c r="I71" s="62">
        <f>Data!I78</f>
        <v>1</v>
      </c>
      <c r="J71" s="50">
        <f>G71*I71</f>
        <v>3739311585.4568138</v>
      </c>
      <c r="K71" s="65">
        <f>G71*Data!I77</f>
        <v>93482789.636420354</v>
      </c>
      <c r="L71" s="157">
        <f>IF(H5=150,(Data!I76^2)*M71,(Data!I76^3)*M71)</f>
        <v>0.97029899999999991</v>
      </c>
      <c r="M71" s="118">
        <f>IF(AND(H4="Onshore centralized electrolysis", OR(VALUE(H5)=150, VALUE(H5)=250)), 1, 0)</f>
        <v>1</v>
      </c>
      <c r="N71" s="49"/>
      <c r="O71" s="49"/>
      <c r="P71" s="49"/>
      <c r="Q71" s="49"/>
      <c r="R71" s="49"/>
    </row>
    <row r="72" spans="1:20" ht="24" thickBot="1" x14ac:dyDescent="0.4">
      <c r="A72" s="49"/>
      <c r="B72" s="49"/>
      <c r="C72" s="54" t="s">
        <v>11</v>
      </c>
      <c r="D72" s="83">
        <f>$D$14</f>
        <v>0.05</v>
      </c>
      <c r="E72" s="53"/>
      <c r="F72" s="53"/>
      <c r="G72" s="53"/>
      <c r="H72" s="53"/>
      <c r="I72" s="53"/>
      <c r="J72" s="53"/>
      <c r="K72" s="63"/>
      <c r="L72" s="63"/>
      <c r="M72" s="119"/>
      <c r="N72" s="49"/>
      <c r="O72" s="49"/>
      <c r="P72" s="49"/>
      <c r="Q72" s="49"/>
      <c r="R72" s="49"/>
    </row>
    <row r="73" spans="1:20" ht="24" thickBot="1" x14ac:dyDescent="0.6">
      <c r="A73" s="49"/>
      <c r="B73" s="49"/>
      <c r="M73" s="120"/>
      <c r="N73" s="49"/>
      <c r="O73" s="49"/>
      <c r="P73" s="49"/>
      <c r="Q73" s="49"/>
      <c r="R73" s="49"/>
    </row>
    <row r="74" spans="1:20" ht="23.5" x14ac:dyDescent="0.35">
      <c r="A74" s="49"/>
      <c r="B74" s="49"/>
      <c r="C74" s="57" t="s">
        <v>4</v>
      </c>
      <c r="D74" s="56" t="s">
        <v>5</v>
      </c>
      <c r="E74" s="56"/>
      <c r="F74" s="56" t="s">
        <v>0</v>
      </c>
      <c r="G74" s="64" t="s">
        <v>81</v>
      </c>
      <c r="H74" s="56" t="s">
        <v>6</v>
      </c>
      <c r="I74" s="56" t="s">
        <v>77</v>
      </c>
      <c r="J74" s="67" t="s">
        <v>78</v>
      </c>
      <c r="K74" s="66" t="s">
        <v>7</v>
      </c>
      <c r="L74" s="114" t="s">
        <v>182</v>
      </c>
      <c r="M74" s="117" t="s">
        <v>175</v>
      </c>
      <c r="N74" s="49"/>
      <c r="O74" s="49"/>
      <c r="P74" s="49"/>
      <c r="Q74" s="49"/>
      <c r="R74" s="49"/>
    </row>
    <row r="75" spans="1:20" ht="24" thickBot="1" x14ac:dyDescent="0.4">
      <c r="A75" s="49"/>
      <c r="B75" s="49"/>
      <c r="C75" s="110" t="str">
        <f>Data!B55</f>
        <v>Pipeline (36 inch)</v>
      </c>
      <c r="D75" s="50">
        <f>IF(H6="Alkaline", (Data!C59*((F39*Data!C38)/10000))*M75, IF(H6="PEM", (Data!C59*((F39*Data!H38)/10000))*M75, ""))</f>
        <v>0</v>
      </c>
      <c r="E75" s="50" t="s">
        <v>90</v>
      </c>
      <c r="F75" s="50">
        <f>H5</f>
        <v>250</v>
      </c>
      <c r="G75" s="50">
        <f>D75*F75</f>
        <v>0</v>
      </c>
      <c r="H75" s="50">
        <f>Data!C57</f>
        <v>50</v>
      </c>
      <c r="I75" s="62">
        <f>Data!C62</f>
        <v>1</v>
      </c>
      <c r="J75" s="50">
        <f>G75*I75</f>
        <v>0</v>
      </c>
      <c r="K75" s="65">
        <f>G75*Data!C61</f>
        <v>0</v>
      </c>
      <c r="L75" s="116">
        <f>(1-(1-Data!C58)*H5)*M75</f>
        <v>0</v>
      </c>
      <c r="M75" s="118">
        <f>IF(OR(H4="Offshore decentralized electrolysis", H4="Offshore centralized electrolysis"), 1, 0)</f>
        <v>0</v>
      </c>
      <c r="N75" s="49"/>
      <c r="O75" s="49"/>
      <c r="P75" s="49"/>
      <c r="Q75" s="49"/>
      <c r="R75" s="49"/>
    </row>
    <row r="76" spans="1:20" ht="24" thickBot="1" x14ac:dyDescent="0.4">
      <c r="A76" s="49"/>
      <c r="B76" s="49"/>
      <c r="C76" s="54" t="s">
        <v>11</v>
      </c>
      <c r="D76" s="83">
        <f>$D$14</f>
        <v>0.05</v>
      </c>
      <c r="E76" s="53"/>
      <c r="F76" s="53"/>
      <c r="G76" s="53"/>
      <c r="H76" s="53"/>
      <c r="I76" s="53"/>
      <c r="J76" s="53"/>
      <c r="K76" s="63"/>
      <c r="L76" s="63"/>
      <c r="M76" s="119"/>
      <c r="N76" s="49"/>
      <c r="O76" s="49"/>
      <c r="P76" s="49"/>
      <c r="Q76" s="49"/>
      <c r="R76" s="49"/>
    </row>
    <row r="77" spans="1:20" ht="24" thickBot="1" x14ac:dyDescent="0.6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M77" s="120"/>
      <c r="N77" s="49"/>
      <c r="O77" s="49"/>
      <c r="P77" s="49"/>
      <c r="Q77" s="49"/>
      <c r="R77" s="49"/>
    </row>
    <row r="78" spans="1:20" ht="23.5" x14ac:dyDescent="0.35">
      <c r="A78" s="49"/>
      <c r="B78" s="49"/>
      <c r="C78" s="57"/>
      <c r="D78" s="56"/>
      <c r="E78" s="56"/>
      <c r="F78" s="56"/>
      <c r="G78" s="64"/>
      <c r="H78" s="56"/>
      <c r="I78" s="56"/>
      <c r="J78" s="67"/>
      <c r="K78" s="66"/>
      <c r="L78" s="114"/>
      <c r="M78" s="117"/>
      <c r="N78" s="49"/>
      <c r="O78" s="49"/>
      <c r="P78" s="49"/>
      <c r="Q78" s="49"/>
      <c r="R78" s="49"/>
    </row>
    <row r="79" spans="1:20" ht="24" thickBot="1" x14ac:dyDescent="0.4">
      <c r="A79" s="49"/>
      <c r="B79" s="49"/>
      <c r="C79" s="110"/>
      <c r="D79" s="50"/>
      <c r="E79" s="50"/>
      <c r="F79" s="79"/>
      <c r="G79" s="50"/>
      <c r="H79" s="50"/>
      <c r="I79" s="62"/>
      <c r="J79" s="50"/>
      <c r="K79" s="65"/>
      <c r="L79" s="116"/>
      <c r="M79" s="118"/>
      <c r="N79" s="49"/>
      <c r="O79" s="49"/>
      <c r="P79" s="49"/>
      <c r="Q79" s="49"/>
      <c r="R79" s="49"/>
    </row>
    <row r="80" spans="1:20" ht="24" thickBot="1" x14ac:dyDescent="0.4">
      <c r="A80" s="49"/>
      <c r="B80" s="49"/>
      <c r="C80" s="54"/>
      <c r="D80" s="83"/>
      <c r="E80" s="53"/>
      <c r="F80" s="53"/>
      <c r="G80" s="53"/>
      <c r="H80" s="53"/>
      <c r="I80" s="53"/>
      <c r="J80" s="53"/>
      <c r="K80" s="63"/>
      <c r="L80" s="63"/>
      <c r="M80" s="119"/>
      <c r="N80" s="49"/>
      <c r="O80" s="49"/>
      <c r="P80" s="49"/>
      <c r="Q80" s="49"/>
      <c r="R80" s="49"/>
      <c r="S80" s="49"/>
      <c r="T80" s="49"/>
    </row>
    <row r="81" spans="1:20" ht="24" thickBot="1" x14ac:dyDescent="0.6">
      <c r="A81" s="49"/>
      <c r="B81" s="49"/>
      <c r="M81" s="120"/>
      <c r="N81" s="49"/>
      <c r="O81" s="49"/>
      <c r="P81" s="49"/>
      <c r="Q81" s="49"/>
      <c r="R81" s="49"/>
      <c r="S81" s="49"/>
      <c r="T81" s="49"/>
    </row>
    <row r="82" spans="1:20" ht="23.5" x14ac:dyDescent="0.35">
      <c r="A82" s="49"/>
      <c r="B82" s="49"/>
      <c r="C82" s="57" t="s">
        <v>4</v>
      </c>
      <c r="D82" s="56" t="s">
        <v>184</v>
      </c>
      <c r="E82" s="56"/>
      <c r="F82" s="56" t="s">
        <v>183</v>
      </c>
      <c r="G82" s="64" t="s">
        <v>81</v>
      </c>
      <c r="H82" s="56" t="s">
        <v>6</v>
      </c>
      <c r="I82" s="56" t="s">
        <v>77</v>
      </c>
      <c r="J82" s="67" t="s">
        <v>78</v>
      </c>
      <c r="K82" s="66" t="s">
        <v>7</v>
      </c>
      <c r="L82" s="114" t="s">
        <v>182</v>
      </c>
      <c r="M82" s="117" t="s">
        <v>175</v>
      </c>
      <c r="N82" s="49"/>
      <c r="O82" s="49"/>
      <c r="P82" s="49"/>
      <c r="Q82" s="49"/>
      <c r="R82" s="49"/>
    </row>
    <row r="83" spans="1:20" ht="24" thickBot="1" x14ac:dyDescent="0.4">
      <c r="A83" s="49"/>
      <c r="B83" s="49"/>
      <c r="C83" s="111" t="str">
        <f>Data!G81</f>
        <v>Desalination (reverse osmosis) system</v>
      </c>
      <c r="D83" s="78">
        <f>IF(OR(H4="Offshore centralized electrolysis", H4="Onshore centralized electrolysis"), (Data!H83+Variables!B25*M83), IF(H4="Offshore decentralized electrolysis", (Data!H83+Variables!C25*M83), 0))</f>
        <v>0.04</v>
      </c>
      <c r="E83" s="50" t="s">
        <v>90</v>
      </c>
      <c r="F83" s="79">
        <f>D20</f>
        <v>8493211.2957878616</v>
      </c>
      <c r="G83" s="50">
        <f>D83*F83</f>
        <v>339728.45183151448</v>
      </c>
      <c r="H83" s="50">
        <f>Data!H84</f>
        <v>25</v>
      </c>
      <c r="I83" s="62">
        <f>Data!H87</f>
        <v>1</v>
      </c>
      <c r="J83" s="50">
        <f>G83*I83</f>
        <v>339728.45183151448</v>
      </c>
      <c r="K83" s="65">
        <f>G83*Data!H86</f>
        <v>8493.2112957878617</v>
      </c>
      <c r="L83" s="116">
        <f>Data!H85*M83</f>
        <v>0.99</v>
      </c>
      <c r="M83" s="118">
        <v>1</v>
      </c>
      <c r="N83" s="49"/>
      <c r="O83" s="49"/>
      <c r="P83" s="49"/>
      <c r="Q83" s="49"/>
      <c r="R83" s="49"/>
    </row>
    <row r="84" spans="1:20" ht="24" thickBot="1" x14ac:dyDescent="0.4">
      <c r="A84" s="49"/>
      <c r="B84" s="49"/>
      <c r="C84" s="54" t="s">
        <v>11</v>
      </c>
      <c r="D84" s="83">
        <f>$D$14</f>
        <v>0.05</v>
      </c>
      <c r="E84" s="53"/>
      <c r="F84" s="53"/>
      <c r="G84" s="53"/>
      <c r="H84" s="53"/>
      <c r="I84" s="53"/>
      <c r="J84" s="53"/>
      <c r="K84" s="63"/>
      <c r="L84" s="63"/>
      <c r="M84" s="119"/>
      <c r="N84" s="49"/>
      <c r="O84" s="49"/>
      <c r="P84" s="49"/>
      <c r="Q84" s="49"/>
      <c r="R84" s="49"/>
    </row>
    <row r="85" spans="1:20" ht="24" thickBot="1" x14ac:dyDescent="0.6">
      <c r="A85" s="49"/>
      <c r="B85" s="49"/>
      <c r="M85" s="120"/>
      <c r="N85" s="49"/>
      <c r="O85" s="49"/>
      <c r="P85" s="49"/>
      <c r="Q85" s="49"/>
      <c r="R85" s="49"/>
    </row>
    <row r="86" spans="1:20" ht="23.5" x14ac:dyDescent="0.35">
      <c r="A86" s="49"/>
      <c r="B86" s="49"/>
      <c r="C86" s="57" t="s">
        <v>4</v>
      </c>
      <c r="D86" s="56" t="s">
        <v>185</v>
      </c>
      <c r="E86" s="56"/>
      <c r="F86" s="56" t="s">
        <v>204</v>
      </c>
      <c r="G86" s="64" t="s">
        <v>81</v>
      </c>
      <c r="H86" s="56" t="s">
        <v>6</v>
      </c>
      <c r="I86" s="56" t="s">
        <v>77</v>
      </c>
      <c r="J86" s="67" t="s">
        <v>78</v>
      </c>
      <c r="K86" s="66" t="s">
        <v>7</v>
      </c>
      <c r="L86" s="114" t="s">
        <v>182</v>
      </c>
      <c r="M86" s="117" t="s">
        <v>175</v>
      </c>
      <c r="N86" s="49"/>
      <c r="O86" s="49"/>
      <c r="P86" s="49"/>
      <c r="Q86" s="49"/>
      <c r="R86" s="49"/>
    </row>
    <row r="87" spans="1:20" ht="24" thickBot="1" x14ac:dyDescent="0.4">
      <c r="A87" s="49"/>
      <c r="B87" s="49"/>
      <c r="C87" s="111" t="str">
        <f>Data!B81</f>
        <v>Onshore compressor system</v>
      </c>
      <c r="D87" s="50">
        <f>(Data!C83)*M87</f>
        <v>3000000</v>
      </c>
      <c r="E87" s="50" t="s">
        <v>90</v>
      </c>
      <c r="F87" s="79">
        <f>(D8*Data!C84)/D11</f>
        <v>43.066292936745192</v>
      </c>
      <c r="G87" s="50">
        <f>D87*F87</f>
        <v>129198878.81023557</v>
      </c>
      <c r="H87" s="50">
        <f>Data!C86</f>
        <v>25</v>
      </c>
      <c r="I87" s="62">
        <f>Data!C87</f>
        <v>1</v>
      </c>
      <c r="J87" s="50">
        <f>G87*I87</f>
        <v>129198878.81023557</v>
      </c>
      <c r="K87" s="122">
        <f>G87*Data!C88</f>
        <v>3875966.3643070669</v>
      </c>
      <c r="L87" s="116">
        <f>Data!C85*M87</f>
        <v>0.98</v>
      </c>
      <c r="M87" s="118">
        <v>1</v>
      </c>
      <c r="N87" s="49"/>
      <c r="O87" s="49"/>
      <c r="P87" s="49"/>
      <c r="Q87" s="49"/>
      <c r="R87" s="49"/>
    </row>
    <row r="88" spans="1:20" ht="24" thickBot="1" x14ac:dyDescent="0.4">
      <c r="A88" s="49"/>
      <c r="B88" s="49"/>
      <c r="C88" s="54" t="s">
        <v>11</v>
      </c>
      <c r="D88" s="83">
        <f>$D$14</f>
        <v>0.05</v>
      </c>
      <c r="E88" s="53"/>
      <c r="F88" s="53"/>
      <c r="G88" s="53"/>
      <c r="H88" s="53"/>
      <c r="I88" s="53"/>
      <c r="J88" s="53"/>
      <c r="K88" s="63"/>
      <c r="L88" s="63"/>
      <c r="M88" s="119"/>
      <c r="N88" s="49"/>
      <c r="O88" s="49"/>
      <c r="P88" s="49"/>
      <c r="Q88" s="49"/>
      <c r="R88" s="49"/>
    </row>
    <row r="89" spans="1:20" ht="24" thickBot="1" x14ac:dyDescent="0.6">
      <c r="A89" s="49"/>
      <c r="B89" s="49"/>
      <c r="G89" s="49"/>
      <c r="H89" s="49"/>
      <c r="I89" s="49"/>
      <c r="J89" s="49"/>
      <c r="K89" s="49"/>
      <c r="M89" s="120"/>
      <c r="N89" s="49"/>
      <c r="O89" s="49"/>
      <c r="P89" s="49"/>
      <c r="Q89" s="49"/>
      <c r="R89" s="49"/>
    </row>
    <row r="90" spans="1:20" ht="23.5" x14ac:dyDescent="0.35">
      <c r="A90" s="49"/>
      <c r="B90" s="49"/>
      <c r="C90" s="57" t="s">
        <v>4</v>
      </c>
      <c r="D90" s="56" t="s">
        <v>210</v>
      </c>
      <c r="E90" s="56"/>
      <c r="F90" s="56" t="s">
        <v>211</v>
      </c>
      <c r="G90" s="64" t="s">
        <v>81</v>
      </c>
      <c r="H90" s="56" t="s">
        <v>6</v>
      </c>
      <c r="I90" s="56" t="s">
        <v>77</v>
      </c>
      <c r="J90" s="67" t="s">
        <v>78</v>
      </c>
      <c r="K90" s="66" t="s">
        <v>7</v>
      </c>
      <c r="L90" s="114" t="s">
        <v>182</v>
      </c>
      <c r="M90" s="117" t="s">
        <v>175</v>
      </c>
      <c r="N90" s="49"/>
      <c r="O90" s="49"/>
      <c r="P90" s="49"/>
      <c r="Q90" s="49"/>
      <c r="R90" s="49"/>
    </row>
    <row r="91" spans="1:20" ht="24" thickBot="1" x14ac:dyDescent="0.4">
      <c r="A91" s="49"/>
      <c r="B91" s="49"/>
      <c r="C91" s="111" t="str">
        <f>Data!B102</f>
        <v>Offshore compressor system</v>
      </c>
      <c r="D91" s="50">
        <f>(Data!C104)*M91</f>
        <v>0</v>
      </c>
      <c r="E91" s="50" t="s">
        <v>90</v>
      </c>
      <c r="F91" s="50">
        <f>D91*H5</f>
        <v>0</v>
      </c>
      <c r="G91" s="50">
        <f>D91*F91</f>
        <v>0</v>
      </c>
      <c r="H91" s="50">
        <f>Data!C106</f>
        <v>25</v>
      </c>
      <c r="I91" s="62">
        <f>Data!C107</f>
        <v>1</v>
      </c>
      <c r="J91" s="50">
        <f>G91*I91</f>
        <v>0</v>
      </c>
      <c r="K91" s="65">
        <f>G91*Data!C108</f>
        <v>0</v>
      </c>
      <c r="L91" s="116">
        <f>Data!C105*M91</f>
        <v>0</v>
      </c>
      <c r="M91" s="118">
        <f>IF(OR(H4="Offshore centralized electrolysis", H4="Offshore decentralized electrolysis"), 1, 0)</f>
        <v>0</v>
      </c>
      <c r="N91" s="49"/>
      <c r="O91" s="49"/>
      <c r="P91" s="49"/>
      <c r="Q91" s="49"/>
      <c r="R91" s="49"/>
    </row>
    <row r="92" spans="1:20" ht="24" thickBot="1" x14ac:dyDescent="0.4">
      <c r="A92" s="49"/>
      <c r="B92" s="49"/>
      <c r="C92" s="54" t="s">
        <v>11</v>
      </c>
      <c r="D92" s="83">
        <f>$D$14</f>
        <v>0.05</v>
      </c>
      <c r="E92" s="53"/>
      <c r="F92" s="53"/>
      <c r="G92" s="53"/>
      <c r="H92" s="53"/>
      <c r="I92" s="53"/>
      <c r="J92" s="53"/>
      <c r="K92" s="63"/>
      <c r="L92" s="63"/>
      <c r="M92" s="119"/>
      <c r="N92" s="49"/>
      <c r="O92" s="49"/>
      <c r="P92" s="49"/>
      <c r="Q92" s="49"/>
      <c r="R92" s="49"/>
    </row>
    <row r="93" spans="1:20" ht="15" thickBot="1" x14ac:dyDescent="0.4">
      <c r="A93" s="49"/>
      <c r="B93" s="49"/>
      <c r="N93" s="49"/>
      <c r="O93" s="49"/>
      <c r="P93" s="49"/>
      <c r="Q93" s="49"/>
      <c r="R93" s="49"/>
    </row>
    <row r="94" spans="1:20" ht="23.5" x14ac:dyDescent="0.35">
      <c r="A94" s="49"/>
      <c r="B94" s="49"/>
      <c r="C94" s="57" t="s">
        <v>4</v>
      </c>
      <c r="D94" s="56" t="s">
        <v>186</v>
      </c>
      <c r="E94" s="56"/>
      <c r="F94" s="56" t="s">
        <v>102</v>
      </c>
      <c r="G94" s="64" t="s">
        <v>81</v>
      </c>
      <c r="H94" s="56" t="s">
        <v>6</v>
      </c>
      <c r="I94" s="56" t="s">
        <v>77</v>
      </c>
      <c r="J94" s="67" t="s">
        <v>78</v>
      </c>
      <c r="K94" s="66" t="s">
        <v>7</v>
      </c>
      <c r="L94" s="114" t="s">
        <v>182</v>
      </c>
      <c r="M94" s="117" t="s">
        <v>175</v>
      </c>
      <c r="N94" s="49"/>
      <c r="O94" s="49"/>
      <c r="P94" s="49"/>
      <c r="Q94" s="49"/>
      <c r="R94" s="49"/>
    </row>
    <row r="95" spans="1:20" ht="24" thickBot="1" x14ac:dyDescent="0.4">
      <c r="C95" s="111" t="s">
        <v>278</v>
      </c>
      <c r="D95" s="50">
        <f>IF(OR(H4="Offshore centralized electrolysis", H4="Offshore decentralized electrolysis"), (Data!I59*Data!C99+Data!I59)*M95, IF(H4="Onshore centralized electrolysis", (Data!I59)*M95, 0))</f>
        <v>1000000</v>
      </c>
      <c r="E95" s="50" t="s">
        <v>90</v>
      </c>
      <c r="F95" s="50">
        <v>1</v>
      </c>
      <c r="G95" s="50">
        <f>D95*F95</f>
        <v>1000000</v>
      </c>
      <c r="H95" s="50">
        <f>Data!I57</f>
        <v>50</v>
      </c>
      <c r="I95" s="62">
        <f>Data!I61</f>
        <v>1</v>
      </c>
      <c r="J95" s="50">
        <f>G95*I95</f>
        <v>1000000</v>
      </c>
      <c r="K95" s="65">
        <f>G95*Data!I60</f>
        <v>10000</v>
      </c>
      <c r="L95" s="116">
        <f>Data!I58*M95</f>
        <v>1</v>
      </c>
      <c r="M95" s="118">
        <v>1</v>
      </c>
    </row>
    <row r="96" spans="1:20" ht="24" thickBot="1" x14ac:dyDescent="0.4">
      <c r="C96" s="54" t="s">
        <v>11</v>
      </c>
      <c r="D96" s="83">
        <f>$D$14</f>
        <v>0.05</v>
      </c>
      <c r="E96" s="53"/>
      <c r="F96" s="53"/>
      <c r="G96" s="53"/>
      <c r="H96" s="53"/>
      <c r="I96" s="53"/>
      <c r="J96" s="53"/>
      <c r="K96" s="63"/>
      <c r="L96" s="63"/>
      <c r="M96" s="119"/>
    </row>
    <row r="97" spans="3:13" ht="24" thickBot="1" x14ac:dyDescent="0.4">
      <c r="M97" s="121"/>
    </row>
    <row r="98" spans="3:13" ht="23.5" x14ac:dyDescent="0.35">
      <c r="C98" s="57" t="s">
        <v>4</v>
      </c>
      <c r="D98" s="56" t="s">
        <v>270</v>
      </c>
      <c r="E98" s="56"/>
      <c r="F98" s="56" t="s">
        <v>242</v>
      </c>
      <c r="G98" s="64" t="s">
        <v>81</v>
      </c>
      <c r="H98" s="56"/>
      <c r="I98" s="56"/>
      <c r="J98" s="67"/>
      <c r="K98" s="66" t="s">
        <v>7</v>
      </c>
      <c r="L98" s="114" t="s">
        <v>182</v>
      </c>
      <c r="M98" s="117" t="s">
        <v>175</v>
      </c>
    </row>
    <row r="99" spans="3:13" ht="24" thickBot="1" x14ac:dyDescent="0.4">
      <c r="C99" s="111" t="str">
        <f>Data!H97</f>
        <v>Land area cost</v>
      </c>
      <c r="D99" s="79">
        <f>Data!I99*M99</f>
        <v>500000</v>
      </c>
      <c r="E99" s="50" t="s">
        <v>90</v>
      </c>
      <c r="F99" s="50">
        <f>IF(H6="Alkaline", Data!C51, IF(H6="PEM", Data!H51, ""))</f>
        <v>7.5</v>
      </c>
      <c r="G99" s="50">
        <f>D99*F99</f>
        <v>3750000</v>
      </c>
      <c r="H99" s="50"/>
      <c r="I99" s="62"/>
      <c r="J99" s="50"/>
      <c r="K99" s="65">
        <f>G99*Data!I100</f>
        <v>187500</v>
      </c>
      <c r="L99" s="115"/>
      <c r="M99" s="118">
        <f>IF(H4="Onshore centralized electrolysis", 1, 0)</f>
        <v>1</v>
      </c>
    </row>
    <row r="100" spans="3:13" ht="24" thickBot="1" x14ac:dyDescent="0.4">
      <c r="C100" s="54" t="s">
        <v>11</v>
      </c>
      <c r="D100" s="83">
        <f>$D$14</f>
        <v>0.05</v>
      </c>
      <c r="E100" s="53"/>
      <c r="F100" s="53"/>
      <c r="G100" s="53"/>
      <c r="H100" s="53"/>
      <c r="I100" s="53"/>
      <c r="J100" s="53"/>
      <c r="K100" s="63"/>
      <c r="L100" s="63"/>
      <c r="M100" s="119"/>
    </row>
    <row r="101" spans="3:13" ht="15" thickBot="1" x14ac:dyDescent="0.4"/>
    <row r="102" spans="3:13" ht="23.5" x14ac:dyDescent="0.35">
      <c r="C102" s="57" t="s">
        <v>4</v>
      </c>
      <c r="D102" s="56" t="s">
        <v>89</v>
      </c>
      <c r="E102" s="56"/>
      <c r="F102" s="56" t="s">
        <v>100</v>
      </c>
      <c r="G102" s="64" t="s">
        <v>81</v>
      </c>
      <c r="H102" s="56"/>
      <c r="I102" s="56"/>
      <c r="J102" s="67"/>
      <c r="K102" s="66" t="s">
        <v>7</v>
      </c>
      <c r="L102" s="114" t="s">
        <v>182</v>
      </c>
      <c r="M102" s="117" t="s">
        <v>175</v>
      </c>
    </row>
    <row r="103" spans="3:13" ht="24" thickBot="1" x14ac:dyDescent="0.4">
      <c r="C103" s="111" t="str">
        <f>Data!B90</f>
        <v>Other cost (labor, development, permitting, etc.)</v>
      </c>
      <c r="D103" s="50">
        <f>((G23+G27+G31+G35+G39+G43+G47+G51+G55+G59+G63+G67+G71+G75+G79+G83+G87+G91+G95+G99)*Data!C92)*M103</f>
        <v>6788113169.8691835</v>
      </c>
      <c r="E103" s="50" t="s">
        <v>90</v>
      </c>
      <c r="F103" s="50">
        <v>1</v>
      </c>
      <c r="G103" s="50">
        <f>D103*F103</f>
        <v>6788113169.8691835</v>
      </c>
      <c r="H103" s="50"/>
      <c r="I103" s="62"/>
      <c r="J103" s="50"/>
      <c r="K103" s="65">
        <f>Data!C93*D103</f>
        <v>135762263.39738366</v>
      </c>
      <c r="L103" s="115"/>
      <c r="M103" s="118">
        <v>1</v>
      </c>
    </row>
    <row r="104" spans="3:13" ht="24" thickBot="1" x14ac:dyDescent="0.4">
      <c r="C104" s="54" t="s">
        <v>11</v>
      </c>
      <c r="D104" s="83">
        <f>$D$14</f>
        <v>0.05</v>
      </c>
      <c r="E104" s="53"/>
      <c r="F104" s="53"/>
      <c r="G104" s="53"/>
      <c r="H104" s="53"/>
      <c r="I104" s="53"/>
      <c r="J104" s="53"/>
      <c r="K104" s="63"/>
      <c r="L104" s="63"/>
      <c r="M104" s="119"/>
    </row>
    <row r="105" spans="3:13" ht="24" thickBot="1" x14ac:dyDescent="0.6">
      <c r="M105" s="120"/>
    </row>
    <row r="106" spans="3:13" ht="23.5" x14ac:dyDescent="0.35">
      <c r="C106" s="57" t="s">
        <v>4</v>
      </c>
      <c r="D106" s="56" t="s">
        <v>89</v>
      </c>
      <c r="E106" s="56"/>
      <c r="F106" s="56" t="s">
        <v>100</v>
      </c>
      <c r="G106" s="64" t="s">
        <v>81</v>
      </c>
      <c r="H106" s="56"/>
      <c r="I106" s="56"/>
      <c r="J106" s="67"/>
      <c r="K106" s="66" t="s">
        <v>7</v>
      </c>
      <c r="L106" s="114" t="s">
        <v>182</v>
      </c>
      <c r="M106" s="117" t="s">
        <v>175</v>
      </c>
    </row>
    <row r="107" spans="3:13" ht="24" thickBot="1" x14ac:dyDescent="0.4">
      <c r="C107" s="111" t="str">
        <f>Data!G90</f>
        <v>System contigency cost</v>
      </c>
      <c r="D107" s="50">
        <f>((G23+G27+G31+G35+G39+G43+G47+G51+G55+G59+G63+G67+G71+G75+G79+G83+G87+G95+G99+G103)*Data!H92)*M107</f>
        <v>4072867901.9215107</v>
      </c>
      <c r="E107" s="50" t="s">
        <v>90</v>
      </c>
      <c r="F107" s="50">
        <v>1</v>
      </c>
      <c r="G107" s="50">
        <f>D107*F107</f>
        <v>4072867901.9215107</v>
      </c>
      <c r="H107" s="50"/>
      <c r="I107" s="62"/>
      <c r="J107" s="50"/>
      <c r="K107" s="65"/>
      <c r="L107" s="115"/>
      <c r="M107" s="118">
        <v>1</v>
      </c>
    </row>
    <row r="108" spans="3:13" ht="24" thickBot="1" x14ac:dyDescent="0.4">
      <c r="C108" s="54" t="s">
        <v>11</v>
      </c>
      <c r="D108" s="83">
        <f>$D$14</f>
        <v>0.05</v>
      </c>
      <c r="E108" s="53"/>
      <c r="F108" s="53"/>
      <c r="G108" s="53"/>
      <c r="H108" s="53"/>
      <c r="I108" s="53"/>
      <c r="J108" s="53"/>
      <c r="K108" s="63"/>
      <c r="L108" s="63"/>
      <c r="M108" s="119"/>
    </row>
    <row r="112" spans="3:13" ht="15" thickBot="1" x14ac:dyDescent="0.4"/>
    <row r="113" spans="3:12" ht="15" thickBot="1" x14ac:dyDescent="0.4">
      <c r="C113" s="58" t="s">
        <v>15</v>
      </c>
      <c r="D113" s="58" t="s">
        <v>16</v>
      </c>
      <c r="E113" s="58" t="s">
        <v>17</v>
      </c>
      <c r="F113" s="58" t="s">
        <v>18</v>
      </c>
      <c r="G113" s="59" t="s">
        <v>19</v>
      </c>
      <c r="H113" s="58" t="s">
        <v>20</v>
      </c>
      <c r="I113" s="59" t="s">
        <v>21</v>
      </c>
      <c r="J113" s="58" t="s">
        <v>22</v>
      </c>
      <c r="K113" s="58" t="s">
        <v>23</v>
      </c>
      <c r="L113" s="58" t="s">
        <v>24</v>
      </c>
    </row>
    <row r="114" spans="3:12" x14ac:dyDescent="0.35">
      <c r="C114" s="68">
        <v>0</v>
      </c>
      <c r="D114" s="71">
        <f>$G$23+$G$27+$G$31+$G$35+$G$39+$G$43+$G$47+$G$51+$G$55+$G$59+$G$63+$G$67+$G$71+$G$75+$G$79+$G$83+$G$87+$G$91+$G$95+$G$99+$G$103+$G$107</f>
        <v>44801546921.136612</v>
      </c>
      <c r="E114" s="71">
        <v>0</v>
      </c>
      <c r="F114" s="71">
        <v>0</v>
      </c>
      <c r="G114" s="127">
        <v>0</v>
      </c>
      <c r="H114" s="72">
        <f t="shared" ref="H114:H139" si="0">(1+$D$14)^$C114</f>
        <v>1</v>
      </c>
      <c r="I114" s="73">
        <f t="shared" ref="I114:I139" si="1">D114*$H114*(1+$D$15)^C114</f>
        <v>44801546921.136612</v>
      </c>
      <c r="J114" s="73">
        <f t="shared" ref="J114:J139" si="2">E114*$H114*(1+$D$15)^C114</f>
        <v>0</v>
      </c>
      <c r="K114" s="73">
        <f t="shared" ref="K114:K139" si="3">F114*$H114*(1+$D$15)^C114</f>
        <v>0</v>
      </c>
      <c r="L114" s="74">
        <f t="shared" ref="L114:L139" si="4">G114*$H114</f>
        <v>0</v>
      </c>
    </row>
    <row r="115" spans="3:12" x14ac:dyDescent="0.35">
      <c r="C115" s="69">
        <v>1</v>
      </c>
      <c r="D115" s="75">
        <v>0</v>
      </c>
      <c r="E115" s="126">
        <f>$K$23+$K$27+$K$31+$K$35+$K$39+$K$43+$K$47+$K$51+$K$55+$K$59+$K$63+$K$67+$K$71+$K$75+$K$79+$K$83+$K$87+$K$91+$K$95+$K$99+$K$103+$K$107</f>
        <v>780729613.71556294</v>
      </c>
      <c r="F115" s="71">
        <f>(IF(MOD(C115,$H$23)=0,$J$23,0))+(IF(MOD(C115,$H$27)=0,$J$27,0))+(IF(MOD(C115,$H$31)=0,$J$31,0))+(IF(MOD(C115,$H$35)=0,$J$35,0))+(IF(MOD(C115,$H$39)=0,$J$39,0))+(IF(MOD(C115,$H$43)=0,$J$43,0))+(IF(MOD(C115,$H$47)=0,$J$47,0))+(IF(MOD(C115,$H$51)=0,$J$51,0))+(IF(MOD(C115,$H$55)=0,$J$55,0))+(IF(MOD(C115,$H$59)=0,$J$59,0))+(IF(MOD(C115,$H$63)=0,$J$63,0))+(IF(MOD(C115,$H$67)=0,$J$67,0))+(IF(MOD(C115,$H$71)=0,$J$71,0))+(IF(MOD(C115,$H$75)=0,$J$75,0))+(IF(MOD(C115,$H$83)=0,$J$83,0))+(IF(MOD(C115,$H$87)=0,$J$87,0))+(IF(MOD(C115,$H$91)=0,$J$91,0))+(IF(MOD(C115,$H$95)=0,$J$95,0))</f>
        <v>0</v>
      </c>
      <c r="G115" s="128">
        <f>$D$8</f>
        <v>943690143.97642899</v>
      </c>
      <c r="H115" s="76">
        <f t="shared" si="0"/>
        <v>1.05</v>
      </c>
      <c r="I115" s="73">
        <f t="shared" si="1"/>
        <v>0</v>
      </c>
      <c r="J115" s="73">
        <f t="shared" si="2"/>
        <v>844359077.23338139</v>
      </c>
      <c r="K115" s="73">
        <f>F115*$H115*(1+$D$15)^C115</f>
        <v>0</v>
      </c>
      <c r="L115" s="97">
        <f t="shared" si="4"/>
        <v>990874651.17525053</v>
      </c>
    </row>
    <row r="116" spans="3:12" x14ac:dyDescent="0.35">
      <c r="C116" s="69">
        <v>2</v>
      </c>
      <c r="D116" s="75">
        <v>0</v>
      </c>
      <c r="E116" s="126">
        <f>$K$23+$K$27+$K$31+$K$35+$K$39+$K$43+$K$47+$K$51+$K$55+$K$59+$K$63+$K$67+$K$71+$K$75+$K$79+$K$83+$K$87+$K$91+$K$95+$K$99+$K$103+$K$107</f>
        <v>780729613.71556294</v>
      </c>
      <c r="F116" s="71">
        <f>(IF(MOD(C115,$H$23)=0,$J$23,0))+(IF(MOD(C115,$H$27)=0,$J$27,0))+(IF(MOD(C115,$H$31)=0,$J$31,0))+(IF(MOD(C115,$H$35)=0,$J$35,0))+(IF(MOD(C115,$H$39)=0,$J$39,0))+(IF(MOD(C115,$H$43)=0,$J$43,0))+(IF(MOD(C115,$H$47)=0,$J$47,0))+(IF(MOD(C115,$H$51)=0,$J$51,0))+(IF(MOD(C115,$H$55)=0,$J$55,0))+(IF(MOD(C115,$H$59)=0,$J$59,0))+(IF(MOD(C115,$H$63)=0,$J$63,0))+(IF(MOD(C115,$H$67)=0,$J$67,0))+(IF(MOD(C115,$H$71)=0,$J$71,0))+(IF(MOD(C115,$H$75)=0,$J$75,0))+(IF(MOD(C115,$H$83)=0,$J$83,0))+(IF(MOD(C115,$H$87)=0,$J$87,0))+(IF(MOD(C115,$H$91)=0,$J$91,0))+(IF(MOD(C115,$H$95)=0,$J$95,0))</f>
        <v>0</v>
      </c>
      <c r="G116" s="128">
        <f>IF(
    $H$6="Alkaline",
    IF(
        OR(
            Data!$C$37=C115,
            MOD(C115,Data!$C$37)=0
        ),
        $D$8,
        G115*Data!$C$42
    ),
    IF(
        $H$6="PEM",
        IF(
            OR(
                Data!$H$37=C115,
                MOD(C115,Data!$H$37)=0
            ),
            $D$8,
            G115*Data!$H$42
        ),
        ""
    )
)</f>
        <v>934253242.53666472</v>
      </c>
      <c r="H116" s="76">
        <f t="shared" si="0"/>
        <v>1.1025</v>
      </c>
      <c r="I116" s="73">
        <f t="shared" si="1"/>
        <v>0</v>
      </c>
      <c r="J116" s="73">
        <f t="shared" si="2"/>
        <v>913174342.02790189</v>
      </c>
      <c r="K116" s="73">
        <f>F116*$H116*(1+$D$15)^C116</f>
        <v>0</v>
      </c>
      <c r="L116" s="74">
        <f t="shared" si="4"/>
        <v>1030014199.8966728</v>
      </c>
    </row>
    <row r="117" spans="3:12" x14ac:dyDescent="0.35">
      <c r="C117" s="69">
        <v>3</v>
      </c>
      <c r="D117" s="75">
        <v>0</v>
      </c>
      <c r="E117" s="126">
        <f t="shared" ref="E117:E139" si="5">$K$23+$K$27+$K$31+$K$35+$K$39+$K$43+$K$47+$K$51+$K$55+$K$59+$K$63+$K$67+$K$71+$K$75+$K$79+$K$83+$K$87+$K$91+$K$95+$K$99+$K$103+$K$107</f>
        <v>780729613.71556294</v>
      </c>
      <c r="F117" s="71">
        <f t="shared" ref="F117:F139" si="6">(IF(MOD(C116,$H$23)=0,$J$23,0))+(IF(MOD(C116,$H$27)=0,$J$27,0))+(IF(MOD(C116,$H$31)=0,$J$31,0))+(IF(MOD(C116,$H$35)=0,$J$35,0))+(IF(MOD(C116,$H$39)=0,$J$39,0))+(IF(MOD(C116,$H$43)=0,$J$43,0))+(IF(MOD(C116,$H$47)=0,$J$47,0))+(IF(MOD(C116,$H$51)=0,$J$51,0))+(IF(MOD(C116,$H$55)=0,$J$55,0))+(IF(MOD(C116,$H$59)=0,$J$59,0))+(IF(MOD(C116,$H$63)=0,$J$63,0))+(IF(MOD(C116,$H$67)=0,$J$67,0))+(IF(MOD(C116,$H$71)=0,$J$71,0))+(IF(MOD(C116,$H$75)=0,$J$75,0))+(IF(MOD(C116,$H$83)=0,$J$83,0))+(IF(MOD(C116,$H$87)=0,$J$87,0))+(IF(MOD(C116,$H$91)=0,$J$91,0))+(IF(MOD(C116,$H$95)=0,$J$95,0))</f>
        <v>0</v>
      </c>
      <c r="G117" s="128">
        <f>IF(
    $H$6="Alkaline",
    IF(
        OR(
            Data!$C$37=C116,
            MOD(C116,Data!$C$37)=0
        ),
        $D$8,
        G116*Data!$C$42
    ),
    IF(
        $H$6="PEM",
        IF(
            OR(
                Data!$H$37=C116,
                MOD(C116,Data!$H$37)=0
            ),
            $D$8,
            G116*Data!$H$42
        ),
        ""
    )
)</f>
        <v>924910710.11129808</v>
      </c>
      <c r="H117" s="76">
        <f>(1+$D$14)^$C117</f>
        <v>1.1576250000000001</v>
      </c>
      <c r="I117" s="73">
        <f t="shared" si="1"/>
        <v>0</v>
      </c>
      <c r="J117" s="73">
        <f t="shared" si="2"/>
        <v>987598050.90317607</v>
      </c>
      <c r="K117" s="73">
        <f t="shared" si="3"/>
        <v>0</v>
      </c>
      <c r="L117" s="74">
        <f t="shared" si="4"/>
        <v>1070699760.7925916</v>
      </c>
    </row>
    <row r="118" spans="3:12" x14ac:dyDescent="0.35">
      <c r="C118" s="69">
        <v>4</v>
      </c>
      <c r="D118" s="75">
        <v>0</v>
      </c>
      <c r="E118" s="126">
        <f t="shared" si="5"/>
        <v>780729613.71556294</v>
      </c>
      <c r="F118" s="71">
        <f t="shared" si="6"/>
        <v>0</v>
      </c>
      <c r="G118" s="128">
        <f>IF(
    $H$6="Alkaline",
    IF(
        OR(
            Data!$C$37=C117,
            MOD(C117,Data!$C$37)=0
        ),
        $D$8,
        G117*Data!$C$42
    ),
    IF(
        $H$6="PEM",
        IF(
            OR(
                Data!$H$37=C117,
                MOD(C117,Data!$H$37)=0
            ),
            $D$8,
            G117*Data!$H$42
        ),
        ""
    )
)</f>
        <v>915661603.01018512</v>
      </c>
      <c r="H118" s="76">
        <f t="shared" si="0"/>
        <v>1.21550625</v>
      </c>
      <c r="I118" s="73">
        <f t="shared" si="1"/>
        <v>0</v>
      </c>
      <c r="J118" s="73">
        <f t="shared" si="2"/>
        <v>1068087292.0517848</v>
      </c>
      <c r="K118" s="73">
        <f t="shared" si="3"/>
        <v>0</v>
      </c>
      <c r="L118" s="74">
        <f t="shared" si="4"/>
        <v>1112992401.3438988</v>
      </c>
    </row>
    <row r="119" spans="3:12" x14ac:dyDescent="0.35">
      <c r="C119" s="69">
        <v>5</v>
      </c>
      <c r="D119" s="75">
        <v>0</v>
      </c>
      <c r="E119" s="126">
        <f t="shared" si="5"/>
        <v>780729613.71556294</v>
      </c>
      <c r="F119" s="71">
        <f t="shared" si="6"/>
        <v>0</v>
      </c>
      <c r="G119" s="128">
        <f>IF(
    $H$6="Alkaline",
    IF(
        OR(
            Data!$C$37=C118,
            MOD(C118,Data!$C$37)=0
        ),
        $D$8,
        G118*Data!$C$42
    ),
    IF(
        $H$6="PEM",
        IF(
            OR(
                Data!$H$37=C118,
                MOD(C118,Data!$H$37)=0
            ),
            $D$8,
            G118*Data!$H$42
        ),
        ""
    )
)</f>
        <v>906504986.98008323</v>
      </c>
      <c r="H119" s="76">
        <f t="shared" si="0"/>
        <v>1.2762815625000001</v>
      </c>
      <c r="I119" s="73">
        <f t="shared" si="1"/>
        <v>0</v>
      </c>
      <c r="J119" s="73">
        <f>E119*$H119*(1+$D$15)^C119</f>
        <v>1155136406.3540051</v>
      </c>
      <c r="K119" s="73">
        <f t="shared" si="3"/>
        <v>0</v>
      </c>
      <c r="L119" s="74">
        <f t="shared" si="4"/>
        <v>1156955601.1969829</v>
      </c>
    </row>
    <row r="120" spans="3:12" x14ac:dyDescent="0.35">
      <c r="C120" s="69">
        <v>6</v>
      </c>
      <c r="D120" s="75">
        <v>0</v>
      </c>
      <c r="E120" s="126">
        <f t="shared" si="5"/>
        <v>780729613.71556294</v>
      </c>
      <c r="F120" s="71">
        <f t="shared" si="6"/>
        <v>0</v>
      </c>
      <c r="G120" s="128">
        <f>IF(
    $H$6="Alkaline",
    IF(
        OR(
            Data!$C$37=C119,
            MOD(C119,Data!$C$37)=0
        ),
        $D$8,
        G119*Data!$C$42
    ),
    IF(
        $H$6="PEM",
        IF(
            OR(
                Data!$H$37=C119,
                MOD(C119,Data!$H$37)=0
            ),
            $D$8,
            G119*Data!$H$42
        ),
        ""
    )
)</f>
        <v>897439937.11028242</v>
      </c>
      <c r="H120" s="76">
        <f t="shared" si="0"/>
        <v>1.340095640625</v>
      </c>
      <c r="I120" s="73">
        <f t="shared" si="1"/>
        <v>0</v>
      </c>
      <c r="J120" s="73">
        <f t="shared" si="2"/>
        <v>1249280023.4718564</v>
      </c>
      <c r="K120" s="73">
        <f t="shared" si="3"/>
        <v>0</v>
      </c>
      <c r="L120" s="74">
        <f t="shared" si="4"/>
        <v>1202655347.4442637</v>
      </c>
    </row>
    <row r="121" spans="3:12" x14ac:dyDescent="0.35">
      <c r="C121" s="69">
        <v>7</v>
      </c>
      <c r="D121" s="75">
        <v>0</v>
      </c>
      <c r="E121" s="126">
        <f t="shared" si="5"/>
        <v>780729613.71556294</v>
      </c>
      <c r="F121" s="71">
        <f t="shared" si="6"/>
        <v>0</v>
      </c>
      <c r="G121" s="128">
        <f>IF(
    $H$6="Alkaline",
    IF(
        OR(
            Data!$C$37=C120,
            MOD(C120,Data!$C$37)=0
        ),
        $D$8,
        G120*Data!$C$42
    ),
    IF(
        $H$6="PEM",
        IF(
            OR(
                Data!$H$37=C120,
                MOD(C120,Data!$H$37)=0
            ),
            $D$8,
            G120*Data!$H$42
        ),
        ""
    )
)</f>
        <v>888465537.73917961</v>
      </c>
      <c r="H121" s="76">
        <f t="shared" si="0"/>
        <v>1.4071004226562502</v>
      </c>
      <c r="I121" s="73">
        <f t="shared" si="1"/>
        <v>0</v>
      </c>
      <c r="J121" s="73">
        <f t="shared" si="2"/>
        <v>1351096345.3848131</v>
      </c>
      <c r="K121" s="73">
        <f t="shared" si="3"/>
        <v>0</v>
      </c>
      <c r="L121" s="74">
        <f t="shared" si="4"/>
        <v>1250160233.6683123</v>
      </c>
    </row>
    <row r="122" spans="3:12" x14ac:dyDescent="0.35">
      <c r="C122" s="69">
        <v>8</v>
      </c>
      <c r="D122" s="75">
        <v>0</v>
      </c>
      <c r="E122" s="126">
        <f t="shared" si="5"/>
        <v>780729613.71556294</v>
      </c>
      <c r="F122" s="71">
        <f t="shared" si="6"/>
        <v>165662234.2557025</v>
      </c>
      <c r="G122" s="128">
        <f>IF(
    $H$6="Alkaline",
    IF(
        OR(
            Data!$C$37=C121,
            MOD(C121,Data!$C$37)=0
        ),
        $D$8,
        G121*Data!$C$42
    ),
    IF(
        $H$6="PEM",
        IF(
            OR(
                Data!$H$37=C121,
                MOD(C121,Data!$H$37)=0
            ),
            $D$8,
            G121*Data!$H$42
        ),
        ""
    )
)</f>
        <v>943690143.97642899</v>
      </c>
      <c r="H122" s="76">
        <f t="shared" si="0"/>
        <v>1.4774554437890626</v>
      </c>
      <c r="I122" s="73">
        <f t="shared" si="1"/>
        <v>0</v>
      </c>
      <c r="J122" s="73">
        <f t="shared" si="2"/>
        <v>1461210697.5336752</v>
      </c>
      <c r="K122" s="73">
        <f t="shared" si="3"/>
        <v>310052833.42557138</v>
      </c>
      <c r="L122" s="74">
        <f t="shared" si="4"/>
        <v>1394260140.4680593</v>
      </c>
    </row>
    <row r="123" spans="3:12" x14ac:dyDescent="0.35">
      <c r="C123" s="69">
        <v>9</v>
      </c>
      <c r="D123" s="75">
        <v>0</v>
      </c>
      <c r="E123" s="126">
        <f t="shared" si="5"/>
        <v>780729613.71556294</v>
      </c>
      <c r="F123" s="71">
        <f t="shared" si="6"/>
        <v>0</v>
      </c>
      <c r="G123" s="128">
        <f>IF(
    $H$6="Alkaline",
    IF(
        OR(
            Data!$C$37=C122,
            MOD(C122,Data!$C$37)=0
        ),
        $D$8,
        G122*Data!$C$42
    ),
    IF(
        $H$6="PEM",
        IF(
            OR(
                Data!$H$37=C122,
                MOD(C122,Data!$H$37)=0
            ),
            $D$8,
            G122*Data!$H$42
        ),
        ""
    )
)</f>
        <v>934253242.53666472</v>
      </c>
      <c r="H123" s="76">
        <f t="shared" si="0"/>
        <v>1.5513282159785158</v>
      </c>
      <c r="I123" s="73">
        <f t="shared" si="1"/>
        <v>0</v>
      </c>
      <c r="J123" s="73">
        <f t="shared" si="2"/>
        <v>1580299369.3826699</v>
      </c>
      <c r="K123" s="73">
        <f t="shared" si="3"/>
        <v>0</v>
      </c>
      <c r="L123" s="74">
        <f t="shared" si="4"/>
        <v>1449333416.0165477</v>
      </c>
    </row>
    <row r="124" spans="3:12" x14ac:dyDescent="0.35">
      <c r="C124" s="69">
        <v>10</v>
      </c>
      <c r="D124" s="75">
        <v>0</v>
      </c>
      <c r="E124" s="126">
        <f t="shared" si="5"/>
        <v>780729613.71556294</v>
      </c>
      <c r="F124" s="71">
        <f t="shared" si="6"/>
        <v>0</v>
      </c>
      <c r="G124" s="128">
        <f>IF(
    $H$6="Alkaline",
    IF(
        OR(
            Data!$C$37=C123,
            MOD(C123,Data!$C$37)=0
        ),
        $D$8,
        G123*Data!$C$42
    ),
    IF(
        $H$6="PEM",
        IF(
            OR(
                Data!$H$37=C123,
                MOD(C123,Data!$H$37)=0
            ),
            $D$8,
            G123*Data!$H$42
        ),
        ""
    )
)</f>
        <v>924910710.11129808</v>
      </c>
      <c r="H124" s="76">
        <f t="shared" si="0"/>
        <v>1.6288946267774416</v>
      </c>
      <c r="I124" s="73">
        <f t="shared" si="1"/>
        <v>0</v>
      </c>
      <c r="J124" s="73">
        <f t="shared" si="2"/>
        <v>1709093767.9873574</v>
      </c>
      <c r="K124" s="73">
        <f t="shared" si="3"/>
        <v>0</v>
      </c>
      <c r="L124" s="74">
        <f t="shared" si="4"/>
        <v>1506582085.9492013</v>
      </c>
    </row>
    <row r="125" spans="3:12" x14ac:dyDescent="0.35">
      <c r="C125" s="69">
        <v>11</v>
      </c>
      <c r="D125" s="75">
        <v>0</v>
      </c>
      <c r="E125" s="126">
        <f t="shared" si="5"/>
        <v>780729613.71556294</v>
      </c>
      <c r="F125" s="71">
        <f t="shared" si="6"/>
        <v>0</v>
      </c>
      <c r="G125" s="128">
        <f>IF(
    $H$6="Alkaline",
    IF(
        OR(
            Data!$C$37=C124,
            MOD(C124,Data!$C$37)=0
        ),
        $D$8,
        G124*Data!$C$42
    ),
    IF(
        $H$6="PEM",
        IF(
            OR(
                Data!$H$37=C124,
                MOD(C124,Data!$H$37)=0
            ),
            $D$8,
            G124*Data!$H$42
        ),
        ""
    )
)</f>
        <v>915661603.01018512</v>
      </c>
      <c r="H125" s="76">
        <f t="shared" si="0"/>
        <v>1.7103393581163138</v>
      </c>
      <c r="I125" s="73">
        <f t="shared" si="1"/>
        <v>0</v>
      </c>
      <c r="J125" s="73">
        <f t="shared" si="2"/>
        <v>1848384910.0783272</v>
      </c>
      <c r="K125" s="73">
        <f t="shared" si="3"/>
        <v>0</v>
      </c>
      <c r="L125" s="74">
        <f t="shared" si="4"/>
        <v>1566092078.3441949</v>
      </c>
    </row>
    <row r="126" spans="3:12" x14ac:dyDescent="0.35">
      <c r="C126" s="69">
        <v>12</v>
      </c>
      <c r="D126" s="75">
        <v>0</v>
      </c>
      <c r="E126" s="126">
        <f t="shared" si="5"/>
        <v>780729613.71556294</v>
      </c>
      <c r="F126" s="71">
        <f t="shared" si="6"/>
        <v>0</v>
      </c>
      <c r="G126" s="128">
        <f>IF(
    $H$6="Alkaline",
    IF(
        OR(
            Data!$C$37=C125,
            MOD(C125,Data!$C$37)=0
        ),
        $D$8,
        G125*Data!$C$42
    ),
    IF(
        $H$6="PEM",
        IF(
            OR(
                Data!$H$37=C125,
                MOD(C125,Data!$H$37)=0
            ),
            $D$8,
            G125*Data!$H$42
        ),
        ""
    )
)</f>
        <v>906504986.98008323</v>
      </c>
      <c r="H126" s="76">
        <f t="shared" si="0"/>
        <v>1.7958563260221292</v>
      </c>
      <c r="I126" s="73">
        <f t="shared" si="1"/>
        <v>0</v>
      </c>
      <c r="J126" s="73">
        <f t="shared" si="2"/>
        <v>1999028280.2497103</v>
      </c>
      <c r="K126" s="73">
        <f t="shared" si="3"/>
        <v>0</v>
      </c>
      <c r="L126" s="74">
        <f t="shared" si="4"/>
        <v>1627952715.4387903</v>
      </c>
    </row>
    <row r="127" spans="3:12" x14ac:dyDescent="0.35">
      <c r="C127" s="69">
        <v>13</v>
      </c>
      <c r="D127" s="75">
        <v>0</v>
      </c>
      <c r="E127" s="126">
        <f t="shared" si="5"/>
        <v>780729613.71556294</v>
      </c>
      <c r="F127" s="71">
        <f t="shared" si="6"/>
        <v>0</v>
      </c>
      <c r="G127" s="128">
        <f>IF(
    $H$6="Alkaline",
    IF(
        OR(
            Data!$C$37=C126,
            MOD(C126,Data!$C$37)=0
        ),
        $D$8,
        G126*Data!$C$42
    ),
    IF(
        $H$6="PEM",
        IF(
            OR(
                Data!$H$37=C126,
                MOD(C126,Data!$H$37)=0
            ),
            $D$8,
            G126*Data!$H$42
        ),
        ""
    )
)</f>
        <v>897439937.11028242</v>
      </c>
      <c r="H127" s="76">
        <f t="shared" si="0"/>
        <v>1.885649142323236</v>
      </c>
      <c r="I127" s="73">
        <f t="shared" si="1"/>
        <v>0</v>
      </c>
      <c r="J127" s="73">
        <f t="shared" si="2"/>
        <v>2161949085.0900617</v>
      </c>
      <c r="K127" s="73">
        <f t="shared" si="3"/>
        <v>0</v>
      </c>
      <c r="L127" s="74">
        <f t="shared" si="4"/>
        <v>1692256847.6986229</v>
      </c>
    </row>
    <row r="128" spans="3:12" x14ac:dyDescent="0.35">
      <c r="C128" s="69">
        <v>14</v>
      </c>
      <c r="D128" s="75">
        <v>0</v>
      </c>
      <c r="E128" s="126">
        <f t="shared" si="5"/>
        <v>780729613.71556294</v>
      </c>
      <c r="F128" s="71">
        <f t="shared" si="6"/>
        <v>0</v>
      </c>
      <c r="G128" s="128">
        <f>IF(
    $H$6="Alkaline",
    IF(
        OR(
            Data!$C$37=C127,
            MOD(C127,Data!$C$37)=0
        ),
        $D$8,
        G127*Data!$C$42
    ),
    IF(
        $H$6="PEM",
        IF(
            OR(
                Data!$H$37=C127,
                MOD(C127,Data!$H$37)=0
            ),
            $D$8,
            G127*Data!$H$42
        ),
        ""
    )
)</f>
        <v>888465537.73917961</v>
      </c>
      <c r="H128" s="76">
        <f t="shared" si="0"/>
        <v>1.9799315994393973</v>
      </c>
      <c r="I128" s="73">
        <f t="shared" si="1"/>
        <v>0</v>
      </c>
      <c r="J128" s="73">
        <f t="shared" si="2"/>
        <v>2338147935.5249014</v>
      </c>
      <c r="K128" s="73">
        <f t="shared" si="3"/>
        <v>0</v>
      </c>
      <c r="L128" s="74">
        <f t="shared" si="4"/>
        <v>1759100993.182718</v>
      </c>
    </row>
    <row r="129" spans="1:13" x14ac:dyDescent="0.35">
      <c r="C129" s="69">
        <v>15</v>
      </c>
      <c r="D129" s="75">
        <v>0</v>
      </c>
      <c r="E129" s="126">
        <f t="shared" si="5"/>
        <v>780729613.71556294</v>
      </c>
      <c r="F129" s="71">
        <f t="shared" si="6"/>
        <v>165662234.2557025</v>
      </c>
      <c r="G129" s="128">
        <f>IF(
    $H$6="Alkaline",
    IF(
        OR(
            Data!$C$37=C128,
            MOD(C128,Data!$C$37)=0
        ),
        $D$8,
        G128*Data!$C$42
    ),
    IF(
        $H$6="PEM",
        IF(
            OR(
                Data!$H$37=C128,
                MOD(C128,Data!$H$37)=0
            ),
            $D$8,
            G128*Data!$H$42
        ),
        ""
    )
)</f>
        <v>943690143.97642899</v>
      </c>
      <c r="H129" s="76">
        <f t="shared" si="0"/>
        <v>2.0789281794113679</v>
      </c>
      <c r="I129" s="73">
        <f t="shared" si="1"/>
        <v>0</v>
      </c>
      <c r="J129" s="73">
        <f t="shared" si="2"/>
        <v>2528706992.2701821</v>
      </c>
      <c r="K129" s="73">
        <f t="shared" si="3"/>
        <v>536563802.31801277</v>
      </c>
      <c r="L129" s="74">
        <f t="shared" si="4"/>
        <v>1961864032.9453692</v>
      </c>
    </row>
    <row r="130" spans="1:13" x14ac:dyDescent="0.35">
      <c r="C130" s="69">
        <v>16</v>
      </c>
      <c r="D130" s="75">
        <v>0</v>
      </c>
      <c r="E130" s="126">
        <f t="shared" si="5"/>
        <v>780729613.71556294</v>
      </c>
      <c r="F130" s="71">
        <f t="shared" si="6"/>
        <v>0</v>
      </c>
      <c r="G130" s="128">
        <f>IF(
    $H$6="Alkaline",
    IF(
        OR(
            Data!$C$37=C129,
            MOD(C129,Data!$C$37)=0
        ),
        $D$8,
        G129*Data!$C$42
    ),
    IF(
        $H$6="PEM",
        IF(
            OR(
                Data!$H$37=C129,
                MOD(C129,Data!$H$37)=0
            ),
            $D$8,
            G129*Data!$H$42
        ),
        ""
    )
)</f>
        <v>934253242.53666472</v>
      </c>
      <c r="H130" s="76">
        <f t="shared" si="0"/>
        <v>2.182874588381936</v>
      </c>
      <c r="I130" s="73">
        <f t="shared" si="1"/>
        <v>0</v>
      </c>
      <c r="J130" s="73">
        <f t="shared" si="2"/>
        <v>2734796612.1402011</v>
      </c>
      <c r="K130" s="73">
        <f t="shared" si="3"/>
        <v>0</v>
      </c>
      <c r="L130" s="74">
        <f t="shared" si="4"/>
        <v>2039357662.246711</v>
      </c>
    </row>
    <row r="131" spans="1:13" x14ac:dyDescent="0.35">
      <c r="C131" s="69">
        <v>17</v>
      </c>
      <c r="D131" s="75">
        <v>0</v>
      </c>
      <c r="E131" s="126">
        <f t="shared" si="5"/>
        <v>780729613.71556294</v>
      </c>
      <c r="F131" s="71">
        <f t="shared" si="6"/>
        <v>0</v>
      </c>
      <c r="G131" s="128">
        <f>IF(
    $H$6="Alkaline",
    IF(
        OR(
            Data!$C$37=C130,
            MOD(C130,Data!$C$37)=0
        ),
        $D$8,
        G130*Data!$C$42
    ),
    IF(
        $H$6="PEM",
        IF(
            OR(
                Data!$H$37=C130,
                MOD(C130,Data!$H$37)=0
            ),
            $D$8,
            G130*Data!$H$42
        ),
        ""
    )
)</f>
        <v>924910710.11129808</v>
      </c>
      <c r="H131" s="76">
        <f t="shared" si="0"/>
        <v>2.2920183178010332</v>
      </c>
      <c r="I131" s="73">
        <f t="shared" si="1"/>
        <v>0</v>
      </c>
      <c r="J131" s="73">
        <f t="shared" si="2"/>
        <v>2957682536.0296278</v>
      </c>
      <c r="K131" s="73">
        <f t="shared" si="3"/>
        <v>0</v>
      </c>
      <c r="L131" s="74">
        <f t="shared" si="4"/>
        <v>2119912289.9054565</v>
      </c>
    </row>
    <row r="132" spans="1:13" x14ac:dyDescent="0.35">
      <c r="C132" s="69">
        <v>18</v>
      </c>
      <c r="D132" s="75">
        <v>0</v>
      </c>
      <c r="E132" s="126">
        <f t="shared" si="5"/>
        <v>780729613.71556294</v>
      </c>
      <c r="F132" s="71">
        <f t="shared" si="6"/>
        <v>0</v>
      </c>
      <c r="G132" s="128">
        <f>IF(
    $H$6="Alkaline",
    IF(
        OR(
            Data!$C$37=C131,
            MOD(C131,Data!$C$37)=0
        ),
        $D$8,
        G131*Data!$C$42
    ),
    IF(
        $H$6="PEM",
        IF(
            OR(
                Data!$H$37=C131,
                MOD(C131,Data!$H$37)=0
            ),
            $D$8,
            G131*Data!$H$42
        ),
        ""
    )
)</f>
        <v>915661603.01018512</v>
      </c>
      <c r="H132" s="76">
        <f t="shared" si="0"/>
        <v>2.4066192336910848</v>
      </c>
      <c r="I132" s="73">
        <f t="shared" si="1"/>
        <v>0</v>
      </c>
      <c r="J132" s="73">
        <f t="shared" si="2"/>
        <v>3198733662.7160425</v>
      </c>
      <c r="K132" s="73">
        <f t="shared" si="3"/>
        <v>0</v>
      </c>
      <c r="L132" s="74">
        <f t="shared" si="4"/>
        <v>2203648825.3567219</v>
      </c>
    </row>
    <row r="133" spans="1:13" x14ac:dyDescent="0.35">
      <c r="C133" s="69">
        <v>19</v>
      </c>
      <c r="D133" s="75">
        <v>0</v>
      </c>
      <c r="E133" s="126">
        <f t="shared" si="5"/>
        <v>780729613.71556294</v>
      </c>
      <c r="F133" s="71">
        <f t="shared" si="6"/>
        <v>0</v>
      </c>
      <c r="G133" s="128">
        <f>IF(
    $H$6="Alkaline",
    IF(
        OR(
            Data!$C$37=C132,
            MOD(C132,Data!$C$37)=0
        ),
        $D$8,
        G132*Data!$C$42
    ),
    IF(
        $H$6="PEM",
        IF(
            OR(
                Data!$H$37=C132,
                MOD(C132,Data!$H$37)=0
            ),
            $D$8,
            G132*Data!$H$42
        ),
        ""
    )
)</f>
        <v>906504986.98008323</v>
      </c>
      <c r="H133" s="76">
        <f t="shared" si="0"/>
        <v>2.526950195375639</v>
      </c>
      <c r="I133" s="73">
        <f t="shared" si="1"/>
        <v>0</v>
      </c>
      <c r="J133" s="73">
        <f t="shared" si="2"/>
        <v>3459430456.2273998</v>
      </c>
      <c r="K133" s="73">
        <f t="shared" si="3"/>
        <v>0</v>
      </c>
      <c r="L133" s="74">
        <f t="shared" si="4"/>
        <v>2290692953.9583125</v>
      </c>
    </row>
    <row r="134" spans="1:13" x14ac:dyDescent="0.35">
      <c r="C134" s="69">
        <v>20</v>
      </c>
      <c r="D134" s="75">
        <v>0</v>
      </c>
      <c r="E134" s="126">
        <f t="shared" si="5"/>
        <v>780729613.71556294</v>
      </c>
      <c r="F134" s="71">
        <f t="shared" si="6"/>
        <v>0</v>
      </c>
      <c r="G134" s="128">
        <f>IF(
    $H$6="Alkaline",
    IF(
        OR(
            Data!$C$37=C133,
            MOD(C133,Data!$C$37)=0
        ),
        $D$8,
        G133*Data!$C$42
    ),
    IF(
        $H$6="PEM",
        IF(
            OR(
                Data!$H$37=C133,
                MOD(C133,Data!$H$37)=0
            ),
            $D$8,
            G133*Data!$H$42
        ),
        ""
    )
)</f>
        <v>897439937.11028242</v>
      </c>
      <c r="H134" s="76">
        <f t="shared" si="0"/>
        <v>2.6532977051444209</v>
      </c>
      <c r="I134" s="73">
        <f t="shared" si="1"/>
        <v>0</v>
      </c>
      <c r="J134" s="73">
        <f t="shared" si="2"/>
        <v>3741374038.4099331</v>
      </c>
      <c r="K134" s="73">
        <f t="shared" si="3"/>
        <v>0</v>
      </c>
      <c r="L134" s="74">
        <f t="shared" si="4"/>
        <v>2381175325.6396656</v>
      </c>
    </row>
    <row r="135" spans="1:13" x14ac:dyDescent="0.35">
      <c r="C135" s="69">
        <v>21</v>
      </c>
      <c r="D135" s="75">
        <v>0</v>
      </c>
      <c r="E135" s="126">
        <f t="shared" si="5"/>
        <v>780729613.71556294</v>
      </c>
      <c r="F135" s="71">
        <f t="shared" si="6"/>
        <v>773090426.52661157</v>
      </c>
      <c r="G135" s="128">
        <f>IF(
    $H$6="Alkaline",
    IF(
        OR(
            Data!$C$37=C134,
            MOD(C134,Data!$C$37)=0
        ),
        $D$8,
        G134*Data!$C$42
    ),
    IF(
        $H$6="PEM",
        IF(
            OR(
                Data!$H$37=C134,
                MOD(C134,Data!$H$37)=0
            ),
            $D$8,
            G134*Data!$H$42
        ),
        ""
    )
)</f>
        <v>888465537.73917961</v>
      </c>
      <c r="H135" s="76">
        <f t="shared" si="0"/>
        <v>2.7859625904016418</v>
      </c>
      <c r="I135" s="73">
        <f t="shared" si="1"/>
        <v>0</v>
      </c>
      <c r="J135" s="73">
        <f t="shared" si="2"/>
        <v>4046296022.5403419</v>
      </c>
      <c r="K135" s="73">
        <f t="shared" si="3"/>
        <v>4006704322.4241009</v>
      </c>
      <c r="L135" s="74">
        <f t="shared" si="4"/>
        <v>2475231751.0024323</v>
      </c>
    </row>
    <row r="136" spans="1:13" x14ac:dyDescent="0.35">
      <c r="C136" s="69">
        <v>22</v>
      </c>
      <c r="D136" s="75">
        <v>0</v>
      </c>
      <c r="E136" s="126">
        <f t="shared" si="5"/>
        <v>780729613.71556294</v>
      </c>
      <c r="F136" s="71">
        <f t="shared" si="6"/>
        <v>165662234.2557025</v>
      </c>
      <c r="G136" s="128">
        <f>IF(
    $H$6="Alkaline",
    IF(
        OR(
            Data!$C$37=C135,
            MOD(C135,Data!$C$37)=0
        ),
        $D$8,
        G135*Data!$C$42
    ),
    IF(
        $H$6="PEM",
        IF(
            OR(
                Data!$H$37=C135,
                MOD(C135,Data!$H$37)=0
            ),
            $D$8,
            G135*Data!$H$42
        ),
        ""
    )
)</f>
        <v>943690143.97642899</v>
      </c>
      <c r="H136" s="76">
        <f t="shared" si="0"/>
        <v>2.9252607199217238</v>
      </c>
      <c r="I136" s="73">
        <f t="shared" si="1"/>
        <v>0</v>
      </c>
      <c r="J136" s="73">
        <f t="shared" si="2"/>
        <v>4376069148.3773794</v>
      </c>
      <c r="K136" s="73">
        <f t="shared" si="3"/>
        <v>928553726.72178555</v>
      </c>
      <c r="L136" s="74">
        <f t="shared" si="4"/>
        <v>2760539709.9515238</v>
      </c>
    </row>
    <row r="137" spans="1:13" x14ac:dyDescent="0.35">
      <c r="C137" s="69">
        <v>23</v>
      </c>
      <c r="D137" s="75">
        <v>0</v>
      </c>
      <c r="E137" s="126">
        <f t="shared" si="5"/>
        <v>780729613.71556294</v>
      </c>
      <c r="F137" s="71">
        <f t="shared" si="6"/>
        <v>0</v>
      </c>
      <c r="G137" s="128">
        <f>IF(
    $H$6="Alkaline",
    IF(
        OR(
            Data!$C$37=C136,
            MOD(C136,Data!$C$37)=0
        ),
        $D$8,
        G136*Data!$C$42
    ),
    IF(
        $H$6="PEM",
        IF(
            OR(
                Data!$H$37=C136,
                MOD(C136,Data!$H$37)=0
            ),
            $D$8,
            G136*Data!$H$42
        ),
        ""
    )
)</f>
        <v>934253242.53666472</v>
      </c>
      <c r="H137" s="76">
        <f t="shared" si="0"/>
        <v>3.0715237559178106</v>
      </c>
      <c r="I137" s="73">
        <f t="shared" si="1"/>
        <v>0</v>
      </c>
      <c r="J137" s="73">
        <f t="shared" si="2"/>
        <v>4732718783.9701376</v>
      </c>
      <c r="K137" s="73">
        <f t="shared" si="3"/>
        <v>0</v>
      </c>
      <c r="L137" s="74">
        <f t="shared" si="4"/>
        <v>2869581028.4946098</v>
      </c>
    </row>
    <row r="138" spans="1:13" x14ac:dyDescent="0.35">
      <c r="C138" s="69">
        <v>24</v>
      </c>
      <c r="D138" s="75">
        <v>0</v>
      </c>
      <c r="E138" s="126">
        <f t="shared" si="5"/>
        <v>780729613.71556294</v>
      </c>
      <c r="F138" s="71">
        <f t="shared" si="6"/>
        <v>0</v>
      </c>
      <c r="G138" s="128">
        <f>IF(
    $H$6="Alkaline",
    IF(
        OR(
            Data!$C$37=C137,
            MOD(C137,Data!$C$37)=0
        ),
        $D$8,
        G137*Data!$C$42
    ),
    IF(
        $H$6="PEM",
        IF(
            OR(
                Data!$H$37=C137,
                MOD(C137,Data!$H$37)=0
            ),
            $D$8,
            G137*Data!$H$42
        ),
        ""
    )
)</f>
        <v>924910710.11129808</v>
      </c>
      <c r="H138" s="76">
        <f t="shared" si="0"/>
        <v>3.2250999437137007</v>
      </c>
      <c r="I138" s="73">
        <f t="shared" si="1"/>
        <v>0</v>
      </c>
      <c r="J138" s="73">
        <f t="shared" si="2"/>
        <v>5118435364.8637028</v>
      </c>
      <c r="K138" s="73">
        <f t="shared" si="3"/>
        <v>0</v>
      </c>
      <c r="L138" s="74">
        <f t="shared" si="4"/>
        <v>2982929479.1201463</v>
      </c>
    </row>
    <row r="139" spans="1:13" ht="15" thickBot="1" x14ac:dyDescent="0.4">
      <c r="C139" s="69">
        <v>25</v>
      </c>
      <c r="D139" s="75">
        <v>0</v>
      </c>
      <c r="E139" s="126">
        <f t="shared" si="5"/>
        <v>780729613.71556294</v>
      </c>
      <c r="F139" s="71">
        <f t="shared" si="6"/>
        <v>0</v>
      </c>
      <c r="G139" s="128">
        <f>IF(
    $H$6="Alkaline",
    IF(
        OR(
            Data!$C$37=C138,
            MOD(C138,Data!$C$37)=0
        ),
        $D$8,
        G138*Data!$C$42
    ),
    IF(
        $H$6="PEM",
        IF(
            OR(
                Data!$H$37=C138,
                MOD(C138,Data!$H$37)=0
            ),
            $D$8,
            G138*Data!$H$42
        ),
        ""
    )
)</f>
        <v>915661603.01018512</v>
      </c>
      <c r="H139" s="76">
        <f t="shared" si="0"/>
        <v>3.3863549408993858</v>
      </c>
      <c r="I139" s="73">
        <f t="shared" si="1"/>
        <v>0</v>
      </c>
      <c r="J139" s="73">
        <f t="shared" si="2"/>
        <v>5535587847.1000948</v>
      </c>
      <c r="K139" s="73">
        <f t="shared" si="3"/>
        <v>0</v>
      </c>
      <c r="L139" s="74">
        <f t="shared" si="4"/>
        <v>3100755193.5453925</v>
      </c>
    </row>
    <row r="140" spans="1:13" ht="15" thickBot="1" x14ac:dyDescent="0.4">
      <c r="C140" s="70" t="s">
        <v>26</v>
      </c>
      <c r="D140" s="77">
        <f t="shared" ref="D140:K140" si="7">SUM(D114:D139)</f>
        <v>44801546921.136612</v>
      </c>
      <c r="E140" s="77">
        <f t="shared" si="7"/>
        <v>19518240342.889076</v>
      </c>
      <c r="F140" s="77">
        <f t="shared" si="7"/>
        <v>1270077129.2937191</v>
      </c>
      <c r="G140" s="77">
        <f t="shared" si="7"/>
        <v>22951294184.026939</v>
      </c>
      <c r="H140" s="77">
        <f t="shared" si="7"/>
        <v>51.113453758887083</v>
      </c>
      <c r="I140" s="77">
        <f t="shared" si="7"/>
        <v>44801546921.136612</v>
      </c>
      <c r="J140" s="77">
        <f t="shared" si="7"/>
        <v>63096677047.918678</v>
      </c>
      <c r="K140" s="77">
        <f t="shared" si="7"/>
        <v>5781874684.8894701</v>
      </c>
      <c r="L140" s="77">
        <f>SUM(L114:L139)</f>
        <v>45995618724.782455</v>
      </c>
    </row>
    <row r="142" spans="1:13" ht="47.5" x14ac:dyDescent="1.1000000000000001">
      <c r="A142" s="148" t="s">
        <v>252</v>
      </c>
    </row>
    <row r="143" spans="1:13" ht="15" thickBot="1" x14ac:dyDescent="0.4">
      <c r="A143">
        <v>1</v>
      </c>
      <c r="B143">
        <v>23</v>
      </c>
      <c r="C143" s="133" t="s">
        <v>132</v>
      </c>
    </row>
    <row r="144" spans="1:13" ht="19" thickBot="1" x14ac:dyDescent="0.5">
      <c r="C144" s="58" t="s">
        <v>15</v>
      </c>
      <c r="D144" s="58" t="s">
        <v>16</v>
      </c>
      <c r="E144" s="58" t="s">
        <v>17</v>
      </c>
      <c r="F144" s="58" t="s">
        <v>18</v>
      </c>
      <c r="G144" s="59" t="s">
        <v>19</v>
      </c>
      <c r="H144" s="58" t="s">
        <v>20</v>
      </c>
      <c r="I144" s="59" t="s">
        <v>21</v>
      </c>
      <c r="J144" s="58" t="s">
        <v>22</v>
      </c>
      <c r="K144" s="58" t="s">
        <v>23</v>
      </c>
      <c r="L144" s="58" t="s">
        <v>24</v>
      </c>
      <c r="M144" s="152" t="s">
        <v>253</v>
      </c>
    </row>
    <row r="145" spans="3:13" ht="18.5" x14ac:dyDescent="0.45">
      <c r="C145" s="68">
        <v>0</v>
      </c>
      <c r="D145" s="71">
        <f>$G$23</f>
        <v>19042850000</v>
      </c>
      <c r="E145" s="71">
        <v>0</v>
      </c>
      <c r="F145" s="71">
        <v>0</v>
      </c>
      <c r="G145" s="127">
        <v>0</v>
      </c>
      <c r="H145" s="72">
        <f t="shared" ref="H145:H170" si="8">(1+$D$14)^$C145</f>
        <v>1</v>
      </c>
      <c r="I145" s="73">
        <f t="shared" ref="I145:I170" si="9">D145*$H145*(1+$D$15)^C145</f>
        <v>19042850000</v>
      </c>
      <c r="J145" s="73">
        <f t="shared" ref="J145:J149" si="10">E145*$H145*(1+$D$15)^C145</f>
        <v>0</v>
      </c>
      <c r="K145" s="73">
        <f t="shared" ref="K145:K146" si="11">F145*$H145*(1+$D$15)^C145</f>
        <v>0</v>
      </c>
      <c r="L145" s="74">
        <f t="shared" ref="L145:L170" si="12">G145*$H145</f>
        <v>0</v>
      </c>
      <c r="M145" s="153">
        <f>(I171+J171+K171)/L171</f>
        <v>1.0832073135595544</v>
      </c>
    </row>
    <row r="146" spans="3:13" x14ac:dyDescent="0.35">
      <c r="C146" s="69">
        <v>1</v>
      </c>
      <c r="D146" s="75">
        <v>0</v>
      </c>
      <c r="E146" s="126">
        <f>$K$23</f>
        <v>380857000</v>
      </c>
      <c r="F146" s="71">
        <f>(IF(MOD(C146,$H$23)=0,$J$23,0))</f>
        <v>0</v>
      </c>
      <c r="G146" s="128">
        <f>$D$8</f>
        <v>943690143.97642899</v>
      </c>
      <c r="H146" s="76">
        <f t="shared" si="8"/>
        <v>1.05</v>
      </c>
      <c r="I146" s="73">
        <f t="shared" si="9"/>
        <v>0</v>
      </c>
      <c r="J146" s="73">
        <f t="shared" si="10"/>
        <v>411896845.5</v>
      </c>
      <c r="K146" s="73">
        <f t="shared" si="11"/>
        <v>0</v>
      </c>
      <c r="L146" s="97">
        <f t="shared" si="12"/>
        <v>990874651.17525053</v>
      </c>
    </row>
    <row r="147" spans="3:13" x14ac:dyDescent="0.35">
      <c r="C147" s="69">
        <v>2</v>
      </c>
      <c r="D147" s="75">
        <v>0</v>
      </c>
      <c r="E147" s="126">
        <f t="shared" ref="E147:E170" si="13">$K$23</f>
        <v>380857000</v>
      </c>
      <c r="F147" s="71">
        <f>(IF(MOD(C146,$H$23)=0,$J$23,0))</f>
        <v>0</v>
      </c>
      <c r="G147" s="128">
        <f>IF(
    $H$6="Alkaline",
    IF(
        OR(
            Data!$C$37=C146,
            MOD(C146,Data!$C$37)=0
        ),
        $D$8,
        G146*Data!$C$42
    ),
    IF(
        $H$6="PEM",
        IF(
            OR(
                Data!$H$37=C146,
                MOD(C146,Data!$H$37)=0
            ),
            $D$8,
            G146*Data!$H$42
        ),
        ""
    )
)</f>
        <v>934253242.53666472</v>
      </c>
      <c r="H147" s="76">
        <f t="shared" si="8"/>
        <v>1.1025</v>
      </c>
      <c r="I147" s="73">
        <f t="shared" si="9"/>
        <v>0</v>
      </c>
      <c r="J147" s="73">
        <f t="shared" si="10"/>
        <v>445466438.40824997</v>
      </c>
      <c r="K147" s="73">
        <f>F147*$H147*(1+$D$15)^C147</f>
        <v>0</v>
      </c>
      <c r="L147" s="74">
        <f t="shared" si="12"/>
        <v>1030014199.8966728</v>
      </c>
    </row>
    <row r="148" spans="3:13" x14ac:dyDescent="0.35">
      <c r="C148" s="69">
        <v>3</v>
      </c>
      <c r="D148" s="75">
        <v>0</v>
      </c>
      <c r="E148" s="126">
        <f t="shared" si="13"/>
        <v>380857000</v>
      </c>
      <c r="F148" s="71">
        <f t="shared" ref="F148:F170" si="14">(IF(MOD(C147,$H$23)=0,$J$23,0))</f>
        <v>0</v>
      </c>
      <c r="G148" s="128">
        <f>IF(
    $H$6="Alkaline",
    IF(
        OR(
            Data!$C$37=C147,
            MOD(C147,Data!$C$37)=0
        ),
        $D$8,
        G147*Data!$C$42
    ),
    IF(
        $H$6="PEM",
        IF(
            OR(
                Data!$H$37=C147,
                MOD(C147,Data!$H$37)=0
            ),
            $D$8,
            G147*Data!$H$42
        ),
        ""
    )
)</f>
        <v>924910710.11129808</v>
      </c>
      <c r="H148" s="76">
        <f>(1+$D$14)^$C148</f>
        <v>1.1576250000000001</v>
      </c>
      <c r="I148" s="73">
        <f t="shared" si="9"/>
        <v>0</v>
      </c>
      <c r="J148" s="73">
        <f t="shared" si="10"/>
        <v>481771953.13852245</v>
      </c>
      <c r="K148" s="73">
        <f t="shared" ref="K148:K170" si="15">F148*$H148*(1+$D$15)^C148</f>
        <v>0</v>
      </c>
      <c r="L148" s="74">
        <f t="shared" si="12"/>
        <v>1070699760.7925916</v>
      </c>
    </row>
    <row r="149" spans="3:13" x14ac:dyDescent="0.35">
      <c r="C149" s="69">
        <v>4</v>
      </c>
      <c r="D149" s="75">
        <v>0</v>
      </c>
      <c r="E149" s="126">
        <f t="shared" si="13"/>
        <v>380857000</v>
      </c>
      <c r="F149" s="71">
        <f t="shared" si="14"/>
        <v>0</v>
      </c>
      <c r="G149" s="128">
        <f>IF(
    $H$6="Alkaline",
    IF(
        OR(
            Data!$C$37=C148,
            MOD(C148,Data!$C$37)=0
        ),
        $D$8,
        G148*Data!$C$42
    ),
    IF(
        $H$6="PEM",
        IF(
            OR(
                Data!$H$37=C148,
                MOD(C148,Data!$H$37)=0
            ),
            $D$8,
            G148*Data!$H$42
        ),
        ""
    )
)</f>
        <v>915661603.01018512</v>
      </c>
      <c r="H149" s="76">
        <f t="shared" si="8"/>
        <v>1.21550625</v>
      </c>
      <c r="I149" s="73">
        <f t="shared" si="9"/>
        <v>0</v>
      </c>
      <c r="J149" s="73">
        <f t="shared" si="10"/>
        <v>521036367.31931192</v>
      </c>
      <c r="K149" s="73">
        <f t="shared" si="15"/>
        <v>0</v>
      </c>
      <c r="L149" s="74">
        <f t="shared" si="12"/>
        <v>1112992401.3438988</v>
      </c>
    </row>
    <row r="150" spans="3:13" x14ac:dyDescent="0.35">
      <c r="C150" s="69">
        <v>5</v>
      </c>
      <c r="D150" s="75">
        <v>0</v>
      </c>
      <c r="E150" s="126">
        <f t="shared" si="13"/>
        <v>380857000</v>
      </c>
      <c r="F150" s="71">
        <f t="shared" si="14"/>
        <v>0</v>
      </c>
      <c r="G150" s="128">
        <f>IF(
    $H$6="Alkaline",
    IF(
        OR(
            Data!$C$37=C149,
            MOD(C149,Data!$C$37)=0
        ),
        $D$8,
        G149*Data!$C$42
    ),
    IF(
        $H$6="PEM",
        IF(
            OR(
                Data!$H$37=C149,
                MOD(C149,Data!$H$37)=0
            ),
            $D$8,
            G149*Data!$H$42
        ),
        ""
    )
)</f>
        <v>906504986.98008323</v>
      </c>
      <c r="H150" s="76">
        <f t="shared" si="8"/>
        <v>1.2762815625000001</v>
      </c>
      <c r="I150" s="73">
        <f t="shared" si="9"/>
        <v>0</v>
      </c>
      <c r="J150" s="73">
        <f>E150*$H150*(1+$D$15)^C150</f>
        <v>563500831.25583589</v>
      </c>
      <c r="K150" s="73">
        <f t="shared" si="15"/>
        <v>0</v>
      </c>
      <c r="L150" s="74">
        <f t="shared" si="12"/>
        <v>1156955601.1969829</v>
      </c>
    </row>
    <row r="151" spans="3:13" x14ac:dyDescent="0.35">
      <c r="C151" s="69">
        <v>6</v>
      </c>
      <c r="D151" s="75">
        <v>0</v>
      </c>
      <c r="E151" s="126">
        <f t="shared" si="13"/>
        <v>380857000</v>
      </c>
      <c r="F151" s="71">
        <f t="shared" si="14"/>
        <v>0</v>
      </c>
      <c r="G151" s="128">
        <f>IF(
    $H$6="Alkaline",
    IF(
        OR(
            Data!$C$37=C150,
            MOD(C150,Data!$C$37)=0
        ),
        $D$8,
        G150*Data!$C$42
    ),
    IF(
        $H$6="PEM",
        IF(
            OR(
                Data!$H$37=C150,
                MOD(C150,Data!$H$37)=0
            ),
            $D$8,
            G150*Data!$H$42
        ),
        ""
    )
)</f>
        <v>897439937.11028242</v>
      </c>
      <c r="H151" s="76">
        <f t="shared" si="8"/>
        <v>1.340095640625</v>
      </c>
      <c r="I151" s="73">
        <f t="shared" si="9"/>
        <v>0</v>
      </c>
      <c r="J151" s="73">
        <f t="shared" ref="J151:J170" si="16">E151*$H151*(1+$D$15)^C151</f>
        <v>609426149.00318646</v>
      </c>
      <c r="K151" s="73">
        <f t="shared" si="15"/>
        <v>0</v>
      </c>
      <c r="L151" s="74">
        <f t="shared" si="12"/>
        <v>1202655347.4442637</v>
      </c>
    </row>
    <row r="152" spans="3:13" x14ac:dyDescent="0.35">
      <c r="C152" s="69">
        <v>7</v>
      </c>
      <c r="D152" s="75">
        <v>0</v>
      </c>
      <c r="E152" s="126">
        <f t="shared" si="13"/>
        <v>380857000</v>
      </c>
      <c r="F152" s="71">
        <f t="shared" si="14"/>
        <v>0</v>
      </c>
      <c r="G152" s="128">
        <f>IF(
    $H$6="Alkaline",
    IF(
        OR(
            Data!$C$37=C151,
            MOD(C151,Data!$C$37)=0
        ),
        $D$8,
        G151*Data!$C$42
    ),
    IF(
        $H$6="PEM",
        IF(
            OR(
                Data!$H$37=C151,
                MOD(C151,Data!$H$37)=0
            ),
            $D$8,
            G151*Data!$H$42
        ),
        ""
    )
)</f>
        <v>888465537.73917961</v>
      </c>
      <c r="H152" s="76">
        <f t="shared" si="8"/>
        <v>1.4071004226562502</v>
      </c>
      <c r="I152" s="73">
        <f t="shared" si="9"/>
        <v>0</v>
      </c>
      <c r="J152" s="73">
        <f t="shared" si="16"/>
        <v>659094380.14694631</v>
      </c>
      <c r="K152" s="73">
        <f t="shared" si="15"/>
        <v>0</v>
      </c>
      <c r="L152" s="74">
        <f t="shared" si="12"/>
        <v>1250160233.6683123</v>
      </c>
    </row>
    <row r="153" spans="3:13" x14ac:dyDescent="0.35">
      <c r="C153" s="69">
        <v>8</v>
      </c>
      <c r="D153" s="75">
        <v>0</v>
      </c>
      <c r="E153" s="126">
        <f t="shared" si="13"/>
        <v>380857000</v>
      </c>
      <c r="F153" s="71">
        <f t="shared" si="14"/>
        <v>0</v>
      </c>
      <c r="G153" s="128">
        <f>IF(
    $H$6="Alkaline",
    IF(
        OR(
            Data!$C$37=C152,
            MOD(C152,Data!$C$37)=0
        ),
        $D$8,
        G152*Data!$C$42
    ),
    IF(
        $H$6="PEM",
        IF(
            OR(
                Data!$H$37=C152,
                MOD(C152,Data!$H$37)=0
            ),
            $D$8,
            G152*Data!$H$42
        ),
        ""
    )
)</f>
        <v>943690143.97642899</v>
      </c>
      <c r="H153" s="76">
        <f t="shared" si="8"/>
        <v>1.4774554437890626</v>
      </c>
      <c r="I153" s="73">
        <f t="shared" si="9"/>
        <v>0</v>
      </c>
      <c r="J153" s="73">
        <f t="shared" si="16"/>
        <v>712810572.12892222</v>
      </c>
      <c r="K153" s="73">
        <f t="shared" si="15"/>
        <v>0</v>
      </c>
      <c r="L153" s="74">
        <f t="shared" si="12"/>
        <v>1394260140.4680593</v>
      </c>
    </row>
    <row r="154" spans="3:13" x14ac:dyDescent="0.35">
      <c r="C154" s="69">
        <v>9</v>
      </c>
      <c r="D154" s="75">
        <v>0</v>
      </c>
      <c r="E154" s="126">
        <f t="shared" si="13"/>
        <v>380857000</v>
      </c>
      <c r="F154" s="71">
        <f t="shared" si="14"/>
        <v>0</v>
      </c>
      <c r="G154" s="128">
        <f>IF(
    $H$6="Alkaline",
    IF(
        OR(
            Data!$C$37=C153,
            MOD(C153,Data!$C$37)=0
        ),
        $D$8,
        G153*Data!$C$42
    ),
    IF(
        $H$6="PEM",
        IF(
            OR(
                Data!$H$37=C153,
                MOD(C153,Data!$H$37)=0
            ),
            $D$8,
            G153*Data!$H$42
        ),
        ""
    )
)</f>
        <v>934253242.53666472</v>
      </c>
      <c r="H154" s="76">
        <f t="shared" si="8"/>
        <v>1.5513282159785158</v>
      </c>
      <c r="I154" s="73">
        <f t="shared" si="9"/>
        <v>0</v>
      </c>
      <c r="J154" s="73">
        <f t="shared" si="16"/>
        <v>770904633.75742948</v>
      </c>
      <c r="K154" s="73">
        <f t="shared" si="15"/>
        <v>0</v>
      </c>
      <c r="L154" s="74">
        <f t="shared" si="12"/>
        <v>1449333416.0165477</v>
      </c>
    </row>
    <row r="155" spans="3:13" x14ac:dyDescent="0.35">
      <c r="C155" s="69">
        <v>10</v>
      </c>
      <c r="D155" s="75">
        <v>0</v>
      </c>
      <c r="E155" s="126">
        <f t="shared" si="13"/>
        <v>380857000</v>
      </c>
      <c r="F155" s="71">
        <f t="shared" si="14"/>
        <v>0</v>
      </c>
      <c r="G155" s="128">
        <f>IF(
    $H$6="Alkaline",
    IF(
        OR(
            Data!$C$37=C154,
            MOD(C154,Data!$C$37)=0
        ),
        $D$8,
        G154*Data!$C$42
    ),
    IF(
        $H$6="PEM",
        IF(
            OR(
                Data!$H$37=C154,
                MOD(C154,Data!$H$37)=0
            ),
            $D$8,
            G154*Data!$H$42
        ),
        ""
    )
)</f>
        <v>924910710.11129808</v>
      </c>
      <c r="H155" s="76">
        <f t="shared" si="8"/>
        <v>1.6288946267774416</v>
      </c>
      <c r="I155" s="73">
        <f t="shared" si="9"/>
        <v>0</v>
      </c>
      <c r="J155" s="73">
        <f t="shared" si="16"/>
        <v>833733361.40865993</v>
      </c>
      <c r="K155" s="73">
        <f t="shared" si="15"/>
        <v>0</v>
      </c>
      <c r="L155" s="74">
        <f t="shared" si="12"/>
        <v>1506582085.9492013</v>
      </c>
    </row>
    <row r="156" spans="3:13" x14ac:dyDescent="0.35">
      <c r="C156" s="69">
        <v>11</v>
      </c>
      <c r="D156" s="75">
        <v>0</v>
      </c>
      <c r="E156" s="126">
        <f t="shared" si="13"/>
        <v>380857000</v>
      </c>
      <c r="F156" s="71">
        <f t="shared" si="14"/>
        <v>0</v>
      </c>
      <c r="G156" s="128">
        <f>IF(
    $H$6="Alkaline",
    IF(
        OR(
            Data!$C$37=C155,
            MOD(C155,Data!$C$37)=0
        ),
        $D$8,
        G155*Data!$C$42
    ),
    IF(
        $H$6="PEM",
        IF(
            OR(
                Data!$H$37=C155,
                MOD(C155,Data!$H$37)=0
            ),
            $D$8,
            G155*Data!$H$42
        ),
        ""
    )
)</f>
        <v>915661603.01018512</v>
      </c>
      <c r="H156" s="76">
        <f t="shared" si="8"/>
        <v>1.7103393581163138</v>
      </c>
      <c r="I156" s="73">
        <f t="shared" si="9"/>
        <v>0</v>
      </c>
      <c r="J156" s="73">
        <f t="shared" si="16"/>
        <v>901682630.36346591</v>
      </c>
      <c r="K156" s="73">
        <f t="shared" si="15"/>
        <v>0</v>
      </c>
      <c r="L156" s="74">
        <f t="shared" si="12"/>
        <v>1566092078.3441949</v>
      </c>
    </row>
    <row r="157" spans="3:13" x14ac:dyDescent="0.35">
      <c r="C157" s="69">
        <v>12</v>
      </c>
      <c r="D157" s="75">
        <v>0</v>
      </c>
      <c r="E157" s="126">
        <f t="shared" si="13"/>
        <v>380857000</v>
      </c>
      <c r="F157" s="71">
        <f t="shared" si="14"/>
        <v>0</v>
      </c>
      <c r="G157" s="128">
        <f>IF(
    $H$6="Alkaline",
    IF(
        OR(
            Data!$C$37=C156,
            MOD(C156,Data!$C$37)=0
        ),
        $D$8,
        G156*Data!$C$42
    ),
    IF(
        $H$6="PEM",
        IF(
            OR(
                Data!$H$37=C156,
                MOD(C156,Data!$H$37)=0
            ),
            $D$8,
            G156*Data!$H$42
        ),
        ""
    )
)</f>
        <v>906504986.98008323</v>
      </c>
      <c r="H157" s="76">
        <f t="shared" si="8"/>
        <v>1.7958563260221292</v>
      </c>
      <c r="I157" s="73">
        <f t="shared" si="9"/>
        <v>0</v>
      </c>
      <c r="J157" s="73">
        <f t="shared" si="16"/>
        <v>975169764.73808813</v>
      </c>
      <c r="K157" s="73">
        <f t="shared" si="15"/>
        <v>0</v>
      </c>
      <c r="L157" s="74">
        <f t="shared" si="12"/>
        <v>1627952715.4387903</v>
      </c>
    </row>
    <row r="158" spans="3:13" x14ac:dyDescent="0.35">
      <c r="C158" s="69">
        <v>13</v>
      </c>
      <c r="D158" s="75">
        <v>0</v>
      </c>
      <c r="E158" s="126">
        <f t="shared" si="13"/>
        <v>380857000</v>
      </c>
      <c r="F158" s="71">
        <f t="shared" si="14"/>
        <v>0</v>
      </c>
      <c r="G158" s="128">
        <f>IF(
    $H$6="Alkaline",
    IF(
        OR(
            Data!$C$37=C157,
            MOD(C157,Data!$C$37)=0
        ),
        $D$8,
        G157*Data!$C$42
    ),
    IF(
        $H$6="PEM",
        IF(
            OR(
                Data!$H$37=C157,
                MOD(C157,Data!$H$37)=0
            ),
            $D$8,
            G157*Data!$H$42
        ),
        ""
    )
)</f>
        <v>897439937.11028242</v>
      </c>
      <c r="H158" s="76">
        <f t="shared" si="8"/>
        <v>1.885649142323236</v>
      </c>
      <c r="I158" s="73">
        <f t="shared" si="9"/>
        <v>0</v>
      </c>
      <c r="J158" s="73">
        <f t="shared" si="16"/>
        <v>1054646100.5642424</v>
      </c>
      <c r="K158" s="73">
        <f t="shared" si="15"/>
        <v>0</v>
      </c>
      <c r="L158" s="74">
        <f t="shared" si="12"/>
        <v>1692256847.6986229</v>
      </c>
    </row>
    <row r="159" spans="3:13" x14ac:dyDescent="0.35">
      <c r="C159" s="69">
        <v>14</v>
      </c>
      <c r="D159" s="75">
        <v>0</v>
      </c>
      <c r="E159" s="126">
        <f t="shared" si="13"/>
        <v>380857000</v>
      </c>
      <c r="F159" s="71">
        <f t="shared" si="14"/>
        <v>0</v>
      </c>
      <c r="G159" s="128">
        <f>IF(
    $H$6="Alkaline",
    IF(
        OR(
            Data!$C$37=C158,
            MOD(C158,Data!$C$37)=0
        ),
        $D$8,
        G158*Data!$C$42
    ),
    IF(
        $H$6="PEM",
        IF(
            OR(
                Data!$H$37=C158,
                MOD(C158,Data!$H$37)=0
            ),
            $D$8,
            G158*Data!$H$42
        ),
        ""
    )
)</f>
        <v>888465537.73917961</v>
      </c>
      <c r="H159" s="76">
        <f t="shared" si="8"/>
        <v>1.9799315994393973</v>
      </c>
      <c r="I159" s="73">
        <f t="shared" si="9"/>
        <v>0</v>
      </c>
      <c r="J159" s="73">
        <f t="shared" si="16"/>
        <v>1140599757.7602279</v>
      </c>
      <c r="K159" s="73">
        <f t="shared" si="15"/>
        <v>0</v>
      </c>
      <c r="L159" s="74">
        <f t="shared" si="12"/>
        <v>1759100993.182718</v>
      </c>
    </row>
    <row r="160" spans="3:13" x14ac:dyDescent="0.35">
      <c r="C160" s="69">
        <v>15</v>
      </c>
      <c r="D160" s="75">
        <v>0</v>
      </c>
      <c r="E160" s="126">
        <f t="shared" si="13"/>
        <v>380857000</v>
      </c>
      <c r="F160" s="71">
        <f t="shared" si="14"/>
        <v>0</v>
      </c>
      <c r="G160" s="128">
        <f>IF(
    $H$6="Alkaline",
    IF(
        OR(
            Data!$C$37=C159,
            MOD(C159,Data!$C$37)=0
        ),
        $D$8,
        G159*Data!$C$42
    ),
    IF(
        $H$6="PEM",
        IF(
            OR(
                Data!$H$37=C159,
                MOD(C159,Data!$H$37)=0
            ),
            $D$8,
            G159*Data!$H$42
        ),
        ""
    )
)</f>
        <v>943690143.97642899</v>
      </c>
      <c r="H160" s="76">
        <f t="shared" si="8"/>
        <v>2.0789281794113679</v>
      </c>
      <c r="I160" s="73">
        <f t="shared" si="9"/>
        <v>0</v>
      </c>
      <c r="J160" s="73">
        <f t="shared" si="16"/>
        <v>1233558638.0176871</v>
      </c>
      <c r="K160" s="73">
        <f t="shared" si="15"/>
        <v>0</v>
      </c>
      <c r="L160" s="74">
        <f t="shared" si="12"/>
        <v>1961864032.9453692</v>
      </c>
    </row>
    <row r="161" spans="1:13" x14ac:dyDescent="0.35">
      <c r="C161" s="69">
        <v>16</v>
      </c>
      <c r="D161" s="75">
        <v>0</v>
      </c>
      <c r="E161" s="126">
        <f t="shared" si="13"/>
        <v>380857000</v>
      </c>
      <c r="F161" s="71">
        <f t="shared" si="14"/>
        <v>0</v>
      </c>
      <c r="G161" s="128">
        <f>IF(
    $H$6="Alkaline",
    IF(
        OR(
            Data!$C$37=C160,
            MOD(C160,Data!$C$37)=0
        ),
        $D$8,
        G160*Data!$C$42
    ),
    IF(
        $H$6="PEM",
        IF(
            OR(
                Data!$H$37=C160,
                MOD(C160,Data!$H$37)=0
            ),
            $D$8,
            G160*Data!$H$42
        ),
        ""
    )
)</f>
        <v>934253242.53666472</v>
      </c>
      <c r="H161" s="76">
        <f t="shared" si="8"/>
        <v>2.182874588381936</v>
      </c>
      <c r="I161" s="73">
        <f t="shared" si="9"/>
        <v>0</v>
      </c>
      <c r="J161" s="73">
        <f t="shared" si="16"/>
        <v>1334093667.0161281</v>
      </c>
      <c r="K161" s="73">
        <f t="shared" si="15"/>
        <v>0</v>
      </c>
      <c r="L161" s="74">
        <f t="shared" si="12"/>
        <v>2039357662.246711</v>
      </c>
    </row>
    <row r="162" spans="1:13" x14ac:dyDescent="0.35">
      <c r="C162" s="69">
        <v>17</v>
      </c>
      <c r="D162" s="75">
        <v>0</v>
      </c>
      <c r="E162" s="126">
        <f t="shared" si="13"/>
        <v>380857000</v>
      </c>
      <c r="F162" s="71">
        <f t="shared" si="14"/>
        <v>0</v>
      </c>
      <c r="G162" s="128">
        <f>IF(
    $H$6="Alkaline",
    IF(
        OR(
            Data!$C$37=C161,
            MOD(C161,Data!$C$37)=0
        ),
        $D$8,
        G161*Data!$C$42
    ),
    IF(
        $H$6="PEM",
        IF(
            OR(
                Data!$H$37=C161,
                MOD(C161,Data!$H$37)=0
            ),
            $D$8,
            G161*Data!$H$42
        ),
        ""
    )
)</f>
        <v>924910710.11129808</v>
      </c>
      <c r="H162" s="76">
        <f t="shared" si="8"/>
        <v>2.2920183178010332</v>
      </c>
      <c r="I162" s="73">
        <f t="shared" si="9"/>
        <v>0</v>
      </c>
      <c r="J162" s="73">
        <f t="shared" si="16"/>
        <v>1442822300.8779428</v>
      </c>
      <c r="K162" s="73">
        <f t="shared" si="15"/>
        <v>0</v>
      </c>
      <c r="L162" s="74">
        <f t="shared" si="12"/>
        <v>2119912289.9054565</v>
      </c>
    </row>
    <row r="163" spans="1:13" x14ac:dyDescent="0.35">
      <c r="C163" s="69">
        <v>18</v>
      </c>
      <c r="D163" s="75">
        <v>0</v>
      </c>
      <c r="E163" s="126">
        <f t="shared" si="13"/>
        <v>380857000</v>
      </c>
      <c r="F163" s="71">
        <f t="shared" si="14"/>
        <v>0</v>
      </c>
      <c r="G163" s="128">
        <f>IF(
    $H$6="Alkaline",
    IF(
        OR(
            Data!$C$37=C162,
            MOD(C162,Data!$C$37)=0
        ),
        $D$8,
        G162*Data!$C$42
    ),
    IF(
        $H$6="PEM",
        IF(
            OR(
                Data!$H$37=C162,
                MOD(C162,Data!$H$37)=0
            ),
            $D$8,
            G162*Data!$H$42
        ),
        ""
    )
)</f>
        <v>915661603.01018512</v>
      </c>
      <c r="H163" s="76">
        <f t="shared" si="8"/>
        <v>2.4066192336910848</v>
      </c>
      <c r="I163" s="73">
        <f t="shared" si="9"/>
        <v>0</v>
      </c>
      <c r="J163" s="73">
        <f t="shared" si="16"/>
        <v>1560412318.3994951</v>
      </c>
      <c r="K163" s="73">
        <f t="shared" si="15"/>
        <v>0</v>
      </c>
      <c r="L163" s="74">
        <f t="shared" si="12"/>
        <v>2203648825.3567219</v>
      </c>
    </row>
    <row r="164" spans="1:13" x14ac:dyDescent="0.35">
      <c r="C164" s="69">
        <v>19</v>
      </c>
      <c r="D164" s="75">
        <v>0</v>
      </c>
      <c r="E164" s="126">
        <f t="shared" si="13"/>
        <v>380857000</v>
      </c>
      <c r="F164" s="71">
        <f t="shared" si="14"/>
        <v>0</v>
      </c>
      <c r="G164" s="128">
        <f>IF(
    $H$6="Alkaline",
    IF(
        OR(
            Data!$C$37=C163,
            MOD(C163,Data!$C$37)=0
        ),
        $D$8,
        G163*Data!$C$42
    ),
    IF(
        $H$6="PEM",
        IF(
            OR(
                Data!$H$37=C163,
                MOD(C163,Data!$H$37)=0
            ),
            $D$8,
            G163*Data!$H$42
        ),
        ""
    )
)</f>
        <v>906504986.98008323</v>
      </c>
      <c r="H164" s="76">
        <f t="shared" si="8"/>
        <v>2.526950195375639</v>
      </c>
      <c r="I164" s="73">
        <f t="shared" si="9"/>
        <v>0</v>
      </c>
      <c r="J164" s="73">
        <f t="shared" si="16"/>
        <v>1687585922.3490539</v>
      </c>
      <c r="K164" s="73">
        <f t="shared" si="15"/>
        <v>0</v>
      </c>
      <c r="L164" s="74">
        <f t="shared" si="12"/>
        <v>2290692953.9583125</v>
      </c>
    </row>
    <row r="165" spans="1:13" x14ac:dyDescent="0.35">
      <c r="C165" s="69">
        <v>20</v>
      </c>
      <c r="D165" s="75">
        <v>0</v>
      </c>
      <c r="E165" s="126">
        <f t="shared" si="13"/>
        <v>380857000</v>
      </c>
      <c r="F165" s="71">
        <f t="shared" si="14"/>
        <v>0</v>
      </c>
      <c r="G165" s="128">
        <f>IF(
    $H$6="Alkaline",
    IF(
        OR(
            Data!$C$37=C164,
            MOD(C164,Data!$C$37)=0
        ),
        $D$8,
        G164*Data!$C$42
    ),
    IF(
        $H$6="PEM",
        IF(
            OR(
                Data!$H$37=C164,
                MOD(C164,Data!$H$37)=0
            ),
            $D$8,
            G164*Data!$H$42
        ),
        ""
    )
)</f>
        <v>897439937.11028242</v>
      </c>
      <c r="H165" s="76">
        <f t="shared" si="8"/>
        <v>2.6532977051444209</v>
      </c>
      <c r="I165" s="73">
        <f t="shared" si="9"/>
        <v>0</v>
      </c>
      <c r="J165" s="73">
        <f t="shared" si="16"/>
        <v>1825124175.0205016</v>
      </c>
      <c r="K165" s="73">
        <f t="shared" si="15"/>
        <v>0</v>
      </c>
      <c r="L165" s="74">
        <f t="shared" si="12"/>
        <v>2381175325.6396656</v>
      </c>
    </row>
    <row r="166" spans="1:13" x14ac:dyDescent="0.35">
      <c r="C166" s="69">
        <v>21</v>
      </c>
      <c r="D166" s="75">
        <v>0</v>
      </c>
      <c r="E166" s="126">
        <f t="shared" si="13"/>
        <v>380857000</v>
      </c>
      <c r="F166" s="71">
        <f t="shared" si="14"/>
        <v>0</v>
      </c>
      <c r="G166" s="128">
        <f>IF(
    $H$6="Alkaline",
    IF(
        OR(
            Data!$C$37=C165,
            MOD(C165,Data!$C$37)=0
        ),
        $D$8,
        G165*Data!$C$42
    ),
    IF(
        $H$6="PEM",
        IF(
            OR(
                Data!$H$37=C165,
                MOD(C165,Data!$H$37)=0
            ),
            $D$8,
            G165*Data!$H$42
        ),
        ""
    )
)</f>
        <v>888465537.73917961</v>
      </c>
      <c r="H166" s="76">
        <f t="shared" si="8"/>
        <v>2.7859625904016418</v>
      </c>
      <c r="I166" s="73">
        <f t="shared" si="9"/>
        <v>0</v>
      </c>
      <c r="J166" s="73">
        <f t="shared" si="16"/>
        <v>1973871795.2846723</v>
      </c>
      <c r="K166" s="73">
        <f t="shared" si="15"/>
        <v>0</v>
      </c>
      <c r="L166" s="74">
        <f t="shared" si="12"/>
        <v>2475231751.0024323</v>
      </c>
    </row>
    <row r="167" spans="1:13" x14ac:dyDescent="0.35">
      <c r="C167" s="69">
        <v>22</v>
      </c>
      <c r="D167" s="75">
        <v>0</v>
      </c>
      <c r="E167" s="126">
        <f t="shared" si="13"/>
        <v>380857000</v>
      </c>
      <c r="F167" s="71">
        <f t="shared" si="14"/>
        <v>0</v>
      </c>
      <c r="G167" s="128">
        <f>IF(
    $H$6="Alkaline",
    IF(
        OR(
            Data!$C$37=C166,
            MOD(C166,Data!$C$37)=0
        ),
        $D$8,
        G166*Data!$C$42
    ),
    IF(
        $H$6="PEM",
        IF(
            OR(
                Data!$H$37=C166,
                MOD(C166,Data!$H$37)=0
            ),
            $D$8,
            G166*Data!$H$42
        ),
        ""
    )
)</f>
        <v>943690143.97642899</v>
      </c>
      <c r="H167" s="76">
        <f t="shared" si="8"/>
        <v>2.9252607199217238</v>
      </c>
      <c r="I167" s="73">
        <f t="shared" si="9"/>
        <v>0</v>
      </c>
      <c r="J167" s="73">
        <f t="shared" si="16"/>
        <v>2134742346.600373</v>
      </c>
      <c r="K167" s="73">
        <f t="shared" si="15"/>
        <v>0</v>
      </c>
      <c r="L167" s="74">
        <f t="shared" si="12"/>
        <v>2760539709.9515238</v>
      </c>
    </row>
    <row r="168" spans="1:13" x14ac:dyDescent="0.35">
      <c r="C168" s="69">
        <v>23</v>
      </c>
      <c r="D168" s="75">
        <v>0</v>
      </c>
      <c r="E168" s="126">
        <f t="shared" si="13"/>
        <v>380857000</v>
      </c>
      <c r="F168" s="71">
        <f t="shared" si="14"/>
        <v>0</v>
      </c>
      <c r="G168" s="128">
        <f>IF(
    $H$6="Alkaline",
    IF(
        OR(
            Data!$C$37=C167,
            MOD(C167,Data!$C$37)=0
        ),
        $D$8,
        G167*Data!$C$42
    ),
    IF(
        $H$6="PEM",
        IF(
            OR(
                Data!$H$37=C167,
                MOD(C167,Data!$H$37)=0
            ),
            $D$8,
            G167*Data!$H$42
        ),
        ""
    )
)</f>
        <v>934253242.53666472</v>
      </c>
      <c r="H168" s="76">
        <f t="shared" si="8"/>
        <v>3.0715237559178106</v>
      </c>
      <c r="I168" s="73">
        <f t="shared" si="9"/>
        <v>0</v>
      </c>
      <c r="J168" s="73">
        <f t="shared" si="16"/>
        <v>2308723847.8483038</v>
      </c>
      <c r="K168" s="73">
        <f t="shared" si="15"/>
        <v>0</v>
      </c>
      <c r="L168" s="74">
        <f t="shared" si="12"/>
        <v>2869581028.4946098</v>
      </c>
    </row>
    <row r="169" spans="1:13" x14ac:dyDescent="0.35">
      <c r="C169" s="69">
        <v>24</v>
      </c>
      <c r="D169" s="75">
        <v>0</v>
      </c>
      <c r="E169" s="126">
        <f t="shared" si="13"/>
        <v>380857000</v>
      </c>
      <c r="F169" s="71">
        <f t="shared" si="14"/>
        <v>0</v>
      </c>
      <c r="G169" s="128">
        <f>IF(
    $H$6="Alkaline",
    IF(
        OR(
            Data!$C$37=C168,
            MOD(C168,Data!$C$37)=0
        ),
        $D$8,
        G168*Data!$C$42
    ),
    IF(
        $H$6="PEM",
        IF(
            OR(
                Data!$H$37=C168,
                MOD(C168,Data!$H$37)=0
            ),
            $D$8,
            G168*Data!$H$42
        ),
        ""
    )
)</f>
        <v>924910710.11129808</v>
      </c>
      <c r="H169" s="76">
        <f t="shared" si="8"/>
        <v>3.2250999437137007</v>
      </c>
      <c r="I169" s="73">
        <f t="shared" si="9"/>
        <v>0</v>
      </c>
      <c r="J169" s="73">
        <f t="shared" si="16"/>
        <v>2496884841.4479403</v>
      </c>
      <c r="K169" s="73">
        <f t="shared" si="15"/>
        <v>0</v>
      </c>
      <c r="L169" s="74">
        <f t="shared" si="12"/>
        <v>2982929479.1201463</v>
      </c>
    </row>
    <row r="170" spans="1:13" ht="15" thickBot="1" x14ac:dyDescent="0.4">
      <c r="C170" s="69">
        <v>25</v>
      </c>
      <c r="D170" s="75">
        <v>0</v>
      </c>
      <c r="E170" s="126">
        <f t="shared" si="13"/>
        <v>380857000</v>
      </c>
      <c r="F170" s="71">
        <f t="shared" si="14"/>
        <v>0</v>
      </c>
      <c r="G170" s="128">
        <f>IF(
    $H$6="Alkaline",
    IF(
        OR(
            Data!$C$37=C169,
            MOD(C169,Data!$C$37)=0
        ),
        $D$8,
        G169*Data!$C$42
    ),
    IF(
        $H$6="PEM",
        IF(
            OR(
                Data!$H$37=C169,
                MOD(C169,Data!$H$37)=0
            ),
            $D$8,
            G169*Data!$H$42
        ),
        ""
    )
)</f>
        <v>915661603.01018512</v>
      </c>
      <c r="H170" s="76">
        <f t="shared" si="8"/>
        <v>3.3863549408993858</v>
      </c>
      <c r="I170" s="73">
        <f t="shared" si="9"/>
        <v>0</v>
      </c>
      <c r="J170" s="73">
        <f t="shared" si="16"/>
        <v>2700380956.0259476</v>
      </c>
      <c r="K170" s="73">
        <f t="shared" si="15"/>
        <v>0</v>
      </c>
      <c r="L170" s="74">
        <f t="shared" si="12"/>
        <v>3100755193.5453925</v>
      </c>
    </row>
    <row r="171" spans="1:13" ht="15" thickBot="1" x14ac:dyDescent="0.4">
      <c r="C171" s="70" t="s">
        <v>26</v>
      </c>
      <c r="D171" s="77">
        <f t="shared" ref="D171:K171" si="17">SUM(D145:D170)</f>
        <v>19042850000</v>
      </c>
      <c r="E171" s="77">
        <f t="shared" si="17"/>
        <v>9521425000</v>
      </c>
      <c r="F171" s="77">
        <f t="shared" si="17"/>
        <v>0</v>
      </c>
      <c r="G171" s="77">
        <f t="shared" si="17"/>
        <v>22951294184.026939</v>
      </c>
      <c r="H171" s="77">
        <f t="shared" si="17"/>
        <v>51.113453758887083</v>
      </c>
      <c r="I171" s="77">
        <f t="shared" si="17"/>
        <v>19042850000</v>
      </c>
      <c r="J171" s="77">
        <f t="shared" si="17"/>
        <v>30779940594.38113</v>
      </c>
      <c r="K171" s="77">
        <f t="shared" si="17"/>
        <v>0</v>
      </c>
      <c r="L171" s="77">
        <f>SUM(L145:L170)</f>
        <v>45995618724.782455</v>
      </c>
    </row>
    <row r="173" spans="1:13" ht="15" thickBot="1" x14ac:dyDescent="0.4">
      <c r="A173">
        <v>2</v>
      </c>
      <c r="B173">
        <v>27</v>
      </c>
      <c r="C173" s="133" t="s">
        <v>217</v>
      </c>
    </row>
    <row r="174" spans="1:13" ht="19" thickBot="1" x14ac:dyDescent="0.5">
      <c r="C174" s="58" t="s">
        <v>15</v>
      </c>
      <c r="D174" s="58" t="s">
        <v>16</v>
      </c>
      <c r="E174" s="58" t="s">
        <v>17</v>
      </c>
      <c r="F174" s="58" t="s">
        <v>18</v>
      </c>
      <c r="G174" s="59" t="s">
        <v>19</v>
      </c>
      <c r="H174" s="58" t="s">
        <v>20</v>
      </c>
      <c r="I174" s="59" t="s">
        <v>21</v>
      </c>
      <c r="J174" s="58" t="s">
        <v>22</v>
      </c>
      <c r="K174" s="58" t="s">
        <v>23</v>
      </c>
      <c r="L174" s="58" t="s">
        <v>24</v>
      </c>
      <c r="M174" s="152" t="s">
        <v>253</v>
      </c>
    </row>
    <row r="175" spans="1:13" ht="18.5" x14ac:dyDescent="0.45">
      <c r="C175" s="68">
        <v>0</v>
      </c>
      <c r="D175" s="71">
        <f>$G$27</f>
        <v>0</v>
      </c>
      <c r="E175" s="71">
        <v>0</v>
      </c>
      <c r="F175" s="71">
        <v>0</v>
      </c>
      <c r="G175" s="127">
        <v>0</v>
      </c>
      <c r="H175" s="72">
        <f t="shared" ref="H175:H200" si="18">(1+$D$14)^$C175</f>
        <v>1</v>
      </c>
      <c r="I175" s="73">
        <f t="shared" ref="I175:I200" si="19">D175*$H175*(1+$D$15)^C175</f>
        <v>0</v>
      </c>
      <c r="J175" s="73">
        <f t="shared" ref="J175:J179" si="20">E175*$H175*(1+$D$15)^C175</f>
        <v>0</v>
      </c>
      <c r="K175" s="73">
        <f t="shared" ref="K175:K176" si="21">F175*$H175*(1+$D$15)^C175</f>
        <v>0</v>
      </c>
      <c r="L175" s="74">
        <f t="shared" ref="L175:L200" si="22">G175*$H175</f>
        <v>0</v>
      </c>
      <c r="M175" s="153">
        <f>(I201+J201+K201)/L201</f>
        <v>0</v>
      </c>
    </row>
    <row r="176" spans="1:13" x14ac:dyDescent="0.35">
      <c r="C176" s="69">
        <v>1</v>
      </c>
      <c r="D176" s="75">
        <v>0</v>
      </c>
      <c r="E176" s="126">
        <f>$K$27</f>
        <v>0</v>
      </c>
      <c r="F176" s="71">
        <f>(IF(MOD(C176,$H$27)=0,$J$27,0))</f>
        <v>0</v>
      </c>
      <c r="G176" s="128">
        <f>$D$8</f>
        <v>943690143.97642899</v>
      </c>
      <c r="H176" s="76">
        <f t="shared" si="18"/>
        <v>1.05</v>
      </c>
      <c r="I176" s="73">
        <f t="shared" si="19"/>
        <v>0</v>
      </c>
      <c r="J176" s="73">
        <f t="shared" si="20"/>
        <v>0</v>
      </c>
      <c r="K176" s="73">
        <f t="shared" si="21"/>
        <v>0</v>
      </c>
      <c r="L176" s="97">
        <f t="shared" si="22"/>
        <v>990874651.17525053</v>
      </c>
    </row>
    <row r="177" spans="3:12" x14ac:dyDescent="0.35">
      <c r="C177" s="69">
        <v>2</v>
      </c>
      <c r="D177" s="75">
        <v>0</v>
      </c>
      <c r="E177" s="126">
        <f t="shared" ref="E177:E200" si="23">$K$27</f>
        <v>0</v>
      </c>
      <c r="F177" s="71">
        <f>(IF(MOD(C176,$H$27)=0,$J$27,0))</f>
        <v>0</v>
      </c>
      <c r="G177" s="128">
        <f>IF(
    $H$6="Alkaline",
    IF(
        OR(
            Data!$C$37=C176,
            MOD(C176,Data!$C$37)=0
        ),
        $D$8,
        G176*Data!$C$42
    ),
    IF(
        $H$6="PEM",
        IF(
            OR(
                Data!$H$37=C176,
                MOD(C176,Data!$H$37)=0
            ),
            $D$8,
            G176*Data!$H$42
        ),
        ""
    )
)</f>
        <v>934253242.53666472</v>
      </c>
      <c r="H177" s="76">
        <f t="shared" si="18"/>
        <v>1.1025</v>
      </c>
      <c r="I177" s="73">
        <f t="shared" si="19"/>
        <v>0</v>
      </c>
      <c r="J177" s="73">
        <f t="shared" si="20"/>
        <v>0</v>
      </c>
      <c r="K177" s="73">
        <f>F177*$H177*(1+$D$15)^C177</f>
        <v>0</v>
      </c>
      <c r="L177" s="74">
        <f t="shared" si="22"/>
        <v>1030014199.8966728</v>
      </c>
    </row>
    <row r="178" spans="3:12" x14ac:dyDescent="0.35">
      <c r="C178" s="69">
        <v>3</v>
      </c>
      <c r="D178" s="75">
        <v>0</v>
      </c>
      <c r="E178" s="126">
        <f t="shared" si="23"/>
        <v>0</v>
      </c>
      <c r="F178" s="71">
        <f t="shared" ref="F178:F200" si="24">(IF(MOD(C177,$H$27)=0,$J$27,0))</f>
        <v>0</v>
      </c>
      <c r="G178" s="128">
        <f>IF(
    $H$6="Alkaline",
    IF(
        OR(
            Data!$C$37=C177,
            MOD(C177,Data!$C$37)=0
        ),
        $D$8,
        G177*Data!$C$42
    ),
    IF(
        $H$6="PEM",
        IF(
            OR(
                Data!$H$37=C177,
                MOD(C177,Data!$H$37)=0
            ),
            $D$8,
            G177*Data!$H$42
        ),
        ""
    )
)</f>
        <v>924910710.11129808</v>
      </c>
      <c r="H178" s="76">
        <f>(1+$D$14)^$C178</f>
        <v>1.1576250000000001</v>
      </c>
      <c r="I178" s="73">
        <f t="shared" si="19"/>
        <v>0</v>
      </c>
      <c r="J178" s="73">
        <f t="shared" si="20"/>
        <v>0</v>
      </c>
      <c r="K178" s="73">
        <f t="shared" ref="K178:K200" si="25">F178*$H178*(1+$D$15)^C178</f>
        <v>0</v>
      </c>
      <c r="L178" s="74">
        <f t="shared" si="22"/>
        <v>1070699760.7925916</v>
      </c>
    </row>
    <row r="179" spans="3:12" x14ac:dyDescent="0.35">
      <c r="C179" s="69">
        <v>4</v>
      </c>
      <c r="D179" s="75">
        <v>0</v>
      </c>
      <c r="E179" s="126">
        <f t="shared" si="23"/>
        <v>0</v>
      </c>
      <c r="F179" s="71">
        <f t="shared" si="24"/>
        <v>0</v>
      </c>
      <c r="G179" s="128">
        <f>IF(
    $H$6="Alkaline",
    IF(
        OR(
            Data!$C$37=C178,
            MOD(C178,Data!$C$37)=0
        ),
        $D$8,
        G178*Data!$C$42
    ),
    IF(
        $H$6="PEM",
        IF(
            OR(
                Data!$H$37=C178,
                MOD(C178,Data!$H$37)=0
            ),
            $D$8,
            G178*Data!$H$42
        ),
        ""
    )
)</f>
        <v>915661603.01018512</v>
      </c>
      <c r="H179" s="76">
        <f t="shared" si="18"/>
        <v>1.21550625</v>
      </c>
      <c r="I179" s="73">
        <f t="shared" si="19"/>
        <v>0</v>
      </c>
      <c r="J179" s="73">
        <f t="shared" si="20"/>
        <v>0</v>
      </c>
      <c r="K179" s="73">
        <f t="shared" si="25"/>
        <v>0</v>
      </c>
      <c r="L179" s="74">
        <f t="shared" si="22"/>
        <v>1112992401.3438988</v>
      </c>
    </row>
    <row r="180" spans="3:12" x14ac:dyDescent="0.35">
      <c r="C180" s="69">
        <v>5</v>
      </c>
      <c r="D180" s="75">
        <v>0</v>
      </c>
      <c r="E180" s="126">
        <f t="shared" si="23"/>
        <v>0</v>
      </c>
      <c r="F180" s="71">
        <f t="shared" si="24"/>
        <v>0</v>
      </c>
      <c r="G180" s="128">
        <f>IF(
    $H$6="Alkaline",
    IF(
        OR(
            Data!$C$37=C179,
            MOD(C179,Data!$C$37)=0
        ),
        $D$8,
        G179*Data!$C$42
    ),
    IF(
        $H$6="PEM",
        IF(
            OR(
                Data!$H$37=C179,
                MOD(C179,Data!$H$37)=0
            ),
            $D$8,
            G179*Data!$H$42
        ),
        ""
    )
)</f>
        <v>906504986.98008323</v>
      </c>
      <c r="H180" s="76">
        <f t="shared" si="18"/>
        <v>1.2762815625000001</v>
      </c>
      <c r="I180" s="73">
        <f t="shared" si="19"/>
        <v>0</v>
      </c>
      <c r="J180" s="73">
        <f>E180*$H180*(1+$D$15)^C180</f>
        <v>0</v>
      </c>
      <c r="K180" s="73">
        <f t="shared" si="25"/>
        <v>0</v>
      </c>
      <c r="L180" s="74">
        <f t="shared" si="22"/>
        <v>1156955601.1969829</v>
      </c>
    </row>
    <row r="181" spans="3:12" x14ac:dyDescent="0.35">
      <c r="C181" s="69">
        <v>6</v>
      </c>
      <c r="D181" s="75">
        <v>0</v>
      </c>
      <c r="E181" s="126">
        <f t="shared" si="23"/>
        <v>0</v>
      </c>
      <c r="F181" s="71">
        <f t="shared" si="24"/>
        <v>0</v>
      </c>
      <c r="G181" s="128">
        <f>IF(
    $H$6="Alkaline",
    IF(
        OR(
            Data!$C$37=C180,
            MOD(C180,Data!$C$37)=0
        ),
        $D$8,
        G180*Data!$C$42
    ),
    IF(
        $H$6="PEM",
        IF(
            OR(
                Data!$H$37=C180,
                MOD(C180,Data!$H$37)=0
            ),
            $D$8,
            G180*Data!$H$42
        ),
        ""
    )
)</f>
        <v>897439937.11028242</v>
      </c>
      <c r="H181" s="76">
        <f t="shared" si="18"/>
        <v>1.340095640625</v>
      </c>
      <c r="I181" s="73">
        <f t="shared" si="19"/>
        <v>0</v>
      </c>
      <c r="J181" s="73">
        <f t="shared" ref="J181:J200" si="26">E181*$H181*(1+$D$15)^C181</f>
        <v>0</v>
      </c>
      <c r="K181" s="73">
        <f t="shared" si="25"/>
        <v>0</v>
      </c>
      <c r="L181" s="74">
        <f t="shared" si="22"/>
        <v>1202655347.4442637</v>
      </c>
    </row>
    <row r="182" spans="3:12" x14ac:dyDescent="0.35">
      <c r="C182" s="69">
        <v>7</v>
      </c>
      <c r="D182" s="75">
        <v>0</v>
      </c>
      <c r="E182" s="126">
        <f t="shared" si="23"/>
        <v>0</v>
      </c>
      <c r="F182" s="71">
        <f t="shared" si="24"/>
        <v>0</v>
      </c>
      <c r="G182" s="128">
        <f>IF(
    $H$6="Alkaline",
    IF(
        OR(
            Data!$C$37=C181,
            MOD(C181,Data!$C$37)=0
        ),
        $D$8,
        G181*Data!$C$42
    ),
    IF(
        $H$6="PEM",
        IF(
            OR(
                Data!$H$37=C181,
                MOD(C181,Data!$H$37)=0
            ),
            $D$8,
            G181*Data!$H$42
        ),
        ""
    )
)</f>
        <v>888465537.73917961</v>
      </c>
      <c r="H182" s="76">
        <f t="shared" si="18"/>
        <v>1.4071004226562502</v>
      </c>
      <c r="I182" s="73">
        <f t="shared" si="19"/>
        <v>0</v>
      </c>
      <c r="J182" s="73">
        <f t="shared" si="26"/>
        <v>0</v>
      </c>
      <c r="K182" s="73">
        <f t="shared" si="25"/>
        <v>0</v>
      </c>
      <c r="L182" s="74">
        <f t="shared" si="22"/>
        <v>1250160233.6683123</v>
      </c>
    </row>
    <row r="183" spans="3:12" x14ac:dyDescent="0.35">
      <c r="C183" s="69">
        <v>8</v>
      </c>
      <c r="D183" s="75">
        <v>0</v>
      </c>
      <c r="E183" s="126">
        <f t="shared" si="23"/>
        <v>0</v>
      </c>
      <c r="F183" s="71">
        <f t="shared" si="24"/>
        <v>0</v>
      </c>
      <c r="G183" s="128">
        <f>IF(
    $H$6="Alkaline",
    IF(
        OR(
            Data!$C$37=C182,
            MOD(C182,Data!$C$37)=0
        ),
        $D$8,
        G182*Data!$C$42
    ),
    IF(
        $H$6="PEM",
        IF(
            OR(
                Data!$H$37=C182,
                MOD(C182,Data!$H$37)=0
            ),
            $D$8,
            G182*Data!$H$42
        ),
        ""
    )
)</f>
        <v>943690143.97642899</v>
      </c>
      <c r="H183" s="76">
        <f t="shared" si="18"/>
        <v>1.4774554437890626</v>
      </c>
      <c r="I183" s="73">
        <f t="shared" si="19"/>
        <v>0</v>
      </c>
      <c r="J183" s="73">
        <f t="shared" si="26"/>
        <v>0</v>
      </c>
      <c r="K183" s="73">
        <f t="shared" si="25"/>
        <v>0</v>
      </c>
      <c r="L183" s="74">
        <f t="shared" si="22"/>
        <v>1394260140.4680593</v>
      </c>
    </row>
    <row r="184" spans="3:12" x14ac:dyDescent="0.35">
      <c r="C184" s="69">
        <v>9</v>
      </c>
      <c r="D184" s="75">
        <v>0</v>
      </c>
      <c r="E184" s="126">
        <f t="shared" si="23"/>
        <v>0</v>
      </c>
      <c r="F184" s="71">
        <f t="shared" si="24"/>
        <v>0</v>
      </c>
      <c r="G184" s="128">
        <f>IF(
    $H$6="Alkaline",
    IF(
        OR(
            Data!$C$37=C183,
            MOD(C183,Data!$C$37)=0
        ),
        $D$8,
        G183*Data!$C$42
    ),
    IF(
        $H$6="PEM",
        IF(
            OR(
                Data!$H$37=C183,
                MOD(C183,Data!$H$37)=0
            ),
            $D$8,
            G183*Data!$H$42
        ),
        ""
    )
)</f>
        <v>934253242.53666472</v>
      </c>
      <c r="H184" s="76">
        <f t="shared" si="18"/>
        <v>1.5513282159785158</v>
      </c>
      <c r="I184" s="73">
        <f t="shared" si="19"/>
        <v>0</v>
      </c>
      <c r="J184" s="73">
        <f t="shared" si="26"/>
        <v>0</v>
      </c>
      <c r="K184" s="73">
        <f t="shared" si="25"/>
        <v>0</v>
      </c>
      <c r="L184" s="74">
        <f t="shared" si="22"/>
        <v>1449333416.0165477</v>
      </c>
    </row>
    <row r="185" spans="3:12" x14ac:dyDescent="0.35">
      <c r="C185" s="69">
        <v>10</v>
      </c>
      <c r="D185" s="75">
        <v>0</v>
      </c>
      <c r="E185" s="126">
        <f t="shared" si="23"/>
        <v>0</v>
      </c>
      <c r="F185" s="71">
        <f t="shared" si="24"/>
        <v>0</v>
      </c>
      <c r="G185" s="128">
        <f>IF(
    $H$6="Alkaline",
    IF(
        OR(
            Data!$C$37=C184,
            MOD(C184,Data!$C$37)=0
        ),
        $D$8,
        G184*Data!$C$42
    ),
    IF(
        $H$6="PEM",
        IF(
            OR(
                Data!$H$37=C184,
                MOD(C184,Data!$H$37)=0
            ),
            $D$8,
            G184*Data!$H$42
        ),
        ""
    )
)</f>
        <v>924910710.11129808</v>
      </c>
      <c r="H185" s="76">
        <f t="shared" si="18"/>
        <v>1.6288946267774416</v>
      </c>
      <c r="I185" s="73">
        <f t="shared" si="19"/>
        <v>0</v>
      </c>
      <c r="J185" s="73">
        <f t="shared" si="26"/>
        <v>0</v>
      </c>
      <c r="K185" s="73">
        <f t="shared" si="25"/>
        <v>0</v>
      </c>
      <c r="L185" s="74">
        <f t="shared" si="22"/>
        <v>1506582085.9492013</v>
      </c>
    </row>
    <row r="186" spans="3:12" x14ac:dyDescent="0.35">
      <c r="C186" s="69">
        <v>11</v>
      </c>
      <c r="D186" s="75">
        <v>0</v>
      </c>
      <c r="E186" s="126">
        <f t="shared" si="23"/>
        <v>0</v>
      </c>
      <c r="F186" s="71">
        <f t="shared" si="24"/>
        <v>0</v>
      </c>
      <c r="G186" s="128">
        <f>IF(
    $H$6="Alkaline",
    IF(
        OR(
            Data!$C$37=C185,
            MOD(C185,Data!$C$37)=0
        ),
        $D$8,
        G185*Data!$C$42
    ),
    IF(
        $H$6="PEM",
        IF(
            OR(
                Data!$H$37=C185,
                MOD(C185,Data!$H$37)=0
            ),
            $D$8,
            G185*Data!$H$42
        ),
        ""
    )
)</f>
        <v>915661603.01018512</v>
      </c>
      <c r="H186" s="76">
        <f t="shared" si="18"/>
        <v>1.7103393581163138</v>
      </c>
      <c r="I186" s="73">
        <f t="shared" si="19"/>
        <v>0</v>
      </c>
      <c r="J186" s="73">
        <f t="shared" si="26"/>
        <v>0</v>
      </c>
      <c r="K186" s="73">
        <f t="shared" si="25"/>
        <v>0</v>
      </c>
      <c r="L186" s="74">
        <f t="shared" si="22"/>
        <v>1566092078.3441949</v>
      </c>
    </row>
    <row r="187" spans="3:12" x14ac:dyDescent="0.35">
      <c r="C187" s="69">
        <v>12</v>
      </c>
      <c r="D187" s="75">
        <v>0</v>
      </c>
      <c r="E187" s="126">
        <f t="shared" si="23"/>
        <v>0</v>
      </c>
      <c r="F187" s="71">
        <f t="shared" si="24"/>
        <v>0</v>
      </c>
      <c r="G187" s="128">
        <f>IF(
    $H$6="Alkaline",
    IF(
        OR(
            Data!$C$37=C186,
            MOD(C186,Data!$C$37)=0
        ),
        $D$8,
        G186*Data!$C$42
    ),
    IF(
        $H$6="PEM",
        IF(
            OR(
                Data!$H$37=C186,
                MOD(C186,Data!$H$37)=0
            ),
            $D$8,
            G186*Data!$H$42
        ),
        ""
    )
)</f>
        <v>906504986.98008323</v>
      </c>
      <c r="H187" s="76">
        <f t="shared" si="18"/>
        <v>1.7958563260221292</v>
      </c>
      <c r="I187" s="73">
        <f t="shared" si="19"/>
        <v>0</v>
      </c>
      <c r="J187" s="73">
        <f t="shared" si="26"/>
        <v>0</v>
      </c>
      <c r="K187" s="73">
        <f t="shared" si="25"/>
        <v>0</v>
      </c>
      <c r="L187" s="74">
        <f t="shared" si="22"/>
        <v>1627952715.4387903</v>
      </c>
    </row>
    <row r="188" spans="3:12" x14ac:dyDescent="0.35">
      <c r="C188" s="69">
        <v>13</v>
      </c>
      <c r="D188" s="75">
        <v>0</v>
      </c>
      <c r="E188" s="126">
        <f t="shared" si="23"/>
        <v>0</v>
      </c>
      <c r="F188" s="71">
        <f t="shared" si="24"/>
        <v>0</v>
      </c>
      <c r="G188" s="128">
        <f>IF(
    $H$6="Alkaline",
    IF(
        OR(
            Data!$C$37=C187,
            MOD(C187,Data!$C$37)=0
        ),
        $D$8,
        G187*Data!$C$42
    ),
    IF(
        $H$6="PEM",
        IF(
            OR(
                Data!$H$37=C187,
                MOD(C187,Data!$H$37)=0
            ),
            $D$8,
            G187*Data!$H$42
        ),
        ""
    )
)</f>
        <v>897439937.11028242</v>
      </c>
      <c r="H188" s="76">
        <f t="shared" si="18"/>
        <v>1.885649142323236</v>
      </c>
      <c r="I188" s="73">
        <f t="shared" si="19"/>
        <v>0</v>
      </c>
      <c r="J188" s="73">
        <f t="shared" si="26"/>
        <v>0</v>
      </c>
      <c r="K188" s="73">
        <f t="shared" si="25"/>
        <v>0</v>
      </c>
      <c r="L188" s="74">
        <f t="shared" si="22"/>
        <v>1692256847.6986229</v>
      </c>
    </row>
    <row r="189" spans="3:12" x14ac:dyDescent="0.35">
      <c r="C189" s="69">
        <v>14</v>
      </c>
      <c r="D189" s="75">
        <v>0</v>
      </c>
      <c r="E189" s="126">
        <f t="shared" si="23"/>
        <v>0</v>
      </c>
      <c r="F189" s="71">
        <f t="shared" si="24"/>
        <v>0</v>
      </c>
      <c r="G189" s="128">
        <f>IF(
    $H$6="Alkaline",
    IF(
        OR(
            Data!$C$37=C188,
            MOD(C188,Data!$C$37)=0
        ),
        $D$8,
        G188*Data!$C$42
    ),
    IF(
        $H$6="PEM",
        IF(
            OR(
                Data!$H$37=C188,
                MOD(C188,Data!$H$37)=0
            ),
            $D$8,
            G188*Data!$H$42
        ),
        ""
    )
)</f>
        <v>888465537.73917961</v>
      </c>
      <c r="H189" s="76">
        <f t="shared" si="18"/>
        <v>1.9799315994393973</v>
      </c>
      <c r="I189" s="73">
        <f t="shared" si="19"/>
        <v>0</v>
      </c>
      <c r="J189" s="73">
        <f t="shared" si="26"/>
        <v>0</v>
      </c>
      <c r="K189" s="73">
        <f t="shared" si="25"/>
        <v>0</v>
      </c>
      <c r="L189" s="74">
        <f t="shared" si="22"/>
        <v>1759100993.182718</v>
      </c>
    </row>
    <row r="190" spans="3:12" x14ac:dyDescent="0.35">
      <c r="C190" s="69">
        <v>15</v>
      </c>
      <c r="D190" s="75">
        <v>0</v>
      </c>
      <c r="E190" s="126">
        <f t="shared" si="23"/>
        <v>0</v>
      </c>
      <c r="F190" s="71">
        <f t="shared" si="24"/>
        <v>0</v>
      </c>
      <c r="G190" s="128">
        <f>IF(
    $H$6="Alkaline",
    IF(
        OR(
            Data!$C$37=C189,
            MOD(C189,Data!$C$37)=0
        ),
        $D$8,
        G189*Data!$C$42
    ),
    IF(
        $H$6="PEM",
        IF(
            OR(
                Data!$H$37=C189,
                MOD(C189,Data!$H$37)=0
            ),
            $D$8,
            G189*Data!$H$42
        ),
        ""
    )
)</f>
        <v>943690143.97642899</v>
      </c>
      <c r="H190" s="76">
        <f t="shared" si="18"/>
        <v>2.0789281794113679</v>
      </c>
      <c r="I190" s="73">
        <f t="shared" si="19"/>
        <v>0</v>
      </c>
      <c r="J190" s="73">
        <f t="shared" si="26"/>
        <v>0</v>
      </c>
      <c r="K190" s="73">
        <f t="shared" si="25"/>
        <v>0</v>
      </c>
      <c r="L190" s="74">
        <f t="shared" si="22"/>
        <v>1961864032.9453692</v>
      </c>
    </row>
    <row r="191" spans="3:12" x14ac:dyDescent="0.35">
      <c r="C191" s="69">
        <v>16</v>
      </c>
      <c r="D191" s="75">
        <v>0</v>
      </c>
      <c r="E191" s="126">
        <f t="shared" si="23"/>
        <v>0</v>
      </c>
      <c r="F191" s="71">
        <f t="shared" si="24"/>
        <v>0</v>
      </c>
      <c r="G191" s="128">
        <f>IF(
    $H$6="Alkaline",
    IF(
        OR(
            Data!$C$37=C190,
            MOD(C190,Data!$C$37)=0
        ),
        $D$8,
        G190*Data!$C$42
    ),
    IF(
        $H$6="PEM",
        IF(
            OR(
                Data!$H$37=C190,
                MOD(C190,Data!$H$37)=0
            ),
            $D$8,
            G190*Data!$H$42
        ),
        ""
    )
)</f>
        <v>934253242.53666472</v>
      </c>
      <c r="H191" s="76">
        <f t="shared" si="18"/>
        <v>2.182874588381936</v>
      </c>
      <c r="I191" s="73">
        <f t="shared" si="19"/>
        <v>0</v>
      </c>
      <c r="J191" s="73">
        <f t="shared" si="26"/>
        <v>0</v>
      </c>
      <c r="K191" s="73">
        <f t="shared" si="25"/>
        <v>0</v>
      </c>
      <c r="L191" s="74">
        <f t="shared" si="22"/>
        <v>2039357662.246711</v>
      </c>
    </row>
    <row r="192" spans="3:12" x14ac:dyDescent="0.35">
      <c r="C192" s="69">
        <v>17</v>
      </c>
      <c r="D192" s="75">
        <v>0</v>
      </c>
      <c r="E192" s="126">
        <f t="shared" si="23"/>
        <v>0</v>
      </c>
      <c r="F192" s="71">
        <f t="shared" si="24"/>
        <v>0</v>
      </c>
      <c r="G192" s="128">
        <f>IF(
    $H$6="Alkaline",
    IF(
        OR(
            Data!$C$37=C191,
            MOD(C191,Data!$C$37)=0
        ),
        $D$8,
        G191*Data!$C$42
    ),
    IF(
        $H$6="PEM",
        IF(
            OR(
                Data!$H$37=C191,
                MOD(C191,Data!$H$37)=0
            ),
            $D$8,
            G191*Data!$H$42
        ),
        ""
    )
)</f>
        <v>924910710.11129808</v>
      </c>
      <c r="H192" s="76">
        <f t="shared" si="18"/>
        <v>2.2920183178010332</v>
      </c>
      <c r="I192" s="73">
        <f t="shared" si="19"/>
        <v>0</v>
      </c>
      <c r="J192" s="73">
        <f t="shared" si="26"/>
        <v>0</v>
      </c>
      <c r="K192" s="73">
        <f t="shared" si="25"/>
        <v>0</v>
      </c>
      <c r="L192" s="74">
        <f t="shared" si="22"/>
        <v>2119912289.9054565</v>
      </c>
    </row>
    <row r="193" spans="1:13" x14ac:dyDescent="0.35">
      <c r="C193" s="69">
        <v>18</v>
      </c>
      <c r="D193" s="75">
        <v>0</v>
      </c>
      <c r="E193" s="126">
        <f t="shared" si="23"/>
        <v>0</v>
      </c>
      <c r="F193" s="71">
        <f t="shared" si="24"/>
        <v>0</v>
      </c>
      <c r="G193" s="128">
        <f>IF(
    $H$6="Alkaline",
    IF(
        OR(
            Data!$C$37=C192,
            MOD(C192,Data!$C$37)=0
        ),
        $D$8,
        G192*Data!$C$42
    ),
    IF(
        $H$6="PEM",
        IF(
            OR(
                Data!$H$37=C192,
                MOD(C192,Data!$H$37)=0
            ),
            $D$8,
            G192*Data!$H$42
        ),
        ""
    )
)</f>
        <v>915661603.01018512</v>
      </c>
      <c r="H193" s="76">
        <f t="shared" si="18"/>
        <v>2.4066192336910848</v>
      </c>
      <c r="I193" s="73">
        <f t="shared" si="19"/>
        <v>0</v>
      </c>
      <c r="J193" s="73">
        <f t="shared" si="26"/>
        <v>0</v>
      </c>
      <c r="K193" s="73">
        <f t="shared" si="25"/>
        <v>0</v>
      </c>
      <c r="L193" s="74">
        <f t="shared" si="22"/>
        <v>2203648825.3567219</v>
      </c>
    </row>
    <row r="194" spans="1:13" x14ac:dyDescent="0.35">
      <c r="C194" s="69">
        <v>19</v>
      </c>
      <c r="D194" s="75">
        <v>0</v>
      </c>
      <c r="E194" s="126">
        <f t="shared" si="23"/>
        <v>0</v>
      </c>
      <c r="F194" s="71">
        <f t="shared" si="24"/>
        <v>0</v>
      </c>
      <c r="G194" s="128">
        <f>IF(
    $H$6="Alkaline",
    IF(
        OR(
            Data!$C$37=C193,
            MOD(C193,Data!$C$37)=0
        ),
        $D$8,
        G193*Data!$C$42
    ),
    IF(
        $H$6="PEM",
        IF(
            OR(
                Data!$H$37=C193,
                MOD(C193,Data!$H$37)=0
            ),
            $D$8,
            G193*Data!$H$42
        ),
        ""
    )
)</f>
        <v>906504986.98008323</v>
      </c>
      <c r="H194" s="76">
        <f t="shared" si="18"/>
        <v>2.526950195375639</v>
      </c>
      <c r="I194" s="73">
        <f t="shared" si="19"/>
        <v>0</v>
      </c>
      <c r="J194" s="73">
        <f t="shared" si="26"/>
        <v>0</v>
      </c>
      <c r="K194" s="73">
        <f t="shared" si="25"/>
        <v>0</v>
      </c>
      <c r="L194" s="74">
        <f t="shared" si="22"/>
        <v>2290692953.9583125</v>
      </c>
    </row>
    <row r="195" spans="1:13" x14ac:dyDescent="0.35">
      <c r="C195" s="69">
        <v>20</v>
      </c>
      <c r="D195" s="75">
        <v>0</v>
      </c>
      <c r="E195" s="126">
        <f t="shared" si="23"/>
        <v>0</v>
      </c>
      <c r="F195" s="71">
        <f t="shared" si="24"/>
        <v>0</v>
      </c>
      <c r="G195" s="128">
        <f>IF(
    $H$6="Alkaline",
    IF(
        OR(
            Data!$C$37=C194,
            MOD(C194,Data!$C$37)=0
        ),
        $D$8,
        G194*Data!$C$42
    ),
    IF(
        $H$6="PEM",
        IF(
            OR(
                Data!$H$37=C194,
                MOD(C194,Data!$H$37)=0
            ),
            $D$8,
            G194*Data!$H$42
        ),
        ""
    )
)</f>
        <v>897439937.11028242</v>
      </c>
      <c r="H195" s="76">
        <f t="shared" si="18"/>
        <v>2.6532977051444209</v>
      </c>
      <c r="I195" s="73">
        <f t="shared" si="19"/>
        <v>0</v>
      </c>
      <c r="J195" s="73">
        <f t="shared" si="26"/>
        <v>0</v>
      </c>
      <c r="K195" s="73">
        <f t="shared" si="25"/>
        <v>0</v>
      </c>
      <c r="L195" s="74">
        <f t="shared" si="22"/>
        <v>2381175325.6396656</v>
      </c>
    </row>
    <row r="196" spans="1:13" x14ac:dyDescent="0.35">
      <c r="C196" s="69">
        <v>21</v>
      </c>
      <c r="D196" s="75">
        <v>0</v>
      </c>
      <c r="E196" s="126">
        <f t="shared" si="23"/>
        <v>0</v>
      </c>
      <c r="F196" s="71">
        <f t="shared" si="24"/>
        <v>0</v>
      </c>
      <c r="G196" s="128">
        <f>IF(
    $H$6="Alkaline",
    IF(
        OR(
            Data!$C$37=C195,
            MOD(C195,Data!$C$37)=0
        ),
        $D$8,
        G195*Data!$C$42
    ),
    IF(
        $H$6="PEM",
        IF(
            OR(
                Data!$H$37=C195,
                MOD(C195,Data!$H$37)=0
            ),
            $D$8,
            G195*Data!$H$42
        ),
        ""
    )
)</f>
        <v>888465537.73917961</v>
      </c>
      <c r="H196" s="76">
        <f t="shared" si="18"/>
        <v>2.7859625904016418</v>
      </c>
      <c r="I196" s="73">
        <f t="shared" si="19"/>
        <v>0</v>
      </c>
      <c r="J196" s="73">
        <f t="shared" si="26"/>
        <v>0</v>
      </c>
      <c r="K196" s="73">
        <f t="shared" si="25"/>
        <v>0</v>
      </c>
      <c r="L196" s="74">
        <f t="shared" si="22"/>
        <v>2475231751.0024323</v>
      </c>
    </row>
    <row r="197" spans="1:13" x14ac:dyDescent="0.35">
      <c r="C197" s="69">
        <v>22</v>
      </c>
      <c r="D197" s="75">
        <v>0</v>
      </c>
      <c r="E197" s="126">
        <f t="shared" si="23"/>
        <v>0</v>
      </c>
      <c r="F197" s="71">
        <f t="shared" si="24"/>
        <v>0</v>
      </c>
      <c r="G197" s="128">
        <f>IF(
    $H$6="Alkaline",
    IF(
        OR(
            Data!$C$37=C196,
            MOD(C196,Data!$C$37)=0
        ),
        $D$8,
        G196*Data!$C$42
    ),
    IF(
        $H$6="PEM",
        IF(
            OR(
                Data!$H$37=C196,
                MOD(C196,Data!$H$37)=0
            ),
            $D$8,
            G196*Data!$H$42
        ),
        ""
    )
)</f>
        <v>943690143.97642899</v>
      </c>
      <c r="H197" s="76">
        <f t="shared" si="18"/>
        <v>2.9252607199217238</v>
      </c>
      <c r="I197" s="73">
        <f t="shared" si="19"/>
        <v>0</v>
      </c>
      <c r="J197" s="73">
        <f t="shared" si="26"/>
        <v>0</v>
      </c>
      <c r="K197" s="73">
        <f t="shared" si="25"/>
        <v>0</v>
      </c>
      <c r="L197" s="74">
        <f t="shared" si="22"/>
        <v>2760539709.9515238</v>
      </c>
    </row>
    <row r="198" spans="1:13" x14ac:dyDescent="0.35">
      <c r="C198" s="69">
        <v>23</v>
      </c>
      <c r="D198" s="75">
        <v>0</v>
      </c>
      <c r="E198" s="126">
        <f t="shared" si="23"/>
        <v>0</v>
      </c>
      <c r="F198" s="71">
        <f t="shared" si="24"/>
        <v>0</v>
      </c>
      <c r="G198" s="128">
        <f>IF(
    $H$6="Alkaline",
    IF(
        OR(
            Data!$C$37=C197,
            MOD(C197,Data!$C$37)=0
        ),
        $D$8,
        G197*Data!$C$42
    ),
    IF(
        $H$6="PEM",
        IF(
            OR(
                Data!$H$37=C197,
                MOD(C197,Data!$H$37)=0
            ),
            $D$8,
            G197*Data!$H$42
        ),
        ""
    )
)</f>
        <v>934253242.53666472</v>
      </c>
      <c r="H198" s="76">
        <f t="shared" si="18"/>
        <v>3.0715237559178106</v>
      </c>
      <c r="I198" s="73">
        <f t="shared" si="19"/>
        <v>0</v>
      </c>
      <c r="J198" s="73">
        <f t="shared" si="26"/>
        <v>0</v>
      </c>
      <c r="K198" s="73">
        <f t="shared" si="25"/>
        <v>0</v>
      </c>
      <c r="L198" s="74">
        <f t="shared" si="22"/>
        <v>2869581028.4946098</v>
      </c>
    </row>
    <row r="199" spans="1:13" x14ac:dyDescent="0.35">
      <c r="C199" s="69">
        <v>24</v>
      </c>
      <c r="D199" s="75">
        <v>0</v>
      </c>
      <c r="E199" s="126">
        <f t="shared" si="23"/>
        <v>0</v>
      </c>
      <c r="F199" s="71">
        <f t="shared" si="24"/>
        <v>0</v>
      </c>
      <c r="G199" s="128">
        <f>IF(
    $H$6="Alkaline",
    IF(
        OR(
            Data!$C$37=C198,
            MOD(C198,Data!$C$37)=0
        ),
        $D$8,
        G198*Data!$C$42
    ),
    IF(
        $H$6="PEM",
        IF(
            OR(
                Data!$H$37=C198,
                MOD(C198,Data!$H$37)=0
            ),
            $D$8,
            G198*Data!$H$42
        ),
        ""
    )
)</f>
        <v>924910710.11129808</v>
      </c>
      <c r="H199" s="76">
        <f t="shared" si="18"/>
        <v>3.2250999437137007</v>
      </c>
      <c r="I199" s="73">
        <f t="shared" si="19"/>
        <v>0</v>
      </c>
      <c r="J199" s="73">
        <f t="shared" si="26"/>
        <v>0</v>
      </c>
      <c r="K199" s="73">
        <f t="shared" si="25"/>
        <v>0</v>
      </c>
      <c r="L199" s="74">
        <f t="shared" si="22"/>
        <v>2982929479.1201463</v>
      </c>
    </row>
    <row r="200" spans="1:13" ht="15" thickBot="1" x14ac:dyDescent="0.4">
      <c r="C200" s="69">
        <v>25</v>
      </c>
      <c r="D200" s="75">
        <v>0</v>
      </c>
      <c r="E200" s="126">
        <f t="shared" si="23"/>
        <v>0</v>
      </c>
      <c r="F200" s="71">
        <f t="shared" si="24"/>
        <v>0</v>
      </c>
      <c r="G200" s="128">
        <f>IF(
    $H$6="Alkaline",
    IF(
        OR(
            Data!$C$37=C199,
            MOD(C199,Data!$C$37)=0
        ),
        $D$8,
        G199*Data!$C$42
    ),
    IF(
        $H$6="PEM",
        IF(
            OR(
                Data!$H$37=C199,
                MOD(C199,Data!$H$37)=0
            ),
            $D$8,
            G199*Data!$H$42
        ),
        ""
    )
)</f>
        <v>915661603.01018512</v>
      </c>
      <c r="H200" s="76">
        <f t="shared" si="18"/>
        <v>3.3863549408993858</v>
      </c>
      <c r="I200" s="73">
        <f t="shared" si="19"/>
        <v>0</v>
      </c>
      <c r="J200" s="73">
        <f t="shared" si="26"/>
        <v>0</v>
      </c>
      <c r="K200" s="73">
        <f t="shared" si="25"/>
        <v>0</v>
      </c>
      <c r="L200" s="74">
        <f t="shared" si="22"/>
        <v>3100755193.5453925</v>
      </c>
    </row>
    <row r="201" spans="1:13" ht="15" thickBot="1" x14ac:dyDescent="0.4">
      <c r="C201" s="70" t="s">
        <v>26</v>
      </c>
      <c r="D201" s="77">
        <f t="shared" ref="D201:K201" si="27">SUM(D175:D200)</f>
        <v>0</v>
      </c>
      <c r="E201" s="77">
        <f t="shared" si="27"/>
        <v>0</v>
      </c>
      <c r="F201" s="77">
        <f t="shared" si="27"/>
        <v>0</v>
      </c>
      <c r="G201" s="77">
        <f t="shared" si="27"/>
        <v>22951294184.026939</v>
      </c>
      <c r="H201" s="77">
        <f t="shared" si="27"/>
        <v>51.113453758887083</v>
      </c>
      <c r="I201" s="77">
        <f t="shared" si="27"/>
        <v>0</v>
      </c>
      <c r="J201" s="77">
        <f t="shared" si="27"/>
        <v>0</v>
      </c>
      <c r="K201" s="77">
        <f t="shared" si="27"/>
        <v>0</v>
      </c>
      <c r="L201" s="77">
        <f>SUM(L175:L200)</f>
        <v>45995618724.782455</v>
      </c>
    </row>
    <row r="203" spans="1:13" ht="15" thickBot="1" x14ac:dyDescent="0.4">
      <c r="A203">
        <v>3</v>
      </c>
      <c r="B203">
        <v>31</v>
      </c>
      <c r="C203" s="133" t="s">
        <v>246</v>
      </c>
    </row>
    <row r="204" spans="1:13" ht="19" thickBot="1" x14ac:dyDescent="0.5">
      <c r="C204" s="58" t="s">
        <v>15</v>
      </c>
      <c r="D204" s="58" t="s">
        <v>16</v>
      </c>
      <c r="E204" s="58" t="s">
        <v>17</v>
      </c>
      <c r="F204" s="58" t="s">
        <v>18</v>
      </c>
      <c r="G204" s="59" t="s">
        <v>19</v>
      </c>
      <c r="H204" s="58" t="s">
        <v>20</v>
      </c>
      <c r="I204" s="59" t="s">
        <v>21</v>
      </c>
      <c r="J204" s="58" t="s">
        <v>22</v>
      </c>
      <c r="K204" s="58" t="s">
        <v>23</v>
      </c>
      <c r="L204" s="58" t="s">
        <v>24</v>
      </c>
      <c r="M204" s="152" t="s">
        <v>253</v>
      </c>
    </row>
    <row r="205" spans="1:13" ht="18.5" x14ac:dyDescent="0.45">
      <c r="C205" s="68">
        <v>0</v>
      </c>
      <c r="D205" s="71">
        <f>$G$31</f>
        <v>0</v>
      </c>
      <c r="E205" s="71">
        <v>0</v>
      </c>
      <c r="F205" s="71">
        <v>0</v>
      </c>
      <c r="G205" s="127">
        <v>0</v>
      </c>
      <c r="H205" s="72">
        <f t="shared" ref="H205:H230" si="28">(1+$D$14)^$C205</f>
        <v>1</v>
      </c>
      <c r="I205" s="73">
        <f t="shared" ref="I205:I230" si="29">D205*$H205*(1+$D$15)^C205</f>
        <v>0</v>
      </c>
      <c r="J205" s="73">
        <f t="shared" ref="J205:J209" si="30">E205*$H205*(1+$D$15)^C205</f>
        <v>0</v>
      </c>
      <c r="K205" s="73">
        <f t="shared" ref="K205:K206" si="31">F205*$H205*(1+$D$15)^C205</f>
        <v>0</v>
      </c>
      <c r="L205" s="74">
        <f t="shared" ref="L205:L230" si="32">G205*$H205</f>
        <v>0</v>
      </c>
      <c r="M205" s="153">
        <f>(I231+J231+K231)/L231</f>
        <v>0</v>
      </c>
    </row>
    <row r="206" spans="1:13" x14ac:dyDescent="0.35">
      <c r="C206" s="69">
        <v>1</v>
      </c>
      <c r="D206" s="75">
        <v>0</v>
      </c>
      <c r="E206" s="126">
        <f>$K$31</f>
        <v>0</v>
      </c>
      <c r="F206" s="71">
        <f>(IF(MOD(C206,$H$31)=0,$J$31,0))</f>
        <v>0</v>
      </c>
      <c r="G206" s="128">
        <f>$D$8</f>
        <v>943690143.97642899</v>
      </c>
      <c r="H206" s="76">
        <f t="shared" si="28"/>
        <v>1.05</v>
      </c>
      <c r="I206" s="73">
        <f t="shared" si="29"/>
        <v>0</v>
      </c>
      <c r="J206" s="73">
        <f t="shared" si="30"/>
        <v>0</v>
      </c>
      <c r="K206" s="73">
        <f t="shared" si="31"/>
        <v>0</v>
      </c>
      <c r="L206" s="97">
        <f t="shared" si="32"/>
        <v>990874651.17525053</v>
      </c>
    </row>
    <row r="207" spans="1:13" x14ac:dyDescent="0.35">
      <c r="C207" s="69">
        <v>2</v>
      </c>
      <c r="D207" s="75">
        <v>0</v>
      </c>
      <c r="E207" s="126">
        <f t="shared" ref="E207:E230" si="33">$K$31</f>
        <v>0</v>
      </c>
      <c r="F207" s="71">
        <f t="shared" ref="F207:F230" si="34">(IF(MOD(C207,$H$31)=0,$J$31,0))</f>
        <v>0</v>
      </c>
      <c r="G207" s="128">
        <f>IF(
    $H$6="Alkaline",
    IF(
        OR(
            Data!$C$37=C206,
            MOD(C206,Data!$C$37)=0
        ),
        $D$8,
        G206*Data!$C$42
    ),
    IF(
        $H$6="PEM",
        IF(
            OR(
                Data!$H$37=C206,
                MOD(C206,Data!$H$37)=0
            ),
            $D$8,
            G206*Data!$H$42
        ),
        ""
    )
)</f>
        <v>934253242.53666472</v>
      </c>
      <c r="H207" s="76">
        <f t="shared" si="28"/>
        <v>1.1025</v>
      </c>
      <c r="I207" s="73">
        <f t="shared" si="29"/>
        <v>0</v>
      </c>
      <c r="J207" s="73">
        <f t="shared" si="30"/>
        <v>0</v>
      </c>
      <c r="K207" s="73">
        <f>F207*$H207*(1+$D$15)^C207</f>
        <v>0</v>
      </c>
      <c r="L207" s="74">
        <f t="shared" si="32"/>
        <v>1030014199.8966728</v>
      </c>
    </row>
    <row r="208" spans="1:13" x14ac:dyDescent="0.35">
      <c r="C208" s="69">
        <v>3</v>
      </c>
      <c r="D208" s="75">
        <v>0</v>
      </c>
      <c r="E208" s="126">
        <f t="shared" si="33"/>
        <v>0</v>
      </c>
      <c r="F208" s="71">
        <f t="shared" si="34"/>
        <v>0</v>
      </c>
      <c r="G208" s="128">
        <f>IF(
    $H$6="Alkaline",
    IF(
        OR(
            Data!$C$37=C207,
            MOD(C207,Data!$C$37)=0
        ),
        $D$8,
        G207*Data!$C$42
    ),
    IF(
        $H$6="PEM",
        IF(
            OR(
                Data!$H$37=C207,
                MOD(C207,Data!$H$37)=0
            ),
            $D$8,
            G207*Data!$H$42
        ),
        ""
    )
)</f>
        <v>924910710.11129808</v>
      </c>
      <c r="H208" s="76">
        <f>(1+$D$14)^$C208</f>
        <v>1.1576250000000001</v>
      </c>
      <c r="I208" s="73">
        <f t="shared" si="29"/>
        <v>0</v>
      </c>
      <c r="J208" s="73">
        <f t="shared" si="30"/>
        <v>0</v>
      </c>
      <c r="K208" s="73">
        <f t="shared" ref="K208:K230" si="35">F208*$H208*(1+$D$15)^C208</f>
        <v>0</v>
      </c>
      <c r="L208" s="74">
        <f t="shared" si="32"/>
        <v>1070699760.7925916</v>
      </c>
    </row>
    <row r="209" spans="3:12" x14ac:dyDescent="0.35">
      <c r="C209" s="69">
        <v>4</v>
      </c>
      <c r="D209" s="75">
        <v>0</v>
      </c>
      <c r="E209" s="126">
        <f t="shared" si="33"/>
        <v>0</v>
      </c>
      <c r="F209" s="71">
        <f t="shared" si="34"/>
        <v>0</v>
      </c>
      <c r="G209" s="128">
        <f>IF(
    $H$6="Alkaline",
    IF(
        OR(
            Data!$C$37=C208,
            MOD(C208,Data!$C$37)=0
        ),
        $D$8,
        G208*Data!$C$42
    ),
    IF(
        $H$6="PEM",
        IF(
            OR(
                Data!$H$37=C208,
                MOD(C208,Data!$H$37)=0
            ),
            $D$8,
            G208*Data!$H$42
        ),
        ""
    )
)</f>
        <v>915661603.01018512</v>
      </c>
      <c r="H209" s="76">
        <f t="shared" si="28"/>
        <v>1.21550625</v>
      </c>
      <c r="I209" s="73">
        <f t="shared" si="29"/>
        <v>0</v>
      </c>
      <c r="J209" s="73">
        <f t="shared" si="30"/>
        <v>0</v>
      </c>
      <c r="K209" s="73">
        <f t="shared" si="35"/>
        <v>0</v>
      </c>
      <c r="L209" s="74">
        <f t="shared" si="32"/>
        <v>1112992401.3438988</v>
      </c>
    </row>
    <row r="210" spans="3:12" x14ac:dyDescent="0.35">
      <c r="C210" s="69">
        <v>5</v>
      </c>
      <c r="D210" s="75">
        <v>0</v>
      </c>
      <c r="E210" s="126">
        <f t="shared" si="33"/>
        <v>0</v>
      </c>
      <c r="F210" s="71">
        <f t="shared" si="34"/>
        <v>0</v>
      </c>
      <c r="G210" s="128">
        <f>IF(
    $H$6="Alkaline",
    IF(
        OR(
            Data!$C$37=C209,
            MOD(C209,Data!$C$37)=0
        ),
        $D$8,
        G209*Data!$C$42
    ),
    IF(
        $H$6="PEM",
        IF(
            OR(
                Data!$H$37=C209,
                MOD(C209,Data!$H$37)=0
            ),
            $D$8,
            G209*Data!$H$42
        ),
        ""
    )
)</f>
        <v>906504986.98008323</v>
      </c>
      <c r="H210" s="76">
        <f t="shared" si="28"/>
        <v>1.2762815625000001</v>
      </c>
      <c r="I210" s="73">
        <f t="shared" si="29"/>
        <v>0</v>
      </c>
      <c r="J210" s="73">
        <f>E210*$H210*(1+$D$15)^C210</f>
        <v>0</v>
      </c>
      <c r="K210" s="73">
        <f t="shared" si="35"/>
        <v>0</v>
      </c>
      <c r="L210" s="74">
        <f t="shared" si="32"/>
        <v>1156955601.1969829</v>
      </c>
    </row>
    <row r="211" spans="3:12" x14ac:dyDescent="0.35">
      <c r="C211" s="69">
        <v>6</v>
      </c>
      <c r="D211" s="75">
        <v>0</v>
      </c>
      <c r="E211" s="126">
        <f t="shared" si="33"/>
        <v>0</v>
      </c>
      <c r="F211" s="71">
        <f t="shared" si="34"/>
        <v>0</v>
      </c>
      <c r="G211" s="128">
        <f>IF(
    $H$6="Alkaline",
    IF(
        OR(
            Data!$C$37=C210,
            MOD(C210,Data!$C$37)=0
        ),
        $D$8,
        G210*Data!$C$42
    ),
    IF(
        $H$6="PEM",
        IF(
            OR(
                Data!$H$37=C210,
                MOD(C210,Data!$H$37)=0
            ),
            $D$8,
            G210*Data!$H$42
        ),
        ""
    )
)</f>
        <v>897439937.11028242</v>
      </c>
      <c r="H211" s="76">
        <f t="shared" si="28"/>
        <v>1.340095640625</v>
      </c>
      <c r="I211" s="73">
        <f t="shared" si="29"/>
        <v>0</v>
      </c>
      <c r="J211" s="73">
        <f t="shared" ref="J211:J230" si="36">E211*$H211*(1+$D$15)^C211</f>
        <v>0</v>
      </c>
      <c r="K211" s="73">
        <f t="shared" si="35"/>
        <v>0</v>
      </c>
      <c r="L211" s="74">
        <f t="shared" si="32"/>
        <v>1202655347.4442637</v>
      </c>
    </row>
    <row r="212" spans="3:12" x14ac:dyDescent="0.35">
      <c r="C212" s="69">
        <v>7</v>
      </c>
      <c r="D212" s="75">
        <v>0</v>
      </c>
      <c r="E212" s="126">
        <f t="shared" si="33"/>
        <v>0</v>
      </c>
      <c r="F212" s="71">
        <f t="shared" si="34"/>
        <v>0</v>
      </c>
      <c r="G212" s="128">
        <f>IF(
    $H$6="Alkaline",
    IF(
        OR(
            Data!$C$37=C211,
            MOD(C211,Data!$C$37)=0
        ),
        $D$8,
        G211*Data!$C$42
    ),
    IF(
        $H$6="PEM",
        IF(
            OR(
                Data!$H$37=C211,
                MOD(C211,Data!$H$37)=0
            ),
            $D$8,
            G211*Data!$H$42
        ),
        ""
    )
)</f>
        <v>888465537.73917961</v>
      </c>
      <c r="H212" s="76">
        <f t="shared" si="28"/>
        <v>1.4071004226562502</v>
      </c>
      <c r="I212" s="73">
        <f t="shared" si="29"/>
        <v>0</v>
      </c>
      <c r="J212" s="73">
        <f t="shared" si="36"/>
        <v>0</v>
      </c>
      <c r="K212" s="73">
        <f t="shared" si="35"/>
        <v>0</v>
      </c>
      <c r="L212" s="74">
        <f t="shared" si="32"/>
        <v>1250160233.6683123</v>
      </c>
    </row>
    <row r="213" spans="3:12" x14ac:dyDescent="0.35">
      <c r="C213" s="69">
        <v>8</v>
      </c>
      <c r="D213" s="75">
        <v>0</v>
      </c>
      <c r="E213" s="126">
        <f t="shared" si="33"/>
        <v>0</v>
      </c>
      <c r="F213" s="71">
        <f t="shared" si="34"/>
        <v>0</v>
      </c>
      <c r="G213" s="128">
        <f>IF(
    $H$6="Alkaline",
    IF(
        OR(
            Data!$C$37=C212,
            MOD(C212,Data!$C$37)=0
        ),
        $D$8,
        G212*Data!$C$42
    ),
    IF(
        $H$6="PEM",
        IF(
            OR(
                Data!$H$37=C212,
                MOD(C212,Data!$H$37)=0
            ),
            $D$8,
            G212*Data!$H$42
        ),
        ""
    )
)</f>
        <v>943690143.97642899</v>
      </c>
      <c r="H213" s="76">
        <f t="shared" si="28"/>
        <v>1.4774554437890626</v>
      </c>
      <c r="I213" s="73">
        <f t="shared" si="29"/>
        <v>0</v>
      </c>
      <c r="J213" s="73">
        <f t="shared" si="36"/>
        <v>0</v>
      </c>
      <c r="K213" s="73">
        <f t="shared" si="35"/>
        <v>0</v>
      </c>
      <c r="L213" s="74">
        <f t="shared" si="32"/>
        <v>1394260140.4680593</v>
      </c>
    </row>
    <row r="214" spans="3:12" x14ac:dyDescent="0.35">
      <c r="C214" s="69">
        <v>9</v>
      </c>
      <c r="D214" s="75">
        <v>0</v>
      </c>
      <c r="E214" s="126">
        <f t="shared" si="33"/>
        <v>0</v>
      </c>
      <c r="F214" s="71">
        <f t="shared" si="34"/>
        <v>0</v>
      </c>
      <c r="G214" s="128">
        <f>IF(
    $H$6="Alkaline",
    IF(
        OR(
            Data!$C$37=C213,
            MOD(C213,Data!$C$37)=0
        ),
        $D$8,
        G213*Data!$C$42
    ),
    IF(
        $H$6="PEM",
        IF(
            OR(
                Data!$H$37=C213,
                MOD(C213,Data!$H$37)=0
            ),
            $D$8,
            G213*Data!$H$42
        ),
        ""
    )
)</f>
        <v>934253242.53666472</v>
      </c>
      <c r="H214" s="76">
        <f t="shared" si="28"/>
        <v>1.5513282159785158</v>
      </c>
      <c r="I214" s="73">
        <f t="shared" si="29"/>
        <v>0</v>
      </c>
      <c r="J214" s="73">
        <f t="shared" si="36"/>
        <v>0</v>
      </c>
      <c r="K214" s="73">
        <f t="shared" si="35"/>
        <v>0</v>
      </c>
      <c r="L214" s="74">
        <f t="shared" si="32"/>
        <v>1449333416.0165477</v>
      </c>
    </row>
    <row r="215" spans="3:12" x14ac:dyDescent="0.35">
      <c r="C215" s="69">
        <v>10</v>
      </c>
      <c r="D215" s="75">
        <v>0</v>
      </c>
      <c r="E215" s="126">
        <f t="shared" si="33"/>
        <v>0</v>
      </c>
      <c r="F215" s="71">
        <f t="shared" si="34"/>
        <v>0</v>
      </c>
      <c r="G215" s="128">
        <f>IF(
    $H$6="Alkaline",
    IF(
        OR(
            Data!$C$37=C214,
            MOD(C214,Data!$C$37)=0
        ),
        $D$8,
        G214*Data!$C$42
    ),
    IF(
        $H$6="PEM",
        IF(
            OR(
                Data!$H$37=C214,
                MOD(C214,Data!$H$37)=0
            ),
            $D$8,
            G214*Data!$H$42
        ),
        ""
    )
)</f>
        <v>924910710.11129808</v>
      </c>
      <c r="H215" s="76">
        <f t="shared" si="28"/>
        <v>1.6288946267774416</v>
      </c>
      <c r="I215" s="73">
        <f t="shared" si="29"/>
        <v>0</v>
      </c>
      <c r="J215" s="73">
        <f t="shared" si="36"/>
        <v>0</v>
      </c>
      <c r="K215" s="73">
        <f t="shared" si="35"/>
        <v>0</v>
      </c>
      <c r="L215" s="74">
        <f t="shared" si="32"/>
        <v>1506582085.9492013</v>
      </c>
    </row>
    <row r="216" spans="3:12" x14ac:dyDescent="0.35">
      <c r="C216" s="69">
        <v>11</v>
      </c>
      <c r="D216" s="75">
        <v>0</v>
      </c>
      <c r="E216" s="126">
        <f t="shared" si="33"/>
        <v>0</v>
      </c>
      <c r="F216" s="71">
        <f t="shared" si="34"/>
        <v>0</v>
      </c>
      <c r="G216" s="128">
        <f>IF(
    $H$6="Alkaline",
    IF(
        OR(
            Data!$C$37=C215,
            MOD(C215,Data!$C$37)=0
        ),
        $D$8,
        G215*Data!$C$42
    ),
    IF(
        $H$6="PEM",
        IF(
            OR(
                Data!$H$37=C215,
                MOD(C215,Data!$H$37)=0
            ),
            $D$8,
            G215*Data!$H$42
        ),
        ""
    )
)</f>
        <v>915661603.01018512</v>
      </c>
      <c r="H216" s="76">
        <f t="shared" si="28"/>
        <v>1.7103393581163138</v>
      </c>
      <c r="I216" s="73">
        <f t="shared" si="29"/>
        <v>0</v>
      </c>
      <c r="J216" s="73">
        <f t="shared" si="36"/>
        <v>0</v>
      </c>
      <c r="K216" s="73">
        <f t="shared" si="35"/>
        <v>0</v>
      </c>
      <c r="L216" s="74">
        <f t="shared" si="32"/>
        <v>1566092078.3441949</v>
      </c>
    </row>
    <row r="217" spans="3:12" x14ac:dyDescent="0.35">
      <c r="C217" s="69">
        <v>12</v>
      </c>
      <c r="D217" s="75">
        <v>0</v>
      </c>
      <c r="E217" s="126">
        <f t="shared" si="33"/>
        <v>0</v>
      </c>
      <c r="F217" s="71">
        <f t="shared" si="34"/>
        <v>0</v>
      </c>
      <c r="G217" s="128">
        <f>IF(
    $H$6="Alkaline",
    IF(
        OR(
            Data!$C$37=C216,
            MOD(C216,Data!$C$37)=0
        ),
        $D$8,
        G216*Data!$C$42
    ),
    IF(
        $H$6="PEM",
        IF(
            OR(
                Data!$H$37=C216,
                MOD(C216,Data!$H$37)=0
            ),
            $D$8,
            G216*Data!$H$42
        ),
        ""
    )
)</f>
        <v>906504986.98008323</v>
      </c>
      <c r="H217" s="76">
        <f t="shared" si="28"/>
        <v>1.7958563260221292</v>
      </c>
      <c r="I217" s="73">
        <f t="shared" si="29"/>
        <v>0</v>
      </c>
      <c r="J217" s="73">
        <f t="shared" si="36"/>
        <v>0</v>
      </c>
      <c r="K217" s="73">
        <f t="shared" si="35"/>
        <v>0</v>
      </c>
      <c r="L217" s="74">
        <f t="shared" si="32"/>
        <v>1627952715.4387903</v>
      </c>
    </row>
    <row r="218" spans="3:12" x14ac:dyDescent="0.35">
      <c r="C218" s="69">
        <v>13</v>
      </c>
      <c r="D218" s="75">
        <v>0</v>
      </c>
      <c r="E218" s="126">
        <f t="shared" si="33"/>
        <v>0</v>
      </c>
      <c r="F218" s="71">
        <f t="shared" si="34"/>
        <v>0</v>
      </c>
      <c r="G218" s="128">
        <f>IF(
    $H$6="Alkaline",
    IF(
        OR(
            Data!$C$37=C217,
            MOD(C217,Data!$C$37)=0
        ),
        $D$8,
        G217*Data!$C$42
    ),
    IF(
        $H$6="PEM",
        IF(
            OR(
                Data!$H$37=C217,
                MOD(C217,Data!$H$37)=0
            ),
            $D$8,
            G217*Data!$H$42
        ),
        ""
    )
)</f>
        <v>897439937.11028242</v>
      </c>
      <c r="H218" s="76">
        <f t="shared" si="28"/>
        <v>1.885649142323236</v>
      </c>
      <c r="I218" s="73">
        <f t="shared" si="29"/>
        <v>0</v>
      </c>
      <c r="J218" s="73">
        <f t="shared" si="36"/>
        <v>0</v>
      </c>
      <c r="K218" s="73">
        <f t="shared" si="35"/>
        <v>0</v>
      </c>
      <c r="L218" s="74">
        <f t="shared" si="32"/>
        <v>1692256847.6986229</v>
      </c>
    </row>
    <row r="219" spans="3:12" x14ac:dyDescent="0.35">
      <c r="C219" s="69">
        <v>14</v>
      </c>
      <c r="D219" s="75">
        <v>0</v>
      </c>
      <c r="E219" s="126">
        <f t="shared" si="33"/>
        <v>0</v>
      </c>
      <c r="F219" s="71">
        <f t="shared" si="34"/>
        <v>0</v>
      </c>
      <c r="G219" s="128">
        <f>IF(
    $H$6="Alkaline",
    IF(
        OR(
            Data!$C$37=C218,
            MOD(C218,Data!$C$37)=0
        ),
        $D$8,
        G218*Data!$C$42
    ),
    IF(
        $H$6="PEM",
        IF(
            OR(
                Data!$H$37=C218,
                MOD(C218,Data!$H$37)=0
            ),
            $D$8,
            G218*Data!$H$42
        ),
        ""
    )
)</f>
        <v>888465537.73917961</v>
      </c>
      <c r="H219" s="76">
        <f t="shared" si="28"/>
        <v>1.9799315994393973</v>
      </c>
      <c r="I219" s="73">
        <f t="shared" si="29"/>
        <v>0</v>
      </c>
      <c r="J219" s="73">
        <f t="shared" si="36"/>
        <v>0</v>
      </c>
      <c r="K219" s="73">
        <f t="shared" si="35"/>
        <v>0</v>
      </c>
      <c r="L219" s="74">
        <f t="shared" si="32"/>
        <v>1759100993.182718</v>
      </c>
    </row>
    <row r="220" spans="3:12" x14ac:dyDescent="0.35">
      <c r="C220" s="69">
        <v>15</v>
      </c>
      <c r="D220" s="75">
        <v>0</v>
      </c>
      <c r="E220" s="126">
        <f t="shared" si="33"/>
        <v>0</v>
      </c>
      <c r="F220" s="71">
        <f t="shared" si="34"/>
        <v>0</v>
      </c>
      <c r="G220" s="128">
        <f>IF(
    $H$6="Alkaline",
    IF(
        OR(
            Data!$C$37=C219,
            MOD(C219,Data!$C$37)=0
        ),
        $D$8,
        G219*Data!$C$42
    ),
    IF(
        $H$6="PEM",
        IF(
            OR(
                Data!$H$37=C219,
                MOD(C219,Data!$H$37)=0
            ),
            $D$8,
            G219*Data!$H$42
        ),
        ""
    )
)</f>
        <v>943690143.97642899</v>
      </c>
      <c r="H220" s="76">
        <f t="shared" si="28"/>
        <v>2.0789281794113679</v>
      </c>
      <c r="I220" s="73">
        <f t="shared" si="29"/>
        <v>0</v>
      </c>
      <c r="J220" s="73">
        <f t="shared" si="36"/>
        <v>0</v>
      </c>
      <c r="K220" s="73">
        <f t="shared" si="35"/>
        <v>0</v>
      </c>
      <c r="L220" s="74">
        <f t="shared" si="32"/>
        <v>1961864032.9453692</v>
      </c>
    </row>
    <row r="221" spans="3:12" x14ac:dyDescent="0.35">
      <c r="C221" s="69">
        <v>16</v>
      </c>
      <c r="D221" s="75">
        <v>0</v>
      </c>
      <c r="E221" s="126">
        <f t="shared" si="33"/>
        <v>0</v>
      </c>
      <c r="F221" s="71">
        <f t="shared" si="34"/>
        <v>0</v>
      </c>
      <c r="G221" s="128">
        <f>IF(
    $H$6="Alkaline",
    IF(
        OR(
            Data!$C$37=C220,
            MOD(C220,Data!$C$37)=0
        ),
        $D$8,
        G220*Data!$C$42
    ),
    IF(
        $H$6="PEM",
        IF(
            OR(
                Data!$H$37=C220,
                MOD(C220,Data!$H$37)=0
            ),
            $D$8,
            G220*Data!$H$42
        ),
        ""
    )
)</f>
        <v>934253242.53666472</v>
      </c>
      <c r="H221" s="76">
        <f t="shared" si="28"/>
        <v>2.182874588381936</v>
      </c>
      <c r="I221" s="73">
        <f t="shared" si="29"/>
        <v>0</v>
      </c>
      <c r="J221" s="73">
        <f t="shared" si="36"/>
        <v>0</v>
      </c>
      <c r="K221" s="73">
        <f t="shared" si="35"/>
        <v>0</v>
      </c>
      <c r="L221" s="74">
        <f t="shared" si="32"/>
        <v>2039357662.246711</v>
      </c>
    </row>
    <row r="222" spans="3:12" x14ac:dyDescent="0.35">
      <c r="C222" s="69">
        <v>17</v>
      </c>
      <c r="D222" s="75">
        <v>0</v>
      </c>
      <c r="E222" s="126">
        <f t="shared" si="33"/>
        <v>0</v>
      </c>
      <c r="F222" s="71">
        <f t="shared" si="34"/>
        <v>0</v>
      </c>
      <c r="G222" s="128">
        <f>IF(
    $H$6="Alkaline",
    IF(
        OR(
            Data!$C$37=C221,
            MOD(C221,Data!$C$37)=0
        ),
        $D$8,
        G221*Data!$C$42
    ),
    IF(
        $H$6="PEM",
        IF(
            OR(
                Data!$H$37=C221,
                MOD(C221,Data!$H$37)=0
            ),
            $D$8,
            G221*Data!$H$42
        ),
        ""
    )
)</f>
        <v>924910710.11129808</v>
      </c>
      <c r="H222" s="76">
        <f t="shared" si="28"/>
        <v>2.2920183178010332</v>
      </c>
      <c r="I222" s="73">
        <f t="shared" si="29"/>
        <v>0</v>
      </c>
      <c r="J222" s="73">
        <f t="shared" si="36"/>
        <v>0</v>
      </c>
      <c r="K222" s="73">
        <f t="shared" si="35"/>
        <v>0</v>
      </c>
      <c r="L222" s="74">
        <f t="shared" si="32"/>
        <v>2119912289.9054565</v>
      </c>
    </row>
    <row r="223" spans="3:12" x14ac:dyDescent="0.35">
      <c r="C223" s="69">
        <v>18</v>
      </c>
      <c r="D223" s="75">
        <v>0</v>
      </c>
      <c r="E223" s="126">
        <f t="shared" si="33"/>
        <v>0</v>
      </c>
      <c r="F223" s="71">
        <f t="shared" si="34"/>
        <v>0</v>
      </c>
      <c r="G223" s="128">
        <f>IF(
    $H$6="Alkaline",
    IF(
        OR(
            Data!$C$37=C222,
            MOD(C222,Data!$C$37)=0
        ),
        $D$8,
        G222*Data!$C$42
    ),
    IF(
        $H$6="PEM",
        IF(
            OR(
                Data!$H$37=C222,
                MOD(C222,Data!$H$37)=0
            ),
            $D$8,
            G222*Data!$H$42
        ),
        ""
    )
)</f>
        <v>915661603.01018512</v>
      </c>
      <c r="H223" s="76">
        <f t="shared" si="28"/>
        <v>2.4066192336910848</v>
      </c>
      <c r="I223" s="73">
        <f t="shared" si="29"/>
        <v>0</v>
      </c>
      <c r="J223" s="73">
        <f t="shared" si="36"/>
        <v>0</v>
      </c>
      <c r="K223" s="73">
        <f t="shared" si="35"/>
        <v>0</v>
      </c>
      <c r="L223" s="74">
        <f t="shared" si="32"/>
        <v>2203648825.3567219</v>
      </c>
    </row>
    <row r="224" spans="3:12" x14ac:dyDescent="0.35">
      <c r="C224" s="69">
        <v>19</v>
      </c>
      <c r="D224" s="75">
        <v>0</v>
      </c>
      <c r="E224" s="126">
        <f t="shared" si="33"/>
        <v>0</v>
      </c>
      <c r="F224" s="71">
        <f t="shared" si="34"/>
        <v>0</v>
      </c>
      <c r="G224" s="128">
        <f>IF(
    $H$6="Alkaline",
    IF(
        OR(
            Data!$C$37=C223,
            MOD(C223,Data!$C$37)=0
        ),
        $D$8,
        G223*Data!$C$42
    ),
    IF(
        $H$6="PEM",
        IF(
            OR(
                Data!$H$37=C223,
                MOD(C223,Data!$H$37)=0
            ),
            $D$8,
            G223*Data!$H$42
        ),
        ""
    )
)</f>
        <v>906504986.98008323</v>
      </c>
      <c r="H224" s="76">
        <f t="shared" si="28"/>
        <v>2.526950195375639</v>
      </c>
      <c r="I224" s="73">
        <f t="shared" si="29"/>
        <v>0</v>
      </c>
      <c r="J224" s="73">
        <f t="shared" si="36"/>
        <v>0</v>
      </c>
      <c r="K224" s="73">
        <f t="shared" si="35"/>
        <v>0</v>
      </c>
      <c r="L224" s="74">
        <f t="shared" si="32"/>
        <v>2290692953.9583125</v>
      </c>
    </row>
    <row r="225" spans="1:13" x14ac:dyDescent="0.35">
      <c r="C225" s="69">
        <v>20</v>
      </c>
      <c r="D225" s="75">
        <v>0</v>
      </c>
      <c r="E225" s="126">
        <f t="shared" si="33"/>
        <v>0</v>
      </c>
      <c r="F225" s="71">
        <f t="shared" si="34"/>
        <v>0</v>
      </c>
      <c r="G225" s="128">
        <f>IF(
    $H$6="Alkaline",
    IF(
        OR(
            Data!$C$37=C224,
            MOD(C224,Data!$C$37)=0
        ),
        $D$8,
        G224*Data!$C$42
    ),
    IF(
        $H$6="PEM",
        IF(
            OR(
                Data!$H$37=C224,
                MOD(C224,Data!$H$37)=0
            ),
            $D$8,
            G224*Data!$H$42
        ),
        ""
    )
)</f>
        <v>897439937.11028242</v>
      </c>
      <c r="H225" s="76">
        <f t="shared" si="28"/>
        <v>2.6532977051444209</v>
      </c>
      <c r="I225" s="73">
        <f t="shared" si="29"/>
        <v>0</v>
      </c>
      <c r="J225" s="73">
        <f t="shared" si="36"/>
        <v>0</v>
      </c>
      <c r="K225" s="73">
        <f t="shared" si="35"/>
        <v>0</v>
      </c>
      <c r="L225" s="74">
        <f t="shared" si="32"/>
        <v>2381175325.6396656</v>
      </c>
    </row>
    <row r="226" spans="1:13" x14ac:dyDescent="0.35">
      <c r="C226" s="69">
        <v>21</v>
      </c>
      <c r="D226" s="75">
        <v>0</v>
      </c>
      <c r="E226" s="126">
        <f t="shared" si="33"/>
        <v>0</v>
      </c>
      <c r="F226" s="71">
        <f t="shared" si="34"/>
        <v>0</v>
      </c>
      <c r="G226" s="128">
        <f>IF(
    $H$6="Alkaline",
    IF(
        OR(
            Data!$C$37=C225,
            MOD(C225,Data!$C$37)=0
        ),
        $D$8,
        G225*Data!$C$42
    ),
    IF(
        $H$6="PEM",
        IF(
            OR(
                Data!$H$37=C225,
                MOD(C225,Data!$H$37)=0
            ),
            $D$8,
            G225*Data!$H$42
        ),
        ""
    )
)</f>
        <v>888465537.73917961</v>
      </c>
      <c r="H226" s="76">
        <f t="shared" si="28"/>
        <v>2.7859625904016418</v>
      </c>
      <c r="I226" s="73">
        <f t="shared" si="29"/>
        <v>0</v>
      </c>
      <c r="J226" s="73">
        <f t="shared" si="36"/>
        <v>0</v>
      </c>
      <c r="K226" s="73">
        <f t="shared" si="35"/>
        <v>0</v>
      </c>
      <c r="L226" s="74">
        <f t="shared" si="32"/>
        <v>2475231751.0024323</v>
      </c>
    </row>
    <row r="227" spans="1:13" x14ac:dyDescent="0.35">
      <c r="C227" s="69">
        <v>22</v>
      </c>
      <c r="D227" s="75">
        <v>0</v>
      </c>
      <c r="E227" s="126">
        <f t="shared" si="33"/>
        <v>0</v>
      </c>
      <c r="F227" s="71">
        <f t="shared" si="34"/>
        <v>0</v>
      </c>
      <c r="G227" s="128">
        <f>IF(
    $H$6="Alkaline",
    IF(
        OR(
            Data!$C$37=C226,
            MOD(C226,Data!$C$37)=0
        ),
        $D$8,
        G226*Data!$C$42
    ),
    IF(
        $H$6="PEM",
        IF(
            OR(
                Data!$H$37=C226,
                MOD(C226,Data!$H$37)=0
            ),
            $D$8,
            G226*Data!$H$42
        ),
        ""
    )
)</f>
        <v>943690143.97642899</v>
      </c>
      <c r="H227" s="76">
        <f t="shared" si="28"/>
        <v>2.9252607199217238</v>
      </c>
      <c r="I227" s="73">
        <f t="shared" si="29"/>
        <v>0</v>
      </c>
      <c r="J227" s="73">
        <f t="shared" si="36"/>
        <v>0</v>
      </c>
      <c r="K227" s="73">
        <f t="shared" si="35"/>
        <v>0</v>
      </c>
      <c r="L227" s="74">
        <f t="shared" si="32"/>
        <v>2760539709.9515238</v>
      </c>
    </row>
    <row r="228" spans="1:13" x14ac:dyDescent="0.35">
      <c r="C228" s="69">
        <v>23</v>
      </c>
      <c r="D228" s="75">
        <v>0</v>
      </c>
      <c r="E228" s="126">
        <f t="shared" si="33"/>
        <v>0</v>
      </c>
      <c r="F228" s="71">
        <f t="shared" si="34"/>
        <v>0</v>
      </c>
      <c r="G228" s="128">
        <f>IF(
    $H$6="Alkaline",
    IF(
        OR(
            Data!$C$37=C227,
            MOD(C227,Data!$C$37)=0
        ),
        $D$8,
        G227*Data!$C$42
    ),
    IF(
        $H$6="PEM",
        IF(
            OR(
                Data!$H$37=C227,
                MOD(C227,Data!$H$37)=0
            ),
            $D$8,
            G227*Data!$H$42
        ),
        ""
    )
)</f>
        <v>934253242.53666472</v>
      </c>
      <c r="H228" s="76">
        <f t="shared" si="28"/>
        <v>3.0715237559178106</v>
      </c>
      <c r="I228" s="73">
        <f t="shared" si="29"/>
        <v>0</v>
      </c>
      <c r="J228" s="73">
        <f t="shared" si="36"/>
        <v>0</v>
      </c>
      <c r="K228" s="73">
        <f t="shared" si="35"/>
        <v>0</v>
      </c>
      <c r="L228" s="74">
        <f t="shared" si="32"/>
        <v>2869581028.4946098</v>
      </c>
    </row>
    <row r="229" spans="1:13" x14ac:dyDescent="0.35">
      <c r="C229" s="69">
        <v>24</v>
      </c>
      <c r="D229" s="75">
        <v>0</v>
      </c>
      <c r="E229" s="126">
        <f t="shared" si="33"/>
        <v>0</v>
      </c>
      <c r="F229" s="71">
        <f t="shared" si="34"/>
        <v>0</v>
      </c>
      <c r="G229" s="128">
        <f>IF(
    $H$6="Alkaline",
    IF(
        OR(
            Data!$C$37=C228,
            MOD(C228,Data!$C$37)=0
        ),
        $D$8,
        G228*Data!$C$42
    ),
    IF(
        $H$6="PEM",
        IF(
            OR(
                Data!$H$37=C228,
                MOD(C228,Data!$H$37)=0
            ),
            $D$8,
            G228*Data!$H$42
        ),
        ""
    )
)</f>
        <v>924910710.11129808</v>
      </c>
      <c r="H229" s="76">
        <f t="shared" si="28"/>
        <v>3.2250999437137007</v>
      </c>
      <c r="I229" s="73">
        <f t="shared" si="29"/>
        <v>0</v>
      </c>
      <c r="J229" s="73">
        <f t="shared" si="36"/>
        <v>0</v>
      </c>
      <c r="K229" s="73">
        <f t="shared" si="35"/>
        <v>0</v>
      </c>
      <c r="L229" s="74">
        <f t="shared" si="32"/>
        <v>2982929479.1201463</v>
      </c>
    </row>
    <row r="230" spans="1:13" ht="15" thickBot="1" x14ac:dyDescent="0.4">
      <c r="C230" s="69">
        <v>25</v>
      </c>
      <c r="D230" s="75">
        <v>0</v>
      </c>
      <c r="E230" s="126">
        <f t="shared" si="33"/>
        <v>0</v>
      </c>
      <c r="F230" s="71">
        <f t="shared" si="34"/>
        <v>0</v>
      </c>
      <c r="G230" s="128">
        <f>IF(
    $H$6="Alkaline",
    IF(
        OR(
            Data!$C$37=C229,
            MOD(C229,Data!$C$37)=0
        ),
        $D$8,
        G229*Data!$C$42
    ),
    IF(
        $H$6="PEM",
        IF(
            OR(
                Data!$H$37=C229,
                MOD(C229,Data!$H$37)=0
            ),
            $D$8,
            G229*Data!$H$42
        ),
        ""
    )
)</f>
        <v>915661603.01018512</v>
      </c>
      <c r="H230" s="76">
        <f t="shared" si="28"/>
        <v>3.3863549408993858</v>
      </c>
      <c r="I230" s="73">
        <f t="shared" si="29"/>
        <v>0</v>
      </c>
      <c r="J230" s="73">
        <f t="shared" si="36"/>
        <v>0</v>
      </c>
      <c r="K230" s="73">
        <f t="shared" si="35"/>
        <v>0</v>
      </c>
      <c r="L230" s="74">
        <f t="shared" si="32"/>
        <v>3100755193.5453925</v>
      </c>
    </row>
    <row r="231" spans="1:13" ht="15" thickBot="1" x14ac:dyDescent="0.4">
      <c r="C231" s="70" t="s">
        <v>26</v>
      </c>
      <c r="D231" s="77">
        <f t="shared" ref="D231:K231" si="37">SUM(D205:D230)</f>
        <v>0</v>
      </c>
      <c r="E231" s="77">
        <f t="shared" si="37"/>
        <v>0</v>
      </c>
      <c r="F231" s="77">
        <f t="shared" si="37"/>
        <v>0</v>
      </c>
      <c r="G231" s="77">
        <f t="shared" si="37"/>
        <v>22951294184.026939</v>
      </c>
      <c r="H231" s="77">
        <f t="shared" si="37"/>
        <v>51.113453758887083</v>
      </c>
      <c r="I231" s="77">
        <f t="shared" si="37"/>
        <v>0</v>
      </c>
      <c r="J231" s="77">
        <f t="shared" si="37"/>
        <v>0</v>
      </c>
      <c r="K231" s="77">
        <f t="shared" si="37"/>
        <v>0</v>
      </c>
      <c r="L231" s="77">
        <f>SUM(L205:L230)</f>
        <v>45995618724.782455</v>
      </c>
    </row>
    <row r="232" spans="1:13" x14ac:dyDescent="0.35">
      <c r="C232" s="49"/>
      <c r="D232" s="49"/>
      <c r="E232" s="49"/>
      <c r="F232" s="49"/>
      <c r="G232" s="49"/>
      <c r="H232" s="49"/>
      <c r="I232" s="49"/>
      <c r="J232" s="49"/>
      <c r="K232" s="49"/>
      <c r="L232" s="49"/>
    </row>
    <row r="233" spans="1:13" ht="15" thickBot="1" x14ac:dyDescent="0.4">
      <c r="A233">
        <v>4</v>
      </c>
      <c r="B233">
        <v>35</v>
      </c>
      <c r="C233" s="133" t="s">
        <v>245</v>
      </c>
    </row>
    <row r="234" spans="1:13" ht="19" thickBot="1" x14ac:dyDescent="0.5">
      <c r="C234" s="58" t="s">
        <v>15</v>
      </c>
      <c r="D234" s="58" t="s">
        <v>16</v>
      </c>
      <c r="E234" s="58" t="s">
        <v>17</v>
      </c>
      <c r="F234" s="58" t="s">
        <v>18</v>
      </c>
      <c r="G234" s="59" t="s">
        <v>19</v>
      </c>
      <c r="H234" s="58" t="s">
        <v>20</v>
      </c>
      <c r="I234" s="59" t="s">
        <v>21</v>
      </c>
      <c r="J234" s="58" t="s">
        <v>22</v>
      </c>
      <c r="K234" s="58" t="s">
        <v>23</v>
      </c>
      <c r="L234" s="58" t="s">
        <v>24</v>
      </c>
      <c r="M234" s="152" t="s">
        <v>253</v>
      </c>
    </row>
    <row r="235" spans="1:13" ht="18.5" x14ac:dyDescent="0.45">
      <c r="C235" s="68">
        <v>0</v>
      </c>
      <c r="D235" s="71">
        <f>$G$35</f>
        <v>705352500</v>
      </c>
      <c r="E235" s="71">
        <v>0</v>
      </c>
      <c r="F235" s="71">
        <v>0</v>
      </c>
      <c r="G235" s="127">
        <v>0</v>
      </c>
      <c r="H235" s="72">
        <f t="shared" ref="H235:H260" si="38">(1+$D$14)^$C235</f>
        <v>1</v>
      </c>
      <c r="I235" s="73">
        <f t="shared" ref="I235:I260" si="39">D235*$H235*(1+$D$15)^C235</f>
        <v>705352500</v>
      </c>
      <c r="J235" s="73">
        <f t="shared" ref="J235:J239" si="40">E235*$H235*(1+$D$15)^C235</f>
        <v>0</v>
      </c>
      <c r="K235" s="73">
        <f t="shared" ref="K235:K236" si="41">F235*$H235*(1+$D$15)^C235</f>
        <v>0</v>
      </c>
      <c r="L235" s="74">
        <f t="shared" ref="L235:L260" si="42">G235*$H235</f>
        <v>0</v>
      </c>
      <c r="M235" s="153">
        <f>(I261+J261+K261)/L261</f>
        <v>2.7728756511905657E-2</v>
      </c>
    </row>
    <row r="236" spans="1:13" x14ac:dyDescent="0.35">
      <c r="C236" s="69">
        <v>1</v>
      </c>
      <c r="D236" s="75">
        <v>0</v>
      </c>
      <c r="E236" s="126">
        <f>$K$35</f>
        <v>7053525</v>
      </c>
      <c r="F236" s="71">
        <f>(IF(MOD(C236,$H$35)=0,$J$35,0))</f>
        <v>0</v>
      </c>
      <c r="G236" s="128">
        <f>$D$8</f>
        <v>943690143.97642899</v>
      </c>
      <c r="H236" s="76">
        <f t="shared" si="38"/>
        <v>1.05</v>
      </c>
      <c r="I236" s="73">
        <f t="shared" si="39"/>
        <v>0</v>
      </c>
      <c r="J236" s="73">
        <f t="shared" si="40"/>
        <v>7628387.2875000006</v>
      </c>
      <c r="K236" s="73">
        <f t="shared" si="41"/>
        <v>0</v>
      </c>
      <c r="L236" s="97">
        <f t="shared" si="42"/>
        <v>990874651.17525053</v>
      </c>
    </row>
    <row r="237" spans="1:13" x14ac:dyDescent="0.35">
      <c r="C237" s="69">
        <v>2</v>
      </c>
      <c r="D237" s="75">
        <v>0</v>
      </c>
      <c r="E237" s="126">
        <f t="shared" ref="E237:E260" si="43">$K$35</f>
        <v>7053525</v>
      </c>
      <c r="F237" s="71">
        <f>(IF(MOD(C236,$H$35)=0,$J$35,0))</f>
        <v>0</v>
      </c>
      <c r="G237" s="128">
        <f>IF(
    $H$6="Alkaline",
    IF(
        OR(
            Data!$C$37=C236,
            MOD(C236,Data!$C$37)=0
        ),
        $D$8,
        G236*Data!$C$42
    ),
    IF(
        $H$6="PEM",
        IF(
            OR(
                Data!$H$37=C236,
                MOD(C236,Data!$H$37)=0
            ),
            $D$8,
            G236*Data!$H$42
        ),
        ""
    )
)</f>
        <v>934253242.53666472</v>
      </c>
      <c r="H237" s="76">
        <f t="shared" si="38"/>
        <v>1.1025</v>
      </c>
      <c r="I237" s="73">
        <f t="shared" si="39"/>
        <v>0</v>
      </c>
      <c r="J237" s="73">
        <f t="shared" si="40"/>
        <v>8250100.8514312496</v>
      </c>
      <c r="K237" s="73">
        <f>F237*$H237*(1+$D$15)^C237</f>
        <v>0</v>
      </c>
      <c r="L237" s="74">
        <f t="shared" si="42"/>
        <v>1030014199.8966728</v>
      </c>
    </row>
    <row r="238" spans="1:13" x14ac:dyDescent="0.35">
      <c r="C238" s="69">
        <v>3</v>
      </c>
      <c r="D238" s="75">
        <v>0</v>
      </c>
      <c r="E238" s="126">
        <f t="shared" si="43"/>
        <v>7053525</v>
      </c>
      <c r="F238" s="71">
        <f t="shared" ref="F238:F260" si="44">(IF(MOD(C237,$H$35)=0,$J$35,0))</f>
        <v>0</v>
      </c>
      <c r="G238" s="128">
        <f>IF(
    $H$6="Alkaline",
    IF(
        OR(
            Data!$C$37=C237,
            MOD(C237,Data!$C$37)=0
        ),
        $D$8,
        G237*Data!$C$42
    ),
    IF(
        $H$6="PEM",
        IF(
            OR(
                Data!$H$37=C237,
                MOD(C237,Data!$H$37)=0
            ),
            $D$8,
            G237*Data!$H$42
        ),
        ""
    )
)</f>
        <v>924910710.11129808</v>
      </c>
      <c r="H238" s="76">
        <f>(1+$D$14)^$C238</f>
        <v>1.1576250000000001</v>
      </c>
      <c r="I238" s="73">
        <f t="shared" si="39"/>
        <v>0</v>
      </c>
      <c r="J238" s="73">
        <f t="shared" si="40"/>
        <v>8922484.0708228983</v>
      </c>
      <c r="K238" s="73">
        <f t="shared" ref="K238:K260" si="45">F238*$H238*(1+$D$15)^C238</f>
        <v>0</v>
      </c>
      <c r="L238" s="74">
        <f t="shared" si="42"/>
        <v>1070699760.7925916</v>
      </c>
    </row>
    <row r="239" spans="1:13" x14ac:dyDescent="0.35">
      <c r="C239" s="69">
        <v>4</v>
      </c>
      <c r="D239" s="75">
        <v>0</v>
      </c>
      <c r="E239" s="126">
        <f t="shared" si="43"/>
        <v>7053525</v>
      </c>
      <c r="F239" s="71">
        <f t="shared" si="44"/>
        <v>0</v>
      </c>
      <c r="G239" s="128">
        <f>IF(
    $H$6="Alkaline",
    IF(
        OR(
            Data!$C$37=C238,
            MOD(C238,Data!$C$37)=0
        ),
        $D$8,
        G238*Data!$C$42
    ),
    IF(
        $H$6="PEM",
        IF(
            OR(
                Data!$H$37=C238,
                MOD(C238,Data!$H$37)=0
            ),
            $D$8,
            G238*Data!$H$42
        ),
        ""
    )
)</f>
        <v>915661603.01018512</v>
      </c>
      <c r="H239" s="76">
        <f t="shared" si="38"/>
        <v>1.21550625</v>
      </c>
      <c r="I239" s="73">
        <f t="shared" si="39"/>
        <v>0</v>
      </c>
      <c r="J239" s="73">
        <f t="shared" si="40"/>
        <v>9649666.5225949623</v>
      </c>
      <c r="K239" s="73">
        <f t="shared" si="45"/>
        <v>0</v>
      </c>
      <c r="L239" s="74">
        <f t="shared" si="42"/>
        <v>1112992401.3438988</v>
      </c>
    </row>
    <row r="240" spans="1:13" x14ac:dyDescent="0.35">
      <c r="C240" s="69">
        <v>5</v>
      </c>
      <c r="D240" s="75">
        <v>0</v>
      </c>
      <c r="E240" s="126">
        <f t="shared" si="43"/>
        <v>7053525</v>
      </c>
      <c r="F240" s="71">
        <f t="shared" si="44"/>
        <v>0</v>
      </c>
      <c r="G240" s="128">
        <f>IF(
    $H$6="Alkaline",
    IF(
        OR(
            Data!$C$37=C239,
            MOD(C239,Data!$C$37)=0
        ),
        $D$8,
        G239*Data!$C$42
    ),
    IF(
        $H$6="PEM",
        IF(
            OR(
                Data!$H$37=C239,
                MOD(C239,Data!$H$37)=0
            ),
            $D$8,
            G239*Data!$H$42
        ),
        ""
    )
)</f>
        <v>906504986.98008323</v>
      </c>
      <c r="H240" s="76">
        <f t="shared" si="38"/>
        <v>1.2762815625000001</v>
      </c>
      <c r="I240" s="73">
        <f t="shared" si="39"/>
        <v>0</v>
      </c>
      <c r="J240" s="73">
        <f>E240*$H240*(1+$D$15)^C240</f>
        <v>10436114.344186453</v>
      </c>
      <c r="K240" s="73">
        <f t="shared" si="45"/>
        <v>0</v>
      </c>
      <c r="L240" s="74">
        <f t="shared" si="42"/>
        <v>1156955601.1969829</v>
      </c>
    </row>
    <row r="241" spans="3:12" x14ac:dyDescent="0.35">
      <c r="C241" s="69">
        <v>6</v>
      </c>
      <c r="D241" s="75">
        <v>0</v>
      </c>
      <c r="E241" s="126">
        <f t="shared" si="43"/>
        <v>7053525</v>
      </c>
      <c r="F241" s="71">
        <f t="shared" si="44"/>
        <v>0</v>
      </c>
      <c r="G241" s="128">
        <f>IF(
    $H$6="Alkaline",
    IF(
        OR(
            Data!$C$37=C240,
            MOD(C240,Data!$C$37)=0
        ),
        $D$8,
        G240*Data!$C$42
    ),
    IF(
        $H$6="PEM",
        IF(
            OR(
                Data!$H$37=C240,
                MOD(C240,Data!$H$37)=0
            ),
            $D$8,
            G240*Data!$H$42
        ),
        ""
    )
)</f>
        <v>897439937.11028242</v>
      </c>
      <c r="H241" s="76">
        <f t="shared" si="38"/>
        <v>1.340095640625</v>
      </c>
      <c r="I241" s="73">
        <f t="shared" si="39"/>
        <v>0</v>
      </c>
      <c r="J241" s="73">
        <f t="shared" ref="J241:J260" si="46">E241*$H241*(1+$D$15)^C241</f>
        <v>11286657.663237648</v>
      </c>
      <c r="K241" s="73">
        <f t="shared" si="45"/>
        <v>0</v>
      </c>
      <c r="L241" s="74">
        <f t="shared" si="42"/>
        <v>1202655347.4442637</v>
      </c>
    </row>
    <row r="242" spans="3:12" x14ac:dyDescent="0.35">
      <c r="C242" s="69">
        <v>7</v>
      </c>
      <c r="D242" s="75">
        <v>0</v>
      </c>
      <c r="E242" s="126">
        <f t="shared" si="43"/>
        <v>7053525</v>
      </c>
      <c r="F242" s="71">
        <f t="shared" si="44"/>
        <v>0</v>
      </c>
      <c r="G242" s="128">
        <f>IF(
    $H$6="Alkaline",
    IF(
        OR(
            Data!$C$37=C241,
            MOD(C241,Data!$C$37)=0
        ),
        $D$8,
        G241*Data!$C$42
    ),
    IF(
        $H$6="PEM",
        IF(
            OR(
                Data!$H$37=C241,
                MOD(C241,Data!$H$37)=0
            ),
            $D$8,
            G241*Data!$H$42
        ),
        ""
    )
)</f>
        <v>888465537.73917961</v>
      </c>
      <c r="H242" s="76">
        <f t="shared" si="38"/>
        <v>1.4071004226562502</v>
      </c>
      <c r="I242" s="73">
        <f t="shared" si="39"/>
        <v>0</v>
      </c>
      <c r="J242" s="73">
        <f t="shared" si="46"/>
        <v>12206520.262791518</v>
      </c>
      <c r="K242" s="73">
        <f t="shared" si="45"/>
        <v>0</v>
      </c>
      <c r="L242" s="74">
        <f t="shared" si="42"/>
        <v>1250160233.6683123</v>
      </c>
    </row>
    <row r="243" spans="3:12" x14ac:dyDescent="0.35">
      <c r="C243" s="69">
        <v>8</v>
      </c>
      <c r="D243" s="75">
        <v>0</v>
      </c>
      <c r="E243" s="126">
        <f t="shared" si="43"/>
        <v>7053525</v>
      </c>
      <c r="F243" s="71">
        <f t="shared" si="44"/>
        <v>0</v>
      </c>
      <c r="G243" s="128">
        <f>IF(
    $H$6="Alkaline",
    IF(
        OR(
            Data!$C$37=C242,
            MOD(C242,Data!$C$37)=0
        ),
        $D$8,
        G242*Data!$C$42
    ),
    IF(
        $H$6="PEM",
        IF(
            OR(
                Data!$H$37=C242,
                MOD(C242,Data!$H$37)=0
            ),
            $D$8,
            G242*Data!$H$42
        ),
        ""
    )
)</f>
        <v>943690143.97642899</v>
      </c>
      <c r="H243" s="76">
        <f t="shared" si="38"/>
        <v>1.4774554437890626</v>
      </c>
      <c r="I243" s="73">
        <f t="shared" si="39"/>
        <v>0</v>
      </c>
      <c r="J243" s="73">
        <f t="shared" si="46"/>
        <v>13201351.664209023</v>
      </c>
      <c r="K243" s="73">
        <f t="shared" si="45"/>
        <v>0</v>
      </c>
      <c r="L243" s="74">
        <f t="shared" si="42"/>
        <v>1394260140.4680593</v>
      </c>
    </row>
    <row r="244" spans="3:12" x14ac:dyDescent="0.35">
      <c r="C244" s="69">
        <v>9</v>
      </c>
      <c r="D244" s="75">
        <v>0</v>
      </c>
      <c r="E244" s="126">
        <f t="shared" si="43"/>
        <v>7053525</v>
      </c>
      <c r="F244" s="71">
        <f t="shared" si="44"/>
        <v>0</v>
      </c>
      <c r="G244" s="128">
        <f>IF(
    $H$6="Alkaline",
    IF(
        OR(
            Data!$C$37=C243,
            MOD(C243,Data!$C$37)=0
        ),
        $D$8,
        G243*Data!$C$42
    ),
    IF(
        $H$6="PEM",
        IF(
            OR(
                Data!$H$37=C243,
                MOD(C243,Data!$H$37)=0
            ),
            $D$8,
            G243*Data!$H$42
        ),
        ""
    )
)</f>
        <v>934253242.53666472</v>
      </c>
      <c r="H244" s="76">
        <f t="shared" si="38"/>
        <v>1.5513282159785158</v>
      </c>
      <c r="I244" s="73">
        <f t="shared" si="39"/>
        <v>0</v>
      </c>
      <c r="J244" s="73">
        <f t="shared" si="46"/>
        <v>14277261.82484206</v>
      </c>
      <c r="K244" s="73">
        <f t="shared" si="45"/>
        <v>0</v>
      </c>
      <c r="L244" s="74">
        <f t="shared" si="42"/>
        <v>1449333416.0165477</v>
      </c>
    </row>
    <row r="245" spans="3:12" x14ac:dyDescent="0.35">
      <c r="C245" s="69">
        <v>10</v>
      </c>
      <c r="D245" s="75">
        <v>0</v>
      </c>
      <c r="E245" s="126">
        <f t="shared" si="43"/>
        <v>7053525</v>
      </c>
      <c r="F245" s="71">
        <f t="shared" si="44"/>
        <v>0</v>
      </c>
      <c r="G245" s="128">
        <f>IF(
    $H$6="Alkaline",
    IF(
        OR(
            Data!$C$37=C244,
            MOD(C244,Data!$C$37)=0
        ),
        $D$8,
        G244*Data!$C$42
    ),
    IF(
        $H$6="PEM",
        IF(
            OR(
                Data!$H$37=C244,
                MOD(C244,Data!$H$37)=0
            ),
            $D$8,
            G244*Data!$H$42
        ),
        ""
    )
)</f>
        <v>924910710.11129808</v>
      </c>
      <c r="H245" s="76">
        <f t="shared" si="38"/>
        <v>1.6288946267774416</v>
      </c>
      <c r="I245" s="73">
        <f t="shared" si="39"/>
        <v>0</v>
      </c>
      <c r="J245" s="73">
        <f t="shared" si="46"/>
        <v>15440858.663566688</v>
      </c>
      <c r="K245" s="73">
        <f t="shared" si="45"/>
        <v>0</v>
      </c>
      <c r="L245" s="74">
        <f t="shared" si="42"/>
        <v>1506582085.9492013</v>
      </c>
    </row>
    <row r="246" spans="3:12" x14ac:dyDescent="0.35">
      <c r="C246" s="69">
        <v>11</v>
      </c>
      <c r="D246" s="75">
        <v>0</v>
      </c>
      <c r="E246" s="126">
        <f t="shared" si="43"/>
        <v>7053525</v>
      </c>
      <c r="F246" s="71">
        <f t="shared" si="44"/>
        <v>0</v>
      </c>
      <c r="G246" s="128">
        <f>IF(
    $H$6="Alkaline",
    IF(
        OR(
            Data!$C$37=C245,
            MOD(C245,Data!$C$37)=0
        ),
        $D$8,
        G245*Data!$C$42
    ),
    IF(
        $H$6="PEM",
        IF(
            OR(
                Data!$H$37=C245,
                MOD(C245,Data!$H$37)=0
            ),
            $D$8,
            G245*Data!$H$42
        ),
        ""
    )
)</f>
        <v>915661603.01018512</v>
      </c>
      <c r="H246" s="76">
        <f t="shared" si="38"/>
        <v>1.7103393581163138</v>
      </c>
      <c r="I246" s="73">
        <f t="shared" si="39"/>
        <v>0</v>
      </c>
      <c r="J246" s="73">
        <f t="shared" si="46"/>
        <v>16699288.644647375</v>
      </c>
      <c r="K246" s="73">
        <f t="shared" si="45"/>
        <v>0</v>
      </c>
      <c r="L246" s="74">
        <f t="shared" si="42"/>
        <v>1566092078.3441949</v>
      </c>
    </row>
    <row r="247" spans="3:12" x14ac:dyDescent="0.35">
      <c r="C247" s="69">
        <v>12</v>
      </c>
      <c r="D247" s="75">
        <v>0</v>
      </c>
      <c r="E247" s="126">
        <f t="shared" si="43"/>
        <v>7053525</v>
      </c>
      <c r="F247" s="71">
        <f t="shared" si="44"/>
        <v>0</v>
      </c>
      <c r="G247" s="128">
        <f>IF(
    $H$6="Alkaline",
    IF(
        OR(
            Data!$C$37=C246,
            MOD(C246,Data!$C$37)=0
        ),
        $D$8,
        G246*Data!$C$42
    ),
    IF(
        $H$6="PEM",
        IF(
            OR(
                Data!$H$37=C246,
                MOD(C246,Data!$H$37)=0
            ),
            $D$8,
            G246*Data!$H$42
        ),
        ""
    )
)</f>
        <v>906504986.98008323</v>
      </c>
      <c r="H247" s="76">
        <f t="shared" si="38"/>
        <v>1.7958563260221292</v>
      </c>
      <c r="I247" s="73">
        <f t="shared" si="39"/>
        <v>0</v>
      </c>
      <c r="J247" s="73">
        <f t="shared" si="46"/>
        <v>18060280.66918613</v>
      </c>
      <c r="K247" s="73">
        <f t="shared" si="45"/>
        <v>0</v>
      </c>
      <c r="L247" s="74">
        <f t="shared" si="42"/>
        <v>1627952715.4387903</v>
      </c>
    </row>
    <row r="248" spans="3:12" x14ac:dyDescent="0.35">
      <c r="C248" s="69">
        <v>13</v>
      </c>
      <c r="D248" s="75">
        <v>0</v>
      </c>
      <c r="E248" s="126">
        <f t="shared" si="43"/>
        <v>7053525</v>
      </c>
      <c r="F248" s="71">
        <f t="shared" si="44"/>
        <v>0</v>
      </c>
      <c r="G248" s="128">
        <f>IF(
    $H$6="Alkaline",
    IF(
        OR(
            Data!$C$37=C247,
            MOD(C247,Data!$C$37)=0
        ),
        $D$8,
        G247*Data!$C$42
    ),
    IF(
        $H$6="PEM",
        IF(
            OR(
                Data!$H$37=C247,
                MOD(C247,Data!$H$37)=0
            ),
            $D$8,
            G247*Data!$H$42
        ),
        ""
    )
)</f>
        <v>897439937.11028242</v>
      </c>
      <c r="H248" s="76">
        <f t="shared" si="38"/>
        <v>1.885649142323236</v>
      </c>
      <c r="I248" s="73">
        <f t="shared" si="39"/>
        <v>0</v>
      </c>
      <c r="J248" s="73">
        <f t="shared" si="46"/>
        <v>19532193.543724805</v>
      </c>
      <c r="K248" s="73">
        <f t="shared" si="45"/>
        <v>0</v>
      </c>
      <c r="L248" s="74">
        <f t="shared" si="42"/>
        <v>1692256847.6986229</v>
      </c>
    </row>
    <row r="249" spans="3:12" x14ac:dyDescent="0.35">
      <c r="C249" s="69">
        <v>14</v>
      </c>
      <c r="D249" s="75">
        <v>0</v>
      </c>
      <c r="E249" s="126">
        <f t="shared" si="43"/>
        <v>7053525</v>
      </c>
      <c r="F249" s="71">
        <f t="shared" si="44"/>
        <v>0</v>
      </c>
      <c r="G249" s="128">
        <f>IF(
    $H$6="Alkaline",
    IF(
        OR(
            Data!$C$37=C248,
            MOD(C248,Data!$C$37)=0
        ),
        $D$8,
        G248*Data!$C$42
    ),
    IF(
        $H$6="PEM",
        IF(
            OR(
                Data!$H$37=C248,
                MOD(C248,Data!$H$37)=0
            ),
            $D$8,
            G248*Data!$H$42
        ),
        ""
    )
)</f>
        <v>888465537.73917961</v>
      </c>
      <c r="H249" s="76">
        <f t="shared" si="38"/>
        <v>1.9799315994393973</v>
      </c>
      <c r="I249" s="73">
        <f t="shared" si="39"/>
        <v>0</v>
      </c>
      <c r="J249" s="73">
        <f t="shared" si="46"/>
        <v>21124067.317538373</v>
      </c>
      <c r="K249" s="73">
        <f t="shared" si="45"/>
        <v>0</v>
      </c>
      <c r="L249" s="74">
        <f t="shared" si="42"/>
        <v>1759100993.182718</v>
      </c>
    </row>
    <row r="250" spans="3:12" x14ac:dyDescent="0.35">
      <c r="C250" s="69">
        <v>15</v>
      </c>
      <c r="D250" s="75">
        <v>0</v>
      </c>
      <c r="E250" s="126">
        <f t="shared" si="43"/>
        <v>7053525</v>
      </c>
      <c r="F250" s="71">
        <f t="shared" si="44"/>
        <v>0</v>
      </c>
      <c r="G250" s="128">
        <f>IF(
    $H$6="Alkaline",
    IF(
        OR(
            Data!$C$37=C249,
            MOD(C249,Data!$C$37)=0
        ),
        $D$8,
        G249*Data!$C$42
    ),
    IF(
        $H$6="PEM",
        IF(
            OR(
                Data!$H$37=C249,
                MOD(C249,Data!$H$37)=0
            ),
            $D$8,
            G249*Data!$H$42
        ),
        ""
    )
)</f>
        <v>943690143.97642899</v>
      </c>
      <c r="H250" s="76">
        <f t="shared" si="38"/>
        <v>2.0789281794113679</v>
      </c>
      <c r="I250" s="73">
        <f t="shared" si="39"/>
        <v>0</v>
      </c>
      <c r="J250" s="73">
        <f t="shared" si="46"/>
        <v>22845678.803917758</v>
      </c>
      <c r="K250" s="73">
        <f t="shared" si="45"/>
        <v>0</v>
      </c>
      <c r="L250" s="74">
        <f t="shared" si="42"/>
        <v>1961864032.9453692</v>
      </c>
    </row>
    <row r="251" spans="3:12" x14ac:dyDescent="0.35">
      <c r="C251" s="69">
        <v>16</v>
      </c>
      <c r="D251" s="75">
        <v>0</v>
      </c>
      <c r="E251" s="126">
        <f t="shared" si="43"/>
        <v>7053525</v>
      </c>
      <c r="F251" s="71">
        <f t="shared" si="44"/>
        <v>0</v>
      </c>
      <c r="G251" s="128">
        <f>IF(
    $H$6="Alkaline",
    IF(
        OR(
            Data!$C$37=C250,
            MOD(C250,Data!$C$37)=0
        ),
        $D$8,
        G250*Data!$C$42
    ),
    IF(
        $H$6="PEM",
        IF(
            OR(
                Data!$H$37=C250,
                MOD(C250,Data!$H$37)=0
            ),
            $D$8,
            G250*Data!$H$42
        ),
        ""
    )
)</f>
        <v>934253242.53666472</v>
      </c>
      <c r="H251" s="76">
        <f t="shared" si="38"/>
        <v>2.182874588381936</v>
      </c>
      <c r="I251" s="73">
        <f t="shared" si="39"/>
        <v>0</v>
      </c>
      <c r="J251" s="73">
        <f t="shared" si="46"/>
        <v>24707601.626437049</v>
      </c>
      <c r="K251" s="73">
        <f t="shared" si="45"/>
        <v>0</v>
      </c>
      <c r="L251" s="74">
        <f t="shared" si="42"/>
        <v>2039357662.246711</v>
      </c>
    </row>
    <row r="252" spans="3:12" x14ac:dyDescent="0.35">
      <c r="C252" s="69">
        <v>17</v>
      </c>
      <c r="D252" s="75">
        <v>0</v>
      </c>
      <c r="E252" s="126">
        <f t="shared" si="43"/>
        <v>7053525</v>
      </c>
      <c r="F252" s="71">
        <f t="shared" si="44"/>
        <v>0</v>
      </c>
      <c r="G252" s="128">
        <f>IF(
    $H$6="Alkaline",
    IF(
        OR(
            Data!$C$37=C251,
            MOD(C251,Data!$C$37)=0
        ),
        $D$8,
        G251*Data!$C$42
    ),
    IF(
        $H$6="PEM",
        IF(
            OR(
                Data!$H$37=C251,
                MOD(C251,Data!$H$37)=0
            ),
            $D$8,
            G251*Data!$H$42
        ),
        ""
    )
)</f>
        <v>924910710.11129808</v>
      </c>
      <c r="H252" s="76">
        <f t="shared" si="38"/>
        <v>2.2920183178010332</v>
      </c>
      <c r="I252" s="73">
        <f t="shared" si="39"/>
        <v>0</v>
      </c>
      <c r="J252" s="73">
        <f t="shared" si="46"/>
        <v>26721271.158991672</v>
      </c>
      <c r="K252" s="73">
        <f t="shared" si="45"/>
        <v>0</v>
      </c>
      <c r="L252" s="74">
        <f t="shared" si="42"/>
        <v>2119912289.9054565</v>
      </c>
    </row>
    <row r="253" spans="3:12" x14ac:dyDescent="0.35">
      <c r="C253" s="69">
        <v>18</v>
      </c>
      <c r="D253" s="75">
        <v>0</v>
      </c>
      <c r="E253" s="126">
        <f t="shared" si="43"/>
        <v>7053525</v>
      </c>
      <c r="F253" s="71">
        <f t="shared" si="44"/>
        <v>0</v>
      </c>
      <c r="G253" s="128">
        <f>IF(
    $H$6="Alkaline",
    IF(
        OR(
            Data!$C$37=C252,
            MOD(C252,Data!$C$37)=0
        ),
        $D$8,
        G252*Data!$C$42
    ),
    IF(
        $H$6="PEM",
        IF(
            OR(
                Data!$H$37=C252,
                MOD(C252,Data!$H$37)=0
            ),
            $D$8,
            G252*Data!$H$42
        ),
        ""
    )
)</f>
        <v>915661603.01018512</v>
      </c>
      <c r="H253" s="76">
        <f t="shared" si="38"/>
        <v>2.4066192336910848</v>
      </c>
      <c r="I253" s="73">
        <f t="shared" si="39"/>
        <v>0</v>
      </c>
      <c r="J253" s="73">
        <f t="shared" si="46"/>
        <v>28899054.758449491</v>
      </c>
      <c r="K253" s="73">
        <f t="shared" si="45"/>
        <v>0</v>
      </c>
      <c r="L253" s="74">
        <f t="shared" si="42"/>
        <v>2203648825.3567219</v>
      </c>
    </row>
    <row r="254" spans="3:12" x14ac:dyDescent="0.35">
      <c r="C254" s="69">
        <v>19</v>
      </c>
      <c r="D254" s="75">
        <v>0</v>
      </c>
      <c r="E254" s="126">
        <f t="shared" si="43"/>
        <v>7053525</v>
      </c>
      <c r="F254" s="71">
        <f t="shared" si="44"/>
        <v>0</v>
      </c>
      <c r="G254" s="128">
        <f>IF(
    $H$6="Alkaline",
    IF(
        OR(
            Data!$C$37=C253,
            MOD(C253,Data!$C$37)=0
        ),
        $D$8,
        G253*Data!$C$42
    ),
    IF(
        $H$6="PEM",
        IF(
            OR(
                Data!$H$37=C253,
                MOD(C253,Data!$H$37)=0
            ),
            $D$8,
            G253*Data!$H$42
        ),
        ""
    )
)</f>
        <v>906504986.98008323</v>
      </c>
      <c r="H254" s="76">
        <f t="shared" si="38"/>
        <v>2.526950195375639</v>
      </c>
      <c r="I254" s="73">
        <f t="shared" si="39"/>
        <v>0</v>
      </c>
      <c r="J254" s="73">
        <f t="shared" si="46"/>
        <v>31254327.721263129</v>
      </c>
      <c r="K254" s="73">
        <f t="shared" si="45"/>
        <v>0</v>
      </c>
      <c r="L254" s="74">
        <f t="shared" si="42"/>
        <v>2290692953.9583125</v>
      </c>
    </row>
    <row r="255" spans="3:12" x14ac:dyDescent="0.35">
      <c r="C255" s="69">
        <v>20</v>
      </c>
      <c r="D255" s="75">
        <v>0</v>
      </c>
      <c r="E255" s="126">
        <f t="shared" si="43"/>
        <v>7053525</v>
      </c>
      <c r="F255" s="71">
        <f t="shared" si="44"/>
        <v>0</v>
      </c>
      <c r="G255" s="128">
        <f>IF(
    $H$6="Alkaline",
    IF(
        OR(
            Data!$C$37=C254,
            MOD(C254,Data!$C$37)=0
        ),
        $D$8,
        G254*Data!$C$42
    ),
    IF(
        $H$6="PEM",
        IF(
            OR(
                Data!$H$37=C254,
                MOD(C254,Data!$H$37)=0
            ),
            $D$8,
            G254*Data!$H$42
        ),
        ""
    )
)</f>
        <v>897439937.11028242</v>
      </c>
      <c r="H255" s="76">
        <f t="shared" si="38"/>
        <v>2.6532977051444209</v>
      </c>
      <c r="I255" s="73">
        <f t="shared" si="39"/>
        <v>0</v>
      </c>
      <c r="J255" s="73">
        <f t="shared" si="46"/>
        <v>33801555.430546068</v>
      </c>
      <c r="K255" s="73">
        <f t="shared" si="45"/>
        <v>0</v>
      </c>
      <c r="L255" s="74">
        <f t="shared" si="42"/>
        <v>2381175325.6396656</v>
      </c>
    </row>
    <row r="256" spans="3:12" x14ac:dyDescent="0.35">
      <c r="C256" s="69">
        <v>21</v>
      </c>
      <c r="D256" s="75">
        <v>0</v>
      </c>
      <c r="E256" s="126">
        <f t="shared" si="43"/>
        <v>7053525</v>
      </c>
      <c r="F256" s="71">
        <f t="shared" si="44"/>
        <v>0</v>
      </c>
      <c r="G256" s="128">
        <f>IF(
    $H$6="Alkaline",
    IF(
        OR(
            Data!$C$37=C255,
            MOD(C255,Data!$C$37)=0
        ),
        $D$8,
        G255*Data!$C$42
    ),
    IF(
        $H$6="PEM",
        IF(
            OR(
                Data!$H$37=C255,
                MOD(C255,Data!$H$37)=0
            ),
            $D$8,
            G255*Data!$H$42
        ),
        ""
    )
)</f>
        <v>888465537.73917961</v>
      </c>
      <c r="H256" s="76">
        <f t="shared" si="38"/>
        <v>2.7859625904016418</v>
      </c>
      <c r="I256" s="73">
        <f t="shared" si="39"/>
        <v>0</v>
      </c>
      <c r="J256" s="73">
        <f t="shared" si="46"/>
        <v>36556382.19813557</v>
      </c>
      <c r="K256" s="73">
        <f t="shared" si="45"/>
        <v>0</v>
      </c>
      <c r="L256" s="74">
        <f t="shared" si="42"/>
        <v>2475231751.0024323</v>
      </c>
    </row>
    <row r="257" spans="1:13" x14ac:dyDescent="0.35">
      <c r="C257" s="69">
        <v>22</v>
      </c>
      <c r="D257" s="75">
        <v>0</v>
      </c>
      <c r="E257" s="126">
        <f t="shared" si="43"/>
        <v>7053525</v>
      </c>
      <c r="F257" s="71">
        <f t="shared" si="44"/>
        <v>0</v>
      </c>
      <c r="G257" s="128">
        <f>IF(
    $H$6="Alkaline",
    IF(
        OR(
            Data!$C$37=C256,
            MOD(C256,Data!$C$37)=0
        ),
        $D$8,
        G256*Data!$C$42
    ),
    IF(
        $H$6="PEM",
        IF(
            OR(
                Data!$H$37=C256,
                MOD(C256,Data!$H$37)=0
            ),
            $D$8,
            G256*Data!$H$42
        ),
        ""
    )
)</f>
        <v>943690143.97642899</v>
      </c>
      <c r="H257" s="76">
        <f t="shared" si="38"/>
        <v>2.9252607199217238</v>
      </c>
      <c r="I257" s="73">
        <f t="shared" si="39"/>
        <v>0</v>
      </c>
      <c r="J257" s="73">
        <f t="shared" si="46"/>
        <v>39535727.347283617</v>
      </c>
      <c r="K257" s="73">
        <f t="shared" si="45"/>
        <v>0</v>
      </c>
      <c r="L257" s="74">
        <f t="shared" si="42"/>
        <v>2760539709.9515238</v>
      </c>
    </row>
    <row r="258" spans="1:13" x14ac:dyDescent="0.35">
      <c r="C258" s="69">
        <v>23</v>
      </c>
      <c r="D258" s="75">
        <v>0</v>
      </c>
      <c r="E258" s="126">
        <f t="shared" si="43"/>
        <v>7053525</v>
      </c>
      <c r="F258" s="71">
        <f t="shared" si="44"/>
        <v>0</v>
      </c>
      <c r="G258" s="128">
        <f>IF(
    $H$6="Alkaline",
    IF(
        OR(
            Data!$C$37=C257,
            MOD(C257,Data!$C$37)=0
        ),
        $D$8,
        G257*Data!$C$42
    ),
    IF(
        $H$6="PEM",
        IF(
            OR(
                Data!$H$37=C257,
                MOD(C257,Data!$H$37)=0
            ),
            $D$8,
            G257*Data!$H$42
        ),
        ""
    )
)</f>
        <v>934253242.53666472</v>
      </c>
      <c r="H258" s="76">
        <f t="shared" si="38"/>
        <v>3.0715237559178106</v>
      </c>
      <c r="I258" s="73">
        <f t="shared" si="39"/>
        <v>0</v>
      </c>
      <c r="J258" s="73">
        <f t="shared" si="46"/>
        <v>42757889.126087248</v>
      </c>
      <c r="K258" s="73">
        <f t="shared" si="45"/>
        <v>0</v>
      </c>
      <c r="L258" s="74">
        <f t="shared" si="42"/>
        <v>2869581028.4946098</v>
      </c>
    </row>
    <row r="259" spans="1:13" x14ac:dyDescent="0.35">
      <c r="C259" s="69">
        <v>24</v>
      </c>
      <c r="D259" s="75">
        <v>0</v>
      </c>
      <c r="E259" s="126">
        <f t="shared" si="43"/>
        <v>7053525</v>
      </c>
      <c r="F259" s="71">
        <f t="shared" si="44"/>
        <v>0</v>
      </c>
      <c r="G259" s="128">
        <f>IF(
    $H$6="Alkaline",
    IF(
        OR(
            Data!$C$37=C258,
            MOD(C258,Data!$C$37)=0
        ),
        $D$8,
        G258*Data!$C$42
    ),
    IF(
        $H$6="PEM",
        IF(
            OR(
                Data!$H$37=C258,
                MOD(C258,Data!$H$37)=0
            ),
            $D$8,
            G258*Data!$H$42
        ),
        ""
    )
)</f>
        <v>924910710.11129808</v>
      </c>
      <c r="H259" s="76">
        <f t="shared" si="38"/>
        <v>3.2250999437137007</v>
      </c>
      <c r="I259" s="73">
        <f t="shared" si="39"/>
        <v>0</v>
      </c>
      <c r="J259" s="73">
        <f t="shared" si="46"/>
        <v>46242657.089863338</v>
      </c>
      <c r="K259" s="73">
        <f t="shared" si="45"/>
        <v>0</v>
      </c>
      <c r="L259" s="74">
        <f t="shared" si="42"/>
        <v>2982929479.1201463</v>
      </c>
    </row>
    <row r="260" spans="1:13" ht="15" thickBot="1" x14ac:dyDescent="0.4">
      <c r="C260" s="69">
        <v>25</v>
      </c>
      <c r="D260" s="75">
        <v>0</v>
      </c>
      <c r="E260" s="126">
        <f t="shared" si="43"/>
        <v>7053525</v>
      </c>
      <c r="F260" s="71">
        <f t="shared" si="44"/>
        <v>0</v>
      </c>
      <c r="G260" s="128">
        <f>IF(
    $H$6="Alkaline",
    IF(
        OR(
            Data!$C$37=C259,
            MOD(C259,Data!$C$37)=0
        ),
        $D$8,
        G259*Data!$C$42
    ),
    IF(
        $H$6="PEM",
        IF(
            OR(
                Data!$H$37=C259,
                MOD(C259,Data!$H$37)=0
            ),
            $D$8,
            G259*Data!$H$42
        ),
        ""
    )
)</f>
        <v>915661603.01018512</v>
      </c>
      <c r="H260" s="76">
        <f t="shared" si="38"/>
        <v>3.3863549408993858</v>
      </c>
      <c r="I260" s="73">
        <f t="shared" si="39"/>
        <v>0</v>
      </c>
      <c r="J260" s="73">
        <f t="shared" si="46"/>
        <v>50011433.642687209</v>
      </c>
      <c r="K260" s="73">
        <f t="shared" si="45"/>
        <v>0</v>
      </c>
      <c r="L260" s="74">
        <f t="shared" si="42"/>
        <v>3100755193.5453925</v>
      </c>
    </row>
    <row r="261" spans="1:13" ht="15" thickBot="1" x14ac:dyDescent="0.4">
      <c r="C261" s="70" t="s">
        <v>26</v>
      </c>
      <c r="D261" s="77">
        <f t="shared" ref="D261:K261" si="47">SUM(D235:D260)</f>
        <v>705352500</v>
      </c>
      <c r="E261" s="77">
        <f t="shared" si="47"/>
        <v>176338125</v>
      </c>
      <c r="F261" s="77">
        <f t="shared" si="47"/>
        <v>0</v>
      </c>
      <c r="G261" s="77">
        <f t="shared" si="47"/>
        <v>22951294184.026939</v>
      </c>
      <c r="H261" s="77">
        <f t="shared" si="47"/>
        <v>51.113453758887083</v>
      </c>
      <c r="I261" s="77">
        <f t="shared" si="47"/>
        <v>705352500</v>
      </c>
      <c r="J261" s="77">
        <f t="shared" si="47"/>
        <v>570048812.23394132</v>
      </c>
      <c r="K261" s="77">
        <f t="shared" si="47"/>
        <v>0</v>
      </c>
      <c r="L261" s="77">
        <f>SUM(L235:L260)</f>
        <v>45995618724.782455</v>
      </c>
    </row>
    <row r="263" spans="1:13" ht="15" thickBot="1" x14ac:dyDescent="0.4">
      <c r="A263">
        <v>5</v>
      </c>
      <c r="B263">
        <v>39</v>
      </c>
      <c r="C263" s="133" t="s">
        <v>80</v>
      </c>
    </row>
    <row r="264" spans="1:13" ht="19" thickBot="1" x14ac:dyDescent="0.5">
      <c r="C264" s="58" t="s">
        <v>15</v>
      </c>
      <c r="D264" s="58" t="s">
        <v>16</v>
      </c>
      <c r="E264" s="58" t="s">
        <v>17</v>
      </c>
      <c r="F264" s="58" t="s">
        <v>18</v>
      </c>
      <c r="G264" s="59" t="s">
        <v>19</v>
      </c>
      <c r="H264" s="58" t="s">
        <v>20</v>
      </c>
      <c r="I264" s="59" t="s">
        <v>21</v>
      </c>
      <c r="J264" s="58" t="s">
        <v>22</v>
      </c>
      <c r="K264" s="58" t="s">
        <v>23</v>
      </c>
      <c r="L264" s="58" t="s">
        <v>24</v>
      </c>
      <c r="M264" s="152" t="s">
        <v>253</v>
      </c>
    </row>
    <row r="265" spans="1:13" ht="18.5" x14ac:dyDescent="0.45">
      <c r="C265" s="68">
        <v>0</v>
      </c>
      <c r="D265" s="71">
        <f>$G$39</f>
        <v>0</v>
      </c>
      <c r="E265" s="71">
        <v>0</v>
      </c>
      <c r="F265" s="71">
        <v>0</v>
      </c>
      <c r="G265" s="127">
        <v>0</v>
      </c>
      <c r="H265" s="72">
        <f t="shared" ref="H265:H290" si="48">(1+$D$14)^$C265</f>
        <v>1</v>
      </c>
      <c r="I265" s="73">
        <f t="shared" ref="I265:I290" si="49">D265*$H265*(1+$D$15)^C265</f>
        <v>0</v>
      </c>
      <c r="J265" s="73">
        <f t="shared" ref="J265:J269" si="50">E265*$H265*(1+$D$15)^C265</f>
        <v>0</v>
      </c>
      <c r="K265" s="73">
        <f t="shared" ref="K265:K266" si="51">F265*$H265*(1+$D$15)^C265</f>
        <v>0</v>
      </c>
      <c r="L265" s="74">
        <f t="shared" ref="L265:L290" si="52">G265*$H265</f>
        <v>0</v>
      </c>
      <c r="M265" s="153">
        <f>(I291+J291+K291)/L291</f>
        <v>0</v>
      </c>
    </row>
    <row r="266" spans="1:13" x14ac:dyDescent="0.35">
      <c r="C266" s="69">
        <v>1</v>
      </c>
      <c r="D266" s="75">
        <v>0</v>
      </c>
      <c r="E266" s="126">
        <f>$K$39</f>
        <v>0</v>
      </c>
      <c r="F266" s="71">
        <f>(IF(MOD(C266,$H$39)=0,$J$39,0))</f>
        <v>0</v>
      </c>
      <c r="G266" s="128">
        <f>$D$8</f>
        <v>943690143.97642899</v>
      </c>
      <c r="H266" s="76">
        <f t="shared" si="48"/>
        <v>1.05</v>
      </c>
      <c r="I266" s="73">
        <f t="shared" si="49"/>
        <v>0</v>
      </c>
      <c r="J266" s="73">
        <f t="shared" si="50"/>
        <v>0</v>
      </c>
      <c r="K266" s="73">
        <f t="shared" si="51"/>
        <v>0</v>
      </c>
      <c r="L266" s="97">
        <f t="shared" si="52"/>
        <v>990874651.17525053</v>
      </c>
    </row>
    <row r="267" spans="1:13" x14ac:dyDescent="0.35">
      <c r="C267" s="69">
        <v>2</v>
      </c>
      <c r="D267" s="75">
        <v>0</v>
      </c>
      <c r="E267" s="126">
        <f t="shared" ref="E267:E290" si="53">$K$39</f>
        <v>0</v>
      </c>
      <c r="F267" s="71">
        <f>(IF(MOD(C266,$H$39)=0,$J$39,0))</f>
        <v>0</v>
      </c>
      <c r="G267" s="128">
        <f>IF(
    $H$6="Alkaline",
    IF(
        OR(
            Data!$C$37=C266,
            MOD(C266,Data!$C$37)=0
        ),
        $D$8,
        G266*Data!$C$42
    ),
    IF(
        $H$6="PEM",
        IF(
            OR(
                Data!$H$37=C266,
                MOD(C266,Data!$H$37)=0
            ),
            $D$8,
            G266*Data!$H$42
        ),
        ""
    )
)</f>
        <v>934253242.53666472</v>
      </c>
      <c r="H267" s="76">
        <f t="shared" si="48"/>
        <v>1.1025</v>
      </c>
      <c r="I267" s="73">
        <f t="shared" si="49"/>
        <v>0</v>
      </c>
      <c r="J267" s="73">
        <f t="shared" si="50"/>
        <v>0</v>
      </c>
      <c r="K267" s="73">
        <f>F267*$H267*(1+$D$15)^C267</f>
        <v>0</v>
      </c>
      <c r="L267" s="74">
        <f t="shared" si="52"/>
        <v>1030014199.8966728</v>
      </c>
    </row>
    <row r="268" spans="1:13" x14ac:dyDescent="0.35">
      <c r="C268" s="69">
        <v>3</v>
      </c>
      <c r="D268" s="75">
        <v>0</v>
      </c>
      <c r="E268" s="126">
        <f t="shared" si="53"/>
        <v>0</v>
      </c>
      <c r="F268" s="71">
        <f t="shared" ref="F268:F290" si="54">(IF(MOD(C267,$H$39)=0,$J$39,0))</f>
        <v>0</v>
      </c>
      <c r="G268" s="128">
        <f>IF(
    $H$6="Alkaline",
    IF(
        OR(
            Data!$C$37=C267,
            MOD(C267,Data!$C$37)=0
        ),
        $D$8,
        G267*Data!$C$42
    ),
    IF(
        $H$6="PEM",
        IF(
            OR(
                Data!$H$37=C267,
                MOD(C267,Data!$H$37)=0
            ),
            $D$8,
            G267*Data!$H$42
        ),
        ""
    )
)</f>
        <v>924910710.11129808</v>
      </c>
      <c r="H268" s="76">
        <f>(1+$D$14)^$C268</f>
        <v>1.1576250000000001</v>
      </c>
      <c r="I268" s="73">
        <f t="shared" si="49"/>
        <v>0</v>
      </c>
      <c r="J268" s="73">
        <f t="shared" si="50"/>
        <v>0</v>
      </c>
      <c r="K268" s="73">
        <f t="shared" ref="K268:K290" si="55">F268*$H268*(1+$D$15)^C268</f>
        <v>0</v>
      </c>
      <c r="L268" s="74">
        <f t="shared" si="52"/>
        <v>1070699760.7925916</v>
      </c>
    </row>
    <row r="269" spans="1:13" x14ac:dyDescent="0.35">
      <c r="C269" s="69">
        <v>4</v>
      </c>
      <c r="D269" s="75">
        <v>0</v>
      </c>
      <c r="E269" s="126">
        <f t="shared" si="53"/>
        <v>0</v>
      </c>
      <c r="F269" s="71">
        <f t="shared" si="54"/>
        <v>0</v>
      </c>
      <c r="G269" s="128">
        <f>IF(
    $H$6="Alkaline",
    IF(
        OR(
            Data!$C$37=C268,
            MOD(C268,Data!$C$37)=0
        ),
        $D$8,
        G268*Data!$C$42
    ),
    IF(
        $H$6="PEM",
        IF(
            OR(
                Data!$H$37=C268,
                MOD(C268,Data!$H$37)=0
            ),
            $D$8,
            G268*Data!$H$42
        ),
        ""
    )
)</f>
        <v>915661603.01018512</v>
      </c>
      <c r="H269" s="76">
        <f t="shared" si="48"/>
        <v>1.21550625</v>
      </c>
      <c r="I269" s="73">
        <f t="shared" si="49"/>
        <v>0</v>
      </c>
      <c r="J269" s="73">
        <f t="shared" si="50"/>
        <v>0</v>
      </c>
      <c r="K269" s="73">
        <f t="shared" si="55"/>
        <v>0</v>
      </c>
      <c r="L269" s="74">
        <f t="shared" si="52"/>
        <v>1112992401.3438988</v>
      </c>
    </row>
    <row r="270" spans="1:13" x14ac:dyDescent="0.35">
      <c r="C270" s="69">
        <v>5</v>
      </c>
      <c r="D270" s="75">
        <v>0</v>
      </c>
      <c r="E270" s="126">
        <f t="shared" si="53"/>
        <v>0</v>
      </c>
      <c r="F270" s="71">
        <f t="shared" si="54"/>
        <v>0</v>
      </c>
      <c r="G270" s="128">
        <f>IF(
    $H$6="Alkaline",
    IF(
        OR(
            Data!$C$37=C269,
            MOD(C269,Data!$C$37)=0
        ),
        $D$8,
        G269*Data!$C$42
    ),
    IF(
        $H$6="PEM",
        IF(
            OR(
                Data!$H$37=C269,
                MOD(C269,Data!$H$37)=0
            ),
            $D$8,
            G269*Data!$H$42
        ),
        ""
    )
)</f>
        <v>906504986.98008323</v>
      </c>
      <c r="H270" s="76">
        <f t="shared" si="48"/>
        <v>1.2762815625000001</v>
      </c>
      <c r="I270" s="73">
        <f t="shared" si="49"/>
        <v>0</v>
      </c>
      <c r="J270" s="73">
        <f>E270*$H270*(1+$D$15)^C270</f>
        <v>0</v>
      </c>
      <c r="K270" s="73">
        <f t="shared" si="55"/>
        <v>0</v>
      </c>
      <c r="L270" s="74">
        <f t="shared" si="52"/>
        <v>1156955601.1969829</v>
      </c>
    </row>
    <row r="271" spans="1:13" x14ac:dyDescent="0.35">
      <c r="C271" s="69">
        <v>6</v>
      </c>
      <c r="D271" s="75">
        <v>0</v>
      </c>
      <c r="E271" s="126">
        <f t="shared" si="53"/>
        <v>0</v>
      </c>
      <c r="F271" s="71">
        <f t="shared" si="54"/>
        <v>0</v>
      </c>
      <c r="G271" s="128">
        <f>IF(
    $H$6="Alkaline",
    IF(
        OR(
            Data!$C$37=C270,
            MOD(C270,Data!$C$37)=0
        ),
        $D$8,
        G270*Data!$C$42
    ),
    IF(
        $H$6="PEM",
        IF(
            OR(
                Data!$H$37=C270,
                MOD(C270,Data!$H$37)=0
            ),
            $D$8,
            G270*Data!$H$42
        ),
        ""
    )
)</f>
        <v>897439937.11028242</v>
      </c>
      <c r="H271" s="76">
        <f t="shared" si="48"/>
        <v>1.340095640625</v>
      </c>
      <c r="I271" s="73">
        <f t="shared" si="49"/>
        <v>0</v>
      </c>
      <c r="J271" s="73">
        <f t="shared" ref="J271:J290" si="56">E271*$H271*(1+$D$15)^C271</f>
        <v>0</v>
      </c>
      <c r="K271" s="73">
        <f t="shared" si="55"/>
        <v>0</v>
      </c>
      <c r="L271" s="74">
        <f t="shared" si="52"/>
        <v>1202655347.4442637</v>
      </c>
    </row>
    <row r="272" spans="1:13" x14ac:dyDescent="0.35">
      <c r="C272" s="69">
        <v>7</v>
      </c>
      <c r="D272" s="75">
        <v>0</v>
      </c>
      <c r="E272" s="126">
        <f t="shared" si="53"/>
        <v>0</v>
      </c>
      <c r="F272" s="71">
        <f t="shared" si="54"/>
        <v>0</v>
      </c>
      <c r="G272" s="128">
        <f>IF(
    $H$6="Alkaline",
    IF(
        OR(
            Data!$C$37=C271,
            MOD(C271,Data!$C$37)=0
        ),
        $D$8,
        G271*Data!$C$42
    ),
    IF(
        $H$6="PEM",
        IF(
            OR(
                Data!$H$37=C271,
                MOD(C271,Data!$H$37)=0
            ),
            $D$8,
            G271*Data!$H$42
        ),
        ""
    )
)</f>
        <v>888465537.73917961</v>
      </c>
      <c r="H272" s="76">
        <f t="shared" si="48"/>
        <v>1.4071004226562502</v>
      </c>
      <c r="I272" s="73">
        <f t="shared" si="49"/>
        <v>0</v>
      </c>
      <c r="J272" s="73">
        <f t="shared" si="56"/>
        <v>0</v>
      </c>
      <c r="K272" s="73">
        <f t="shared" si="55"/>
        <v>0</v>
      </c>
      <c r="L272" s="74">
        <f t="shared" si="52"/>
        <v>1250160233.6683123</v>
      </c>
    </row>
    <row r="273" spans="3:12" x14ac:dyDescent="0.35">
      <c r="C273" s="69">
        <v>8</v>
      </c>
      <c r="D273" s="75">
        <v>0</v>
      </c>
      <c r="E273" s="126">
        <f t="shared" si="53"/>
        <v>0</v>
      </c>
      <c r="F273" s="71">
        <f t="shared" si="54"/>
        <v>0</v>
      </c>
      <c r="G273" s="128">
        <f>IF(
    $H$6="Alkaline",
    IF(
        OR(
            Data!$C$37=C272,
            MOD(C272,Data!$C$37)=0
        ),
        $D$8,
        G272*Data!$C$42
    ),
    IF(
        $H$6="PEM",
        IF(
            OR(
                Data!$H$37=C272,
                MOD(C272,Data!$H$37)=0
            ),
            $D$8,
            G272*Data!$H$42
        ),
        ""
    )
)</f>
        <v>943690143.97642899</v>
      </c>
      <c r="H273" s="76">
        <f t="shared" si="48"/>
        <v>1.4774554437890626</v>
      </c>
      <c r="I273" s="73">
        <f t="shared" si="49"/>
        <v>0</v>
      </c>
      <c r="J273" s="73">
        <f t="shared" si="56"/>
        <v>0</v>
      </c>
      <c r="K273" s="73">
        <f t="shared" si="55"/>
        <v>0</v>
      </c>
      <c r="L273" s="74">
        <f t="shared" si="52"/>
        <v>1394260140.4680593</v>
      </c>
    </row>
    <row r="274" spans="3:12" x14ac:dyDescent="0.35">
      <c r="C274" s="69">
        <v>9</v>
      </c>
      <c r="D274" s="75">
        <v>0</v>
      </c>
      <c r="E274" s="126">
        <f t="shared" si="53"/>
        <v>0</v>
      </c>
      <c r="F274" s="71">
        <f t="shared" si="54"/>
        <v>0</v>
      </c>
      <c r="G274" s="128">
        <f>IF(
    $H$6="Alkaline",
    IF(
        OR(
            Data!$C$37=C273,
            MOD(C273,Data!$C$37)=0
        ),
        $D$8,
        G273*Data!$C$42
    ),
    IF(
        $H$6="PEM",
        IF(
            OR(
                Data!$H$37=C273,
                MOD(C273,Data!$H$37)=0
            ),
            $D$8,
            G273*Data!$H$42
        ),
        ""
    )
)</f>
        <v>934253242.53666472</v>
      </c>
      <c r="H274" s="76">
        <f t="shared" si="48"/>
        <v>1.5513282159785158</v>
      </c>
      <c r="I274" s="73">
        <f t="shared" si="49"/>
        <v>0</v>
      </c>
      <c r="J274" s="73">
        <f t="shared" si="56"/>
        <v>0</v>
      </c>
      <c r="K274" s="73">
        <f t="shared" si="55"/>
        <v>0</v>
      </c>
      <c r="L274" s="74">
        <f t="shared" si="52"/>
        <v>1449333416.0165477</v>
      </c>
    </row>
    <row r="275" spans="3:12" x14ac:dyDescent="0.35">
      <c r="C275" s="69">
        <v>10</v>
      </c>
      <c r="D275" s="75">
        <v>0</v>
      </c>
      <c r="E275" s="126">
        <f t="shared" si="53"/>
        <v>0</v>
      </c>
      <c r="F275" s="71">
        <f t="shared" si="54"/>
        <v>0</v>
      </c>
      <c r="G275" s="128">
        <f>IF(
    $H$6="Alkaline",
    IF(
        OR(
            Data!$C$37=C274,
            MOD(C274,Data!$C$37)=0
        ),
        $D$8,
        G274*Data!$C$42
    ),
    IF(
        $H$6="PEM",
        IF(
            OR(
                Data!$H$37=C274,
                MOD(C274,Data!$H$37)=0
            ),
            $D$8,
            G274*Data!$H$42
        ),
        ""
    )
)</f>
        <v>924910710.11129808</v>
      </c>
      <c r="H275" s="76">
        <f t="shared" si="48"/>
        <v>1.6288946267774416</v>
      </c>
      <c r="I275" s="73">
        <f t="shared" si="49"/>
        <v>0</v>
      </c>
      <c r="J275" s="73">
        <f t="shared" si="56"/>
        <v>0</v>
      </c>
      <c r="K275" s="73">
        <f t="shared" si="55"/>
        <v>0</v>
      </c>
      <c r="L275" s="74">
        <f t="shared" si="52"/>
        <v>1506582085.9492013</v>
      </c>
    </row>
    <row r="276" spans="3:12" x14ac:dyDescent="0.35">
      <c r="C276" s="69">
        <v>11</v>
      </c>
      <c r="D276" s="75">
        <v>0</v>
      </c>
      <c r="E276" s="126">
        <f t="shared" si="53"/>
        <v>0</v>
      </c>
      <c r="F276" s="71">
        <f t="shared" si="54"/>
        <v>0</v>
      </c>
      <c r="G276" s="128">
        <f>IF(
    $H$6="Alkaline",
    IF(
        OR(
            Data!$C$37=C275,
            MOD(C275,Data!$C$37)=0
        ),
        $D$8,
        G275*Data!$C$42
    ),
    IF(
        $H$6="PEM",
        IF(
            OR(
                Data!$H$37=C275,
                MOD(C275,Data!$H$37)=0
            ),
            $D$8,
            G275*Data!$H$42
        ),
        ""
    )
)</f>
        <v>915661603.01018512</v>
      </c>
      <c r="H276" s="76">
        <f t="shared" si="48"/>
        <v>1.7103393581163138</v>
      </c>
      <c r="I276" s="73">
        <f t="shared" si="49"/>
        <v>0</v>
      </c>
      <c r="J276" s="73">
        <f t="shared" si="56"/>
        <v>0</v>
      </c>
      <c r="K276" s="73">
        <f t="shared" si="55"/>
        <v>0</v>
      </c>
      <c r="L276" s="74">
        <f t="shared" si="52"/>
        <v>1566092078.3441949</v>
      </c>
    </row>
    <row r="277" spans="3:12" x14ac:dyDescent="0.35">
      <c r="C277" s="69">
        <v>12</v>
      </c>
      <c r="D277" s="75">
        <v>0</v>
      </c>
      <c r="E277" s="126">
        <f t="shared" si="53"/>
        <v>0</v>
      </c>
      <c r="F277" s="71">
        <f t="shared" si="54"/>
        <v>0</v>
      </c>
      <c r="G277" s="128">
        <f>IF(
    $H$6="Alkaline",
    IF(
        OR(
            Data!$C$37=C276,
            MOD(C276,Data!$C$37)=0
        ),
        $D$8,
        G276*Data!$C$42
    ),
    IF(
        $H$6="PEM",
        IF(
            OR(
                Data!$H$37=C276,
                MOD(C276,Data!$H$37)=0
            ),
            $D$8,
            G276*Data!$H$42
        ),
        ""
    )
)</f>
        <v>906504986.98008323</v>
      </c>
      <c r="H277" s="76">
        <f t="shared" si="48"/>
        <v>1.7958563260221292</v>
      </c>
      <c r="I277" s="73">
        <f t="shared" si="49"/>
        <v>0</v>
      </c>
      <c r="J277" s="73">
        <f t="shared" si="56"/>
        <v>0</v>
      </c>
      <c r="K277" s="73">
        <f t="shared" si="55"/>
        <v>0</v>
      </c>
      <c r="L277" s="74">
        <f t="shared" si="52"/>
        <v>1627952715.4387903</v>
      </c>
    </row>
    <row r="278" spans="3:12" x14ac:dyDescent="0.35">
      <c r="C278" s="69">
        <v>13</v>
      </c>
      <c r="D278" s="75">
        <v>0</v>
      </c>
      <c r="E278" s="126">
        <f t="shared" si="53"/>
        <v>0</v>
      </c>
      <c r="F278" s="71">
        <f t="shared" si="54"/>
        <v>0</v>
      </c>
      <c r="G278" s="128">
        <f>IF(
    $H$6="Alkaline",
    IF(
        OR(
            Data!$C$37=C277,
            MOD(C277,Data!$C$37)=0
        ),
        $D$8,
        G277*Data!$C$42
    ),
    IF(
        $H$6="PEM",
        IF(
            OR(
                Data!$H$37=C277,
                MOD(C277,Data!$H$37)=0
            ),
            $D$8,
            G277*Data!$H$42
        ),
        ""
    )
)</f>
        <v>897439937.11028242</v>
      </c>
      <c r="H278" s="76">
        <f t="shared" si="48"/>
        <v>1.885649142323236</v>
      </c>
      <c r="I278" s="73">
        <f t="shared" si="49"/>
        <v>0</v>
      </c>
      <c r="J278" s="73">
        <f t="shared" si="56"/>
        <v>0</v>
      </c>
      <c r="K278" s="73">
        <f t="shared" si="55"/>
        <v>0</v>
      </c>
      <c r="L278" s="74">
        <f t="shared" si="52"/>
        <v>1692256847.6986229</v>
      </c>
    </row>
    <row r="279" spans="3:12" x14ac:dyDescent="0.35">
      <c r="C279" s="69">
        <v>14</v>
      </c>
      <c r="D279" s="75">
        <v>0</v>
      </c>
      <c r="E279" s="126">
        <f t="shared" si="53"/>
        <v>0</v>
      </c>
      <c r="F279" s="71">
        <f t="shared" si="54"/>
        <v>0</v>
      </c>
      <c r="G279" s="128">
        <f>IF(
    $H$6="Alkaline",
    IF(
        OR(
            Data!$C$37=C278,
            MOD(C278,Data!$C$37)=0
        ),
        $D$8,
        G278*Data!$C$42
    ),
    IF(
        $H$6="PEM",
        IF(
            OR(
                Data!$H$37=C278,
                MOD(C278,Data!$H$37)=0
            ),
            $D$8,
            G278*Data!$H$42
        ),
        ""
    )
)</f>
        <v>888465537.73917961</v>
      </c>
      <c r="H279" s="76">
        <f t="shared" si="48"/>
        <v>1.9799315994393973</v>
      </c>
      <c r="I279" s="73">
        <f t="shared" si="49"/>
        <v>0</v>
      </c>
      <c r="J279" s="73">
        <f t="shared" si="56"/>
        <v>0</v>
      </c>
      <c r="K279" s="73">
        <f t="shared" si="55"/>
        <v>0</v>
      </c>
      <c r="L279" s="74">
        <f t="shared" si="52"/>
        <v>1759100993.182718</v>
      </c>
    </row>
    <row r="280" spans="3:12" x14ac:dyDescent="0.35">
      <c r="C280" s="69">
        <v>15</v>
      </c>
      <c r="D280" s="75">
        <v>0</v>
      </c>
      <c r="E280" s="126">
        <f t="shared" si="53"/>
        <v>0</v>
      </c>
      <c r="F280" s="71">
        <f t="shared" si="54"/>
        <v>0</v>
      </c>
      <c r="G280" s="128">
        <f>IF(
    $H$6="Alkaline",
    IF(
        OR(
            Data!$C$37=C279,
            MOD(C279,Data!$C$37)=0
        ),
        $D$8,
        G279*Data!$C$42
    ),
    IF(
        $H$6="PEM",
        IF(
            OR(
                Data!$H$37=C279,
                MOD(C279,Data!$H$37)=0
            ),
            $D$8,
            G279*Data!$H$42
        ),
        ""
    )
)</f>
        <v>943690143.97642899</v>
      </c>
      <c r="H280" s="76">
        <f t="shared" si="48"/>
        <v>2.0789281794113679</v>
      </c>
      <c r="I280" s="73">
        <f t="shared" si="49"/>
        <v>0</v>
      </c>
      <c r="J280" s="73">
        <f t="shared" si="56"/>
        <v>0</v>
      </c>
      <c r="K280" s="73">
        <f t="shared" si="55"/>
        <v>0</v>
      </c>
      <c r="L280" s="74">
        <f t="shared" si="52"/>
        <v>1961864032.9453692</v>
      </c>
    </row>
    <row r="281" spans="3:12" x14ac:dyDescent="0.35">
      <c r="C281" s="69">
        <v>16</v>
      </c>
      <c r="D281" s="75">
        <v>0</v>
      </c>
      <c r="E281" s="126">
        <f t="shared" si="53"/>
        <v>0</v>
      </c>
      <c r="F281" s="71">
        <f t="shared" si="54"/>
        <v>0</v>
      </c>
      <c r="G281" s="128">
        <f>IF(
    $H$6="Alkaline",
    IF(
        OR(
            Data!$C$37=C280,
            MOD(C280,Data!$C$37)=0
        ),
        $D$8,
        G280*Data!$C$42
    ),
    IF(
        $H$6="PEM",
        IF(
            OR(
                Data!$H$37=C280,
                MOD(C280,Data!$H$37)=0
            ),
            $D$8,
            G280*Data!$H$42
        ),
        ""
    )
)</f>
        <v>934253242.53666472</v>
      </c>
      <c r="H281" s="76">
        <f t="shared" si="48"/>
        <v>2.182874588381936</v>
      </c>
      <c r="I281" s="73">
        <f t="shared" si="49"/>
        <v>0</v>
      </c>
      <c r="J281" s="73">
        <f t="shared" si="56"/>
        <v>0</v>
      </c>
      <c r="K281" s="73">
        <f t="shared" si="55"/>
        <v>0</v>
      </c>
      <c r="L281" s="74">
        <f t="shared" si="52"/>
        <v>2039357662.246711</v>
      </c>
    </row>
    <row r="282" spans="3:12" x14ac:dyDescent="0.35">
      <c r="C282" s="69">
        <v>17</v>
      </c>
      <c r="D282" s="75">
        <v>0</v>
      </c>
      <c r="E282" s="126">
        <f t="shared" si="53"/>
        <v>0</v>
      </c>
      <c r="F282" s="71">
        <f t="shared" si="54"/>
        <v>0</v>
      </c>
      <c r="G282" s="128">
        <f>IF(
    $H$6="Alkaline",
    IF(
        OR(
            Data!$C$37=C281,
            MOD(C281,Data!$C$37)=0
        ),
        $D$8,
        G281*Data!$C$42
    ),
    IF(
        $H$6="PEM",
        IF(
            OR(
                Data!$H$37=C281,
                MOD(C281,Data!$H$37)=0
            ),
            $D$8,
            G281*Data!$H$42
        ),
        ""
    )
)</f>
        <v>924910710.11129808</v>
      </c>
      <c r="H282" s="76">
        <f t="shared" si="48"/>
        <v>2.2920183178010332</v>
      </c>
      <c r="I282" s="73">
        <f t="shared" si="49"/>
        <v>0</v>
      </c>
      <c r="J282" s="73">
        <f t="shared" si="56"/>
        <v>0</v>
      </c>
      <c r="K282" s="73">
        <f t="shared" si="55"/>
        <v>0</v>
      </c>
      <c r="L282" s="74">
        <f t="shared" si="52"/>
        <v>2119912289.9054565</v>
      </c>
    </row>
    <row r="283" spans="3:12" x14ac:dyDescent="0.35">
      <c r="C283" s="69">
        <v>18</v>
      </c>
      <c r="D283" s="75">
        <v>0</v>
      </c>
      <c r="E283" s="126">
        <f t="shared" si="53"/>
        <v>0</v>
      </c>
      <c r="F283" s="71">
        <f t="shared" si="54"/>
        <v>0</v>
      </c>
      <c r="G283" s="128">
        <f>IF(
    $H$6="Alkaline",
    IF(
        OR(
            Data!$C$37=C282,
            MOD(C282,Data!$C$37)=0
        ),
        $D$8,
        G282*Data!$C$42
    ),
    IF(
        $H$6="PEM",
        IF(
            OR(
                Data!$H$37=C282,
                MOD(C282,Data!$H$37)=0
            ),
            $D$8,
            G282*Data!$H$42
        ),
        ""
    )
)</f>
        <v>915661603.01018512</v>
      </c>
      <c r="H283" s="76">
        <f t="shared" si="48"/>
        <v>2.4066192336910848</v>
      </c>
      <c r="I283" s="73">
        <f t="shared" si="49"/>
        <v>0</v>
      </c>
      <c r="J283" s="73">
        <f t="shared" si="56"/>
        <v>0</v>
      </c>
      <c r="K283" s="73">
        <f t="shared" si="55"/>
        <v>0</v>
      </c>
      <c r="L283" s="74">
        <f t="shared" si="52"/>
        <v>2203648825.3567219</v>
      </c>
    </row>
    <row r="284" spans="3:12" x14ac:dyDescent="0.35">
      <c r="C284" s="69">
        <v>19</v>
      </c>
      <c r="D284" s="75">
        <v>0</v>
      </c>
      <c r="E284" s="126">
        <f t="shared" si="53"/>
        <v>0</v>
      </c>
      <c r="F284" s="71">
        <f t="shared" si="54"/>
        <v>0</v>
      </c>
      <c r="G284" s="128">
        <f>IF(
    $H$6="Alkaline",
    IF(
        OR(
            Data!$C$37=C283,
            MOD(C283,Data!$C$37)=0
        ),
        $D$8,
        G283*Data!$C$42
    ),
    IF(
        $H$6="PEM",
        IF(
            OR(
                Data!$H$37=C283,
                MOD(C283,Data!$H$37)=0
            ),
            $D$8,
            G283*Data!$H$42
        ),
        ""
    )
)</f>
        <v>906504986.98008323</v>
      </c>
      <c r="H284" s="76">
        <f t="shared" si="48"/>
        <v>2.526950195375639</v>
      </c>
      <c r="I284" s="73">
        <f t="shared" si="49"/>
        <v>0</v>
      </c>
      <c r="J284" s="73">
        <f t="shared" si="56"/>
        <v>0</v>
      </c>
      <c r="K284" s="73">
        <f t="shared" si="55"/>
        <v>0</v>
      </c>
      <c r="L284" s="74">
        <f t="shared" si="52"/>
        <v>2290692953.9583125</v>
      </c>
    </row>
    <row r="285" spans="3:12" x14ac:dyDescent="0.35">
      <c r="C285" s="69">
        <v>20</v>
      </c>
      <c r="D285" s="75">
        <v>0</v>
      </c>
      <c r="E285" s="126">
        <f t="shared" si="53"/>
        <v>0</v>
      </c>
      <c r="F285" s="71">
        <f t="shared" si="54"/>
        <v>0</v>
      </c>
      <c r="G285" s="128">
        <f>IF(
    $H$6="Alkaline",
    IF(
        OR(
            Data!$C$37=C284,
            MOD(C284,Data!$C$37)=0
        ),
        $D$8,
        G284*Data!$C$42
    ),
    IF(
        $H$6="PEM",
        IF(
            OR(
                Data!$H$37=C284,
                MOD(C284,Data!$H$37)=0
            ),
            $D$8,
            G284*Data!$H$42
        ),
        ""
    )
)</f>
        <v>897439937.11028242</v>
      </c>
      <c r="H285" s="76">
        <f t="shared" si="48"/>
        <v>2.6532977051444209</v>
      </c>
      <c r="I285" s="73">
        <f t="shared" si="49"/>
        <v>0</v>
      </c>
      <c r="J285" s="73">
        <f t="shared" si="56"/>
        <v>0</v>
      </c>
      <c r="K285" s="73">
        <f t="shared" si="55"/>
        <v>0</v>
      </c>
      <c r="L285" s="74">
        <f t="shared" si="52"/>
        <v>2381175325.6396656</v>
      </c>
    </row>
    <row r="286" spans="3:12" x14ac:dyDescent="0.35">
      <c r="C286" s="69">
        <v>21</v>
      </c>
      <c r="D286" s="75">
        <v>0</v>
      </c>
      <c r="E286" s="126">
        <f t="shared" si="53"/>
        <v>0</v>
      </c>
      <c r="F286" s="71">
        <f t="shared" si="54"/>
        <v>0</v>
      </c>
      <c r="G286" s="128">
        <f>IF(
    $H$6="Alkaline",
    IF(
        OR(
            Data!$C$37=C285,
            MOD(C285,Data!$C$37)=0
        ),
        $D$8,
        G285*Data!$C$42
    ),
    IF(
        $H$6="PEM",
        IF(
            OR(
                Data!$H$37=C285,
                MOD(C285,Data!$H$37)=0
            ),
            $D$8,
            G285*Data!$H$42
        ),
        ""
    )
)</f>
        <v>888465537.73917961</v>
      </c>
      <c r="H286" s="76">
        <f t="shared" si="48"/>
        <v>2.7859625904016418</v>
      </c>
      <c r="I286" s="73">
        <f t="shared" si="49"/>
        <v>0</v>
      </c>
      <c r="J286" s="73">
        <f t="shared" si="56"/>
        <v>0</v>
      </c>
      <c r="K286" s="73">
        <f t="shared" si="55"/>
        <v>0</v>
      </c>
      <c r="L286" s="74">
        <f t="shared" si="52"/>
        <v>2475231751.0024323</v>
      </c>
    </row>
    <row r="287" spans="3:12" x14ac:dyDescent="0.35">
      <c r="C287" s="69">
        <v>22</v>
      </c>
      <c r="D287" s="75">
        <v>0</v>
      </c>
      <c r="E287" s="126">
        <f t="shared" si="53"/>
        <v>0</v>
      </c>
      <c r="F287" s="71">
        <f t="shared" si="54"/>
        <v>0</v>
      </c>
      <c r="G287" s="128">
        <f>IF(
    $H$6="Alkaline",
    IF(
        OR(
            Data!$C$37=C286,
            MOD(C286,Data!$C$37)=0
        ),
        $D$8,
        G286*Data!$C$42
    ),
    IF(
        $H$6="PEM",
        IF(
            OR(
                Data!$H$37=C286,
                MOD(C286,Data!$H$37)=0
            ),
            $D$8,
            G286*Data!$H$42
        ),
        ""
    )
)</f>
        <v>943690143.97642899</v>
      </c>
      <c r="H287" s="76">
        <f t="shared" si="48"/>
        <v>2.9252607199217238</v>
      </c>
      <c r="I287" s="73">
        <f t="shared" si="49"/>
        <v>0</v>
      </c>
      <c r="J287" s="73">
        <f t="shared" si="56"/>
        <v>0</v>
      </c>
      <c r="K287" s="73">
        <f t="shared" si="55"/>
        <v>0</v>
      </c>
      <c r="L287" s="74">
        <f t="shared" si="52"/>
        <v>2760539709.9515238</v>
      </c>
    </row>
    <row r="288" spans="3:12" x14ac:dyDescent="0.35">
      <c r="C288" s="69">
        <v>23</v>
      </c>
      <c r="D288" s="75">
        <v>0</v>
      </c>
      <c r="E288" s="126">
        <f t="shared" si="53"/>
        <v>0</v>
      </c>
      <c r="F288" s="71">
        <f t="shared" si="54"/>
        <v>0</v>
      </c>
      <c r="G288" s="128">
        <f>IF(
    $H$6="Alkaline",
    IF(
        OR(
            Data!$C$37=C287,
            MOD(C287,Data!$C$37)=0
        ),
        $D$8,
        G287*Data!$C$42
    ),
    IF(
        $H$6="PEM",
        IF(
            OR(
                Data!$H$37=C287,
                MOD(C287,Data!$H$37)=0
            ),
            $D$8,
            G287*Data!$H$42
        ),
        ""
    )
)</f>
        <v>934253242.53666472</v>
      </c>
      <c r="H288" s="76">
        <f t="shared" si="48"/>
        <v>3.0715237559178106</v>
      </c>
      <c r="I288" s="73">
        <f t="shared" si="49"/>
        <v>0</v>
      </c>
      <c r="J288" s="73">
        <f t="shared" si="56"/>
        <v>0</v>
      </c>
      <c r="K288" s="73">
        <f t="shared" si="55"/>
        <v>0</v>
      </c>
      <c r="L288" s="74">
        <f t="shared" si="52"/>
        <v>2869581028.4946098</v>
      </c>
    </row>
    <row r="289" spans="1:13" x14ac:dyDescent="0.35">
      <c r="C289" s="69">
        <v>24</v>
      </c>
      <c r="D289" s="75">
        <v>0</v>
      </c>
      <c r="E289" s="126">
        <f t="shared" si="53"/>
        <v>0</v>
      </c>
      <c r="F289" s="71">
        <f t="shared" si="54"/>
        <v>0</v>
      </c>
      <c r="G289" s="128">
        <f>IF(
    $H$6="Alkaline",
    IF(
        OR(
            Data!$C$37=C288,
            MOD(C288,Data!$C$37)=0
        ),
        $D$8,
        G288*Data!$C$42
    ),
    IF(
        $H$6="PEM",
        IF(
            OR(
                Data!$H$37=C288,
                MOD(C288,Data!$H$37)=0
            ),
            $D$8,
            G288*Data!$H$42
        ),
        ""
    )
)</f>
        <v>924910710.11129808</v>
      </c>
      <c r="H289" s="76">
        <f t="shared" si="48"/>
        <v>3.2250999437137007</v>
      </c>
      <c r="I289" s="73">
        <f t="shared" si="49"/>
        <v>0</v>
      </c>
      <c r="J289" s="73">
        <f t="shared" si="56"/>
        <v>0</v>
      </c>
      <c r="K289" s="73">
        <f t="shared" si="55"/>
        <v>0</v>
      </c>
      <c r="L289" s="74">
        <f t="shared" si="52"/>
        <v>2982929479.1201463</v>
      </c>
    </row>
    <row r="290" spans="1:13" ht="15" thickBot="1" x14ac:dyDescent="0.4">
      <c r="C290" s="69">
        <v>25</v>
      </c>
      <c r="D290" s="75">
        <v>0</v>
      </c>
      <c r="E290" s="126">
        <f t="shared" si="53"/>
        <v>0</v>
      </c>
      <c r="F290" s="71">
        <f t="shared" si="54"/>
        <v>0</v>
      </c>
      <c r="G290" s="128">
        <f>IF(
    $H$6="Alkaline",
    IF(
        OR(
            Data!$C$37=C289,
            MOD(C289,Data!$C$37)=0
        ),
        $D$8,
        G289*Data!$C$42
    ),
    IF(
        $H$6="PEM",
        IF(
            OR(
                Data!$H$37=C289,
                MOD(C289,Data!$H$37)=0
            ),
            $D$8,
            G289*Data!$H$42
        ),
        ""
    )
)</f>
        <v>915661603.01018512</v>
      </c>
      <c r="H290" s="76">
        <f t="shared" si="48"/>
        <v>3.3863549408993858</v>
      </c>
      <c r="I290" s="73">
        <f t="shared" si="49"/>
        <v>0</v>
      </c>
      <c r="J290" s="73">
        <f t="shared" si="56"/>
        <v>0</v>
      </c>
      <c r="K290" s="73">
        <f t="shared" si="55"/>
        <v>0</v>
      </c>
      <c r="L290" s="74">
        <f t="shared" si="52"/>
        <v>3100755193.5453925</v>
      </c>
    </row>
    <row r="291" spans="1:13" ht="15" thickBot="1" x14ac:dyDescent="0.4">
      <c r="C291" s="70" t="s">
        <v>26</v>
      </c>
      <c r="D291" s="77">
        <f t="shared" ref="D291:K291" si="57">SUM(D265:D290)</f>
        <v>0</v>
      </c>
      <c r="E291" s="77">
        <f t="shared" si="57"/>
        <v>0</v>
      </c>
      <c r="F291" s="77">
        <f t="shared" si="57"/>
        <v>0</v>
      </c>
      <c r="G291" s="77">
        <f t="shared" si="57"/>
        <v>22951294184.026939</v>
      </c>
      <c r="H291" s="77">
        <f t="shared" si="57"/>
        <v>51.113453758887083</v>
      </c>
      <c r="I291" s="77">
        <f t="shared" si="57"/>
        <v>0</v>
      </c>
      <c r="J291" s="77">
        <f t="shared" si="57"/>
        <v>0</v>
      </c>
      <c r="K291" s="77">
        <f t="shared" si="57"/>
        <v>0</v>
      </c>
      <c r="L291" s="77">
        <f>SUM(L265:L290)</f>
        <v>45995618724.782455</v>
      </c>
    </row>
    <row r="293" spans="1:13" ht="15" thickBot="1" x14ac:dyDescent="0.4">
      <c r="A293">
        <v>6</v>
      </c>
      <c r="B293">
        <v>43</v>
      </c>
      <c r="C293" s="133" t="s">
        <v>115</v>
      </c>
    </row>
    <row r="294" spans="1:13" ht="19" thickBot="1" x14ac:dyDescent="0.5">
      <c r="C294" s="58" t="s">
        <v>15</v>
      </c>
      <c r="D294" s="58" t="s">
        <v>16</v>
      </c>
      <c r="E294" s="58" t="s">
        <v>17</v>
      </c>
      <c r="F294" s="58" t="s">
        <v>18</v>
      </c>
      <c r="G294" s="59" t="s">
        <v>19</v>
      </c>
      <c r="H294" s="58" t="s">
        <v>20</v>
      </c>
      <c r="I294" s="59" t="s">
        <v>21</v>
      </c>
      <c r="J294" s="58" t="s">
        <v>22</v>
      </c>
      <c r="K294" s="58" t="s">
        <v>23</v>
      </c>
      <c r="L294" s="58" t="s">
        <v>24</v>
      </c>
      <c r="M294" s="152" t="s">
        <v>253</v>
      </c>
    </row>
    <row r="295" spans="1:13" ht="18.5" x14ac:dyDescent="0.45">
      <c r="C295" s="68">
        <v>0</v>
      </c>
      <c r="D295" s="71">
        <f>$G$43</f>
        <v>0</v>
      </c>
      <c r="E295" s="71">
        <v>0</v>
      </c>
      <c r="F295" s="71">
        <v>0</v>
      </c>
      <c r="G295" s="127">
        <v>0</v>
      </c>
      <c r="H295" s="72">
        <f t="shared" ref="H295:H320" si="58">(1+$D$14)^$C295</f>
        <v>1</v>
      </c>
      <c r="I295" s="73">
        <f t="shared" ref="I295:I320" si="59">D295*$H295*(1+$D$15)^C295</f>
        <v>0</v>
      </c>
      <c r="J295" s="73">
        <f t="shared" ref="J295:J299" si="60">E295*$H295*(1+$D$15)^C295</f>
        <v>0</v>
      </c>
      <c r="K295" s="73">
        <f t="shared" ref="K295:K296" si="61">F295*$H295*(1+$D$15)^C295</f>
        <v>0</v>
      </c>
      <c r="L295" s="74">
        <f t="shared" ref="L295:L320" si="62">G295*$H295</f>
        <v>0</v>
      </c>
      <c r="M295" s="153">
        <f>(I321+J321+K321)/L321</f>
        <v>0</v>
      </c>
    </row>
    <row r="296" spans="1:13" x14ac:dyDescent="0.35">
      <c r="C296" s="69">
        <v>1</v>
      </c>
      <c r="D296" s="75">
        <v>0</v>
      </c>
      <c r="E296" s="126">
        <f>$K$43</f>
        <v>0</v>
      </c>
      <c r="F296" s="71">
        <f>(IF(MOD(C296,$H$43)=0,$J$43,0))</f>
        <v>0</v>
      </c>
      <c r="G296" s="128">
        <f>$D$8</f>
        <v>943690143.97642899</v>
      </c>
      <c r="H296" s="76">
        <f t="shared" si="58"/>
        <v>1.05</v>
      </c>
      <c r="I296" s="73">
        <f t="shared" si="59"/>
        <v>0</v>
      </c>
      <c r="J296" s="73">
        <f t="shared" si="60"/>
        <v>0</v>
      </c>
      <c r="K296" s="73">
        <f t="shared" si="61"/>
        <v>0</v>
      </c>
      <c r="L296" s="97">
        <f t="shared" si="62"/>
        <v>990874651.17525053</v>
      </c>
    </row>
    <row r="297" spans="1:13" x14ac:dyDescent="0.35">
      <c r="C297" s="69">
        <v>2</v>
      </c>
      <c r="D297" s="75">
        <v>0</v>
      </c>
      <c r="E297" s="126">
        <f t="shared" ref="E297:E320" si="63">$K$43</f>
        <v>0</v>
      </c>
      <c r="F297" s="71">
        <f>(IF(MOD(C296,$H$43)=0,$J$43,0))</f>
        <v>0</v>
      </c>
      <c r="G297" s="128">
        <f>IF(
    $H$6="Alkaline",
    IF(
        OR(
            Data!$C$37=C296,
            MOD(C296,Data!$C$37)=0
        ),
        $D$8,
        G296*Data!$C$42
    ),
    IF(
        $H$6="PEM",
        IF(
            OR(
                Data!$H$37=C296,
                MOD(C296,Data!$H$37)=0
            ),
            $D$8,
            G296*Data!$H$42
        ),
        ""
    )
)</f>
        <v>934253242.53666472</v>
      </c>
      <c r="H297" s="76">
        <f t="shared" si="58"/>
        <v>1.1025</v>
      </c>
      <c r="I297" s="73">
        <f t="shared" si="59"/>
        <v>0</v>
      </c>
      <c r="J297" s="73">
        <f t="shared" si="60"/>
        <v>0</v>
      </c>
      <c r="K297" s="73">
        <f>F297*$H297*(1+$D$15)^C297</f>
        <v>0</v>
      </c>
      <c r="L297" s="74">
        <f t="shared" si="62"/>
        <v>1030014199.8966728</v>
      </c>
    </row>
    <row r="298" spans="1:13" x14ac:dyDescent="0.35">
      <c r="C298" s="69">
        <v>3</v>
      </c>
      <c r="D298" s="75">
        <v>0</v>
      </c>
      <c r="E298" s="126">
        <f t="shared" si="63"/>
        <v>0</v>
      </c>
      <c r="F298" s="71">
        <f t="shared" ref="F298:F320" si="64">(IF(MOD(C297,$H$43)=0,$J$43,0))</f>
        <v>0</v>
      </c>
      <c r="G298" s="128">
        <f>IF(
    $H$6="Alkaline",
    IF(
        OR(
            Data!$C$37=C297,
            MOD(C297,Data!$C$37)=0
        ),
        $D$8,
        G297*Data!$C$42
    ),
    IF(
        $H$6="PEM",
        IF(
            OR(
                Data!$H$37=C297,
                MOD(C297,Data!$H$37)=0
            ),
            $D$8,
            G297*Data!$H$42
        ),
        ""
    )
)</f>
        <v>924910710.11129808</v>
      </c>
      <c r="H298" s="76">
        <f>(1+$D$14)^$C298</f>
        <v>1.1576250000000001</v>
      </c>
      <c r="I298" s="73">
        <f t="shared" si="59"/>
        <v>0</v>
      </c>
      <c r="J298" s="73">
        <f t="shared" si="60"/>
        <v>0</v>
      </c>
      <c r="K298" s="73">
        <f t="shared" ref="K298:K320" si="65">F298*$H298*(1+$D$15)^C298</f>
        <v>0</v>
      </c>
      <c r="L298" s="74">
        <f t="shared" si="62"/>
        <v>1070699760.7925916</v>
      </c>
    </row>
    <row r="299" spans="1:13" x14ac:dyDescent="0.35">
      <c r="C299" s="69">
        <v>4</v>
      </c>
      <c r="D299" s="75">
        <v>0</v>
      </c>
      <c r="E299" s="126">
        <f t="shared" si="63"/>
        <v>0</v>
      </c>
      <c r="F299" s="71">
        <f t="shared" si="64"/>
        <v>0</v>
      </c>
      <c r="G299" s="128">
        <f>IF(
    $H$6="Alkaline",
    IF(
        OR(
            Data!$C$37=C298,
            MOD(C298,Data!$C$37)=0
        ),
        $D$8,
        G298*Data!$C$42
    ),
    IF(
        $H$6="PEM",
        IF(
            OR(
                Data!$H$37=C298,
                MOD(C298,Data!$H$37)=0
            ),
            $D$8,
            G298*Data!$H$42
        ),
        ""
    )
)</f>
        <v>915661603.01018512</v>
      </c>
      <c r="H299" s="76">
        <f t="shared" si="58"/>
        <v>1.21550625</v>
      </c>
      <c r="I299" s="73">
        <f t="shared" si="59"/>
        <v>0</v>
      </c>
      <c r="J299" s="73">
        <f t="shared" si="60"/>
        <v>0</v>
      </c>
      <c r="K299" s="73">
        <f t="shared" si="65"/>
        <v>0</v>
      </c>
      <c r="L299" s="74">
        <f t="shared" si="62"/>
        <v>1112992401.3438988</v>
      </c>
    </row>
    <row r="300" spans="1:13" x14ac:dyDescent="0.35">
      <c r="C300" s="69">
        <v>5</v>
      </c>
      <c r="D300" s="75">
        <v>0</v>
      </c>
      <c r="E300" s="126">
        <f t="shared" si="63"/>
        <v>0</v>
      </c>
      <c r="F300" s="71">
        <f t="shared" si="64"/>
        <v>0</v>
      </c>
      <c r="G300" s="128">
        <f>IF(
    $H$6="Alkaline",
    IF(
        OR(
            Data!$C$37=C299,
            MOD(C299,Data!$C$37)=0
        ),
        $D$8,
        G299*Data!$C$42
    ),
    IF(
        $H$6="PEM",
        IF(
            OR(
                Data!$H$37=C299,
                MOD(C299,Data!$H$37)=0
            ),
            $D$8,
            G299*Data!$H$42
        ),
        ""
    )
)</f>
        <v>906504986.98008323</v>
      </c>
      <c r="H300" s="76">
        <f t="shared" si="58"/>
        <v>1.2762815625000001</v>
      </c>
      <c r="I300" s="73">
        <f t="shared" si="59"/>
        <v>0</v>
      </c>
      <c r="J300" s="73">
        <f>E300*$H300*(1+$D$15)^C300</f>
        <v>0</v>
      </c>
      <c r="K300" s="73">
        <f t="shared" si="65"/>
        <v>0</v>
      </c>
      <c r="L300" s="74">
        <f t="shared" si="62"/>
        <v>1156955601.1969829</v>
      </c>
    </row>
    <row r="301" spans="1:13" x14ac:dyDescent="0.35">
      <c r="C301" s="69">
        <v>6</v>
      </c>
      <c r="D301" s="75">
        <v>0</v>
      </c>
      <c r="E301" s="126">
        <f t="shared" si="63"/>
        <v>0</v>
      </c>
      <c r="F301" s="71">
        <f t="shared" si="64"/>
        <v>0</v>
      </c>
      <c r="G301" s="128">
        <f>IF(
    $H$6="Alkaline",
    IF(
        OR(
            Data!$C$37=C300,
            MOD(C300,Data!$C$37)=0
        ),
        $D$8,
        G300*Data!$C$42
    ),
    IF(
        $H$6="PEM",
        IF(
            OR(
                Data!$H$37=C300,
                MOD(C300,Data!$H$37)=0
            ),
            $D$8,
            G300*Data!$H$42
        ),
        ""
    )
)</f>
        <v>897439937.11028242</v>
      </c>
      <c r="H301" s="76">
        <f t="shared" si="58"/>
        <v>1.340095640625</v>
      </c>
      <c r="I301" s="73">
        <f t="shared" si="59"/>
        <v>0</v>
      </c>
      <c r="J301" s="73">
        <f t="shared" ref="J301:J320" si="66">E301*$H301*(1+$D$15)^C301</f>
        <v>0</v>
      </c>
      <c r="K301" s="73">
        <f t="shared" si="65"/>
        <v>0</v>
      </c>
      <c r="L301" s="74">
        <f t="shared" si="62"/>
        <v>1202655347.4442637</v>
      </c>
    </row>
    <row r="302" spans="1:13" x14ac:dyDescent="0.35">
      <c r="C302" s="69">
        <v>7</v>
      </c>
      <c r="D302" s="75">
        <v>0</v>
      </c>
      <c r="E302" s="126">
        <f t="shared" si="63"/>
        <v>0</v>
      </c>
      <c r="F302" s="71">
        <f t="shared" si="64"/>
        <v>0</v>
      </c>
      <c r="G302" s="128">
        <f>IF(
    $H$6="Alkaline",
    IF(
        OR(
            Data!$C$37=C301,
            MOD(C301,Data!$C$37)=0
        ),
        $D$8,
        G301*Data!$C$42
    ),
    IF(
        $H$6="PEM",
        IF(
            OR(
                Data!$H$37=C301,
                MOD(C301,Data!$H$37)=0
            ),
            $D$8,
            G301*Data!$H$42
        ),
        ""
    )
)</f>
        <v>888465537.73917961</v>
      </c>
      <c r="H302" s="76">
        <f t="shared" si="58"/>
        <v>1.4071004226562502</v>
      </c>
      <c r="I302" s="73">
        <f t="shared" si="59"/>
        <v>0</v>
      </c>
      <c r="J302" s="73">
        <f t="shared" si="66"/>
        <v>0</v>
      </c>
      <c r="K302" s="73">
        <f t="shared" si="65"/>
        <v>0</v>
      </c>
      <c r="L302" s="74">
        <f t="shared" si="62"/>
        <v>1250160233.6683123</v>
      </c>
    </row>
    <row r="303" spans="1:13" x14ac:dyDescent="0.35">
      <c r="C303" s="69">
        <v>8</v>
      </c>
      <c r="D303" s="75">
        <v>0</v>
      </c>
      <c r="E303" s="126">
        <f t="shared" si="63"/>
        <v>0</v>
      </c>
      <c r="F303" s="71">
        <f t="shared" si="64"/>
        <v>0</v>
      </c>
      <c r="G303" s="128">
        <f>IF(
    $H$6="Alkaline",
    IF(
        OR(
            Data!$C$37=C302,
            MOD(C302,Data!$C$37)=0
        ),
        $D$8,
        G302*Data!$C$42
    ),
    IF(
        $H$6="PEM",
        IF(
            OR(
                Data!$H$37=C302,
                MOD(C302,Data!$H$37)=0
            ),
            $D$8,
            G302*Data!$H$42
        ),
        ""
    )
)</f>
        <v>943690143.97642899</v>
      </c>
      <c r="H303" s="76">
        <f t="shared" si="58"/>
        <v>1.4774554437890626</v>
      </c>
      <c r="I303" s="73">
        <f t="shared" si="59"/>
        <v>0</v>
      </c>
      <c r="J303" s="73">
        <f t="shared" si="66"/>
        <v>0</v>
      </c>
      <c r="K303" s="73">
        <f t="shared" si="65"/>
        <v>0</v>
      </c>
      <c r="L303" s="74">
        <f t="shared" si="62"/>
        <v>1394260140.4680593</v>
      </c>
    </row>
    <row r="304" spans="1:13" x14ac:dyDescent="0.35">
      <c r="C304" s="69">
        <v>9</v>
      </c>
      <c r="D304" s="75">
        <v>0</v>
      </c>
      <c r="E304" s="126">
        <f t="shared" si="63"/>
        <v>0</v>
      </c>
      <c r="F304" s="71">
        <f t="shared" si="64"/>
        <v>0</v>
      </c>
      <c r="G304" s="128">
        <f>IF(
    $H$6="Alkaline",
    IF(
        OR(
            Data!$C$37=C303,
            MOD(C303,Data!$C$37)=0
        ),
        $D$8,
        G303*Data!$C$42
    ),
    IF(
        $H$6="PEM",
        IF(
            OR(
                Data!$H$37=C303,
                MOD(C303,Data!$H$37)=0
            ),
            $D$8,
            G303*Data!$H$42
        ),
        ""
    )
)</f>
        <v>934253242.53666472</v>
      </c>
      <c r="H304" s="76">
        <f t="shared" si="58"/>
        <v>1.5513282159785158</v>
      </c>
      <c r="I304" s="73">
        <f t="shared" si="59"/>
        <v>0</v>
      </c>
      <c r="J304" s="73">
        <f t="shared" si="66"/>
        <v>0</v>
      </c>
      <c r="K304" s="73">
        <f t="shared" si="65"/>
        <v>0</v>
      </c>
      <c r="L304" s="74">
        <f t="shared" si="62"/>
        <v>1449333416.0165477</v>
      </c>
    </row>
    <row r="305" spans="3:12" x14ac:dyDescent="0.35">
      <c r="C305" s="69">
        <v>10</v>
      </c>
      <c r="D305" s="75">
        <v>0</v>
      </c>
      <c r="E305" s="126">
        <f t="shared" si="63"/>
        <v>0</v>
      </c>
      <c r="F305" s="71">
        <f t="shared" si="64"/>
        <v>0</v>
      </c>
      <c r="G305" s="128">
        <f>IF(
    $H$6="Alkaline",
    IF(
        OR(
            Data!$C$37=C304,
            MOD(C304,Data!$C$37)=0
        ),
        $D$8,
        G304*Data!$C$42
    ),
    IF(
        $H$6="PEM",
        IF(
            OR(
                Data!$H$37=C304,
                MOD(C304,Data!$H$37)=0
            ),
            $D$8,
            G304*Data!$H$42
        ),
        ""
    )
)</f>
        <v>924910710.11129808</v>
      </c>
      <c r="H305" s="76">
        <f t="shared" si="58"/>
        <v>1.6288946267774416</v>
      </c>
      <c r="I305" s="73">
        <f t="shared" si="59"/>
        <v>0</v>
      </c>
      <c r="J305" s="73">
        <f t="shared" si="66"/>
        <v>0</v>
      </c>
      <c r="K305" s="73">
        <f t="shared" si="65"/>
        <v>0</v>
      </c>
      <c r="L305" s="74">
        <f t="shared" si="62"/>
        <v>1506582085.9492013</v>
      </c>
    </row>
    <row r="306" spans="3:12" x14ac:dyDescent="0.35">
      <c r="C306" s="69">
        <v>11</v>
      </c>
      <c r="D306" s="75">
        <v>0</v>
      </c>
      <c r="E306" s="126">
        <f t="shared" si="63"/>
        <v>0</v>
      </c>
      <c r="F306" s="71">
        <f t="shared" si="64"/>
        <v>0</v>
      </c>
      <c r="G306" s="128">
        <f>IF(
    $H$6="Alkaline",
    IF(
        OR(
            Data!$C$37=C305,
            MOD(C305,Data!$C$37)=0
        ),
        $D$8,
        G305*Data!$C$42
    ),
    IF(
        $H$6="PEM",
        IF(
            OR(
                Data!$H$37=C305,
                MOD(C305,Data!$H$37)=0
            ),
            $D$8,
            G305*Data!$H$42
        ),
        ""
    )
)</f>
        <v>915661603.01018512</v>
      </c>
      <c r="H306" s="76">
        <f t="shared" si="58"/>
        <v>1.7103393581163138</v>
      </c>
      <c r="I306" s="73">
        <f t="shared" si="59"/>
        <v>0</v>
      </c>
      <c r="J306" s="73">
        <f t="shared" si="66"/>
        <v>0</v>
      </c>
      <c r="K306" s="73">
        <f t="shared" si="65"/>
        <v>0</v>
      </c>
      <c r="L306" s="74">
        <f t="shared" si="62"/>
        <v>1566092078.3441949</v>
      </c>
    </row>
    <row r="307" spans="3:12" x14ac:dyDescent="0.35">
      <c r="C307" s="69">
        <v>12</v>
      </c>
      <c r="D307" s="75">
        <v>0</v>
      </c>
      <c r="E307" s="126">
        <f t="shared" si="63"/>
        <v>0</v>
      </c>
      <c r="F307" s="71">
        <f t="shared" si="64"/>
        <v>0</v>
      </c>
      <c r="G307" s="128">
        <f>IF(
    $H$6="Alkaline",
    IF(
        OR(
            Data!$C$37=C306,
            MOD(C306,Data!$C$37)=0
        ),
        $D$8,
        G306*Data!$C$42
    ),
    IF(
        $H$6="PEM",
        IF(
            OR(
                Data!$H$37=C306,
                MOD(C306,Data!$H$37)=0
            ),
            $D$8,
            G306*Data!$H$42
        ),
        ""
    )
)</f>
        <v>906504986.98008323</v>
      </c>
      <c r="H307" s="76">
        <f t="shared" si="58"/>
        <v>1.7958563260221292</v>
      </c>
      <c r="I307" s="73">
        <f t="shared" si="59"/>
        <v>0</v>
      </c>
      <c r="J307" s="73">
        <f t="shared" si="66"/>
        <v>0</v>
      </c>
      <c r="K307" s="73">
        <f t="shared" si="65"/>
        <v>0</v>
      </c>
      <c r="L307" s="74">
        <f t="shared" si="62"/>
        <v>1627952715.4387903</v>
      </c>
    </row>
    <row r="308" spans="3:12" x14ac:dyDescent="0.35">
      <c r="C308" s="69">
        <v>13</v>
      </c>
      <c r="D308" s="75">
        <v>0</v>
      </c>
      <c r="E308" s="126">
        <f t="shared" si="63"/>
        <v>0</v>
      </c>
      <c r="F308" s="71">
        <f t="shared" si="64"/>
        <v>0</v>
      </c>
      <c r="G308" s="128">
        <f>IF(
    $H$6="Alkaline",
    IF(
        OR(
            Data!$C$37=C307,
            MOD(C307,Data!$C$37)=0
        ),
        $D$8,
        G307*Data!$C$42
    ),
    IF(
        $H$6="PEM",
        IF(
            OR(
                Data!$H$37=C307,
                MOD(C307,Data!$H$37)=0
            ),
            $D$8,
            G307*Data!$H$42
        ),
        ""
    )
)</f>
        <v>897439937.11028242</v>
      </c>
      <c r="H308" s="76">
        <f t="shared" si="58"/>
        <v>1.885649142323236</v>
      </c>
      <c r="I308" s="73">
        <f t="shared" si="59"/>
        <v>0</v>
      </c>
      <c r="J308" s="73">
        <f t="shared" si="66"/>
        <v>0</v>
      </c>
      <c r="K308" s="73">
        <f t="shared" si="65"/>
        <v>0</v>
      </c>
      <c r="L308" s="74">
        <f t="shared" si="62"/>
        <v>1692256847.6986229</v>
      </c>
    </row>
    <row r="309" spans="3:12" x14ac:dyDescent="0.35">
      <c r="C309" s="69">
        <v>14</v>
      </c>
      <c r="D309" s="75">
        <v>0</v>
      </c>
      <c r="E309" s="126">
        <f t="shared" si="63"/>
        <v>0</v>
      </c>
      <c r="F309" s="71">
        <f t="shared" si="64"/>
        <v>0</v>
      </c>
      <c r="G309" s="128">
        <f>IF(
    $H$6="Alkaline",
    IF(
        OR(
            Data!$C$37=C308,
            MOD(C308,Data!$C$37)=0
        ),
        $D$8,
        G308*Data!$C$42
    ),
    IF(
        $H$6="PEM",
        IF(
            OR(
                Data!$H$37=C308,
                MOD(C308,Data!$H$37)=0
            ),
            $D$8,
            G308*Data!$H$42
        ),
        ""
    )
)</f>
        <v>888465537.73917961</v>
      </c>
      <c r="H309" s="76">
        <f t="shared" si="58"/>
        <v>1.9799315994393973</v>
      </c>
      <c r="I309" s="73">
        <f t="shared" si="59"/>
        <v>0</v>
      </c>
      <c r="J309" s="73">
        <f t="shared" si="66"/>
        <v>0</v>
      </c>
      <c r="K309" s="73">
        <f t="shared" si="65"/>
        <v>0</v>
      </c>
      <c r="L309" s="74">
        <f t="shared" si="62"/>
        <v>1759100993.182718</v>
      </c>
    </row>
    <row r="310" spans="3:12" x14ac:dyDescent="0.35">
      <c r="C310" s="69">
        <v>15</v>
      </c>
      <c r="D310" s="75">
        <v>0</v>
      </c>
      <c r="E310" s="126">
        <f t="shared" si="63"/>
        <v>0</v>
      </c>
      <c r="F310" s="71">
        <f t="shared" si="64"/>
        <v>0</v>
      </c>
      <c r="G310" s="128">
        <f>IF(
    $H$6="Alkaline",
    IF(
        OR(
            Data!$C$37=C309,
            MOD(C309,Data!$C$37)=0
        ),
        $D$8,
        G309*Data!$C$42
    ),
    IF(
        $H$6="PEM",
        IF(
            OR(
                Data!$H$37=C309,
                MOD(C309,Data!$H$37)=0
            ),
            $D$8,
            G309*Data!$H$42
        ),
        ""
    )
)</f>
        <v>943690143.97642899</v>
      </c>
      <c r="H310" s="76">
        <f t="shared" si="58"/>
        <v>2.0789281794113679</v>
      </c>
      <c r="I310" s="73">
        <f t="shared" si="59"/>
        <v>0</v>
      </c>
      <c r="J310" s="73">
        <f t="shared" si="66"/>
        <v>0</v>
      </c>
      <c r="K310" s="73">
        <f t="shared" si="65"/>
        <v>0</v>
      </c>
      <c r="L310" s="74">
        <f t="shared" si="62"/>
        <v>1961864032.9453692</v>
      </c>
    </row>
    <row r="311" spans="3:12" x14ac:dyDescent="0.35">
      <c r="C311" s="69">
        <v>16</v>
      </c>
      <c r="D311" s="75">
        <v>0</v>
      </c>
      <c r="E311" s="126">
        <f t="shared" si="63"/>
        <v>0</v>
      </c>
      <c r="F311" s="71">
        <f t="shared" si="64"/>
        <v>0</v>
      </c>
      <c r="G311" s="128">
        <f>IF(
    $H$6="Alkaline",
    IF(
        OR(
            Data!$C$37=C310,
            MOD(C310,Data!$C$37)=0
        ),
        $D$8,
        G310*Data!$C$42
    ),
    IF(
        $H$6="PEM",
        IF(
            OR(
                Data!$H$37=C310,
                MOD(C310,Data!$H$37)=0
            ),
            $D$8,
            G310*Data!$H$42
        ),
        ""
    )
)</f>
        <v>934253242.53666472</v>
      </c>
      <c r="H311" s="76">
        <f t="shared" si="58"/>
        <v>2.182874588381936</v>
      </c>
      <c r="I311" s="73">
        <f t="shared" si="59"/>
        <v>0</v>
      </c>
      <c r="J311" s="73">
        <f t="shared" si="66"/>
        <v>0</v>
      </c>
      <c r="K311" s="73">
        <f t="shared" si="65"/>
        <v>0</v>
      </c>
      <c r="L311" s="74">
        <f t="shared" si="62"/>
        <v>2039357662.246711</v>
      </c>
    </row>
    <row r="312" spans="3:12" x14ac:dyDescent="0.35">
      <c r="C312" s="69">
        <v>17</v>
      </c>
      <c r="D312" s="75">
        <v>0</v>
      </c>
      <c r="E312" s="126">
        <f t="shared" si="63"/>
        <v>0</v>
      </c>
      <c r="F312" s="71">
        <f t="shared" si="64"/>
        <v>0</v>
      </c>
      <c r="G312" s="128">
        <f>IF(
    $H$6="Alkaline",
    IF(
        OR(
            Data!$C$37=C311,
            MOD(C311,Data!$C$37)=0
        ),
        $D$8,
        G311*Data!$C$42
    ),
    IF(
        $H$6="PEM",
        IF(
            OR(
                Data!$H$37=C311,
                MOD(C311,Data!$H$37)=0
            ),
            $D$8,
            G311*Data!$H$42
        ),
        ""
    )
)</f>
        <v>924910710.11129808</v>
      </c>
      <c r="H312" s="76">
        <f t="shared" si="58"/>
        <v>2.2920183178010332</v>
      </c>
      <c r="I312" s="73">
        <f t="shared" si="59"/>
        <v>0</v>
      </c>
      <c r="J312" s="73">
        <f t="shared" si="66"/>
        <v>0</v>
      </c>
      <c r="K312" s="73">
        <f t="shared" si="65"/>
        <v>0</v>
      </c>
      <c r="L312" s="74">
        <f t="shared" si="62"/>
        <v>2119912289.9054565</v>
      </c>
    </row>
    <row r="313" spans="3:12" x14ac:dyDescent="0.35">
      <c r="C313" s="69">
        <v>18</v>
      </c>
      <c r="D313" s="75">
        <v>0</v>
      </c>
      <c r="E313" s="126">
        <f t="shared" si="63"/>
        <v>0</v>
      </c>
      <c r="F313" s="71">
        <f t="shared" si="64"/>
        <v>0</v>
      </c>
      <c r="G313" s="128">
        <f>IF(
    $H$6="Alkaline",
    IF(
        OR(
            Data!$C$37=C312,
            MOD(C312,Data!$C$37)=0
        ),
        $D$8,
        G312*Data!$C$42
    ),
    IF(
        $H$6="PEM",
        IF(
            OR(
                Data!$H$37=C312,
                MOD(C312,Data!$H$37)=0
            ),
            $D$8,
            G312*Data!$H$42
        ),
        ""
    )
)</f>
        <v>915661603.01018512</v>
      </c>
      <c r="H313" s="76">
        <f t="shared" si="58"/>
        <v>2.4066192336910848</v>
      </c>
      <c r="I313" s="73">
        <f t="shared" si="59"/>
        <v>0</v>
      </c>
      <c r="J313" s="73">
        <f t="shared" si="66"/>
        <v>0</v>
      </c>
      <c r="K313" s="73">
        <f t="shared" si="65"/>
        <v>0</v>
      </c>
      <c r="L313" s="74">
        <f t="shared" si="62"/>
        <v>2203648825.3567219</v>
      </c>
    </row>
    <row r="314" spans="3:12" x14ac:dyDescent="0.35">
      <c r="C314" s="69">
        <v>19</v>
      </c>
      <c r="D314" s="75">
        <v>0</v>
      </c>
      <c r="E314" s="126">
        <f t="shared" si="63"/>
        <v>0</v>
      </c>
      <c r="F314" s="71">
        <f t="shared" si="64"/>
        <v>0</v>
      </c>
      <c r="G314" s="128">
        <f>IF(
    $H$6="Alkaline",
    IF(
        OR(
            Data!$C$37=C313,
            MOD(C313,Data!$C$37)=0
        ),
        $D$8,
        G313*Data!$C$42
    ),
    IF(
        $H$6="PEM",
        IF(
            OR(
                Data!$H$37=C313,
                MOD(C313,Data!$H$37)=0
            ),
            $D$8,
            G313*Data!$H$42
        ),
        ""
    )
)</f>
        <v>906504986.98008323</v>
      </c>
      <c r="H314" s="76">
        <f t="shared" si="58"/>
        <v>2.526950195375639</v>
      </c>
      <c r="I314" s="73">
        <f t="shared" si="59"/>
        <v>0</v>
      </c>
      <c r="J314" s="73">
        <f t="shared" si="66"/>
        <v>0</v>
      </c>
      <c r="K314" s="73">
        <f t="shared" si="65"/>
        <v>0</v>
      </c>
      <c r="L314" s="74">
        <f t="shared" si="62"/>
        <v>2290692953.9583125</v>
      </c>
    </row>
    <row r="315" spans="3:12" x14ac:dyDescent="0.35">
      <c r="C315" s="69">
        <v>20</v>
      </c>
      <c r="D315" s="75">
        <v>0</v>
      </c>
      <c r="E315" s="126">
        <f t="shared" si="63"/>
        <v>0</v>
      </c>
      <c r="F315" s="71">
        <f t="shared" si="64"/>
        <v>0</v>
      </c>
      <c r="G315" s="128">
        <f>IF(
    $H$6="Alkaline",
    IF(
        OR(
            Data!$C$37=C314,
            MOD(C314,Data!$C$37)=0
        ),
        $D$8,
        G314*Data!$C$42
    ),
    IF(
        $H$6="PEM",
        IF(
            OR(
                Data!$H$37=C314,
                MOD(C314,Data!$H$37)=0
            ),
            $D$8,
            G314*Data!$H$42
        ),
        ""
    )
)</f>
        <v>897439937.11028242</v>
      </c>
      <c r="H315" s="76">
        <f t="shared" si="58"/>
        <v>2.6532977051444209</v>
      </c>
      <c r="I315" s="73">
        <f t="shared" si="59"/>
        <v>0</v>
      </c>
      <c r="J315" s="73">
        <f t="shared" si="66"/>
        <v>0</v>
      </c>
      <c r="K315" s="73">
        <f t="shared" si="65"/>
        <v>0</v>
      </c>
      <c r="L315" s="74">
        <f t="shared" si="62"/>
        <v>2381175325.6396656</v>
      </c>
    </row>
    <row r="316" spans="3:12" x14ac:dyDescent="0.35">
      <c r="C316" s="69">
        <v>21</v>
      </c>
      <c r="D316" s="75">
        <v>0</v>
      </c>
      <c r="E316" s="126">
        <f t="shared" si="63"/>
        <v>0</v>
      </c>
      <c r="F316" s="71">
        <f t="shared" si="64"/>
        <v>0</v>
      </c>
      <c r="G316" s="128">
        <f>IF(
    $H$6="Alkaline",
    IF(
        OR(
            Data!$C$37=C315,
            MOD(C315,Data!$C$37)=0
        ),
        $D$8,
        G315*Data!$C$42
    ),
    IF(
        $H$6="PEM",
        IF(
            OR(
                Data!$H$37=C315,
                MOD(C315,Data!$H$37)=0
            ),
            $D$8,
            G315*Data!$H$42
        ),
        ""
    )
)</f>
        <v>888465537.73917961</v>
      </c>
      <c r="H316" s="76">
        <f t="shared" si="58"/>
        <v>2.7859625904016418</v>
      </c>
      <c r="I316" s="73">
        <f t="shared" si="59"/>
        <v>0</v>
      </c>
      <c r="J316" s="73">
        <f t="shared" si="66"/>
        <v>0</v>
      </c>
      <c r="K316" s="73">
        <f t="shared" si="65"/>
        <v>0</v>
      </c>
      <c r="L316" s="74">
        <f t="shared" si="62"/>
        <v>2475231751.0024323</v>
      </c>
    </row>
    <row r="317" spans="3:12" x14ac:dyDescent="0.35">
      <c r="C317" s="69">
        <v>22</v>
      </c>
      <c r="D317" s="75">
        <v>0</v>
      </c>
      <c r="E317" s="126">
        <f t="shared" si="63"/>
        <v>0</v>
      </c>
      <c r="F317" s="71">
        <f t="shared" si="64"/>
        <v>0</v>
      </c>
      <c r="G317" s="128">
        <f>IF(
    $H$6="Alkaline",
    IF(
        OR(
            Data!$C$37=C316,
            MOD(C316,Data!$C$37)=0
        ),
        $D$8,
        G316*Data!$C$42
    ),
    IF(
        $H$6="PEM",
        IF(
            OR(
                Data!$H$37=C316,
                MOD(C316,Data!$H$37)=0
            ),
            $D$8,
            G316*Data!$H$42
        ),
        ""
    )
)</f>
        <v>943690143.97642899</v>
      </c>
      <c r="H317" s="76">
        <f t="shared" si="58"/>
        <v>2.9252607199217238</v>
      </c>
      <c r="I317" s="73">
        <f t="shared" si="59"/>
        <v>0</v>
      </c>
      <c r="J317" s="73">
        <f t="shared" si="66"/>
        <v>0</v>
      </c>
      <c r="K317" s="73">
        <f t="shared" si="65"/>
        <v>0</v>
      </c>
      <c r="L317" s="74">
        <f t="shared" si="62"/>
        <v>2760539709.9515238</v>
      </c>
    </row>
    <row r="318" spans="3:12" x14ac:dyDescent="0.35">
      <c r="C318" s="69">
        <v>23</v>
      </c>
      <c r="D318" s="75">
        <v>0</v>
      </c>
      <c r="E318" s="126">
        <f t="shared" si="63"/>
        <v>0</v>
      </c>
      <c r="F318" s="71">
        <f t="shared" si="64"/>
        <v>0</v>
      </c>
      <c r="G318" s="128">
        <f>IF(
    $H$6="Alkaline",
    IF(
        OR(
            Data!$C$37=C317,
            MOD(C317,Data!$C$37)=0
        ),
        $D$8,
        G317*Data!$C$42
    ),
    IF(
        $H$6="PEM",
        IF(
            OR(
                Data!$H$37=C317,
                MOD(C317,Data!$H$37)=0
            ),
            $D$8,
            G317*Data!$H$42
        ),
        ""
    )
)</f>
        <v>934253242.53666472</v>
      </c>
      <c r="H318" s="76">
        <f t="shared" si="58"/>
        <v>3.0715237559178106</v>
      </c>
      <c r="I318" s="73">
        <f t="shared" si="59"/>
        <v>0</v>
      </c>
      <c r="J318" s="73">
        <f t="shared" si="66"/>
        <v>0</v>
      </c>
      <c r="K318" s="73">
        <f t="shared" si="65"/>
        <v>0</v>
      </c>
      <c r="L318" s="74">
        <f t="shared" si="62"/>
        <v>2869581028.4946098</v>
      </c>
    </row>
    <row r="319" spans="3:12" x14ac:dyDescent="0.35">
      <c r="C319" s="69">
        <v>24</v>
      </c>
      <c r="D319" s="75">
        <v>0</v>
      </c>
      <c r="E319" s="126">
        <f t="shared" si="63"/>
        <v>0</v>
      </c>
      <c r="F319" s="71">
        <f t="shared" si="64"/>
        <v>0</v>
      </c>
      <c r="G319" s="128">
        <f>IF(
    $H$6="Alkaline",
    IF(
        OR(
            Data!$C$37=C318,
            MOD(C318,Data!$C$37)=0
        ),
        $D$8,
        G318*Data!$C$42
    ),
    IF(
        $H$6="PEM",
        IF(
            OR(
                Data!$H$37=C318,
                MOD(C318,Data!$H$37)=0
            ),
            $D$8,
            G318*Data!$H$42
        ),
        ""
    )
)</f>
        <v>924910710.11129808</v>
      </c>
      <c r="H319" s="76">
        <f t="shared" si="58"/>
        <v>3.2250999437137007</v>
      </c>
      <c r="I319" s="73">
        <f t="shared" si="59"/>
        <v>0</v>
      </c>
      <c r="J319" s="73">
        <f t="shared" si="66"/>
        <v>0</v>
      </c>
      <c r="K319" s="73">
        <f t="shared" si="65"/>
        <v>0</v>
      </c>
      <c r="L319" s="74">
        <f t="shared" si="62"/>
        <v>2982929479.1201463</v>
      </c>
    </row>
    <row r="320" spans="3:12" ht="15" thickBot="1" x14ac:dyDescent="0.4">
      <c r="C320" s="69">
        <v>25</v>
      </c>
      <c r="D320" s="75">
        <v>0</v>
      </c>
      <c r="E320" s="126">
        <f t="shared" si="63"/>
        <v>0</v>
      </c>
      <c r="F320" s="71">
        <f t="shared" si="64"/>
        <v>0</v>
      </c>
      <c r="G320" s="128">
        <f>IF(
    $H$6="Alkaline",
    IF(
        OR(
            Data!$C$37=C319,
            MOD(C319,Data!$C$37)=0
        ),
        $D$8,
        G319*Data!$C$42
    ),
    IF(
        $H$6="PEM",
        IF(
            OR(
                Data!$H$37=C319,
                MOD(C319,Data!$H$37)=0
            ),
            $D$8,
            G319*Data!$H$42
        ),
        ""
    )
)</f>
        <v>915661603.01018512</v>
      </c>
      <c r="H320" s="76">
        <f t="shared" si="58"/>
        <v>3.3863549408993858</v>
      </c>
      <c r="I320" s="73">
        <f t="shared" si="59"/>
        <v>0</v>
      </c>
      <c r="J320" s="73">
        <f t="shared" si="66"/>
        <v>0</v>
      </c>
      <c r="K320" s="73">
        <f t="shared" si="65"/>
        <v>0</v>
      </c>
      <c r="L320" s="74">
        <f t="shared" si="62"/>
        <v>3100755193.5453925</v>
      </c>
    </row>
    <row r="321" spans="1:13" ht="15" thickBot="1" x14ac:dyDescent="0.4">
      <c r="C321" s="70" t="s">
        <v>26</v>
      </c>
      <c r="D321" s="77">
        <f t="shared" ref="D321:K321" si="67">SUM(D295:D320)</f>
        <v>0</v>
      </c>
      <c r="E321" s="77">
        <f t="shared" si="67"/>
        <v>0</v>
      </c>
      <c r="F321" s="77">
        <f t="shared" si="67"/>
        <v>0</v>
      </c>
      <c r="G321" s="77">
        <f t="shared" si="67"/>
        <v>22951294184.026939</v>
      </c>
      <c r="H321" s="77">
        <f t="shared" si="67"/>
        <v>51.113453758887083</v>
      </c>
      <c r="I321" s="77">
        <f t="shared" si="67"/>
        <v>0</v>
      </c>
      <c r="J321" s="77">
        <f t="shared" si="67"/>
        <v>0</v>
      </c>
      <c r="K321" s="77">
        <f t="shared" si="67"/>
        <v>0</v>
      </c>
      <c r="L321" s="77">
        <f>SUM(L295:L320)</f>
        <v>45995618724.782455</v>
      </c>
    </row>
    <row r="323" spans="1:13" ht="15" thickBot="1" x14ac:dyDescent="0.4">
      <c r="A323">
        <v>7</v>
      </c>
      <c r="B323">
        <v>47</v>
      </c>
      <c r="C323" s="133" t="s">
        <v>141</v>
      </c>
    </row>
    <row r="324" spans="1:13" ht="19" thickBot="1" x14ac:dyDescent="0.5">
      <c r="C324" s="58" t="s">
        <v>15</v>
      </c>
      <c r="D324" s="58" t="s">
        <v>16</v>
      </c>
      <c r="E324" s="58" t="s">
        <v>17</v>
      </c>
      <c r="F324" s="58" t="s">
        <v>18</v>
      </c>
      <c r="G324" s="59" t="s">
        <v>19</v>
      </c>
      <c r="H324" s="58" t="s">
        <v>20</v>
      </c>
      <c r="I324" s="59" t="s">
        <v>21</v>
      </c>
      <c r="J324" s="58" t="s">
        <v>22</v>
      </c>
      <c r="K324" s="58" t="s">
        <v>23</v>
      </c>
      <c r="L324" s="58" t="s">
        <v>24</v>
      </c>
      <c r="M324" s="152" t="s">
        <v>253</v>
      </c>
    </row>
    <row r="325" spans="1:13" ht="18.5" x14ac:dyDescent="0.45">
      <c r="C325" s="68">
        <v>0</v>
      </c>
      <c r="D325" s="71">
        <f>$G$47</f>
        <v>331324468.51140499</v>
      </c>
      <c r="E325" s="71">
        <v>0</v>
      </c>
      <c r="F325" s="71">
        <v>0</v>
      </c>
      <c r="G325" s="127">
        <v>0</v>
      </c>
      <c r="H325" s="72">
        <f t="shared" ref="H325:H350" si="68">(1+$D$14)^$C325</f>
        <v>1</v>
      </c>
      <c r="I325" s="73">
        <f t="shared" ref="I325:I350" si="69">D325*$H325*(1+$D$15)^C325</f>
        <v>331324468.51140499</v>
      </c>
      <c r="J325" s="73">
        <f t="shared" ref="J325:J329" si="70">E325*$H325*(1+$D$15)^C325</f>
        <v>0</v>
      </c>
      <c r="K325" s="73">
        <f t="shared" ref="K325:K326" si="71">F325*$H325*(1+$D$15)^C325</f>
        <v>0</v>
      </c>
      <c r="L325" s="74">
        <f t="shared" ref="L325:L350" si="72">G325*$H325</f>
        <v>0</v>
      </c>
      <c r="M325" s="153">
        <f>(I351+J351+K351)/L351</f>
        <v>6.3262548728261328E-2</v>
      </c>
    </row>
    <row r="326" spans="1:13" x14ac:dyDescent="0.35">
      <c r="C326" s="69">
        <v>1</v>
      </c>
      <c r="D326" s="75">
        <v>0</v>
      </c>
      <c r="E326" s="126">
        <f>$K$47</f>
        <v>9939734.055342149</v>
      </c>
      <c r="F326" s="71">
        <f>(IF(MOD(C326,$H$47)=0,$J$47,0))</f>
        <v>0</v>
      </c>
      <c r="G326" s="128">
        <f>$D$8</f>
        <v>943690143.97642899</v>
      </c>
      <c r="H326" s="76">
        <f t="shared" si="68"/>
        <v>1.05</v>
      </c>
      <c r="I326" s="73">
        <f t="shared" si="69"/>
        <v>0</v>
      </c>
      <c r="J326" s="73">
        <f t="shared" si="70"/>
        <v>10749822.380852535</v>
      </c>
      <c r="K326" s="73">
        <f t="shared" si="71"/>
        <v>0</v>
      </c>
      <c r="L326" s="97">
        <f t="shared" si="72"/>
        <v>990874651.17525053</v>
      </c>
    </row>
    <row r="327" spans="1:13" x14ac:dyDescent="0.35">
      <c r="C327" s="69">
        <v>2</v>
      </c>
      <c r="D327" s="75">
        <v>0</v>
      </c>
      <c r="E327" s="126">
        <f t="shared" ref="E327:E350" si="73">$K$47</f>
        <v>9939734.055342149</v>
      </c>
      <c r="F327" s="71">
        <f>(IF(MOD(C326,$H$47)=0,$J$47,0))</f>
        <v>0</v>
      </c>
      <c r="G327" s="128">
        <f>IF(
    $H$6="Alkaline",
    IF(
        OR(
            Data!$C$37=C326,
            MOD(C326,Data!$C$37)=0
        ),
        $D$8,
        G326*Data!$C$42
    ),
    IF(
        $H$6="PEM",
        IF(
            OR(
                Data!$H$37=C326,
                MOD(C326,Data!$H$37)=0
            ),
            $D$8,
            G326*Data!$H$42
        ),
        ""
    )
)</f>
        <v>934253242.53666472</v>
      </c>
      <c r="H327" s="76">
        <f t="shared" si="68"/>
        <v>1.1025</v>
      </c>
      <c r="I327" s="73">
        <f t="shared" si="69"/>
        <v>0</v>
      </c>
      <c r="J327" s="73">
        <f t="shared" si="70"/>
        <v>11625932.904892014</v>
      </c>
      <c r="K327" s="73">
        <f>F327*$H327*(1+$D$15)^C327</f>
        <v>0</v>
      </c>
      <c r="L327" s="74">
        <f t="shared" si="72"/>
        <v>1030014199.8966728</v>
      </c>
    </row>
    <row r="328" spans="1:13" x14ac:dyDescent="0.35">
      <c r="C328" s="69">
        <v>3</v>
      </c>
      <c r="D328" s="75">
        <v>0</v>
      </c>
      <c r="E328" s="126">
        <f t="shared" si="73"/>
        <v>9939734.055342149</v>
      </c>
      <c r="F328" s="71">
        <f t="shared" ref="F328:F350" si="74">(IF(MOD(C327,$H$47)=0,$J$47,0))</f>
        <v>0</v>
      </c>
      <c r="G328" s="128">
        <f>IF(
    $H$6="Alkaline",
    IF(
        OR(
            Data!$C$37=C327,
            MOD(C327,Data!$C$37)=0
        ),
        $D$8,
        G327*Data!$C$42
    ),
    IF(
        $H$6="PEM",
        IF(
            OR(
                Data!$H$37=C327,
                MOD(C327,Data!$H$37)=0
            ),
            $D$8,
            G327*Data!$H$42
        ),
        ""
    )
)</f>
        <v>924910710.11129808</v>
      </c>
      <c r="H328" s="76">
        <f>(1+$D$14)^$C328</f>
        <v>1.1576250000000001</v>
      </c>
      <c r="I328" s="73">
        <f t="shared" si="69"/>
        <v>0</v>
      </c>
      <c r="J328" s="73">
        <f t="shared" si="70"/>
        <v>12573446.436640717</v>
      </c>
      <c r="K328" s="73">
        <f t="shared" ref="K328:K350" si="75">F328*$H328*(1+$D$15)^C328</f>
        <v>0</v>
      </c>
      <c r="L328" s="74">
        <f t="shared" si="72"/>
        <v>1070699760.7925916</v>
      </c>
    </row>
    <row r="329" spans="1:13" x14ac:dyDescent="0.35">
      <c r="C329" s="69">
        <v>4</v>
      </c>
      <c r="D329" s="75">
        <v>0</v>
      </c>
      <c r="E329" s="126">
        <f t="shared" si="73"/>
        <v>9939734.055342149</v>
      </c>
      <c r="F329" s="71">
        <f t="shared" si="74"/>
        <v>0</v>
      </c>
      <c r="G329" s="128">
        <f>IF(
    $H$6="Alkaline",
    IF(
        OR(
            Data!$C$37=C328,
            MOD(C328,Data!$C$37)=0
        ),
        $D$8,
        G328*Data!$C$42
    ),
    IF(
        $H$6="PEM",
        IF(
            OR(
                Data!$H$37=C328,
                MOD(C328,Data!$H$37)=0
            ),
            $D$8,
            G328*Data!$H$42
        ),
        ""
    )
)</f>
        <v>915661603.01018512</v>
      </c>
      <c r="H329" s="76">
        <f t="shared" si="68"/>
        <v>1.21550625</v>
      </c>
      <c r="I329" s="73">
        <f t="shared" si="69"/>
        <v>0</v>
      </c>
      <c r="J329" s="73">
        <f t="shared" si="70"/>
        <v>13598182.321226932</v>
      </c>
      <c r="K329" s="73">
        <f t="shared" si="75"/>
        <v>0</v>
      </c>
      <c r="L329" s="74">
        <f t="shared" si="72"/>
        <v>1112992401.3438988</v>
      </c>
    </row>
    <row r="330" spans="1:13" x14ac:dyDescent="0.35">
      <c r="C330" s="69">
        <v>5</v>
      </c>
      <c r="D330" s="75">
        <v>0</v>
      </c>
      <c r="E330" s="126">
        <f t="shared" si="73"/>
        <v>9939734.055342149</v>
      </c>
      <c r="F330" s="71">
        <f t="shared" si="74"/>
        <v>0</v>
      </c>
      <c r="G330" s="128">
        <f>IF(
    $H$6="Alkaline",
    IF(
        OR(
            Data!$C$37=C329,
            MOD(C329,Data!$C$37)=0
        ),
        $D$8,
        G329*Data!$C$42
    ),
    IF(
        $H$6="PEM",
        IF(
            OR(
                Data!$H$37=C329,
                MOD(C329,Data!$H$37)=0
            ),
            $D$8,
            G329*Data!$H$42
        ),
        ""
    )
)</f>
        <v>906504986.98008323</v>
      </c>
      <c r="H330" s="76">
        <f t="shared" si="68"/>
        <v>1.2762815625000001</v>
      </c>
      <c r="I330" s="73">
        <f t="shared" si="69"/>
        <v>0</v>
      </c>
      <c r="J330" s="73">
        <f>E330*$H330*(1+$D$15)^C330</f>
        <v>14706434.180406928</v>
      </c>
      <c r="K330" s="73">
        <f t="shared" si="75"/>
        <v>0</v>
      </c>
      <c r="L330" s="74">
        <f t="shared" si="72"/>
        <v>1156955601.1969829</v>
      </c>
    </row>
    <row r="331" spans="1:13" x14ac:dyDescent="0.35">
      <c r="C331" s="69">
        <v>6</v>
      </c>
      <c r="D331" s="75">
        <v>0</v>
      </c>
      <c r="E331" s="126">
        <f t="shared" si="73"/>
        <v>9939734.055342149</v>
      </c>
      <c r="F331" s="71">
        <f t="shared" si="74"/>
        <v>0</v>
      </c>
      <c r="G331" s="128">
        <f>IF(
    $H$6="Alkaline",
    IF(
        OR(
            Data!$C$37=C330,
            MOD(C330,Data!$C$37)=0
        ),
        $D$8,
        G330*Data!$C$42
    ),
    IF(
        $H$6="PEM",
        IF(
            OR(
                Data!$H$37=C330,
                MOD(C330,Data!$H$37)=0
            ),
            $D$8,
            G330*Data!$H$42
        ),
        ""
    )
)</f>
        <v>897439937.11028242</v>
      </c>
      <c r="H331" s="76">
        <f t="shared" si="68"/>
        <v>1.340095640625</v>
      </c>
      <c r="I331" s="73">
        <f t="shared" si="69"/>
        <v>0</v>
      </c>
      <c r="J331" s="73">
        <f t="shared" ref="J331:J350" si="76">E331*$H331*(1+$D$15)^C331</f>
        <v>15905008.566110093</v>
      </c>
      <c r="K331" s="73">
        <f t="shared" si="75"/>
        <v>0</v>
      </c>
      <c r="L331" s="74">
        <f t="shared" si="72"/>
        <v>1202655347.4442637</v>
      </c>
    </row>
    <row r="332" spans="1:13" x14ac:dyDescent="0.35">
      <c r="C332" s="69">
        <v>7</v>
      </c>
      <c r="D332" s="75">
        <v>0</v>
      </c>
      <c r="E332" s="126">
        <f t="shared" si="73"/>
        <v>9939734.055342149</v>
      </c>
      <c r="F332" s="71">
        <f t="shared" si="74"/>
        <v>0</v>
      </c>
      <c r="G332" s="128">
        <f>IF(
    $H$6="Alkaline",
    IF(
        OR(
            Data!$C$37=C331,
            MOD(C331,Data!$C$37)=0
        ),
        $D$8,
        G331*Data!$C$42
    ),
    IF(
        $H$6="PEM",
        IF(
            OR(
                Data!$H$37=C331,
                MOD(C331,Data!$H$37)=0
            ),
            $D$8,
            G331*Data!$H$42
        ),
        ""
    )
)</f>
        <v>888465537.73917961</v>
      </c>
      <c r="H332" s="76">
        <f t="shared" si="68"/>
        <v>1.4071004226562502</v>
      </c>
      <c r="I332" s="73">
        <f t="shared" si="69"/>
        <v>0</v>
      </c>
      <c r="J332" s="73">
        <f t="shared" si="76"/>
        <v>17201266.764248069</v>
      </c>
      <c r="K332" s="73">
        <f t="shared" si="75"/>
        <v>0</v>
      </c>
      <c r="L332" s="74">
        <f t="shared" si="72"/>
        <v>1250160233.6683123</v>
      </c>
    </row>
    <row r="333" spans="1:13" x14ac:dyDescent="0.35">
      <c r="C333" s="69">
        <v>8</v>
      </c>
      <c r="D333" s="75">
        <v>0</v>
      </c>
      <c r="E333" s="126">
        <f t="shared" si="73"/>
        <v>9939734.055342149</v>
      </c>
      <c r="F333" s="71">
        <f t="shared" si="74"/>
        <v>165662234.2557025</v>
      </c>
      <c r="G333" s="128">
        <f>IF(
    $H$6="Alkaline",
    IF(
        OR(
            Data!$C$37=C332,
            MOD(C332,Data!$C$37)=0
        ),
        $D$8,
        G332*Data!$C$42
    ),
    IF(
        $H$6="PEM",
        IF(
            OR(
                Data!$H$37=C332,
                MOD(C332,Data!$H$37)=0
            ),
            $D$8,
            G332*Data!$H$42
        ),
        ""
    )
)</f>
        <v>943690143.97642899</v>
      </c>
      <c r="H333" s="76">
        <f t="shared" si="68"/>
        <v>1.4774554437890626</v>
      </c>
      <c r="I333" s="73">
        <f t="shared" si="69"/>
        <v>0</v>
      </c>
      <c r="J333" s="73">
        <f t="shared" si="76"/>
        <v>18603170.00553428</v>
      </c>
      <c r="K333" s="73">
        <f t="shared" si="75"/>
        <v>310052833.42557138</v>
      </c>
      <c r="L333" s="74">
        <f t="shared" si="72"/>
        <v>1394260140.4680593</v>
      </c>
    </row>
    <row r="334" spans="1:13" x14ac:dyDescent="0.35">
      <c r="C334" s="69">
        <v>9</v>
      </c>
      <c r="D334" s="75">
        <v>0</v>
      </c>
      <c r="E334" s="126">
        <f t="shared" si="73"/>
        <v>9939734.055342149</v>
      </c>
      <c r="F334" s="71">
        <f t="shared" si="74"/>
        <v>0</v>
      </c>
      <c r="G334" s="128">
        <f>IF(
    $H$6="Alkaline",
    IF(
        OR(
            Data!$C$37=C333,
            MOD(C333,Data!$C$37)=0
        ),
        $D$8,
        G333*Data!$C$42
    ),
    IF(
        $H$6="PEM",
        IF(
            OR(
                Data!$H$37=C333,
                MOD(C333,Data!$H$37)=0
            ),
            $D$8,
            G333*Data!$H$42
        ),
        ""
    )
)</f>
        <v>934253242.53666472</v>
      </c>
      <c r="H334" s="76">
        <f t="shared" si="68"/>
        <v>1.5513282159785158</v>
      </c>
      <c r="I334" s="73">
        <f t="shared" si="69"/>
        <v>0</v>
      </c>
      <c r="J334" s="73">
        <f t="shared" si="76"/>
        <v>20119328.360985328</v>
      </c>
      <c r="K334" s="73">
        <f t="shared" si="75"/>
        <v>0</v>
      </c>
      <c r="L334" s="74">
        <f t="shared" si="72"/>
        <v>1449333416.0165477</v>
      </c>
    </row>
    <row r="335" spans="1:13" x14ac:dyDescent="0.35">
      <c r="C335" s="69">
        <v>10</v>
      </c>
      <c r="D335" s="75">
        <v>0</v>
      </c>
      <c r="E335" s="126">
        <f t="shared" si="73"/>
        <v>9939734.055342149</v>
      </c>
      <c r="F335" s="71">
        <f t="shared" si="74"/>
        <v>0</v>
      </c>
      <c r="G335" s="128">
        <f>IF(
    $H$6="Alkaline",
    IF(
        OR(
            Data!$C$37=C334,
            MOD(C334,Data!$C$37)=0
        ),
        $D$8,
        G334*Data!$C$42
    ),
    IF(
        $H$6="PEM",
        IF(
            OR(
                Data!$H$37=C334,
                MOD(C334,Data!$H$37)=0
            ),
            $D$8,
            G334*Data!$H$42
        ),
        ""
    )
)</f>
        <v>924910710.11129808</v>
      </c>
      <c r="H335" s="76">
        <f t="shared" si="68"/>
        <v>1.6288946267774416</v>
      </c>
      <c r="I335" s="73">
        <f t="shared" si="69"/>
        <v>0</v>
      </c>
      <c r="J335" s="73">
        <f t="shared" si="76"/>
        <v>21759053.62240563</v>
      </c>
      <c r="K335" s="73">
        <f t="shared" si="75"/>
        <v>0</v>
      </c>
      <c r="L335" s="74">
        <f t="shared" si="72"/>
        <v>1506582085.9492013</v>
      </c>
    </row>
    <row r="336" spans="1:13" x14ac:dyDescent="0.35">
      <c r="C336" s="69">
        <v>11</v>
      </c>
      <c r="D336" s="75">
        <v>0</v>
      </c>
      <c r="E336" s="126">
        <f t="shared" si="73"/>
        <v>9939734.055342149</v>
      </c>
      <c r="F336" s="71">
        <f t="shared" si="74"/>
        <v>0</v>
      </c>
      <c r="G336" s="128">
        <f>IF(
    $H$6="Alkaline",
    IF(
        OR(
            Data!$C$37=C335,
            MOD(C335,Data!$C$37)=0
        ),
        $D$8,
        G335*Data!$C$42
    ),
    IF(
        $H$6="PEM",
        IF(
            OR(
                Data!$H$37=C335,
                MOD(C335,Data!$H$37)=0
            ),
            $D$8,
            G335*Data!$H$42
        ),
        ""
    )
)</f>
        <v>915661603.01018512</v>
      </c>
      <c r="H336" s="76">
        <f t="shared" si="68"/>
        <v>1.7103393581163138</v>
      </c>
      <c r="I336" s="73">
        <f t="shared" si="69"/>
        <v>0</v>
      </c>
      <c r="J336" s="73">
        <f t="shared" si="76"/>
        <v>23532416.492631692</v>
      </c>
      <c r="K336" s="73">
        <f t="shared" si="75"/>
        <v>0</v>
      </c>
      <c r="L336" s="74">
        <f t="shared" si="72"/>
        <v>1566092078.3441949</v>
      </c>
    </row>
    <row r="337" spans="3:12" x14ac:dyDescent="0.35">
      <c r="C337" s="69">
        <v>12</v>
      </c>
      <c r="D337" s="75">
        <v>0</v>
      </c>
      <c r="E337" s="126">
        <f t="shared" si="73"/>
        <v>9939734.055342149</v>
      </c>
      <c r="F337" s="71">
        <f t="shared" si="74"/>
        <v>0</v>
      </c>
      <c r="G337" s="128">
        <f>IF(
    $H$6="Alkaline",
    IF(
        OR(
            Data!$C$37=C336,
            MOD(C336,Data!$C$37)=0
        ),
        $D$8,
        G336*Data!$C$42
    ),
    IF(
        $H$6="PEM",
        IF(
            OR(
                Data!$H$37=C336,
                MOD(C336,Data!$H$37)=0
            ),
            $D$8,
            G336*Data!$H$42
        ),
        ""
    )
)</f>
        <v>906504986.98008323</v>
      </c>
      <c r="H337" s="76">
        <f t="shared" si="68"/>
        <v>1.7958563260221292</v>
      </c>
      <c r="I337" s="73">
        <f t="shared" si="69"/>
        <v>0</v>
      </c>
      <c r="J337" s="73">
        <f t="shared" si="76"/>
        <v>25450308.436781164</v>
      </c>
      <c r="K337" s="73">
        <f t="shared" si="75"/>
        <v>0</v>
      </c>
      <c r="L337" s="74">
        <f t="shared" si="72"/>
        <v>1627952715.4387903</v>
      </c>
    </row>
    <row r="338" spans="3:12" x14ac:dyDescent="0.35">
      <c r="C338" s="69">
        <v>13</v>
      </c>
      <c r="D338" s="75">
        <v>0</v>
      </c>
      <c r="E338" s="126">
        <f t="shared" si="73"/>
        <v>9939734.055342149</v>
      </c>
      <c r="F338" s="71">
        <f t="shared" si="74"/>
        <v>0</v>
      </c>
      <c r="G338" s="128">
        <f>IF(
    $H$6="Alkaline",
    IF(
        OR(
            Data!$C$37=C337,
            MOD(C337,Data!$C$37)=0
        ),
        $D$8,
        G337*Data!$C$42
    ),
    IF(
        $H$6="PEM",
        IF(
            OR(
                Data!$H$37=C337,
                MOD(C337,Data!$H$37)=0
            ),
            $D$8,
            G337*Data!$H$42
        ),
        ""
    )
)</f>
        <v>897439937.11028242</v>
      </c>
      <c r="H338" s="76">
        <f t="shared" si="68"/>
        <v>1.885649142323236</v>
      </c>
      <c r="I338" s="73">
        <f t="shared" si="69"/>
        <v>0</v>
      </c>
      <c r="J338" s="73">
        <f t="shared" si="76"/>
        <v>27524508.574378837</v>
      </c>
      <c r="K338" s="73">
        <f t="shared" si="75"/>
        <v>0</v>
      </c>
      <c r="L338" s="74">
        <f t="shared" si="72"/>
        <v>1692256847.6986229</v>
      </c>
    </row>
    <row r="339" spans="3:12" x14ac:dyDescent="0.35">
      <c r="C339" s="69">
        <v>14</v>
      </c>
      <c r="D339" s="75">
        <v>0</v>
      </c>
      <c r="E339" s="126">
        <f t="shared" si="73"/>
        <v>9939734.055342149</v>
      </c>
      <c r="F339" s="71">
        <f t="shared" si="74"/>
        <v>0</v>
      </c>
      <c r="G339" s="128">
        <f>IF(
    $H$6="Alkaline",
    IF(
        OR(
            Data!$C$37=C338,
            MOD(C338,Data!$C$37)=0
        ),
        $D$8,
        G338*Data!$C$42
    ),
    IF(
        $H$6="PEM",
        IF(
            OR(
                Data!$H$37=C338,
                MOD(C338,Data!$H$37)=0
            ),
            $D$8,
            G338*Data!$H$42
        ),
        ""
    )
)</f>
        <v>888465537.73917961</v>
      </c>
      <c r="H339" s="76">
        <f t="shared" si="68"/>
        <v>1.9799315994393973</v>
      </c>
      <c r="I339" s="73">
        <f t="shared" si="69"/>
        <v>0</v>
      </c>
      <c r="J339" s="73">
        <f t="shared" si="76"/>
        <v>29767756.023190707</v>
      </c>
      <c r="K339" s="73">
        <f t="shared" si="75"/>
        <v>0</v>
      </c>
      <c r="L339" s="74">
        <f t="shared" si="72"/>
        <v>1759100993.182718</v>
      </c>
    </row>
    <row r="340" spans="3:12" x14ac:dyDescent="0.35">
      <c r="C340" s="69">
        <v>15</v>
      </c>
      <c r="D340" s="75">
        <v>0</v>
      </c>
      <c r="E340" s="126">
        <f t="shared" si="73"/>
        <v>9939734.055342149</v>
      </c>
      <c r="F340" s="71">
        <f t="shared" si="74"/>
        <v>165662234.2557025</v>
      </c>
      <c r="G340" s="128">
        <f>IF(
    $H$6="Alkaline",
    IF(
        OR(
            Data!$C$37=C339,
            MOD(C339,Data!$C$37)=0
        ),
        $D$8,
        G339*Data!$C$42
    ),
    IF(
        $H$6="PEM",
        IF(
            OR(
                Data!$H$37=C339,
                MOD(C339,Data!$H$37)=0
            ),
            $D$8,
            G339*Data!$H$42
        ),
        ""
    )
)</f>
        <v>943690143.97642899</v>
      </c>
      <c r="H340" s="76">
        <f t="shared" si="68"/>
        <v>2.0789281794113679</v>
      </c>
      <c r="I340" s="73">
        <f t="shared" si="69"/>
        <v>0</v>
      </c>
      <c r="J340" s="73">
        <f t="shared" si="76"/>
        <v>32193828.139080767</v>
      </c>
      <c r="K340" s="73">
        <f t="shared" si="75"/>
        <v>536563802.31801277</v>
      </c>
      <c r="L340" s="74">
        <f t="shared" si="72"/>
        <v>1961864032.9453692</v>
      </c>
    </row>
    <row r="341" spans="3:12" x14ac:dyDescent="0.35">
      <c r="C341" s="69">
        <v>16</v>
      </c>
      <c r="D341" s="75">
        <v>0</v>
      </c>
      <c r="E341" s="126">
        <f t="shared" si="73"/>
        <v>9939734.055342149</v>
      </c>
      <c r="F341" s="71">
        <f t="shared" si="74"/>
        <v>0</v>
      </c>
      <c r="G341" s="128">
        <f>IF(
    $H$6="Alkaline",
    IF(
        OR(
            Data!$C$37=C340,
            MOD(C340,Data!$C$37)=0
        ),
        $D$8,
        G340*Data!$C$42
    ),
    IF(
        $H$6="PEM",
        IF(
            OR(
                Data!$H$37=C340,
                MOD(C340,Data!$H$37)=0
            ),
            $D$8,
            G340*Data!$H$42
        ),
        ""
    )
)</f>
        <v>934253242.53666472</v>
      </c>
      <c r="H341" s="76">
        <f t="shared" si="68"/>
        <v>2.182874588381936</v>
      </c>
      <c r="I341" s="73">
        <f t="shared" si="69"/>
        <v>0</v>
      </c>
      <c r="J341" s="73">
        <f t="shared" si="76"/>
        <v>34817625.132415831</v>
      </c>
      <c r="K341" s="73">
        <f t="shared" si="75"/>
        <v>0</v>
      </c>
      <c r="L341" s="74">
        <f t="shared" si="72"/>
        <v>2039357662.246711</v>
      </c>
    </row>
    <row r="342" spans="3:12" x14ac:dyDescent="0.35">
      <c r="C342" s="69">
        <v>17</v>
      </c>
      <c r="D342" s="75">
        <v>0</v>
      </c>
      <c r="E342" s="126">
        <f t="shared" si="73"/>
        <v>9939734.055342149</v>
      </c>
      <c r="F342" s="71">
        <f t="shared" si="74"/>
        <v>0</v>
      </c>
      <c r="G342" s="128">
        <f>IF(
    $H$6="Alkaline",
    IF(
        OR(
            Data!$C$37=C341,
            MOD(C341,Data!$C$37)=0
        ),
        $D$8,
        G341*Data!$C$42
    ),
    IF(
        $H$6="PEM",
        IF(
            OR(
                Data!$H$37=C341,
                MOD(C341,Data!$H$37)=0
            ),
            $D$8,
            G341*Data!$H$42
        ),
        ""
    )
)</f>
        <v>924910710.11129808</v>
      </c>
      <c r="H342" s="76">
        <f t="shared" si="68"/>
        <v>2.2920183178010332</v>
      </c>
      <c r="I342" s="73">
        <f t="shared" si="69"/>
        <v>0</v>
      </c>
      <c r="J342" s="73">
        <f t="shared" si="76"/>
        <v>37655261.580707729</v>
      </c>
      <c r="K342" s="73">
        <f t="shared" si="75"/>
        <v>0</v>
      </c>
      <c r="L342" s="74">
        <f t="shared" si="72"/>
        <v>2119912289.9054565</v>
      </c>
    </row>
    <row r="343" spans="3:12" x14ac:dyDescent="0.35">
      <c r="C343" s="69">
        <v>18</v>
      </c>
      <c r="D343" s="75">
        <v>0</v>
      </c>
      <c r="E343" s="126">
        <f t="shared" si="73"/>
        <v>9939734.055342149</v>
      </c>
      <c r="F343" s="71">
        <f t="shared" si="74"/>
        <v>0</v>
      </c>
      <c r="G343" s="128">
        <f>IF(
    $H$6="Alkaline",
    IF(
        OR(
            Data!$C$37=C342,
            MOD(C342,Data!$C$37)=0
        ),
        $D$8,
        G342*Data!$C$42
    ),
    IF(
        $H$6="PEM",
        IF(
            OR(
                Data!$H$37=C342,
                MOD(C342,Data!$H$37)=0
            ),
            $D$8,
            G342*Data!$H$42
        ),
        ""
    )
)</f>
        <v>915661603.01018512</v>
      </c>
      <c r="H343" s="76">
        <f t="shared" si="68"/>
        <v>2.4066192336910848</v>
      </c>
      <c r="I343" s="73">
        <f t="shared" si="69"/>
        <v>0</v>
      </c>
      <c r="J343" s="73">
        <f t="shared" si="76"/>
        <v>40724165.39953541</v>
      </c>
      <c r="K343" s="73">
        <f t="shared" si="75"/>
        <v>0</v>
      </c>
      <c r="L343" s="74">
        <f t="shared" si="72"/>
        <v>2203648825.3567219</v>
      </c>
    </row>
    <row r="344" spans="3:12" x14ac:dyDescent="0.35">
      <c r="C344" s="69">
        <v>19</v>
      </c>
      <c r="D344" s="75">
        <v>0</v>
      </c>
      <c r="E344" s="126">
        <f t="shared" si="73"/>
        <v>9939734.055342149</v>
      </c>
      <c r="F344" s="71">
        <f t="shared" si="74"/>
        <v>0</v>
      </c>
      <c r="G344" s="128">
        <f>IF(
    $H$6="Alkaline",
    IF(
        OR(
            Data!$C$37=C343,
            MOD(C343,Data!$C$37)=0
        ),
        $D$8,
        G343*Data!$C$42
    ),
    IF(
        $H$6="PEM",
        IF(
            OR(
                Data!$H$37=C343,
                MOD(C343,Data!$H$37)=0
            ),
            $D$8,
            G343*Data!$H$42
        ),
        ""
    )
)</f>
        <v>906504986.98008323</v>
      </c>
      <c r="H344" s="76">
        <f t="shared" si="68"/>
        <v>2.526950195375639</v>
      </c>
      <c r="I344" s="73">
        <f t="shared" si="69"/>
        <v>0</v>
      </c>
      <c r="J344" s="73">
        <f t="shared" si="76"/>
        <v>44043184.879597545</v>
      </c>
      <c r="K344" s="73">
        <f t="shared" si="75"/>
        <v>0</v>
      </c>
      <c r="L344" s="74">
        <f t="shared" si="72"/>
        <v>2290692953.9583125</v>
      </c>
    </row>
    <row r="345" spans="3:12" x14ac:dyDescent="0.35">
      <c r="C345" s="69">
        <v>20</v>
      </c>
      <c r="D345" s="75">
        <v>0</v>
      </c>
      <c r="E345" s="126">
        <f t="shared" si="73"/>
        <v>9939734.055342149</v>
      </c>
      <c r="F345" s="71">
        <f t="shared" si="74"/>
        <v>0</v>
      </c>
      <c r="G345" s="128">
        <f>IF(
    $H$6="Alkaline",
    IF(
        OR(
            Data!$C$37=C344,
            MOD(C344,Data!$C$37)=0
        ),
        $D$8,
        G344*Data!$C$42
    ),
    IF(
        $H$6="PEM",
        IF(
            OR(
                Data!$H$37=C344,
                MOD(C344,Data!$H$37)=0
            ),
            $D$8,
            G344*Data!$H$42
        ),
        ""
    )
)</f>
        <v>897439937.11028242</v>
      </c>
      <c r="H345" s="76">
        <f t="shared" si="68"/>
        <v>2.6532977051444209</v>
      </c>
      <c r="I345" s="73">
        <f t="shared" si="69"/>
        <v>0</v>
      </c>
      <c r="J345" s="73">
        <f t="shared" si="76"/>
        <v>47632704.447284743</v>
      </c>
      <c r="K345" s="73">
        <f t="shared" si="75"/>
        <v>0</v>
      </c>
      <c r="L345" s="74">
        <f t="shared" si="72"/>
        <v>2381175325.6396656</v>
      </c>
    </row>
    <row r="346" spans="3:12" x14ac:dyDescent="0.35">
      <c r="C346" s="69">
        <v>21</v>
      </c>
      <c r="D346" s="75">
        <v>0</v>
      </c>
      <c r="E346" s="126">
        <f t="shared" si="73"/>
        <v>9939734.055342149</v>
      </c>
      <c r="F346" s="71">
        <f t="shared" si="74"/>
        <v>0</v>
      </c>
      <c r="G346" s="128">
        <f>IF(
    $H$6="Alkaline",
    IF(
        OR(
            Data!$C$37=C345,
            MOD(C345,Data!$C$37)=0
        ),
        $D$8,
        G345*Data!$C$42
    ),
    IF(
        $H$6="PEM",
        IF(
            OR(
                Data!$H$37=C345,
                MOD(C345,Data!$H$37)=0
            ),
            $D$8,
            G345*Data!$H$42
        ),
        ""
    )
)</f>
        <v>888465537.73917961</v>
      </c>
      <c r="H346" s="76">
        <f t="shared" si="68"/>
        <v>2.7859625904016418</v>
      </c>
      <c r="I346" s="73">
        <f t="shared" si="69"/>
        <v>0</v>
      </c>
      <c r="J346" s="73">
        <f t="shared" si="76"/>
        <v>51514769.859738439</v>
      </c>
      <c r="K346" s="73">
        <f t="shared" si="75"/>
        <v>0</v>
      </c>
      <c r="L346" s="74">
        <f t="shared" si="72"/>
        <v>2475231751.0024323</v>
      </c>
    </row>
    <row r="347" spans="3:12" x14ac:dyDescent="0.35">
      <c r="C347" s="69">
        <v>22</v>
      </c>
      <c r="D347" s="75">
        <v>0</v>
      </c>
      <c r="E347" s="126">
        <f t="shared" si="73"/>
        <v>9939734.055342149</v>
      </c>
      <c r="F347" s="71">
        <f t="shared" si="74"/>
        <v>165662234.2557025</v>
      </c>
      <c r="G347" s="128">
        <f>IF(
    $H$6="Alkaline",
    IF(
        OR(
            Data!$C$37=C346,
            MOD(C346,Data!$C$37)=0
        ),
        $D$8,
        G346*Data!$C$42
    ),
    IF(
        $H$6="PEM",
        IF(
            OR(
                Data!$H$37=C346,
                MOD(C346,Data!$H$37)=0
            ),
            $D$8,
            G346*Data!$H$42
        ),
        ""
    )
)</f>
        <v>943690143.97642899</v>
      </c>
      <c r="H347" s="76">
        <f t="shared" si="68"/>
        <v>2.9252607199217238</v>
      </c>
      <c r="I347" s="73">
        <f t="shared" si="69"/>
        <v>0</v>
      </c>
      <c r="J347" s="73">
        <f t="shared" si="76"/>
        <v>55713223.603307128</v>
      </c>
      <c r="K347" s="73">
        <f t="shared" si="75"/>
        <v>928553726.72178555</v>
      </c>
      <c r="L347" s="74">
        <f t="shared" si="72"/>
        <v>2760539709.9515238</v>
      </c>
    </row>
    <row r="348" spans="3:12" x14ac:dyDescent="0.35">
      <c r="C348" s="69">
        <v>23</v>
      </c>
      <c r="D348" s="75">
        <v>0</v>
      </c>
      <c r="E348" s="126">
        <f t="shared" si="73"/>
        <v>9939734.055342149</v>
      </c>
      <c r="F348" s="71">
        <f t="shared" si="74"/>
        <v>0</v>
      </c>
      <c r="G348" s="128">
        <f>IF(
    $H$6="Alkaline",
    IF(
        OR(
            Data!$C$37=C347,
            MOD(C347,Data!$C$37)=0
        ),
        $D$8,
        G347*Data!$C$42
    ),
    IF(
        $H$6="PEM",
        IF(
            OR(
                Data!$H$37=C347,
                MOD(C347,Data!$H$37)=0
            ),
            $D$8,
            G347*Data!$H$42
        ),
        ""
    )
)</f>
        <v>934253242.53666472</v>
      </c>
      <c r="H348" s="76">
        <f t="shared" si="68"/>
        <v>3.0715237559178106</v>
      </c>
      <c r="I348" s="73">
        <f t="shared" si="69"/>
        <v>0</v>
      </c>
      <c r="J348" s="73">
        <f t="shared" si="76"/>
        <v>60253851.326976672</v>
      </c>
      <c r="K348" s="73">
        <f t="shared" si="75"/>
        <v>0</v>
      </c>
      <c r="L348" s="74">
        <f t="shared" si="72"/>
        <v>2869581028.4946098</v>
      </c>
    </row>
    <row r="349" spans="3:12" x14ac:dyDescent="0.35">
      <c r="C349" s="69">
        <v>24</v>
      </c>
      <c r="D349" s="75">
        <v>0</v>
      </c>
      <c r="E349" s="126">
        <f t="shared" si="73"/>
        <v>9939734.055342149</v>
      </c>
      <c r="F349" s="71">
        <f t="shared" si="74"/>
        <v>0</v>
      </c>
      <c r="G349" s="128">
        <f>IF(
    $H$6="Alkaline",
    IF(
        OR(
            Data!$C$37=C348,
            MOD(C348,Data!$C$37)=0
        ),
        $D$8,
        G348*Data!$C$42
    ),
    IF(
        $H$6="PEM",
        IF(
            OR(
                Data!$H$37=C348,
                MOD(C348,Data!$H$37)=0
            ),
            $D$8,
            G348*Data!$H$42
        ),
        ""
    )
)</f>
        <v>924910710.11129808</v>
      </c>
      <c r="H349" s="76">
        <f t="shared" si="68"/>
        <v>3.2250999437137007</v>
      </c>
      <c r="I349" s="73">
        <f t="shared" si="69"/>
        <v>0</v>
      </c>
      <c r="J349" s="73">
        <f t="shared" si="76"/>
        <v>65164540.210125253</v>
      </c>
      <c r="K349" s="73">
        <f t="shared" si="75"/>
        <v>0</v>
      </c>
      <c r="L349" s="74">
        <f t="shared" si="72"/>
        <v>2982929479.1201463</v>
      </c>
    </row>
    <row r="350" spans="3:12" ht="15" thickBot="1" x14ac:dyDescent="0.4">
      <c r="C350" s="69">
        <v>25</v>
      </c>
      <c r="D350" s="75">
        <v>0</v>
      </c>
      <c r="E350" s="126">
        <f t="shared" si="73"/>
        <v>9939734.055342149</v>
      </c>
      <c r="F350" s="71">
        <f t="shared" si="74"/>
        <v>0</v>
      </c>
      <c r="G350" s="128">
        <f>IF(
    $H$6="Alkaline",
    IF(
        OR(
            Data!$C$37=C349,
            MOD(C349,Data!$C$37)=0
        ),
        $D$8,
        G349*Data!$C$42
    ),
    IF(
        $H$6="PEM",
        IF(
            OR(
                Data!$H$37=C349,
                MOD(C349,Data!$H$37)=0
            ),
            $D$8,
            G349*Data!$H$42
        ),
        ""
    )
)</f>
        <v>915661603.01018512</v>
      </c>
      <c r="H350" s="76">
        <f t="shared" si="68"/>
        <v>3.3863549408993858</v>
      </c>
      <c r="I350" s="73">
        <f t="shared" si="69"/>
        <v>0</v>
      </c>
      <c r="J350" s="73">
        <f t="shared" si="76"/>
        <v>70475450.237250462</v>
      </c>
      <c r="K350" s="73">
        <f t="shared" si="75"/>
        <v>0</v>
      </c>
      <c r="L350" s="74">
        <f t="shared" si="72"/>
        <v>3100755193.5453925</v>
      </c>
    </row>
    <row r="351" spans="3:12" ht="15" thickBot="1" x14ac:dyDescent="0.4">
      <c r="C351" s="70" t="s">
        <v>26</v>
      </c>
      <c r="D351" s="77">
        <f t="shared" ref="D351:K351" si="77">SUM(D325:D350)</f>
        <v>331324468.51140499</v>
      </c>
      <c r="E351" s="77">
        <f t="shared" si="77"/>
        <v>248493351.38355362</v>
      </c>
      <c r="F351" s="77">
        <f t="shared" si="77"/>
        <v>496986702.76710749</v>
      </c>
      <c r="G351" s="77">
        <f t="shared" si="77"/>
        <v>22951294184.026939</v>
      </c>
      <c r="H351" s="77">
        <f t="shared" si="77"/>
        <v>51.113453758887083</v>
      </c>
      <c r="I351" s="77">
        <f t="shared" si="77"/>
        <v>331324468.51140499</v>
      </c>
      <c r="J351" s="77">
        <f t="shared" si="77"/>
        <v>803305239.88630486</v>
      </c>
      <c r="K351" s="77">
        <f t="shared" si="77"/>
        <v>1775170362.4653697</v>
      </c>
      <c r="L351" s="77">
        <f>SUM(L325:L350)</f>
        <v>45995618724.782455</v>
      </c>
    </row>
    <row r="353" spans="1:13" ht="15" thickBot="1" x14ac:dyDescent="0.4">
      <c r="A353">
        <v>8</v>
      </c>
      <c r="B353">
        <v>51</v>
      </c>
      <c r="C353" s="133" t="s">
        <v>142</v>
      </c>
    </row>
    <row r="354" spans="1:13" ht="19" thickBot="1" x14ac:dyDescent="0.5">
      <c r="C354" s="58" t="s">
        <v>15</v>
      </c>
      <c r="D354" s="58" t="s">
        <v>16</v>
      </c>
      <c r="E354" s="58" t="s">
        <v>17</v>
      </c>
      <c r="F354" s="58" t="s">
        <v>18</v>
      </c>
      <c r="G354" s="59" t="s">
        <v>19</v>
      </c>
      <c r="H354" s="58" t="s">
        <v>20</v>
      </c>
      <c r="I354" s="59" t="s">
        <v>21</v>
      </c>
      <c r="J354" s="58" t="s">
        <v>22</v>
      </c>
      <c r="K354" s="58" t="s">
        <v>23</v>
      </c>
      <c r="L354" s="58" t="s">
        <v>24</v>
      </c>
      <c r="M354" s="152" t="s">
        <v>253</v>
      </c>
    </row>
    <row r="355" spans="1:13" ht="18.5" x14ac:dyDescent="0.45">
      <c r="C355" s="68">
        <v>0</v>
      </c>
      <c r="D355" s="71">
        <f>$G$51</f>
        <v>773090426.52661157</v>
      </c>
      <c r="E355" s="71">
        <v>0</v>
      </c>
      <c r="F355" s="71">
        <v>0</v>
      </c>
      <c r="G355" s="127">
        <v>0</v>
      </c>
      <c r="H355" s="72">
        <f t="shared" ref="H355:H380" si="78">(1+$D$14)^$C355</f>
        <v>1</v>
      </c>
      <c r="I355" s="73">
        <f t="shared" ref="I355:I380" si="79">D355*$H355*(1+$D$15)^C355</f>
        <v>773090426.52661157</v>
      </c>
      <c r="J355" s="73">
        <f t="shared" ref="J355:J359" si="80">E355*$H355*(1+$D$15)^C355</f>
        <v>0</v>
      </c>
      <c r="K355" s="73">
        <f t="shared" ref="K355:K356" si="81">F355*$H355*(1+$D$15)^C355</f>
        <v>0</v>
      </c>
      <c r="L355" s="74">
        <f t="shared" ref="L355:L380" si="82">G355*$H355</f>
        <v>0</v>
      </c>
      <c r="M355" s="153">
        <f>(I381+J381+K381)/L381</f>
        <v>0.14466972782417395</v>
      </c>
    </row>
    <row r="356" spans="1:13" x14ac:dyDescent="0.35">
      <c r="C356" s="69">
        <v>1</v>
      </c>
      <c r="D356" s="75">
        <v>0</v>
      </c>
      <c r="E356" s="126">
        <f>$K$51</f>
        <v>23192712.795798346</v>
      </c>
      <c r="F356" s="71">
        <f>(IF(MOD(C356,$H$51)=0,$J$51,0))</f>
        <v>0</v>
      </c>
      <c r="G356" s="128">
        <f>$D$8</f>
        <v>943690143.97642899</v>
      </c>
      <c r="H356" s="76">
        <f t="shared" si="78"/>
        <v>1.05</v>
      </c>
      <c r="I356" s="73">
        <f t="shared" si="79"/>
        <v>0</v>
      </c>
      <c r="J356" s="73">
        <f t="shared" si="80"/>
        <v>25082918.888655912</v>
      </c>
      <c r="K356" s="73">
        <f t="shared" si="81"/>
        <v>0</v>
      </c>
      <c r="L356" s="97">
        <f t="shared" si="82"/>
        <v>990874651.17525053</v>
      </c>
    </row>
    <row r="357" spans="1:13" x14ac:dyDescent="0.35">
      <c r="C357" s="69">
        <v>2</v>
      </c>
      <c r="D357" s="75">
        <v>0</v>
      </c>
      <c r="E357" s="126">
        <f t="shared" ref="E357:E380" si="83">$K$51</f>
        <v>23192712.795798346</v>
      </c>
      <c r="F357" s="71">
        <f>(IF(MOD(C356,$H$51)=0,$J$51,0))</f>
        <v>0</v>
      </c>
      <c r="G357" s="128">
        <f>IF(
    $H$6="Alkaline",
    IF(
        OR(
            Data!$C$37=C356,
            MOD(C356,Data!$C$37)=0
        ),
        $D$8,
        G356*Data!$C$42
    ),
    IF(
        $H$6="PEM",
        IF(
            OR(
                Data!$H$37=C356,
                MOD(C356,Data!$H$37)=0
            ),
            $D$8,
            G356*Data!$H$42
        ),
        ""
    )
)</f>
        <v>934253242.53666472</v>
      </c>
      <c r="H357" s="76">
        <f t="shared" si="78"/>
        <v>1.1025</v>
      </c>
      <c r="I357" s="73">
        <f t="shared" si="79"/>
        <v>0</v>
      </c>
      <c r="J357" s="73">
        <f t="shared" si="80"/>
        <v>27127176.778081369</v>
      </c>
      <c r="K357" s="73">
        <f>F357*$H357*(1+$D$15)^C357</f>
        <v>0</v>
      </c>
      <c r="L357" s="74">
        <f t="shared" si="82"/>
        <v>1030014199.8966728</v>
      </c>
    </row>
    <row r="358" spans="1:13" x14ac:dyDescent="0.35">
      <c r="C358" s="69">
        <v>3</v>
      </c>
      <c r="D358" s="75">
        <v>0</v>
      </c>
      <c r="E358" s="126">
        <f t="shared" si="83"/>
        <v>23192712.795798346</v>
      </c>
      <c r="F358" s="71">
        <f t="shared" ref="F358:F380" si="84">(IF(MOD(C357,$H$51)=0,$J$51,0))</f>
        <v>0</v>
      </c>
      <c r="G358" s="128">
        <f>IF(
    $H$6="Alkaline",
    IF(
        OR(
            Data!$C$37=C357,
            MOD(C357,Data!$C$37)=0
        ),
        $D$8,
        G357*Data!$C$42
    ),
    IF(
        $H$6="PEM",
        IF(
            OR(
                Data!$H$37=C357,
                MOD(C357,Data!$H$37)=0
            ),
            $D$8,
            G357*Data!$H$42
        ),
        ""
    )
)</f>
        <v>924910710.11129808</v>
      </c>
      <c r="H358" s="76">
        <f>(1+$D$14)^$C358</f>
        <v>1.1576250000000001</v>
      </c>
      <c r="I358" s="73">
        <f t="shared" si="79"/>
        <v>0</v>
      </c>
      <c r="J358" s="73">
        <f t="shared" si="80"/>
        <v>29338041.685495004</v>
      </c>
      <c r="K358" s="73">
        <f t="shared" ref="K358:K380" si="85">F358*$H358*(1+$D$15)^C358</f>
        <v>0</v>
      </c>
      <c r="L358" s="74">
        <f t="shared" si="82"/>
        <v>1070699760.7925916</v>
      </c>
    </row>
    <row r="359" spans="1:13" x14ac:dyDescent="0.35">
      <c r="C359" s="69">
        <v>4</v>
      </c>
      <c r="D359" s="75">
        <v>0</v>
      </c>
      <c r="E359" s="126">
        <f t="shared" si="83"/>
        <v>23192712.795798346</v>
      </c>
      <c r="F359" s="71">
        <f t="shared" si="84"/>
        <v>0</v>
      </c>
      <c r="G359" s="128">
        <f>IF(
    $H$6="Alkaline",
    IF(
        OR(
            Data!$C$37=C358,
            MOD(C358,Data!$C$37)=0
        ),
        $D$8,
        G358*Data!$C$42
    ),
    IF(
        $H$6="PEM",
        IF(
            OR(
                Data!$H$37=C358,
                MOD(C358,Data!$H$37)=0
            ),
            $D$8,
            G358*Data!$H$42
        ),
        ""
    )
)</f>
        <v>915661603.01018512</v>
      </c>
      <c r="H359" s="76">
        <f t="shared" si="78"/>
        <v>1.21550625</v>
      </c>
      <c r="I359" s="73">
        <f t="shared" si="79"/>
        <v>0</v>
      </c>
      <c r="J359" s="73">
        <f t="shared" si="80"/>
        <v>31729092.082862839</v>
      </c>
      <c r="K359" s="73">
        <f t="shared" si="85"/>
        <v>0</v>
      </c>
      <c r="L359" s="74">
        <f t="shared" si="82"/>
        <v>1112992401.3438988</v>
      </c>
    </row>
    <row r="360" spans="1:13" x14ac:dyDescent="0.35">
      <c r="C360" s="69">
        <v>5</v>
      </c>
      <c r="D360" s="75">
        <v>0</v>
      </c>
      <c r="E360" s="126">
        <f t="shared" si="83"/>
        <v>23192712.795798346</v>
      </c>
      <c r="F360" s="71">
        <f t="shared" si="84"/>
        <v>0</v>
      </c>
      <c r="G360" s="128">
        <f>IF(
    $H$6="Alkaline",
    IF(
        OR(
            Data!$C$37=C359,
            MOD(C359,Data!$C$37)=0
        ),
        $D$8,
        G359*Data!$C$42
    ),
    IF(
        $H$6="PEM",
        IF(
            OR(
                Data!$H$37=C359,
                MOD(C359,Data!$H$37)=0
            ),
            $D$8,
            G359*Data!$H$42
        ),
        ""
    )
)</f>
        <v>906504986.98008323</v>
      </c>
      <c r="H360" s="76">
        <f t="shared" si="78"/>
        <v>1.2762815625000001</v>
      </c>
      <c r="I360" s="73">
        <f t="shared" si="79"/>
        <v>0</v>
      </c>
      <c r="J360" s="73">
        <f>E360*$H360*(1+$D$15)^C360</f>
        <v>34315013.087616161</v>
      </c>
      <c r="K360" s="73">
        <f t="shared" si="85"/>
        <v>0</v>
      </c>
      <c r="L360" s="74">
        <f t="shared" si="82"/>
        <v>1156955601.1969829</v>
      </c>
    </row>
    <row r="361" spans="1:13" x14ac:dyDescent="0.35">
      <c r="C361" s="69">
        <v>6</v>
      </c>
      <c r="D361" s="75">
        <v>0</v>
      </c>
      <c r="E361" s="126">
        <f t="shared" si="83"/>
        <v>23192712.795798346</v>
      </c>
      <c r="F361" s="71">
        <f t="shared" si="84"/>
        <v>0</v>
      </c>
      <c r="G361" s="128">
        <f>IF(
    $H$6="Alkaline",
    IF(
        OR(
            Data!$C$37=C360,
            MOD(C360,Data!$C$37)=0
        ),
        $D$8,
        G360*Data!$C$42
    ),
    IF(
        $H$6="PEM",
        IF(
            OR(
                Data!$H$37=C360,
                MOD(C360,Data!$H$37)=0
            ),
            $D$8,
            G360*Data!$H$42
        ),
        ""
    )
)</f>
        <v>897439937.11028242</v>
      </c>
      <c r="H361" s="76">
        <f t="shared" si="78"/>
        <v>1.340095640625</v>
      </c>
      <c r="I361" s="73">
        <f t="shared" si="79"/>
        <v>0</v>
      </c>
      <c r="J361" s="73">
        <f t="shared" ref="J361:J380" si="86">E361*$H361*(1+$D$15)^C361</f>
        <v>37111686.65425688</v>
      </c>
      <c r="K361" s="73">
        <f t="shared" si="85"/>
        <v>0</v>
      </c>
      <c r="L361" s="74">
        <f t="shared" si="82"/>
        <v>1202655347.4442637</v>
      </c>
    </row>
    <row r="362" spans="1:13" x14ac:dyDescent="0.35">
      <c r="C362" s="69">
        <v>7</v>
      </c>
      <c r="D362" s="75">
        <v>0</v>
      </c>
      <c r="E362" s="126">
        <f t="shared" si="83"/>
        <v>23192712.795798346</v>
      </c>
      <c r="F362" s="71">
        <f t="shared" si="84"/>
        <v>0</v>
      </c>
      <c r="G362" s="128">
        <f>IF(
    $H$6="Alkaline",
    IF(
        OR(
            Data!$C$37=C361,
            MOD(C361,Data!$C$37)=0
        ),
        $D$8,
        G361*Data!$C$42
    ),
    IF(
        $H$6="PEM",
        IF(
            OR(
                Data!$H$37=C361,
                MOD(C361,Data!$H$37)=0
            ),
            $D$8,
            G361*Data!$H$42
        ),
        ""
    )
)</f>
        <v>888465537.73917961</v>
      </c>
      <c r="H362" s="76">
        <f t="shared" si="78"/>
        <v>1.4071004226562502</v>
      </c>
      <c r="I362" s="73">
        <f t="shared" si="79"/>
        <v>0</v>
      </c>
      <c r="J362" s="73">
        <f t="shared" si="86"/>
        <v>40136289.116578825</v>
      </c>
      <c r="K362" s="73">
        <f t="shared" si="85"/>
        <v>0</v>
      </c>
      <c r="L362" s="74">
        <f t="shared" si="82"/>
        <v>1250160233.6683123</v>
      </c>
    </row>
    <row r="363" spans="1:13" x14ac:dyDescent="0.35">
      <c r="C363" s="69">
        <v>8</v>
      </c>
      <c r="D363" s="75">
        <v>0</v>
      </c>
      <c r="E363" s="126">
        <f t="shared" si="83"/>
        <v>23192712.795798346</v>
      </c>
      <c r="F363" s="71">
        <f t="shared" si="84"/>
        <v>0</v>
      </c>
      <c r="G363" s="128">
        <f>IF(
    $H$6="Alkaline",
    IF(
        OR(
            Data!$C$37=C362,
            MOD(C362,Data!$C$37)=0
        ),
        $D$8,
        G362*Data!$C$42
    ),
    IF(
        $H$6="PEM",
        IF(
            OR(
                Data!$H$37=C362,
                MOD(C362,Data!$H$37)=0
            ),
            $D$8,
            G362*Data!$H$42
        ),
        ""
    )
)</f>
        <v>943690143.97642899</v>
      </c>
      <c r="H363" s="76">
        <f t="shared" si="78"/>
        <v>1.4774554437890626</v>
      </c>
      <c r="I363" s="73">
        <f t="shared" si="79"/>
        <v>0</v>
      </c>
      <c r="J363" s="73">
        <f t="shared" si="86"/>
        <v>43407396.679579988</v>
      </c>
      <c r="K363" s="73">
        <f t="shared" si="85"/>
        <v>0</v>
      </c>
      <c r="L363" s="74">
        <f t="shared" si="82"/>
        <v>1394260140.4680593</v>
      </c>
    </row>
    <row r="364" spans="1:13" x14ac:dyDescent="0.35">
      <c r="C364" s="69">
        <v>9</v>
      </c>
      <c r="D364" s="75">
        <v>0</v>
      </c>
      <c r="E364" s="126">
        <f t="shared" si="83"/>
        <v>23192712.795798346</v>
      </c>
      <c r="F364" s="71">
        <f t="shared" si="84"/>
        <v>0</v>
      </c>
      <c r="G364" s="128">
        <f>IF(
    $H$6="Alkaline",
    IF(
        OR(
            Data!$C$37=C363,
            MOD(C363,Data!$C$37)=0
        ),
        $D$8,
        G363*Data!$C$42
    ),
    IF(
        $H$6="PEM",
        IF(
            OR(
                Data!$H$37=C363,
                MOD(C363,Data!$H$37)=0
            ),
            $D$8,
            G363*Data!$H$42
        ),
        ""
    )
)</f>
        <v>934253242.53666472</v>
      </c>
      <c r="H364" s="76">
        <f t="shared" si="78"/>
        <v>1.5513282159785158</v>
      </c>
      <c r="I364" s="73">
        <f t="shared" si="79"/>
        <v>0</v>
      </c>
      <c r="J364" s="73">
        <f t="shared" si="86"/>
        <v>46945099.50896576</v>
      </c>
      <c r="K364" s="73">
        <f t="shared" si="85"/>
        <v>0</v>
      </c>
      <c r="L364" s="74">
        <f t="shared" si="82"/>
        <v>1449333416.0165477</v>
      </c>
    </row>
    <row r="365" spans="1:13" x14ac:dyDescent="0.35">
      <c r="C365" s="69">
        <v>10</v>
      </c>
      <c r="D365" s="75">
        <v>0</v>
      </c>
      <c r="E365" s="126">
        <f t="shared" si="83"/>
        <v>23192712.795798346</v>
      </c>
      <c r="F365" s="71">
        <f t="shared" si="84"/>
        <v>0</v>
      </c>
      <c r="G365" s="128">
        <f>IF(
    $H$6="Alkaline",
    IF(
        OR(
            Data!$C$37=C364,
            MOD(C364,Data!$C$37)=0
        ),
        $D$8,
        G364*Data!$C$42
    ),
    IF(
        $H$6="PEM",
        IF(
            OR(
                Data!$H$37=C364,
                MOD(C364,Data!$H$37)=0
            ),
            $D$8,
            G364*Data!$H$42
        ),
        ""
    )
)</f>
        <v>924910710.11129808</v>
      </c>
      <c r="H365" s="76">
        <f t="shared" si="78"/>
        <v>1.6288946267774416</v>
      </c>
      <c r="I365" s="73">
        <f t="shared" si="79"/>
        <v>0</v>
      </c>
      <c r="J365" s="73">
        <f t="shared" si="86"/>
        <v>50771125.11894647</v>
      </c>
      <c r="K365" s="73">
        <f t="shared" si="85"/>
        <v>0</v>
      </c>
      <c r="L365" s="74">
        <f t="shared" si="82"/>
        <v>1506582085.9492013</v>
      </c>
    </row>
    <row r="366" spans="1:13" x14ac:dyDescent="0.35">
      <c r="C366" s="69">
        <v>11</v>
      </c>
      <c r="D366" s="75">
        <v>0</v>
      </c>
      <c r="E366" s="126">
        <f t="shared" si="83"/>
        <v>23192712.795798346</v>
      </c>
      <c r="F366" s="71">
        <f t="shared" si="84"/>
        <v>0</v>
      </c>
      <c r="G366" s="128">
        <f>IF(
    $H$6="Alkaline",
    IF(
        OR(
            Data!$C$37=C365,
            MOD(C365,Data!$C$37)=0
        ),
        $D$8,
        G365*Data!$C$42
    ),
    IF(
        $H$6="PEM",
        IF(
            OR(
                Data!$H$37=C365,
                MOD(C365,Data!$H$37)=0
            ),
            $D$8,
            G365*Data!$H$42
        ),
        ""
    )
)</f>
        <v>915661603.01018512</v>
      </c>
      <c r="H366" s="76">
        <f t="shared" si="78"/>
        <v>1.7103393581163138</v>
      </c>
      <c r="I366" s="73">
        <f t="shared" si="79"/>
        <v>0</v>
      </c>
      <c r="J366" s="73">
        <f t="shared" si="86"/>
        <v>54908971.816140607</v>
      </c>
      <c r="K366" s="73">
        <f t="shared" si="85"/>
        <v>0</v>
      </c>
      <c r="L366" s="74">
        <f t="shared" si="82"/>
        <v>1566092078.3441949</v>
      </c>
    </row>
    <row r="367" spans="1:13" x14ac:dyDescent="0.35">
      <c r="C367" s="69">
        <v>12</v>
      </c>
      <c r="D367" s="75">
        <v>0</v>
      </c>
      <c r="E367" s="126">
        <f t="shared" si="83"/>
        <v>23192712.795798346</v>
      </c>
      <c r="F367" s="71">
        <f t="shared" si="84"/>
        <v>0</v>
      </c>
      <c r="G367" s="128">
        <f>IF(
    $H$6="Alkaline",
    IF(
        OR(
            Data!$C$37=C366,
            MOD(C366,Data!$C$37)=0
        ),
        $D$8,
        G366*Data!$C$42
    ),
    IF(
        $H$6="PEM",
        IF(
            OR(
                Data!$H$37=C366,
                MOD(C366,Data!$H$37)=0
            ),
            $D$8,
            G366*Data!$H$42
        ),
        ""
    )
)</f>
        <v>906504986.98008323</v>
      </c>
      <c r="H367" s="76">
        <f t="shared" si="78"/>
        <v>1.7958563260221292</v>
      </c>
      <c r="I367" s="73">
        <f t="shared" si="79"/>
        <v>0</v>
      </c>
      <c r="J367" s="73">
        <f t="shared" si="86"/>
        <v>59384053.019156054</v>
      </c>
      <c r="K367" s="73">
        <f t="shared" si="85"/>
        <v>0</v>
      </c>
      <c r="L367" s="74">
        <f t="shared" si="82"/>
        <v>1627952715.4387903</v>
      </c>
    </row>
    <row r="368" spans="1:13" x14ac:dyDescent="0.35">
      <c r="C368" s="69">
        <v>13</v>
      </c>
      <c r="D368" s="75">
        <v>0</v>
      </c>
      <c r="E368" s="126">
        <f t="shared" si="83"/>
        <v>23192712.795798346</v>
      </c>
      <c r="F368" s="71">
        <f t="shared" si="84"/>
        <v>0</v>
      </c>
      <c r="G368" s="128">
        <f>IF(
    $H$6="Alkaline",
    IF(
        OR(
            Data!$C$37=C367,
            MOD(C367,Data!$C$37)=0
        ),
        $D$8,
        G367*Data!$C$42
    ),
    IF(
        $H$6="PEM",
        IF(
            OR(
                Data!$H$37=C367,
                MOD(C367,Data!$H$37)=0
            ),
            $D$8,
            G367*Data!$H$42
        ),
        ""
    )
)</f>
        <v>897439937.11028242</v>
      </c>
      <c r="H368" s="76">
        <f t="shared" si="78"/>
        <v>1.885649142323236</v>
      </c>
      <c r="I368" s="73">
        <f t="shared" si="79"/>
        <v>0</v>
      </c>
      <c r="J368" s="73">
        <f t="shared" si="86"/>
        <v>64223853.340217285</v>
      </c>
      <c r="K368" s="73">
        <f t="shared" si="85"/>
        <v>0</v>
      </c>
      <c r="L368" s="74">
        <f t="shared" si="82"/>
        <v>1692256847.6986229</v>
      </c>
    </row>
    <row r="369" spans="1:13" x14ac:dyDescent="0.35">
      <c r="C369" s="69">
        <v>14</v>
      </c>
      <c r="D369" s="75">
        <v>0</v>
      </c>
      <c r="E369" s="126">
        <f t="shared" si="83"/>
        <v>23192712.795798346</v>
      </c>
      <c r="F369" s="71">
        <f t="shared" si="84"/>
        <v>0</v>
      </c>
      <c r="G369" s="128">
        <f>IF(
    $H$6="Alkaline",
    IF(
        OR(
            Data!$C$37=C368,
            MOD(C368,Data!$C$37)=0
        ),
        $D$8,
        G368*Data!$C$42
    ),
    IF(
        $H$6="PEM",
        IF(
            OR(
                Data!$H$37=C368,
                MOD(C368,Data!$H$37)=0
            ),
            $D$8,
            G368*Data!$H$42
        ),
        ""
    )
)</f>
        <v>888465537.73917961</v>
      </c>
      <c r="H369" s="76">
        <f t="shared" si="78"/>
        <v>1.9799315994393973</v>
      </c>
      <c r="I369" s="73">
        <f t="shared" si="79"/>
        <v>0</v>
      </c>
      <c r="J369" s="73">
        <f t="shared" si="86"/>
        <v>69458097.387444988</v>
      </c>
      <c r="K369" s="73">
        <f t="shared" si="85"/>
        <v>0</v>
      </c>
      <c r="L369" s="74">
        <f t="shared" si="82"/>
        <v>1759100993.182718</v>
      </c>
    </row>
    <row r="370" spans="1:13" x14ac:dyDescent="0.35">
      <c r="C370" s="69">
        <v>15</v>
      </c>
      <c r="D370" s="75">
        <v>0</v>
      </c>
      <c r="E370" s="126">
        <f t="shared" si="83"/>
        <v>23192712.795798346</v>
      </c>
      <c r="F370" s="71">
        <f t="shared" si="84"/>
        <v>0</v>
      </c>
      <c r="G370" s="128">
        <f>IF(
    $H$6="Alkaline",
    IF(
        OR(
            Data!$C$37=C369,
            MOD(C369,Data!$C$37)=0
        ),
        $D$8,
        G369*Data!$C$42
    ),
    IF(
        $H$6="PEM",
        IF(
            OR(
                Data!$H$37=C369,
                MOD(C369,Data!$H$37)=0
            ),
            $D$8,
            G369*Data!$H$42
        ),
        ""
    )
)</f>
        <v>943690143.97642899</v>
      </c>
      <c r="H370" s="76">
        <f t="shared" si="78"/>
        <v>2.0789281794113679</v>
      </c>
      <c r="I370" s="73">
        <f t="shared" si="79"/>
        <v>0</v>
      </c>
      <c r="J370" s="73">
        <f t="shared" si="86"/>
        <v>75118932.32452178</v>
      </c>
      <c r="K370" s="73">
        <f t="shared" si="85"/>
        <v>0</v>
      </c>
      <c r="L370" s="74">
        <f t="shared" si="82"/>
        <v>1961864032.9453692</v>
      </c>
    </row>
    <row r="371" spans="1:13" x14ac:dyDescent="0.35">
      <c r="C371" s="69">
        <v>16</v>
      </c>
      <c r="D371" s="75">
        <v>0</v>
      </c>
      <c r="E371" s="126">
        <f t="shared" si="83"/>
        <v>23192712.795798346</v>
      </c>
      <c r="F371" s="71">
        <f t="shared" si="84"/>
        <v>0</v>
      </c>
      <c r="G371" s="128">
        <f>IF(
    $H$6="Alkaline",
    IF(
        OR(
            Data!$C$37=C370,
            MOD(C370,Data!$C$37)=0
        ),
        $D$8,
        G370*Data!$C$42
    ),
    IF(
        $H$6="PEM",
        IF(
            OR(
                Data!$H$37=C370,
                MOD(C370,Data!$H$37)=0
            ),
            $D$8,
            G370*Data!$H$42
        ),
        ""
    )
)</f>
        <v>934253242.53666472</v>
      </c>
      <c r="H371" s="76">
        <f t="shared" si="78"/>
        <v>2.182874588381936</v>
      </c>
      <c r="I371" s="73">
        <f t="shared" si="79"/>
        <v>0</v>
      </c>
      <c r="J371" s="73">
        <f t="shared" si="86"/>
        <v>81241125.308970273</v>
      </c>
      <c r="K371" s="73">
        <f t="shared" si="85"/>
        <v>0</v>
      </c>
      <c r="L371" s="74">
        <f t="shared" si="82"/>
        <v>2039357662.246711</v>
      </c>
    </row>
    <row r="372" spans="1:13" x14ac:dyDescent="0.35">
      <c r="C372" s="69">
        <v>17</v>
      </c>
      <c r="D372" s="75">
        <v>0</v>
      </c>
      <c r="E372" s="126">
        <f t="shared" si="83"/>
        <v>23192712.795798346</v>
      </c>
      <c r="F372" s="71">
        <f t="shared" si="84"/>
        <v>0</v>
      </c>
      <c r="G372" s="128">
        <f>IF(
    $H$6="Alkaline",
    IF(
        OR(
            Data!$C$37=C371,
            MOD(C371,Data!$C$37)=0
        ),
        $D$8,
        G371*Data!$C$42
    ),
    IF(
        $H$6="PEM",
        IF(
            OR(
                Data!$H$37=C371,
                MOD(C371,Data!$H$37)=0
            ),
            $D$8,
            G371*Data!$H$42
        ),
        ""
    )
)</f>
        <v>924910710.11129808</v>
      </c>
      <c r="H372" s="76">
        <f t="shared" si="78"/>
        <v>2.2920183178010332</v>
      </c>
      <c r="I372" s="73">
        <f t="shared" si="79"/>
        <v>0</v>
      </c>
      <c r="J372" s="73">
        <f t="shared" si="86"/>
        <v>87862277.021651372</v>
      </c>
      <c r="K372" s="73">
        <f t="shared" si="85"/>
        <v>0</v>
      </c>
      <c r="L372" s="74">
        <f t="shared" si="82"/>
        <v>2119912289.9054565</v>
      </c>
    </row>
    <row r="373" spans="1:13" x14ac:dyDescent="0.35">
      <c r="C373" s="69">
        <v>18</v>
      </c>
      <c r="D373" s="75">
        <v>0</v>
      </c>
      <c r="E373" s="126">
        <f t="shared" si="83"/>
        <v>23192712.795798346</v>
      </c>
      <c r="F373" s="71">
        <f t="shared" si="84"/>
        <v>0</v>
      </c>
      <c r="G373" s="128">
        <f>IF(
    $H$6="Alkaline",
    IF(
        OR(
            Data!$C$37=C372,
            MOD(C372,Data!$C$37)=0
        ),
        $D$8,
        G372*Data!$C$42
    ),
    IF(
        $H$6="PEM",
        IF(
            OR(
                Data!$H$37=C372,
                MOD(C372,Data!$H$37)=0
            ),
            $D$8,
            G372*Data!$H$42
        ),
        ""
    )
)</f>
        <v>915661603.01018512</v>
      </c>
      <c r="H373" s="76">
        <f t="shared" si="78"/>
        <v>2.4066192336910848</v>
      </c>
      <c r="I373" s="73">
        <f t="shared" si="79"/>
        <v>0</v>
      </c>
      <c r="J373" s="73">
        <f t="shared" si="86"/>
        <v>95023052.598915949</v>
      </c>
      <c r="K373" s="73">
        <f t="shared" si="85"/>
        <v>0</v>
      </c>
      <c r="L373" s="74">
        <f t="shared" si="82"/>
        <v>2203648825.3567219</v>
      </c>
    </row>
    <row r="374" spans="1:13" x14ac:dyDescent="0.35">
      <c r="C374" s="69">
        <v>19</v>
      </c>
      <c r="D374" s="75">
        <v>0</v>
      </c>
      <c r="E374" s="126">
        <f t="shared" si="83"/>
        <v>23192712.795798346</v>
      </c>
      <c r="F374" s="71">
        <f t="shared" si="84"/>
        <v>0</v>
      </c>
      <c r="G374" s="128">
        <f>IF(
    $H$6="Alkaline",
    IF(
        OR(
            Data!$C$37=C373,
            MOD(C373,Data!$C$37)=0
        ),
        $D$8,
        G373*Data!$C$42
    ),
    IF(
        $H$6="PEM",
        IF(
            OR(
                Data!$H$37=C373,
                MOD(C373,Data!$H$37)=0
            ),
            $D$8,
            G373*Data!$H$42
        ),
        ""
    )
)</f>
        <v>906504986.98008323</v>
      </c>
      <c r="H374" s="76">
        <f t="shared" si="78"/>
        <v>2.526950195375639</v>
      </c>
      <c r="I374" s="73">
        <f t="shared" si="79"/>
        <v>0</v>
      </c>
      <c r="J374" s="73">
        <f t="shared" si="86"/>
        <v>102767431.3857276</v>
      </c>
      <c r="K374" s="73">
        <f t="shared" si="85"/>
        <v>0</v>
      </c>
      <c r="L374" s="74">
        <f t="shared" si="82"/>
        <v>2290692953.9583125</v>
      </c>
    </row>
    <row r="375" spans="1:13" x14ac:dyDescent="0.35">
      <c r="C375" s="69">
        <v>20</v>
      </c>
      <c r="D375" s="75">
        <v>0</v>
      </c>
      <c r="E375" s="126">
        <f t="shared" si="83"/>
        <v>23192712.795798346</v>
      </c>
      <c r="F375" s="71">
        <f t="shared" si="84"/>
        <v>0</v>
      </c>
      <c r="G375" s="128">
        <f>IF(
    $H$6="Alkaline",
    IF(
        OR(
            Data!$C$37=C374,
            MOD(C374,Data!$C$37)=0
        ),
        $D$8,
        G374*Data!$C$42
    ),
    IF(
        $H$6="PEM",
        IF(
            OR(
                Data!$H$37=C374,
                MOD(C374,Data!$H$37)=0
            ),
            $D$8,
            G374*Data!$H$42
        ),
        ""
    )
)</f>
        <v>897439937.11028242</v>
      </c>
      <c r="H375" s="76">
        <f t="shared" si="78"/>
        <v>2.6532977051444209</v>
      </c>
      <c r="I375" s="73">
        <f t="shared" si="79"/>
        <v>0</v>
      </c>
      <c r="J375" s="73">
        <f t="shared" si="86"/>
        <v>111142977.0436644</v>
      </c>
      <c r="K375" s="73">
        <f t="shared" si="85"/>
        <v>0</v>
      </c>
      <c r="L375" s="74">
        <f t="shared" si="82"/>
        <v>2381175325.6396656</v>
      </c>
    </row>
    <row r="376" spans="1:13" x14ac:dyDescent="0.35">
      <c r="C376" s="69">
        <v>21</v>
      </c>
      <c r="D376" s="75">
        <v>0</v>
      </c>
      <c r="E376" s="126">
        <f t="shared" si="83"/>
        <v>23192712.795798346</v>
      </c>
      <c r="F376" s="71">
        <f t="shared" si="84"/>
        <v>773090426.52661157</v>
      </c>
      <c r="G376" s="128">
        <f>IF(
    $H$6="Alkaline",
    IF(
        OR(
            Data!$C$37=C375,
            MOD(C375,Data!$C$37)=0
        ),
        $D$8,
        G375*Data!$C$42
    ),
    IF(
        $H$6="PEM",
        IF(
            OR(
                Data!$H$37=C375,
                MOD(C375,Data!$H$37)=0
            ),
            $D$8,
            G375*Data!$H$42
        ),
        ""
    )
)</f>
        <v>888465537.73917961</v>
      </c>
      <c r="H376" s="76">
        <f t="shared" si="78"/>
        <v>2.7859625904016418</v>
      </c>
      <c r="I376" s="73">
        <f t="shared" si="79"/>
        <v>0</v>
      </c>
      <c r="J376" s="73">
        <f t="shared" si="86"/>
        <v>120201129.67272303</v>
      </c>
      <c r="K376" s="73">
        <f t="shared" si="85"/>
        <v>4006704322.4241009</v>
      </c>
      <c r="L376" s="74">
        <f t="shared" si="82"/>
        <v>2475231751.0024323</v>
      </c>
    </row>
    <row r="377" spans="1:13" x14ac:dyDescent="0.35">
      <c r="C377" s="69">
        <v>22</v>
      </c>
      <c r="D377" s="75">
        <v>0</v>
      </c>
      <c r="E377" s="126">
        <f t="shared" si="83"/>
        <v>23192712.795798346</v>
      </c>
      <c r="F377" s="71">
        <f t="shared" si="84"/>
        <v>0</v>
      </c>
      <c r="G377" s="128">
        <f>IF(
    $H$6="Alkaline",
    IF(
        OR(
            Data!$C$37=C376,
            MOD(C376,Data!$C$37)=0
        ),
        $D$8,
        G376*Data!$C$42
    ),
    IF(
        $H$6="PEM",
        IF(
            OR(
                Data!$H$37=C376,
                MOD(C376,Data!$H$37)=0
            ),
            $D$8,
            G376*Data!$H$42
        ),
        ""
    )
)</f>
        <v>943690143.97642899</v>
      </c>
      <c r="H377" s="76">
        <f t="shared" si="78"/>
        <v>2.9252607199217238</v>
      </c>
      <c r="I377" s="73">
        <f t="shared" si="79"/>
        <v>0</v>
      </c>
      <c r="J377" s="73">
        <f t="shared" si="86"/>
        <v>129997521.74104996</v>
      </c>
      <c r="K377" s="73">
        <f t="shared" si="85"/>
        <v>0</v>
      </c>
      <c r="L377" s="74">
        <f t="shared" si="82"/>
        <v>2760539709.9515238</v>
      </c>
    </row>
    <row r="378" spans="1:13" x14ac:dyDescent="0.35">
      <c r="C378" s="69">
        <v>23</v>
      </c>
      <c r="D378" s="75">
        <v>0</v>
      </c>
      <c r="E378" s="126">
        <f t="shared" si="83"/>
        <v>23192712.795798346</v>
      </c>
      <c r="F378" s="71">
        <f t="shared" si="84"/>
        <v>0</v>
      </c>
      <c r="G378" s="128">
        <f>IF(
    $H$6="Alkaline",
    IF(
        OR(
            Data!$C$37=C377,
            MOD(C377,Data!$C$37)=0
        ),
        $D$8,
        G377*Data!$C$42
    ),
    IF(
        $H$6="PEM",
        IF(
            OR(
                Data!$H$37=C377,
                MOD(C377,Data!$H$37)=0
            ),
            $D$8,
            G377*Data!$H$42
        ),
        ""
    )
)</f>
        <v>934253242.53666472</v>
      </c>
      <c r="H378" s="76">
        <f t="shared" si="78"/>
        <v>3.0715237559178106</v>
      </c>
      <c r="I378" s="73">
        <f t="shared" si="79"/>
        <v>0</v>
      </c>
      <c r="J378" s="73">
        <f t="shared" si="86"/>
        <v>140592319.76294556</v>
      </c>
      <c r="K378" s="73">
        <f t="shared" si="85"/>
        <v>0</v>
      </c>
      <c r="L378" s="74">
        <f t="shared" si="82"/>
        <v>2869581028.4946098</v>
      </c>
    </row>
    <row r="379" spans="1:13" x14ac:dyDescent="0.35">
      <c r="C379" s="69">
        <v>24</v>
      </c>
      <c r="D379" s="75">
        <v>0</v>
      </c>
      <c r="E379" s="126">
        <f t="shared" si="83"/>
        <v>23192712.795798346</v>
      </c>
      <c r="F379" s="71">
        <f t="shared" si="84"/>
        <v>0</v>
      </c>
      <c r="G379" s="128">
        <f>IF(
    $H$6="Alkaline",
    IF(
        OR(
            Data!$C$37=C378,
            MOD(C378,Data!$C$37)=0
        ),
        $D$8,
        G378*Data!$C$42
    ),
    IF(
        $H$6="PEM",
        IF(
            OR(
                Data!$H$37=C378,
                MOD(C378,Data!$H$37)=0
            ),
            $D$8,
            G378*Data!$H$42
        ),
        ""
    )
)</f>
        <v>924910710.11129808</v>
      </c>
      <c r="H379" s="76">
        <f t="shared" si="78"/>
        <v>3.2250999437137007</v>
      </c>
      <c r="I379" s="73">
        <f t="shared" si="79"/>
        <v>0</v>
      </c>
      <c r="J379" s="73">
        <f t="shared" si="86"/>
        <v>152050593.82362559</v>
      </c>
      <c r="K379" s="73">
        <f t="shared" si="85"/>
        <v>0</v>
      </c>
      <c r="L379" s="74">
        <f t="shared" si="82"/>
        <v>2982929479.1201463</v>
      </c>
    </row>
    <row r="380" spans="1:13" ht="15" thickBot="1" x14ac:dyDescent="0.4">
      <c r="C380" s="69">
        <v>25</v>
      </c>
      <c r="D380" s="75">
        <v>0</v>
      </c>
      <c r="E380" s="126">
        <f t="shared" si="83"/>
        <v>23192712.795798346</v>
      </c>
      <c r="F380" s="71">
        <f t="shared" si="84"/>
        <v>0</v>
      </c>
      <c r="G380" s="128">
        <f>IF(
    $H$6="Alkaline",
    IF(
        OR(
            Data!$C$37=C379,
            MOD(C379,Data!$C$37)=0
        ),
        $D$8,
        G379*Data!$C$42
    ),
    IF(
        $H$6="PEM",
        IF(
            OR(
                Data!$H$37=C379,
                MOD(C379,Data!$H$37)=0
            ),
            $D$8,
            G379*Data!$H$42
        ),
        ""
    )
)</f>
        <v>915661603.01018512</v>
      </c>
      <c r="H380" s="76">
        <f t="shared" si="78"/>
        <v>3.3863549408993858</v>
      </c>
      <c r="I380" s="73">
        <f t="shared" si="79"/>
        <v>0</v>
      </c>
      <c r="J380" s="73">
        <f t="shared" si="86"/>
        <v>164442717.22025105</v>
      </c>
      <c r="K380" s="73">
        <f t="shared" si="85"/>
        <v>0</v>
      </c>
      <c r="L380" s="74">
        <f t="shared" si="82"/>
        <v>3100755193.5453925</v>
      </c>
    </row>
    <row r="381" spans="1:13" ht="15" thickBot="1" x14ac:dyDescent="0.4">
      <c r="C381" s="70" t="s">
        <v>26</v>
      </c>
      <c r="D381" s="77">
        <f t="shared" ref="D381:K381" si="87">SUM(D355:D380)</f>
        <v>773090426.52661157</v>
      </c>
      <c r="E381" s="77">
        <f t="shared" si="87"/>
        <v>579817819.89495885</v>
      </c>
      <c r="F381" s="77">
        <f t="shared" si="87"/>
        <v>773090426.52661157</v>
      </c>
      <c r="G381" s="77">
        <f t="shared" si="87"/>
        <v>22951294184.026939</v>
      </c>
      <c r="H381" s="77">
        <f t="shared" si="87"/>
        <v>51.113453758887083</v>
      </c>
      <c r="I381" s="77">
        <f t="shared" si="87"/>
        <v>773090426.52661157</v>
      </c>
      <c r="J381" s="77">
        <f t="shared" si="87"/>
        <v>1874378893.0680449</v>
      </c>
      <c r="K381" s="77">
        <f t="shared" si="87"/>
        <v>4006704322.4241009</v>
      </c>
      <c r="L381" s="77">
        <f>SUM(L355:L380)</f>
        <v>45995618724.782455</v>
      </c>
    </row>
    <row r="383" spans="1:13" ht="15" thickBot="1" x14ac:dyDescent="0.4">
      <c r="A383">
        <v>9</v>
      </c>
      <c r="B383">
        <v>55</v>
      </c>
      <c r="C383" s="133" t="s">
        <v>254</v>
      </c>
    </row>
    <row r="384" spans="1:13" ht="19" thickBot="1" x14ac:dyDescent="0.5">
      <c r="C384" s="58" t="s">
        <v>15</v>
      </c>
      <c r="D384" s="58" t="s">
        <v>16</v>
      </c>
      <c r="E384" s="58" t="s">
        <v>17</v>
      </c>
      <c r="F384" s="58" t="s">
        <v>18</v>
      </c>
      <c r="G384" s="59" t="s">
        <v>19</v>
      </c>
      <c r="H384" s="58" t="s">
        <v>20</v>
      </c>
      <c r="I384" s="59" t="s">
        <v>21</v>
      </c>
      <c r="J384" s="58" t="s">
        <v>22</v>
      </c>
      <c r="K384" s="58" t="s">
        <v>23</v>
      </c>
      <c r="L384" s="58" t="s">
        <v>24</v>
      </c>
      <c r="M384" s="152" t="s">
        <v>253</v>
      </c>
    </row>
    <row r="385" spans="3:13" ht="18.5" x14ac:dyDescent="0.45">
      <c r="C385" s="68">
        <v>0</v>
      </c>
      <c r="D385" s="71">
        <f>$G$55</f>
        <v>1710807331.9562674</v>
      </c>
      <c r="E385" s="71">
        <v>0</v>
      </c>
      <c r="F385" s="71">
        <v>0</v>
      </c>
      <c r="G385" s="127">
        <v>0</v>
      </c>
      <c r="H385" s="72">
        <f t="shared" ref="H385:H410" si="88">(1+$D$14)^$C385</f>
        <v>1</v>
      </c>
      <c r="I385" s="73">
        <f t="shared" ref="I385:I410" si="89">D385*$H385*(1+$D$15)^C385</f>
        <v>1710807331.9562674</v>
      </c>
      <c r="J385" s="73">
        <f t="shared" ref="J385:J389" si="90">E385*$H385*(1+$D$15)^C385</f>
        <v>0</v>
      </c>
      <c r="K385" s="73">
        <f t="shared" ref="K385:K386" si="91">F385*$H385*(1+$D$15)^C385</f>
        <v>0</v>
      </c>
      <c r="L385" s="74">
        <f t="shared" ref="L385:L410" si="92">G385*$H385</f>
        <v>0</v>
      </c>
      <c r="M385" s="153">
        <f>(I411+J411+K411)/L411</f>
        <v>0.12737531711221667</v>
      </c>
    </row>
    <row r="386" spans="3:13" x14ac:dyDescent="0.35">
      <c r="C386" s="69">
        <v>1</v>
      </c>
      <c r="D386" s="75">
        <v>0</v>
      </c>
      <c r="E386" s="126">
        <f>$K$55</f>
        <v>51324219.958688021</v>
      </c>
      <c r="F386" s="71">
        <f>(IF(MOD(C386,$H$55)=0,$J$55,0))</f>
        <v>0</v>
      </c>
      <c r="G386" s="128">
        <f>$D$8</f>
        <v>943690143.97642899</v>
      </c>
      <c r="H386" s="76">
        <f t="shared" si="88"/>
        <v>1.05</v>
      </c>
      <c r="I386" s="73">
        <f t="shared" si="89"/>
        <v>0</v>
      </c>
      <c r="J386" s="73">
        <f t="shared" si="90"/>
        <v>55507143.885321096</v>
      </c>
      <c r="K386" s="73">
        <f t="shared" si="91"/>
        <v>0</v>
      </c>
      <c r="L386" s="97">
        <f t="shared" si="92"/>
        <v>990874651.17525053</v>
      </c>
    </row>
    <row r="387" spans="3:13" x14ac:dyDescent="0.35">
      <c r="C387" s="69">
        <v>2</v>
      </c>
      <c r="D387" s="75">
        <v>0</v>
      </c>
      <c r="E387" s="126">
        <f t="shared" ref="E387:E410" si="93">$K$55</f>
        <v>51324219.958688021</v>
      </c>
      <c r="F387" s="71">
        <f>(IF(MOD(C386,$H$55)=0,$J$55,0))</f>
        <v>0</v>
      </c>
      <c r="G387" s="128">
        <f>IF(
    $H$6="Alkaline",
    IF(
        OR(
            Data!$C$37=C386,
            MOD(C386,Data!$C$37)=0
        ),
        $D$8,
        G386*Data!$C$42
    ),
    IF(
        $H$6="PEM",
        IF(
            OR(
                Data!$H$37=C386,
                MOD(C386,Data!$H$37)=0
            ),
            $D$8,
            G386*Data!$H$42
        ),
        ""
    )
)</f>
        <v>934253242.53666472</v>
      </c>
      <c r="H387" s="76">
        <f t="shared" si="88"/>
        <v>1.1025</v>
      </c>
      <c r="I387" s="73">
        <f t="shared" si="89"/>
        <v>0</v>
      </c>
      <c r="J387" s="73">
        <f t="shared" si="90"/>
        <v>60030976.111974768</v>
      </c>
      <c r="K387" s="73">
        <f>F387*$H387*(1+$D$15)^C387</f>
        <v>0</v>
      </c>
      <c r="L387" s="74">
        <f t="shared" si="92"/>
        <v>1030014199.8966728</v>
      </c>
    </row>
    <row r="388" spans="3:13" x14ac:dyDescent="0.35">
      <c r="C388" s="69">
        <v>3</v>
      </c>
      <c r="D388" s="75">
        <v>0</v>
      </c>
      <c r="E388" s="126">
        <f t="shared" si="93"/>
        <v>51324219.958688021</v>
      </c>
      <c r="F388" s="71">
        <f t="shared" ref="F388:F410" si="94">(IF(MOD(C387,$H$55)=0,$J$55,0))</f>
        <v>0</v>
      </c>
      <c r="G388" s="128">
        <f>IF(
    $H$6="Alkaline",
    IF(
        OR(
            Data!$C$37=C387,
            MOD(C387,Data!$C$37)=0
        ),
        $D$8,
        G387*Data!$C$42
    ),
    IF(
        $H$6="PEM",
        IF(
            OR(
                Data!$H$37=C387,
                MOD(C387,Data!$H$37)=0
            ),
            $D$8,
            G387*Data!$H$42
        ),
        ""
    )
)</f>
        <v>924910710.11129808</v>
      </c>
      <c r="H388" s="76">
        <f>(1+$D$14)^$C388</f>
        <v>1.1576250000000001</v>
      </c>
      <c r="I388" s="73">
        <f t="shared" si="89"/>
        <v>0</v>
      </c>
      <c r="J388" s="73">
        <f t="shared" si="90"/>
        <v>64923500.665100709</v>
      </c>
      <c r="K388" s="73">
        <f t="shared" ref="K388:K410" si="95">F388*$H388*(1+$D$15)^C388</f>
        <v>0</v>
      </c>
      <c r="L388" s="74">
        <f t="shared" si="92"/>
        <v>1070699760.7925916</v>
      </c>
    </row>
    <row r="389" spans="3:13" x14ac:dyDescent="0.35">
      <c r="C389" s="69">
        <v>4</v>
      </c>
      <c r="D389" s="75">
        <v>0</v>
      </c>
      <c r="E389" s="126">
        <f t="shared" si="93"/>
        <v>51324219.958688021</v>
      </c>
      <c r="F389" s="71">
        <f t="shared" si="94"/>
        <v>0</v>
      </c>
      <c r="G389" s="128">
        <f>IF(
    $H$6="Alkaline",
    IF(
        OR(
            Data!$C$37=C388,
            MOD(C388,Data!$C$37)=0
        ),
        $D$8,
        G388*Data!$C$42
    ),
    IF(
        $H$6="PEM",
        IF(
            OR(
                Data!$H$37=C388,
                MOD(C388,Data!$H$37)=0
            ),
            $D$8,
            G388*Data!$H$42
        ),
        ""
    )
)</f>
        <v>915661603.01018512</v>
      </c>
      <c r="H389" s="76">
        <f t="shared" si="88"/>
        <v>1.21550625</v>
      </c>
      <c r="I389" s="73">
        <f t="shared" si="89"/>
        <v>0</v>
      </c>
      <c r="J389" s="73">
        <f t="shared" si="90"/>
        <v>70214765.969306409</v>
      </c>
      <c r="K389" s="73">
        <f t="shared" si="95"/>
        <v>0</v>
      </c>
      <c r="L389" s="74">
        <f t="shared" si="92"/>
        <v>1112992401.3438988</v>
      </c>
    </row>
    <row r="390" spans="3:13" x14ac:dyDescent="0.35">
      <c r="C390" s="69">
        <v>5</v>
      </c>
      <c r="D390" s="75">
        <v>0</v>
      </c>
      <c r="E390" s="126">
        <f t="shared" si="93"/>
        <v>51324219.958688021</v>
      </c>
      <c r="F390" s="71">
        <f t="shared" si="94"/>
        <v>0</v>
      </c>
      <c r="G390" s="128">
        <f>IF(
    $H$6="Alkaline",
    IF(
        OR(
            Data!$C$37=C389,
            MOD(C389,Data!$C$37)=0
        ),
        $D$8,
        G389*Data!$C$42
    ),
    IF(
        $H$6="PEM",
        IF(
            OR(
                Data!$H$37=C389,
                MOD(C389,Data!$H$37)=0
            ),
            $D$8,
            G389*Data!$H$42
        ),
        ""
    )
)</f>
        <v>906504986.98008323</v>
      </c>
      <c r="H390" s="76">
        <f t="shared" si="88"/>
        <v>1.2762815625000001</v>
      </c>
      <c r="I390" s="73">
        <f t="shared" si="89"/>
        <v>0</v>
      </c>
      <c r="J390" s="73">
        <f>E390*$H390*(1+$D$15)^C390</f>
        <v>75937269.395804882</v>
      </c>
      <c r="K390" s="73">
        <f t="shared" si="95"/>
        <v>0</v>
      </c>
      <c r="L390" s="74">
        <f t="shared" si="92"/>
        <v>1156955601.1969829</v>
      </c>
    </row>
    <row r="391" spans="3:13" x14ac:dyDescent="0.35">
      <c r="C391" s="69">
        <v>6</v>
      </c>
      <c r="D391" s="75">
        <v>0</v>
      </c>
      <c r="E391" s="126">
        <f t="shared" si="93"/>
        <v>51324219.958688021</v>
      </c>
      <c r="F391" s="71">
        <f t="shared" si="94"/>
        <v>0</v>
      </c>
      <c r="G391" s="128">
        <f>IF(
    $H$6="Alkaline",
    IF(
        OR(
            Data!$C$37=C390,
            MOD(C390,Data!$C$37)=0
        ),
        $D$8,
        G390*Data!$C$42
    ),
    IF(
        $H$6="PEM",
        IF(
            OR(
                Data!$H$37=C390,
                MOD(C390,Data!$H$37)=0
            ),
            $D$8,
            G390*Data!$H$42
        ),
        ""
    )
)</f>
        <v>897439937.11028242</v>
      </c>
      <c r="H391" s="76">
        <f t="shared" si="88"/>
        <v>1.340095640625</v>
      </c>
      <c r="I391" s="73">
        <f t="shared" si="89"/>
        <v>0</v>
      </c>
      <c r="J391" s="73">
        <f t="shared" ref="J391:J410" si="96">E391*$H391*(1+$D$15)^C391</f>
        <v>82126156.851562977</v>
      </c>
      <c r="K391" s="73">
        <f t="shared" si="95"/>
        <v>0</v>
      </c>
      <c r="L391" s="74">
        <f t="shared" si="92"/>
        <v>1202655347.4442637</v>
      </c>
    </row>
    <row r="392" spans="3:13" x14ac:dyDescent="0.35">
      <c r="C392" s="69">
        <v>7</v>
      </c>
      <c r="D392" s="75">
        <v>0</v>
      </c>
      <c r="E392" s="126">
        <f t="shared" si="93"/>
        <v>51324219.958688021</v>
      </c>
      <c r="F392" s="71">
        <f t="shared" si="94"/>
        <v>0</v>
      </c>
      <c r="G392" s="128">
        <f>IF(
    $H$6="Alkaline",
    IF(
        OR(
            Data!$C$37=C391,
            MOD(C391,Data!$C$37)=0
        ),
        $D$8,
        G391*Data!$C$42
    ),
    IF(
        $H$6="PEM",
        IF(
            OR(
                Data!$H$37=C391,
                MOD(C391,Data!$H$37)=0
            ),
            $D$8,
            G391*Data!$H$42
        ),
        ""
    )
)</f>
        <v>888465537.73917961</v>
      </c>
      <c r="H392" s="76">
        <f t="shared" si="88"/>
        <v>1.4071004226562502</v>
      </c>
      <c r="I392" s="73">
        <f t="shared" si="89"/>
        <v>0</v>
      </c>
      <c r="J392" s="73">
        <f t="shared" si="96"/>
        <v>88819438.634965375</v>
      </c>
      <c r="K392" s="73">
        <f t="shared" si="95"/>
        <v>0</v>
      </c>
      <c r="L392" s="74">
        <f t="shared" si="92"/>
        <v>1250160233.6683123</v>
      </c>
    </row>
    <row r="393" spans="3:13" x14ac:dyDescent="0.35">
      <c r="C393" s="69">
        <v>8</v>
      </c>
      <c r="D393" s="75">
        <v>0</v>
      </c>
      <c r="E393" s="126">
        <f t="shared" si="93"/>
        <v>51324219.958688021</v>
      </c>
      <c r="F393" s="71">
        <f t="shared" si="94"/>
        <v>0</v>
      </c>
      <c r="G393" s="128">
        <f>IF(
    $H$6="Alkaline",
    IF(
        OR(
            Data!$C$37=C392,
            MOD(C392,Data!$C$37)=0
        ),
        $D$8,
        G392*Data!$C$42
    ),
    IF(
        $H$6="PEM",
        IF(
            OR(
                Data!$H$37=C392,
                MOD(C392,Data!$H$37)=0
            ),
            $D$8,
            G392*Data!$H$42
        ),
        ""
    )
)</f>
        <v>943690143.97642899</v>
      </c>
      <c r="H393" s="76">
        <f t="shared" si="88"/>
        <v>1.4774554437890626</v>
      </c>
      <c r="I393" s="73">
        <f t="shared" si="89"/>
        <v>0</v>
      </c>
      <c r="J393" s="73">
        <f t="shared" si="96"/>
        <v>96058222.883715034</v>
      </c>
      <c r="K393" s="73">
        <f t="shared" si="95"/>
        <v>0</v>
      </c>
      <c r="L393" s="74">
        <f t="shared" si="92"/>
        <v>1394260140.4680593</v>
      </c>
    </row>
    <row r="394" spans="3:13" x14ac:dyDescent="0.35">
      <c r="C394" s="69">
        <v>9</v>
      </c>
      <c r="D394" s="75">
        <v>0</v>
      </c>
      <c r="E394" s="126">
        <f t="shared" si="93"/>
        <v>51324219.958688021</v>
      </c>
      <c r="F394" s="71">
        <f t="shared" si="94"/>
        <v>0</v>
      </c>
      <c r="G394" s="128">
        <f>IF(
    $H$6="Alkaline",
    IF(
        OR(
            Data!$C$37=C393,
            MOD(C393,Data!$C$37)=0
        ),
        $D$8,
        G393*Data!$C$42
    ),
    IF(
        $H$6="PEM",
        IF(
            OR(
                Data!$H$37=C393,
                MOD(C393,Data!$H$37)=0
            ),
            $D$8,
            G393*Data!$H$42
        ),
        ""
    )
)</f>
        <v>934253242.53666472</v>
      </c>
      <c r="H394" s="76">
        <f t="shared" si="88"/>
        <v>1.5513282159785158</v>
      </c>
      <c r="I394" s="73">
        <f t="shared" si="89"/>
        <v>0</v>
      </c>
      <c r="J394" s="73">
        <f t="shared" si="96"/>
        <v>103886968.04873782</v>
      </c>
      <c r="K394" s="73">
        <f t="shared" si="95"/>
        <v>0</v>
      </c>
      <c r="L394" s="74">
        <f t="shared" si="92"/>
        <v>1449333416.0165477</v>
      </c>
    </row>
    <row r="395" spans="3:13" x14ac:dyDescent="0.35">
      <c r="C395" s="69">
        <v>10</v>
      </c>
      <c r="D395" s="75">
        <v>0</v>
      </c>
      <c r="E395" s="126">
        <f t="shared" si="93"/>
        <v>51324219.958688021</v>
      </c>
      <c r="F395" s="71">
        <f t="shared" si="94"/>
        <v>0</v>
      </c>
      <c r="G395" s="128">
        <f>IF(
    $H$6="Alkaline",
    IF(
        OR(
            Data!$C$37=C394,
            MOD(C394,Data!$C$37)=0
        ),
        $D$8,
        G394*Data!$C$42
    ),
    IF(
        $H$6="PEM",
        IF(
            OR(
                Data!$H$37=C394,
                MOD(C394,Data!$H$37)=0
            ),
            $D$8,
            G394*Data!$H$42
        ),
        ""
    )
)</f>
        <v>924910710.11129808</v>
      </c>
      <c r="H395" s="76">
        <f t="shared" si="88"/>
        <v>1.6288946267774416</v>
      </c>
      <c r="I395" s="73">
        <f t="shared" si="89"/>
        <v>0</v>
      </c>
      <c r="J395" s="73">
        <f t="shared" si="96"/>
        <v>112353755.94470994</v>
      </c>
      <c r="K395" s="73">
        <f t="shared" si="95"/>
        <v>0</v>
      </c>
      <c r="L395" s="74">
        <f t="shared" si="92"/>
        <v>1506582085.9492013</v>
      </c>
    </row>
    <row r="396" spans="3:13" x14ac:dyDescent="0.35">
      <c r="C396" s="69">
        <v>11</v>
      </c>
      <c r="D396" s="75">
        <v>0</v>
      </c>
      <c r="E396" s="126">
        <f t="shared" si="93"/>
        <v>51324219.958688021</v>
      </c>
      <c r="F396" s="71">
        <f t="shared" si="94"/>
        <v>0</v>
      </c>
      <c r="G396" s="128">
        <f>IF(
    $H$6="Alkaline",
    IF(
        OR(
            Data!$C$37=C395,
            MOD(C395,Data!$C$37)=0
        ),
        $D$8,
        G395*Data!$C$42
    ),
    IF(
        $H$6="PEM",
        IF(
            OR(
                Data!$H$37=C395,
                MOD(C395,Data!$H$37)=0
            ),
            $D$8,
            G395*Data!$H$42
        ),
        ""
    )
)</f>
        <v>915661603.01018512</v>
      </c>
      <c r="H396" s="76">
        <f t="shared" si="88"/>
        <v>1.7103393581163138</v>
      </c>
      <c r="I396" s="73">
        <f t="shared" si="89"/>
        <v>0</v>
      </c>
      <c r="J396" s="73">
        <f t="shared" si="96"/>
        <v>121510587.05420384</v>
      </c>
      <c r="K396" s="73">
        <f t="shared" si="95"/>
        <v>0</v>
      </c>
      <c r="L396" s="74">
        <f t="shared" si="92"/>
        <v>1566092078.3441949</v>
      </c>
    </row>
    <row r="397" spans="3:13" x14ac:dyDescent="0.35">
      <c r="C397" s="69">
        <v>12</v>
      </c>
      <c r="D397" s="75">
        <v>0</v>
      </c>
      <c r="E397" s="126">
        <f t="shared" si="93"/>
        <v>51324219.958688021</v>
      </c>
      <c r="F397" s="71">
        <f t="shared" si="94"/>
        <v>0</v>
      </c>
      <c r="G397" s="128">
        <f>IF(
    $H$6="Alkaline",
    IF(
        OR(
            Data!$C$37=C396,
            MOD(C396,Data!$C$37)=0
        ),
        $D$8,
        G396*Data!$C$42
    ),
    IF(
        $H$6="PEM",
        IF(
            OR(
                Data!$H$37=C396,
                MOD(C396,Data!$H$37)=0
            ),
            $D$8,
            G396*Data!$H$42
        ),
        ""
    )
)</f>
        <v>906504986.98008323</v>
      </c>
      <c r="H397" s="76">
        <f t="shared" si="88"/>
        <v>1.7958563260221292</v>
      </c>
      <c r="I397" s="73">
        <f t="shared" si="89"/>
        <v>0</v>
      </c>
      <c r="J397" s="73">
        <f t="shared" si="96"/>
        <v>131413699.89912139</v>
      </c>
      <c r="K397" s="73">
        <f t="shared" si="95"/>
        <v>0</v>
      </c>
      <c r="L397" s="74">
        <f t="shared" si="92"/>
        <v>1627952715.4387903</v>
      </c>
    </row>
    <row r="398" spans="3:13" x14ac:dyDescent="0.35">
      <c r="C398" s="69">
        <v>13</v>
      </c>
      <c r="D398" s="75">
        <v>0</v>
      </c>
      <c r="E398" s="126">
        <f t="shared" si="93"/>
        <v>51324219.958688021</v>
      </c>
      <c r="F398" s="71">
        <f t="shared" si="94"/>
        <v>0</v>
      </c>
      <c r="G398" s="128">
        <f>IF(
    $H$6="Alkaline",
    IF(
        OR(
            Data!$C$37=C397,
            MOD(C397,Data!$C$37)=0
        ),
        $D$8,
        G397*Data!$C$42
    ),
    IF(
        $H$6="PEM",
        IF(
            OR(
                Data!$H$37=C397,
                MOD(C397,Data!$H$37)=0
            ),
            $D$8,
            G397*Data!$H$42
        ),
        ""
    )
)</f>
        <v>897439937.11028242</v>
      </c>
      <c r="H398" s="76">
        <f t="shared" si="88"/>
        <v>1.885649142323236</v>
      </c>
      <c r="I398" s="73">
        <f t="shared" si="89"/>
        <v>0</v>
      </c>
      <c r="J398" s="73">
        <f t="shared" si="96"/>
        <v>142123916.44089982</v>
      </c>
      <c r="K398" s="73">
        <f t="shared" si="95"/>
        <v>0</v>
      </c>
      <c r="L398" s="74">
        <f t="shared" si="92"/>
        <v>1692256847.6986229</v>
      </c>
    </row>
    <row r="399" spans="3:13" x14ac:dyDescent="0.35">
      <c r="C399" s="69">
        <v>14</v>
      </c>
      <c r="D399" s="75">
        <v>0</v>
      </c>
      <c r="E399" s="126">
        <f t="shared" si="93"/>
        <v>51324219.958688021</v>
      </c>
      <c r="F399" s="71">
        <f t="shared" si="94"/>
        <v>0</v>
      </c>
      <c r="G399" s="128">
        <f>IF(
    $H$6="Alkaline",
    IF(
        OR(
            Data!$C$37=C398,
            MOD(C398,Data!$C$37)=0
        ),
        $D$8,
        G398*Data!$C$42
    ),
    IF(
        $H$6="PEM",
        IF(
            OR(
                Data!$H$37=C398,
                MOD(C398,Data!$H$37)=0
            ),
            $D$8,
            G398*Data!$H$42
        ),
        ""
    )
)</f>
        <v>888465537.73917961</v>
      </c>
      <c r="H399" s="76">
        <f t="shared" si="88"/>
        <v>1.9799315994393973</v>
      </c>
      <c r="I399" s="73">
        <f t="shared" si="89"/>
        <v>0</v>
      </c>
      <c r="J399" s="73">
        <f t="shared" si="96"/>
        <v>153707015.63083312</v>
      </c>
      <c r="K399" s="73">
        <f t="shared" si="95"/>
        <v>0</v>
      </c>
      <c r="L399" s="74">
        <f t="shared" si="92"/>
        <v>1759100993.182718</v>
      </c>
    </row>
    <row r="400" spans="3:13" x14ac:dyDescent="0.35">
      <c r="C400" s="69">
        <v>15</v>
      </c>
      <c r="D400" s="75">
        <v>0</v>
      </c>
      <c r="E400" s="126">
        <f t="shared" si="93"/>
        <v>51324219.958688021</v>
      </c>
      <c r="F400" s="71">
        <f t="shared" si="94"/>
        <v>0</v>
      </c>
      <c r="G400" s="128">
        <f>IF(
    $H$6="Alkaline",
    IF(
        OR(
            Data!$C$37=C399,
            MOD(C399,Data!$C$37)=0
        ),
        $D$8,
        G399*Data!$C$42
    ),
    IF(
        $H$6="PEM",
        IF(
            OR(
                Data!$H$37=C399,
                MOD(C399,Data!$H$37)=0
            ),
            $D$8,
            G399*Data!$H$42
        ),
        ""
    )
)</f>
        <v>943690143.97642899</v>
      </c>
      <c r="H400" s="76">
        <f t="shared" si="88"/>
        <v>2.0789281794113679</v>
      </c>
      <c r="I400" s="73">
        <f t="shared" si="89"/>
        <v>0</v>
      </c>
      <c r="J400" s="73">
        <f t="shared" si="96"/>
        <v>166234137.40474609</v>
      </c>
      <c r="K400" s="73">
        <f t="shared" si="95"/>
        <v>0</v>
      </c>
      <c r="L400" s="74">
        <f t="shared" si="92"/>
        <v>1961864032.9453692</v>
      </c>
    </row>
    <row r="401" spans="1:13" x14ac:dyDescent="0.35">
      <c r="C401" s="69">
        <v>16</v>
      </c>
      <c r="D401" s="75">
        <v>0</v>
      </c>
      <c r="E401" s="126">
        <f t="shared" si="93"/>
        <v>51324219.958688021</v>
      </c>
      <c r="F401" s="71">
        <f t="shared" si="94"/>
        <v>0</v>
      </c>
      <c r="G401" s="128">
        <f>IF(
    $H$6="Alkaline",
    IF(
        OR(
            Data!$C$37=C400,
            MOD(C400,Data!$C$37)=0
        ),
        $D$8,
        G400*Data!$C$42
    ),
    IF(
        $H$6="PEM",
        IF(
            OR(
                Data!$H$37=C400,
                MOD(C400,Data!$H$37)=0
            ),
            $D$8,
            G400*Data!$H$42
        ),
        ""
    )
)</f>
        <v>934253242.53666472</v>
      </c>
      <c r="H401" s="76">
        <f t="shared" si="88"/>
        <v>2.182874588381936</v>
      </c>
      <c r="I401" s="73">
        <f t="shared" si="89"/>
        <v>0</v>
      </c>
      <c r="J401" s="73">
        <f t="shared" si="96"/>
        <v>179782219.60323283</v>
      </c>
      <c r="K401" s="73">
        <f t="shared" si="95"/>
        <v>0</v>
      </c>
      <c r="L401" s="74">
        <f t="shared" si="92"/>
        <v>2039357662.246711</v>
      </c>
    </row>
    <row r="402" spans="1:13" x14ac:dyDescent="0.35">
      <c r="C402" s="69">
        <v>17</v>
      </c>
      <c r="D402" s="75">
        <v>0</v>
      </c>
      <c r="E402" s="126">
        <f t="shared" si="93"/>
        <v>51324219.958688021</v>
      </c>
      <c r="F402" s="71">
        <f t="shared" si="94"/>
        <v>0</v>
      </c>
      <c r="G402" s="128">
        <f>IF(
    $H$6="Alkaline",
    IF(
        OR(
            Data!$C$37=C401,
            MOD(C401,Data!$C$37)=0
        ),
        $D$8,
        G401*Data!$C$42
    ),
    IF(
        $H$6="PEM",
        IF(
            OR(
                Data!$H$37=C401,
                MOD(C401,Data!$H$37)=0
            ),
            $D$8,
            G401*Data!$H$42
        ),
        ""
    )
)</f>
        <v>924910710.11129808</v>
      </c>
      <c r="H402" s="76">
        <f t="shared" si="88"/>
        <v>2.2920183178010332</v>
      </c>
      <c r="I402" s="73">
        <f t="shared" si="89"/>
        <v>0</v>
      </c>
      <c r="J402" s="73">
        <f t="shared" si="96"/>
        <v>194434470.50089636</v>
      </c>
      <c r="K402" s="73">
        <f t="shared" si="95"/>
        <v>0</v>
      </c>
      <c r="L402" s="74">
        <f t="shared" si="92"/>
        <v>2119912289.9054565</v>
      </c>
    </row>
    <row r="403" spans="1:13" x14ac:dyDescent="0.35">
      <c r="C403" s="69">
        <v>18</v>
      </c>
      <c r="D403" s="75">
        <v>0</v>
      </c>
      <c r="E403" s="126">
        <f t="shared" si="93"/>
        <v>51324219.958688021</v>
      </c>
      <c r="F403" s="71">
        <f t="shared" si="94"/>
        <v>0</v>
      </c>
      <c r="G403" s="128">
        <f>IF(
    $H$6="Alkaline",
    IF(
        OR(
            Data!$C$37=C402,
            MOD(C402,Data!$C$37)=0
        ),
        $D$8,
        G402*Data!$C$42
    ),
    IF(
        $H$6="PEM",
        IF(
            OR(
                Data!$H$37=C402,
                MOD(C402,Data!$H$37)=0
            ),
            $D$8,
            G402*Data!$H$42
        ),
        ""
    )
)</f>
        <v>915661603.01018512</v>
      </c>
      <c r="H403" s="76">
        <f t="shared" si="88"/>
        <v>2.4066192336910848</v>
      </c>
      <c r="I403" s="73">
        <f t="shared" si="89"/>
        <v>0</v>
      </c>
      <c r="J403" s="73">
        <f t="shared" si="96"/>
        <v>210280879.84671941</v>
      </c>
      <c r="K403" s="73">
        <f t="shared" si="95"/>
        <v>0</v>
      </c>
      <c r="L403" s="74">
        <f t="shared" si="92"/>
        <v>2203648825.3567219</v>
      </c>
    </row>
    <row r="404" spans="1:13" x14ac:dyDescent="0.35">
      <c r="C404" s="69">
        <v>19</v>
      </c>
      <c r="D404" s="75">
        <v>0</v>
      </c>
      <c r="E404" s="126">
        <f t="shared" si="93"/>
        <v>51324219.958688021</v>
      </c>
      <c r="F404" s="71">
        <f t="shared" si="94"/>
        <v>0</v>
      </c>
      <c r="G404" s="128">
        <f>IF(
    $H$6="Alkaline",
    IF(
        OR(
            Data!$C$37=C403,
            MOD(C403,Data!$C$37)=0
        ),
        $D$8,
        G403*Data!$C$42
    ),
    IF(
        $H$6="PEM",
        IF(
            OR(
                Data!$H$37=C403,
                MOD(C403,Data!$H$37)=0
            ),
            $D$8,
            G403*Data!$H$42
        ),
        ""
    )
)</f>
        <v>906504986.98008323</v>
      </c>
      <c r="H404" s="76">
        <f t="shared" si="88"/>
        <v>2.526950195375639</v>
      </c>
      <c r="I404" s="73">
        <f t="shared" si="89"/>
        <v>0</v>
      </c>
      <c r="J404" s="73">
        <f t="shared" si="96"/>
        <v>227418771.55422702</v>
      </c>
      <c r="K404" s="73">
        <f t="shared" si="95"/>
        <v>0</v>
      </c>
      <c r="L404" s="74">
        <f t="shared" si="92"/>
        <v>2290692953.9583125</v>
      </c>
    </row>
    <row r="405" spans="1:13" x14ac:dyDescent="0.35">
      <c r="C405" s="69">
        <v>20</v>
      </c>
      <c r="D405" s="75">
        <v>0</v>
      </c>
      <c r="E405" s="126">
        <f t="shared" si="93"/>
        <v>51324219.958688021</v>
      </c>
      <c r="F405" s="71">
        <f t="shared" si="94"/>
        <v>0</v>
      </c>
      <c r="G405" s="128">
        <f>IF(
    $H$6="Alkaline",
    IF(
        OR(
            Data!$C$37=C404,
            MOD(C404,Data!$C$37)=0
        ),
        $D$8,
        G404*Data!$C$42
    ),
    IF(
        $H$6="PEM",
        IF(
            OR(
                Data!$H$37=C404,
                MOD(C404,Data!$H$37)=0
            ),
            $D$8,
            G404*Data!$H$42
        ),
        ""
    )
)</f>
        <v>897439937.11028242</v>
      </c>
      <c r="H405" s="76">
        <f t="shared" si="88"/>
        <v>2.6532977051444209</v>
      </c>
      <c r="I405" s="73">
        <f t="shared" si="89"/>
        <v>0</v>
      </c>
      <c r="J405" s="73">
        <f t="shared" si="96"/>
        <v>245953401.43589652</v>
      </c>
      <c r="K405" s="73">
        <f t="shared" si="95"/>
        <v>0</v>
      </c>
      <c r="L405" s="74">
        <f t="shared" si="92"/>
        <v>2381175325.6396656</v>
      </c>
    </row>
    <row r="406" spans="1:13" x14ac:dyDescent="0.35">
      <c r="C406" s="69">
        <v>21</v>
      </c>
      <c r="D406" s="75">
        <v>0</v>
      </c>
      <c r="E406" s="126">
        <f t="shared" si="93"/>
        <v>51324219.958688021</v>
      </c>
      <c r="F406" s="71">
        <f t="shared" si="94"/>
        <v>0</v>
      </c>
      <c r="G406" s="128">
        <f>IF(
    $H$6="Alkaline",
    IF(
        OR(
            Data!$C$37=C405,
            MOD(C405,Data!$C$37)=0
        ),
        $D$8,
        G405*Data!$C$42
    ),
    IF(
        $H$6="PEM",
        IF(
            OR(
                Data!$H$37=C405,
                MOD(C405,Data!$H$37)=0
            ),
            $D$8,
            G405*Data!$H$42
        ),
        ""
    )
)</f>
        <v>888465537.73917961</v>
      </c>
      <c r="H406" s="76">
        <f t="shared" si="88"/>
        <v>2.7859625904016418</v>
      </c>
      <c r="I406" s="73">
        <f t="shared" si="89"/>
        <v>0</v>
      </c>
      <c r="J406" s="73">
        <f t="shared" si="96"/>
        <v>265998603.65292203</v>
      </c>
      <c r="K406" s="73">
        <f t="shared" si="95"/>
        <v>0</v>
      </c>
      <c r="L406" s="74">
        <f t="shared" si="92"/>
        <v>2475231751.0024323</v>
      </c>
    </row>
    <row r="407" spans="1:13" x14ac:dyDescent="0.35">
      <c r="C407" s="69">
        <v>22</v>
      </c>
      <c r="D407" s="75">
        <v>0</v>
      </c>
      <c r="E407" s="126">
        <f t="shared" si="93"/>
        <v>51324219.958688021</v>
      </c>
      <c r="F407" s="71">
        <f t="shared" si="94"/>
        <v>0</v>
      </c>
      <c r="G407" s="128">
        <f>IF(
    $H$6="Alkaline",
    IF(
        OR(
            Data!$C$37=C406,
            MOD(C406,Data!$C$37)=0
        ),
        $D$8,
        G406*Data!$C$42
    ),
    IF(
        $H$6="PEM",
        IF(
            OR(
                Data!$H$37=C406,
                MOD(C406,Data!$H$37)=0
            ),
            $D$8,
            G406*Data!$H$42
        ),
        ""
    )
)</f>
        <v>943690143.97642899</v>
      </c>
      <c r="H407" s="76">
        <f t="shared" si="88"/>
        <v>2.9252607199217238</v>
      </c>
      <c r="I407" s="73">
        <f t="shared" si="89"/>
        <v>0</v>
      </c>
      <c r="J407" s="73">
        <f t="shared" si="96"/>
        <v>287677489.85063523</v>
      </c>
      <c r="K407" s="73">
        <f t="shared" si="95"/>
        <v>0</v>
      </c>
      <c r="L407" s="74">
        <f t="shared" si="92"/>
        <v>2760539709.9515238</v>
      </c>
    </row>
    <row r="408" spans="1:13" x14ac:dyDescent="0.35">
      <c r="C408" s="69">
        <v>23</v>
      </c>
      <c r="D408" s="75">
        <v>0</v>
      </c>
      <c r="E408" s="126">
        <f t="shared" si="93"/>
        <v>51324219.958688021</v>
      </c>
      <c r="F408" s="71">
        <f t="shared" si="94"/>
        <v>0</v>
      </c>
      <c r="G408" s="128">
        <f>IF(
    $H$6="Alkaline",
    IF(
        OR(
            Data!$C$37=C407,
            MOD(C407,Data!$C$37)=0
        ),
        $D$8,
        G407*Data!$C$42
    ),
    IF(
        $H$6="PEM",
        IF(
            OR(
                Data!$H$37=C407,
                MOD(C407,Data!$H$37)=0
            ),
            $D$8,
            G407*Data!$H$42
        ),
        ""
    )
)</f>
        <v>934253242.53666472</v>
      </c>
      <c r="H408" s="76">
        <f t="shared" si="88"/>
        <v>3.0715237559178106</v>
      </c>
      <c r="I408" s="73">
        <f t="shared" si="89"/>
        <v>0</v>
      </c>
      <c r="J408" s="73">
        <f t="shared" si="96"/>
        <v>311123205.27346206</v>
      </c>
      <c r="K408" s="73">
        <f t="shared" si="95"/>
        <v>0</v>
      </c>
      <c r="L408" s="74">
        <f t="shared" si="92"/>
        <v>2869581028.4946098</v>
      </c>
    </row>
    <row r="409" spans="1:13" x14ac:dyDescent="0.35">
      <c r="C409" s="69">
        <v>24</v>
      </c>
      <c r="D409" s="75">
        <v>0</v>
      </c>
      <c r="E409" s="126">
        <f t="shared" si="93"/>
        <v>51324219.958688021</v>
      </c>
      <c r="F409" s="71">
        <f t="shared" si="94"/>
        <v>0</v>
      </c>
      <c r="G409" s="128">
        <f>IF(
    $H$6="Alkaline",
    IF(
        OR(
            Data!$C$37=C408,
            MOD(C408,Data!$C$37)=0
        ),
        $D$8,
        G408*Data!$C$42
    ),
    IF(
        $H$6="PEM",
        IF(
            OR(
                Data!$H$37=C408,
                MOD(C408,Data!$H$37)=0
            ),
            $D$8,
            G408*Data!$H$42
        ),
        ""
    )
)</f>
        <v>924910710.11129808</v>
      </c>
      <c r="H409" s="76">
        <f t="shared" si="88"/>
        <v>3.2250999437137007</v>
      </c>
      <c r="I409" s="73">
        <f t="shared" si="89"/>
        <v>0</v>
      </c>
      <c r="J409" s="73">
        <f t="shared" si="96"/>
        <v>336479746.50324911</v>
      </c>
      <c r="K409" s="73">
        <f t="shared" si="95"/>
        <v>0</v>
      </c>
      <c r="L409" s="74">
        <f t="shared" si="92"/>
        <v>2982929479.1201463</v>
      </c>
    </row>
    <row r="410" spans="1:13" ht="15" thickBot="1" x14ac:dyDescent="0.4">
      <c r="C410" s="69">
        <v>25</v>
      </c>
      <c r="D410" s="75">
        <v>0</v>
      </c>
      <c r="E410" s="126">
        <f t="shared" si="93"/>
        <v>51324219.958688021</v>
      </c>
      <c r="F410" s="71">
        <f t="shared" si="94"/>
        <v>0</v>
      </c>
      <c r="G410" s="128">
        <f>IF(
    $H$6="Alkaline",
    IF(
        OR(
            Data!$C$37=C409,
            MOD(C409,Data!$C$37)=0
        ),
        $D$8,
        G409*Data!$C$42
    ),
    IF(
        $H$6="PEM",
        IF(
            OR(
                Data!$H$37=C409,
                MOD(C409,Data!$H$37)=0
            ),
            $D$8,
            G409*Data!$H$42
        ),
        ""
    )
)</f>
        <v>915661603.01018512</v>
      </c>
      <c r="H410" s="76">
        <f t="shared" si="88"/>
        <v>3.3863549408993858</v>
      </c>
      <c r="I410" s="73">
        <f t="shared" si="89"/>
        <v>0</v>
      </c>
      <c r="J410" s="73">
        <f t="shared" si="96"/>
        <v>363902845.84326392</v>
      </c>
      <c r="K410" s="73">
        <f t="shared" si="95"/>
        <v>0</v>
      </c>
      <c r="L410" s="74">
        <f t="shared" si="92"/>
        <v>3100755193.5453925</v>
      </c>
    </row>
    <row r="411" spans="1:13" ht="15" thickBot="1" x14ac:dyDescent="0.4">
      <c r="C411" s="70" t="s">
        <v>26</v>
      </c>
      <c r="D411" s="77">
        <f t="shared" ref="D411:K411" si="97">SUM(D385:D410)</f>
        <v>1710807331.9562674</v>
      </c>
      <c r="E411" s="77">
        <f t="shared" si="97"/>
        <v>1283105498.9672005</v>
      </c>
      <c r="F411" s="77">
        <f t="shared" si="97"/>
        <v>0</v>
      </c>
      <c r="G411" s="77">
        <f t="shared" si="97"/>
        <v>22951294184.026939</v>
      </c>
      <c r="H411" s="77">
        <f t="shared" si="97"/>
        <v>51.113453758887083</v>
      </c>
      <c r="I411" s="77">
        <f t="shared" si="97"/>
        <v>1710807331.9562674</v>
      </c>
      <c r="J411" s="77">
        <f t="shared" si="97"/>
        <v>4147899188.8855081</v>
      </c>
      <c r="K411" s="77">
        <f t="shared" si="97"/>
        <v>0</v>
      </c>
      <c r="L411" s="77">
        <f>SUM(L385:L410)</f>
        <v>45995618724.782455</v>
      </c>
    </row>
    <row r="413" spans="1:13" ht="15" thickBot="1" x14ac:dyDescent="0.4">
      <c r="A413">
        <v>10</v>
      </c>
      <c r="B413">
        <v>59</v>
      </c>
      <c r="C413" s="133" t="s">
        <v>120</v>
      </c>
    </row>
    <row r="414" spans="1:13" ht="19" thickBot="1" x14ac:dyDescent="0.5">
      <c r="C414" s="58" t="s">
        <v>15</v>
      </c>
      <c r="D414" s="58" t="s">
        <v>16</v>
      </c>
      <c r="E414" s="58" t="s">
        <v>17</v>
      </c>
      <c r="F414" s="58" t="s">
        <v>18</v>
      </c>
      <c r="G414" s="59" t="s">
        <v>19</v>
      </c>
      <c r="H414" s="58" t="s">
        <v>20</v>
      </c>
      <c r="I414" s="59" t="s">
        <v>21</v>
      </c>
      <c r="J414" s="58" t="s">
        <v>22</v>
      </c>
      <c r="K414" s="58" t="s">
        <v>23</v>
      </c>
      <c r="L414" s="58" t="s">
        <v>24</v>
      </c>
      <c r="M414" s="152" t="s">
        <v>253</v>
      </c>
    </row>
    <row r="415" spans="1:13" ht="18.5" x14ac:dyDescent="0.45">
      <c r="C415" s="68">
        <v>0</v>
      </c>
      <c r="D415" s="71">
        <f>$G$59</f>
        <v>0</v>
      </c>
      <c r="E415" s="71">
        <v>0</v>
      </c>
      <c r="F415" s="71">
        <v>0</v>
      </c>
      <c r="G415" s="127">
        <v>0</v>
      </c>
      <c r="H415" s="72">
        <f t="shared" ref="H415:H440" si="98">(1+$D$14)^$C415</f>
        <v>1</v>
      </c>
      <c r="I415" s="73">
        <f t="shared" ref="I415:I440" si="99">D415*$H415*(1+$D$15)^C415</f>
        <v>0</v>
      </c>
      <c r="J415" s="73">
        <f t="shared" ref="J415:J419" si="100">E415*$H415*(1+$D$15)^C415</f>
        <v>0</v>
      </c>
      <c r="K415" s="73">
        <f t="shared" ref="K415:K416" si="101">F415*$H415*(1+$D$15)^C415</f>
        <v>0</v>
      </c>
      <c r="L415" s="74">
        <f t="shared" ref="L415:L440" si="102">G415*$H415</f>
        <v>0</v>
      </c>
      <c r="M415" s="153">
        <f>(I441+J441+K441)/L441</f>
        <v>0</v>
      </c>
    </row>
    <row r="416" spans="1:13" x14ac:dyDescent="0.35">
      <c r="C416" s="69">
        <v>1</v>
      </c>
      <c r="D416" s="75">
        <v>0</v>
      </c>
      <c r="E416" s="126">
        <f>$K$59</f>
        <v>0</v>
      </c>
      <c r="F416" s="71">
        <f>(IF(MOD(C416,$H$59)=0,$J$59,0))</f>
        <v>0</v>
      </c>
      <c r="G416" s="128">
        <f>$D$8</f>
        <v>943690143.97642899</v>
      </c>
      <c r="H416" s="76">
        <f t="shared" si="98"/>
        <v>1.05</v>
      </c>
      <c r="I416" s="73">
        <f t="shared" si="99"/>
        <v>0</v>
      </c>
      <c r="J416" s="73">
        <f t="shared" si="100"/>
        <v>0</v>
      </c>
      <c r="K416" s="73">
        <f t="shared" si="101"/>
        <v>0</v>
      </c>
      <c r="L416" s="97">
        <f t="shared" si="102"/>
        <v>990874651.17525053</v>
      </c>
    </row>
    <row r="417" spans="3:12" x14ac:dyDescent="0.35">
      <c r="C417" s="69">
        <v>2</v>
      </c>
      <c r="D417" s="75">
        <v>0</v>
      </c>
      <c r="E417" s="126">
        <f t="shared" ref="E417:E440" si="103">$K$59</f>
        <v>0</v>
      </c>
      <c r="F417" s="71">
        <f>(IF(MOD(C416,$H$59)=0,$J$59,0))</f>
        <v>0</v>
      </c>
      <c r="G417" s="128">
        <f>IF(
    $H$6="Alkaline",
    IF(
        OR(
            Data!$C$37=C416,
            MOD(C416,Data!$C$37)=0
        ),
        $D$8,
        G416*Data!$C$42
    ),
    IF(
        $H$6="PEM",
        IF(
            OR(
                Data!$H$37=C416,
                MOD(C416,Data!$H$37)=0
            ),
            $D$8,
            G416*Data!$H$42
        ),
        ""
    )
)</f>
        <v>934253242.53666472</v>
      </c>
      <c r="H417" s="76">
        <f t="shared" si="98"/>
        <v>1.1025</v>
      </c>
      <c r="I417" s="73">
        <f t="shared" si="99"/>
        <v>0</v>
      </c>
      <c r="J417" s="73">
        <f t="shared" si="100"/>
        <v>0</v>
      </c>
      <c r="K417" s="73">
        <f>F417*$H417*(1+$D$15)^C417</f>
        <v>0</v>
      </c>
      <c r="L417" s="74">
        <f t="shared" si="102"/>
        <v>1030014199.8966728</v>
      </c>
    </row>
    <row r="418" spans="3:12" x14ac:dyDescent="0.35">
      <c r="C418" s="69">
        <v>3</v>
      </c>
      <c r="D418" s="75">
        <v>0</v>
      </c>
      <c r="E418" s="126">
        <f t="shared" si="103"/>
        <v>0</v>
      </c>
      <c r="F418" s="71">
        <f t="shared" ref="F418:F440" si="104">(IF(MOD(C417,$H$59)=0,$J$59,0))</f>
        <v>0</v>
      </c>
      <c r="G418" s="128">
        <f>IF(
    $H$6="Alkaline",
    IF(
        OR(
            Data!$C$37=C417,
            MOD(C417,Data!$C$37)=0
        ),
        $D$8,
        G417*Data!$C$42
    ),
    IF(
        $H$6="PEM",
        IF(
            OR(
                Data!$H$37=C417,
                MOD(C417,Data!$H$37)=0
            ),
            $D$8,
            G417*Data!$H$42
        ),
        ""
    )
)</f>
        <v>924910710.11129808</v>
      </c>
      <c r="H418" s="76">
        <f>(1+$D$14)^$C418</f>
        <v>1.1576250000000001</v>
      </c>
      <c r="I418" s="73">
        <f t="shared" si="99"/>
        <v>0</v>
      </c>
      <c r="J418" s="73">
        <f t="shared" si="100"/>
        <v>0</v>
      </c>
      <c r="K418" s="73">
        <f t="shared" ref="K418:K440" si="105">F418*$H418*(1+$D$15)^C418</f>
        <v>0</v>
      </c>
      <c r="L418" s="74">
        <f t="shared" si="102"/>
        <v>1070699760.7925916</v>
      </c>
    </row>
    <row r="419" spans="3:12" x14ac:dyDescent="0.35">
      <c r="C419" s="69">
        <v>4</v>
      </c>
      <c r="D419" s="75">
        <v>0</v>
      </c>
      <c r="E419" s="126">
        <f t="shared" si="103"/>
        <v>0</v>
      </c>
      <c r="F419" s="71">
        <f t="shared" si="104"/>
        <v>0</v>
      </c>
      <c r="G419" s="128">
        <f>IF(
    $H$6="Alkaline",
    IF(
        OR(
            Data!$C$37=C418,
            MOD(C418,Data!$C$37)=0
        ),
        $D$8,
        G418*Data!$C$42
    ),
    IF(
        $H$6="PEM",
        IF(
            OR(
                Data!$H$37=C418,
                MOD(C418,Data!$H$37)=0
            ),
            $D$8,
            G418*Data!$H$42
        ),
        ""
    )
)</f>
        <v>915661603.01018512</v>
      </c>
      <c r="H419" s="76">
        <f t="shared" si="98"/>
        <v>1.21550625</v>
      </c>
      <c r="I419" s="73">
        <f t="shared" si="99"/>
        <v>0</v>
      </c>
      <c r="J419" s="73">
        <f t="shared" si="100"/>
        <v>0</v>
      </c>
      <c r="K419" s="73">
        <f t="shared" si="105"/>
        <v>0</v>
      </c>
      <c r="L419" s="74">
        <f t="shared" si="102"/>
        <v>1112992401.3438988</v>
      </c>
    </row>
    <row r="420" spans="3:12" x14ac:dyDescent="0.35">
      <c r="C420" s="69">
        <v>5</v>
      </c>
      <c r="D420" s="75">
        <v>0</v>
      </c>
      <c r="E420" s="126">
        <f t="shared" si="103"/>
        <v>0</v>
      </c>
      <c r="F420" s="71">
        <f t="shared" si="104"/>
        <v>0</v>
      </c>
      <c r="G420" s="128">
        <f>IF(
    $H$6="Alkaline",
    IF(
        OR(
            Data!$C$37=C419,
            MOD(C419,Data!$C$37)=0
        ),
        $D$8,
        G419*Data!$C$42
    ),
    IF(
        $H$6="PEM",
        IF(
            OR(
                Data!$H$37=C419,
                MOD(C419,Data!$H$37)=0
            ),
            $D$8,
            G419*Data!$H$42
        ),
        ""
    )
)</f>
        <v>906504986.98008323</v>
      </c>
      <c r="H420" s="76">
        <f t="shared" si="98"/>
        <v>1.2762815625000001</v>
      </c>
      <c r="I420" s="73">
        <f t="shared" si="99"/>
        <v>0</v>
      </c>
      <c r="J420" s="73">
        <f>E420*$H420*(1+$D$15)^C420</f>
        <v>0</v>
      </c>
      <c r="K420" s="73">
        <f t="shared" si="105"/>
        <v>0</v>
      </c>
      <c r="L420" s="74">
        <f t="shared" si="102"/>
        <v>1156955601.1969829</v>
      </c>
    </row>
    <row r="421" spans="3:12" x14ac:dyDescent="0.35">
      <c r="C421" s="69">
        <v>6</v>
      </c>
      <c r="D421" s="75">
        <v>0</v>
      </c>
      <c r="E421" s="126">
        <f t="shared" si="103"/>
        <v>0</v>
      </c>
      <c r="F421" s="71">
        <f t="shared" si="104"/>
        <v>0</v>
      </c>
      <c r="G421" s="128">
        <f>IF(
    $H$6="Alkaline",
    IF(
        OR(
            Data!$C$37=C420,
            MOD(C420,Data!$C$37)=0
        ),
        $D$8,
        G420*Data!$C$42
    ),
    IF(
        $H$6="PEM",
        IF(
            OR(
                Data!$H$37=C420,
                MOD(C420,Data!$H$37)=0
            ),
            $D$8,
            G420*Data!$H$42
        ),
        ""
    )
)</f>
        <v>897439937.11028242</v>
      </c>
      <c r="H421" s="76">
        <f t="shared" si="98"/>
        <v>1.340095640625</v>
      </c>
      <c r="I421" s="73">
        <f t="shared" si="99"/>
        <v>0</v>
      </c>
      <c r="J421" s="73">
        <f t="shared" ref="J421:J440" si="106">E421*$H421*(1+$D$15)^C421</f>
        <v>0</v>
      </c>
      <c r="K421" s="73">
        <f t="shared" si="105"/>
        <v>0</v>
      </c>
      <c r="L421" s="74">
        <f t="shared" si="102"/>
        <v>1202655347.4442637</v>
      </c>
    </row>
    <row r="422" spans="3:12" x14ac:dyDescent="0.35">
      <c r="C422" s="69">
        <v>7</v>
      </c>
      <c r="D422" s="75">
        <v>0</v>
      </c>
      <c r="E422" s="126">
        <f t="shared" si="103"/>
        <v>0</v>
      </c>
      <c r="F422" s="71">
        <f t="shared" si="104"/>
        <v>0</v>
      </c>
      <c r="G422" s="128">
        <f>IF(
    $H$6="Alkaline",
    IF(
        OR(
            Data!$C$37=C421,
            MOD(C421,Data!$C$37)=0
        ),
        $D$8,
        G421*Data!$C$42
    ),
    IF(
        $H$6="PEM",
        IF(
            OR(
                Data!$H$37=C421,
                MOD(C421,Data!$H$37)=0
            ),
            $D$8,
            G421*Data!$H$42
        ),
        ""
    )
)</f>
        <v>888465537.73917961</v>
      </c>
      <c r="H422" s="76">
        <f t="shared" si="98"/>
        <v>1.4071004226562502</v>
      </c>
      <c r="I422" s="73">
        <f t="shared" si="99"/>
        <v>0</v>
      </c>
      <c r="J422" s="73">
        <f t="shared" si="106"/>
        <v>0</v>
      </c>
      <c r="K422" s="73">
        <f t="shared" si="105"/>
        <v>0</v>
      </c>
      <c r="L422" s="74">
        <f t="shared" si="102"/>
        <v>1250160233.6683123</v>
      </c>
    </row>
    <row r="423" spans="3:12" x14ac:dyDescent="0.35">
      <c r="C423" s="69">
        <v>8</v>
      </c>
      <c r="D423" s="75">
        <v>0</v>
      </c>
      <c r="E423" s="126">
        <f t="shared" si="103"/>
        <v>0</v>
      </c>
      <c r="F423" s="71">
        <f t="shared" si="104"/>
        <v>0</v>
      </c>
      <c r="G423" s="128">
        <f>IF(
    $H$6="Alkaline",
    IF(
        OR(
            Data!$C$37=C422,
            MOD(C422,Data!$C$37)=0
        ),
        $D$8,
        G422*Data!$C$42
    ),
    IF(
        $H$6="PEM",
        IF(
            OR(
                Data!$H$37=C422,
                MOD(C422,Data!$H$37)=0
            ),
            $D$8,
            G422*Data!$H$42
        ),
        ""
    )
)</f>
        <v>943690143.97642899</v>
      </c>
      <c r="H423" s="76">
        <f t="shared" si="98"/>
        <v>1.4774554437890626</v>
      </c>
      <c r="I423" s="73">
        <f t="shared" si="99"/>
        <v>0</v>
      </c>
      <c r="J423" s="73">
        <f t="shared" si="106"/>
        <v>0</v>
      </c>
      <c r="K423" s="73">
        <f t="shared" si="105"/>
        <v>0</v>
      </c>
      <c r="L423" s="74">
        <f t="shared" si="102"/>
        <v>1394260140.4680593</v>
      </c>
    </row>
    <row r="424" spans="3:12" x14ac:dyDescent="0.35">
      <c r="C424" s="69">
        <v>9</v>
      </c>
      <c r="D424" s="75">
        <v>0</v>
      </c>
      <c r="E424" s="126">
        <f t="shared" si="103"/>
        <v>0</v>
      </c>
      <c r="F424" s="71">
        <f t="shared" si="104"/>
        <v>0</v>
      </c>
      <c r="G424" s="128">
        <f>IF(
    $H$6="Alkaline",
    IF(
        OR(
            Data!$C$37=C423,
            MOD(C423,Data!$C$37)=0
        ),
        $D$8,
        G423*Data!$C$42
    ),
    IF(
        $H$6="PEM",
        IF(
            OR(
                Data!$H$37=C423,
                MOD(C423,Data!$H$37)=0
            ),
            $D$8,
            G423*Data!$H$42
        ),
        ""
    )
)</f>
        <v>934253242.53666472</v>
      </c>
      <c r="H424" s="76">
        <f t="shared" si="98"/>
        <v>1.5513282159785158</v>
      </c>
      <c r="I424" s="73">
        <f t="shared" si="99"/>
        <v>0</v>
      </c>
      <c r="J424" s="73">
        <f t="shared" si="106"/>
        <v>0</v>
      </c>
      <c r="K424" s="73">
        <f t="shared" si="105"/>
        <v>0</v>
      </c>
      <c r="L424" s="74">
        <f t="shared" si="102"/>
        <v>1449333416.0165477</v>
      </c>
    </row>
    <row r="425" spans="3:12" x14ac:dyDescent="0.35">
      <c r="C425" s="69">
        <v>10</v>
      </c>
      <c r="D425" s="75">
        <v>0</v>
      </c>
      <c r="E425" s="126">
        <f t="shared" si="103"/>
        <v>0</v>
      </c>
      <c r="F425" s="71">
        <f t="shared" si="104"/>
        <v>0</v>
      </c>
      <c r="G425" s="128">
        <f>IF(
    $H$6="Alkaline",
    IF(
        OR(
            Data!$C$37=C424,
            MOD(C424,Data!$C$37)=0
        ),
        $D$8,
        G424*Data!$C$42
    ),
    IF(
        $H$6="PEM",
        IF(
            OR(
                Data!$H$37=C424,
                MOD(C424,Data!$H$37)=0
            ),
            $D$8,
            G424*Data!$H$42
        ),
        ""
    )
)</f>
        <v>924910710.11129808</v>
      </c>
      <c r="H425" s="76">
        <f t="shared" si="98"/>
        <v>1.6288946267774416</v>
      </c>
      <c r="I425" s="73">
        <f t="shared" si="99"/>
        <v>0</v>
      </c>
      <c r="J425" s="73">
        <f t="shared" si="106"/>
        <v>0</v>
      </c>
      <c r="K425" s="73">
        <f t="shared" si="105"/>
        <v>0</v>
      </c>
      <c r="L425" s="74">
        <f t="shared" si="102"/>
        <v>1506582085.9492013</v>
      </c>
    </row>
    <row r="426" spans="3:12" x14ac:dyDescent="0.35">
      <c r="C426" s="69">
        <v>11</v>
      </c>
      <c r="D426" s="75">
        <v>0</v>
      </c>
      <c r="E426" s="126">
        <f t="shared" si="103"/>
        <v>0</v>
      </c>
      <c r="F426" s="71">
        <f t="shared" si="104"/>
        <v>0</v>
      </c>
      <c r="G426" s="128">
        <f>IF(
    $H$6="Alkaline",
    IF(
        OR(
            Data!$C$37=C425,
            MOD(C425,Data!$C$37)=0
        ),
        $D$8,
        G425*Data!$C$42
    ),
    IF(
        $H$6="PEM",
        IF(
            OR(
                Data!$H$37=C425,
                MOD(C425,Data!$H$37)=0
            ),
            $D$8,
            G425*Data!$H$42
        ),
        ""
    )
)</f>
        <v>915661603.01018512</v>
      </c>
      <c r="H426" s="76">
        <f t="shared" si="98"/>
        <v>1.7103393581163138</v>
      </c>
      <c r="I426" s="73">
        <f t="shared" si="99"/>
        <v>0</v>
      </c>
      <c r="J426" s="73">
        <f t="shared" si="106"/>
        <v>0</v>
      </c>
      <c r="K426" s="73">
        <f t="shared" si="105"/>
        <v>0</v>
      </c>
      <c r="L426" s="74">
        <f t="shared" si="102"/>
        <v>1566092078.3441949</v>
      </c>
    </row>
    <row r="427" spans="3:12" x14ac:dyDescent="0.35">
      <c r="C427" s="69">
        <v>12</v>
      </c>
      <c r="D427" s="75">
        <v>0</v>
      </c>
      <c r="E427" s="126">
        <f t="shared" si="103"/>
        <v>0</v>
      </c>
      <c r="F427" s="71">
        <f t="shared" si="104"/>
        <v>0</v>
      </c>
      <c r="G427" s="128">
        <f>IF(
    $H$6="Alkaline",
    IF(
        OR(
            Data!$C$37=C426,
            MOD(C426,Data!$C$37)=0
        ),
        $D$8,
        G426*Data!$C$42
    ),
    IF(
        $H$6="PEM",
        IF(
            OR(
                Data!$H$37=C426,
                MOD(C426,Data!$H$37)=0
            ),
            $D$8,
            G426*Data!$H$42
        ),
        ""
    )
)</f>
        <v>906504986.98008323</v>
      </c>
      <c r="H427" s="76">
        <f t="shared" si="98"/>
        <v>1.7958563260221292</v>
      </c>
      <c r="I427" s="73">
        <f t="shared" si="99"/>
        <v>0</v>
      </c>
      <c r="J427" s="73">
        <f t="shared" si="106"/>
        <v>0</v>
      </c>
      <c r="K427" s="73">
        <f t="shared" si="105"/>
        <v>0</v>
      </c>
      <c r="L427" s="74">
        <f t="shared" si="102"/>
        <v>1627952715.4387903</v>
      </c>
    </row>
    <row r="428" spans="3:12" x14ac:dyDescent="0.35">
      <c r="C428" s="69">
        <v>13</v>
      </c>
      <c r="D428" s="75">
        <v>0</v>
      </c>
      <c r="E428" s="126">
        <f t="shared" si="103"/>
        <v>0</v>
      </c>
      <c r="F428" s="71">
        <f t="shared" si="104"/>
        <v>0</v>
      </c>
      <c r="G428" s="128">
        <f>IF(
    $H$6="Alkaline",
    IF(
        OR(
            Data!$C$37=C427,
            MOD(C427,Data!$C$37)=0
        ),
        $D$8,
        G427*Data!$C$42
    ),
    IF(
        $H$6="PEM",
        IF(
            OR(
                Data!$H$37=C427,
                MOD(C427,Data!$H$37)=0
            ),
            $D$8,
            G427*Data!$H$42
        ),
        ""
    )
)</f>
        <v>897439937.11028242</v>
      </c>
      <c r="H428" s="76">
        <f t="shared" si="98"/>
        <v>1.885649142323236</v>
      </c>
      <c r="I428" s="73">
        <f t="shared" si="99"/>
        <v>0</v>
      </c>
      <c r="J428" s="73">
        <f t="shared" si="106"/>
        <v>0</v>
      </c>
      <c r="K428" s="73">
        <f t="shared" si="105"/>
        <v>0</v>
      </c>
      <c r="L428" s="74">
        <f t="shared" si="102"/>
        <v>1692256847.6986229</v>
      </c>
    </row>
    <row r="429" spans="3:12" x14ac:dyDescent="0.35">
      <c r="C429" s="69">
        <v>14</v>
      </c>
      <c r="D429" s="75">
        <v>0</v>
      </c>
      <c r="E429" s="126">
        <f t="shared" si="103"/>
        <v>0</v>
      </c>
      <c r="F429" s="71">
        <f t="shared" si="104"/>
        <v>0</v>
      </c>
      <c r="G429" s="128">
        <f>IF(
    $H$6="Alkaline",
    IF(
        OR(
            Data!$C$37=C428,
            MOD(C428,Data!$C$37)=0
        ),
        $D$8,
        G428*Data!$C$42
    ),
    IF(
        $H$6="PEM",
        IF(
            OR(
                Data!$H$37=C428,
                MOD(C428,Data!$H$37)=0
            ),
            $D$8,
            G428*Data!$H$42
        ),
        ""
    )
)</f>
        <v>888465537.73917961</v>
      </c>
      <c r="H429" s="76">
        <f t="shared" si="98"/>
        <v>1.9799315994393973</v>
      </c>
      <c r="I429" s="73">
        <f t="shared" si="99"/>
        <v>0</v>
      </c>
      <c r="J429" s="73">
        <f t="shared" si="106"/>
        <v>0</v>
      </c>
      <c r="K429" s="73">
        <f t="shared" si="105"/>
        <v>0</v>
      </c>
      <c r="L429" s="74">
        <f t="shared" si="102"/>
        <v>1759100993.182718</v>
      </c>
    </row>
    <row r="430" spans="3:12" x14ac:dyDescent="0.35">
      <c r="C430" s="69">
        <v>15</v>
      </c>
      <c r="D430" s="75">
        <v>0</v>
      </c>
      <c r="E430" s="126">
        <f t="shared" si="103"/>
        <v>0</v>
      </c>
      <c r="F430" s="71">
        <f t="shared" si="104"/>
        <v>0</v>
      </c>
      <c r="G430" s="128">
        <f>IF(
    $H$6="Alkaline",
    IF(
        OR(
            Data!$C$37=C429,
            MOD(C429,Data!$C$37)=0
        ),
        $D$8,
        G429*Data!$C$42
    ),
    IF(
        $H$6="PEM",
        IF(
            OR(
                Data!$H$37=C429,
                MOD(C429,Data!$H$37)=0
            ),
            $D$8,
            G429*Data!$H$42
        ),
        ""
    )
)</f>
        <v>943690143.97642899</v>
      </c>
      <c r="H430" s="76">
        <f t="shared" si="98"/>
        <v>2.0789281794113679</v>
      </c>
      <c r="I430" s="73">
        <f t="shared" si="99"/>
        <v>0</v>
      </c>
      <c r="J430" s="73">
        <f t="shared" si="106"/>
        <v>0</v>
      </c>
      <c r="K430" s="73">
        <f t="shared" si="105"/>
        <v>0</v>
      </c>
      <c r="L430" s="74">
        <f t="shared" si="102"/>
        <v>1961864032.9453692</v>
      </c>
    </row>
    <row r="431" spans="3:12" x14ac:dyDescent="0.35">
      <c r="C431" s="69">
        <v>16</v>
      </c>
      <c r="D431" s="75">
        <v>0</v>
      </c>
      <c r="E431" s="126">
        <f t="shared" si="103"/>
        <v>0</v>
      </c>
      <c r="F431" s="71">
        <f t="shared" si="104"/>
        <v>0</v>
      </c>
      <c r="G431" s="128">
        <f>IF(
    $H$6="Alkaline",
    IF(
        OR(
            Data!$C$37=C430,
            MOD(C430,Data!$C$37)=0
        ),
        $D$8,
        G430*Data!$C$42
    ),
    IF(
        $H$6="PEM",
        IF(
            OR(
                Data!$H$37=C430,
                MOD(C430,Data!$H$37)=0
            ),
            $D$8,
            G430*Data!$H$42
        ),
        ""
    )
)</f>
        <v>934253242.53666472</v>
      </c>
      <c r="H431" s="76">
        <f t="shared" si="98"/>
        <v>2.182874588381936</v>
      </c>
      <c r="I431" s="73">
        <f t="shared" si="99"/>
        <v>0</v>
      </c>
      <c r="J431" s="73">
        <f t="shared" si="106"/>
        <v>0</v>
      </c>
      <c r="K431" s="73">
        <f t="shared" si="105"/>
        <v>0</v>
      </c>
      <c r="L431" s="74">
        <f t="shared" si="102"/>
        <v>2039357662.246711</v>
      </c>
    </row>
    <row r="432" spans="3:12" x14ac:dyDescent="0.35">
      <c r="C432" s="69">
        <v>17</v>
      </c>
      <c r="D432" s="75">
        <v>0</v>
      </c>
      <c r="E432" s="126">
        <f t="shared" si="103"/>
        <v>0</v>
      </c>
      <c r="F432" s="71">
        <f t="shared" si="104"/>
        <v>0</v>
      </c>
      <c r="G432" s="128">
        <f>IF(
    $H$6="Alkaline",
    IF(
        OR(
            Data!$C$37=C431,
            MOD(C431,Data!$C$37)=0
        ),
        $D$8,
        G431*Data!$C$42
    ),
    IF(
        $H$6="PEM",
        IF(
            OR(
                Data!$H$37=C431,
                MOD(C431,Data!$H$37)=0
            ),
            $D$8,
            G431*Data!$H$42
        ),
        ""
    )
)</f>
        <v>924910710.11129808</v>
      </c>
      <c r="H432" s="76">
        <f t="shared" si="98"/>
        <v>2.2920183178010332</v>
      </c>
      <c r="I432" s="73">
        <f t="shared" si="99"/>
        <v>0</v>
      </c>
      <c r="J432" s="73">
        <f t="shared" si="106"/>
        <v>0</v>
      </c>
      <c r="K432" s="73">
        <f t="shared" si="105"/>
        <v>0</v>
      </c>
      <c r="L432" s="74">
        <f t="shared" si="102"/>
        <v>2119912289.9054565</v>
      </c>
    </row>
    <row r="433" spans="1:13" x14ac:dyDescent="0.35">
      <c r="C433" s="69">
        <v>18</v>
      </c>
      <c r="D433" s="75">
        <v>0</v>
      </c>
      <c r="E433" s="126">
        <f t="shared" si="103"/>
        <v>0</v>
      </c>
      <c r="F433" s="71">
        <f t="shared" si="104"/>
        <v>0</v>
      </c>
      <c r="G433" s="128">
        <f>IF(
    $H$6="Alkaline",
    IF(
        OR(
            Data!$C$37=C432,
            MOD(C432,Data!$C$37)=0
        ),
        $D$8,
        G432*Data!$C$42
    ),
    IF(
        $H$6="PEM",
        IF(
            OR(
                Data!$H$37=C432,
                MOD(C432,Data!$H$37)=0
            ),
            $D$8,
            G432*Data!$H$42
        ),
        ""
    )
)</f>
        <v>915661603.01018512</v>
      </c>
      <c r="H433" s="76">
        <f t="shared" si="98"/>
        <v>2.4066192336910848</v>
      </c>
      <c r="I433" s="73">
        <f t="shared" si="99"/>
        <v>0</v>
      </c>
      <c r="J433" s="73">
        <f t="shared" si="106"/>
        <v>0</v>
      </c>
      <c r="K433" s="73">
        <f t="shared" si="105"/>
        <v>0</v>
      </c>
      <c r="L433" s="74">
        <f t="shared" si="102"/>
        <v>2203648825.3567219</v>
      </c>
    </row>
    <row r="434" spans="1:13" x14ac:dyDescent="0.35">
      <c r="C434" s="69">
        <v>19</v>
      </c>
      <c r="D434" s="75">
        <v>0</v>
      </c>
      <c r="E434" s="126">
        <f t="shared" si="103"/>
        <v>0</v>
      </c>
      <c r="F434" s="71">
        <f t="shared" si="104"/>
        <v>0</v>
      </c>
      <c r="G434" s="128">
        <f>IF(
    $H$6="Alkaline",
    IF(
        OR(
            Data!$C$37=C433,
            MOD(C433,Data!$C$37)=0
        ),
        $D$8,
        G433*Data!$C$42
    ),
    IF(
        $H$6="PEM",
        IF(
            OR(
                Data!$H$37=C433,
                MOD(C433,Data!$H$37)=0
            ),
            $D$8,
            G433*Data!$H$42
        ),
        ""
    )
)</f>
        <v>906504986.98008323</v>
      </c>
      <c r="H434" s="76">
        <f t="shared" si="98"/>
        <v>2.526950195375639</v>
      </c>
      <c r="I434" s="73">
        <f t="shared" si="99"/>
        <v>0</v>
      </c>
      <c r="J434" s="73">
        <f t="shared" si="106"/>
        <v>0</v>
      </c>
      <c r="K434" s="73">
        <f t="shared" si="105"/>
        <v>0</v>
      </c>
      <c r="L434" s="74">
        <f t="shared" si="102"/>
        <v>2290692953.9583125</v>
      </c>
    </row>
    <row r="435" spans="1:13" x14ac:dyDescent="0.35">
      <c r="C435" s="69">
        <v>20</v>
      </c>
      <c r="D435" s="75">
        <v>0</v>
      </c>
      <c r="E435" s="126">
        <f t="shared" si="103"/>
        <v>0</v>
      </c>
      <c r="F435" s="71">
        <f t="shared" si="104"/>
        <v>0</v>
      </c>
      <c r="G435" s="128">
        <f>IF(
    $H$6="Alkaline",
    IF(
        OR(
            Data!$C$37=C434,
            MOD(C434,Data!$C$37)=0
        ),
        $D$8,
        G434*Data!$C$42
    ),
    IF(
        $H$6="PEM",
        IF(
            OR(
                Data!$H$37=C434,
                MOD(C434,Data!$H$37)=0
            ),
            $D$8,
            G434*Data!$H$42
        ),
        ""
    )
)</f>
        <v>897439937.11028242</v>
      </c>
      <c r="H435" s="76">
        <f t="shared" si="98"/>
        <v>2.6532977051444209</v>
      </c>
      <c r="I435" s="73">
        <f t="shared" si="99"/>
        <v>0</v>
      </c>
      <c r="J435" s="73">
        <f t="shared" si="106"/>
        <v>0</v>
      </c>
      <c r="K435" s="73">
        <f t="shared" si="105"/>
        <v>0</v>
      </c>
      <c r="L435" s="74">
        <f t="shared" si="102"/>
        <v>2381175325.6396656</v>
      </c>
    </row>
    <row r="436" spans="1:13" x14ac:dyDescent="0.35">
      <c r="C436" s="69">
        <v>21</v>
      </c>
      <c r="D436" s="75">
        <v>0</v>
      </c>
      <c r="E436" s="126">
        <f t="shared" si="103"/>
        <v>0</v>
      </c>
      <c r="F436" s="71">
        <f t="shared" si="104"/>
        <v>0</v>
      </c>
      <c r="G436" s="128">
        <f>IF(
    $H$6="Alkaline",
    IF(
        OR(
            Data!$C$37=C435,
            MOD(C435,Data!$C$37)=0
        ),
        $D$8,
        G435*Data!$C$42
    ),
    IF(
        $H$6="PEM",
        IF(
            OR(
                Data!$H$37=C435,
                MOD(C435,Data!$H$37)=0
            ),
            $D$8,
            G435*Data!$H$42
        ),
        ""
    )
)</f>
        <v>888465537.73917961</v>
      </c>
      <c r="H436" s="76">
        <f t="shared" si="98"/>
        <v>2.7859625904016418</v>
      </c>
      <c r="I436" s="73">
        <f t="shared" si="99"/>
        <v>0</v>
      </c>
      <c r="J436" s="73">
        <f t="shared" si="106"/>
        <v>0</v>
      </c>
      <c r="K436" s="73">
        <f t="shared" si="105"/>
        <v>0</v>
      </c>
      <c r="L436" s="74">
        <f t="shared" si="102"/>
        <v>2475231751.0024323</v>
      </c>
    </row>
    <row r="437" spans="1:13" x14ac:dyDescent="0.35">
      <c r="C437" s="69">
        <v>22</v>
      </c>
      <c r="D437" s="75">
        <v>0</v>
      </c>
      <c r="E437" s="126">
        <f t="shared" si="103"/>
        <v>0</v>
      </c>
      <c r="F437" s="71">
        <f t="shared" si="104"/>
        <v>0</v>
      </c>
      <c r="G437" s="128">
        <f>IF(
    $H$6="Alkaline",
    IF(
        OR(
            Data!$C$37=C436,
            MOD(C436,Data!$C$37)=0
        ),
        $D$8,
        G436*Data!$C$42
    ),
    IF(
        $H$6="PEM",
        IF(
            OR(
                Data!$H$37=C436,
                MOD(C436,Data!$H$37)=0
            ),
            $D$8,
            G436*Data!$H$42
        ),
        ""
    )
)</f>
        <v>943690143.97642899</v>
      </c>
      <c r="H437" s="76">
        <f t="shared" si="98"/>
        <v>2.9252607199217238</v>
      </c>
      <c r="I437" s="73">
        <f t="shared" si="99"/>
        <v>0</v>
      </c>
      <c r="J437" s="73">
        <f t="shared" si="106"/>
        <v>0</v>
      </c>
      <c r="K437" s="73">
        <f t="shared" si="105"/>
        <v>0</v>
      </c>
      <c r="L437" s="74">
        <f t="shared" si="102"/>
        <v>2760539709.9515238</v>
      </c>
    </row>
    <row r="438" spans="1:13" x14ac:dyDescent="0.35">
      <c r="C438" s="69">
        <v>23</v>
      </c>
      <c r="D438" s="75">
        <v>0</v>
      </c>
      <c r="E438" s="126">
        <f t="shared" si="103"/>
        <v>0</v>
      </c>
      <c r="F438" s="71">
        <f t="shared" si="104"/>
        <v>0</v>
      </c>
      <c r="G438" s="128">
        <f>IF(
    $H$6="Alkaline",
    IF(
        OR(
            Data!$C$37=C437,
            MOD(C437,Data!$C$37)=0
        ),
        $D$8,
        G437*Data!$C$42
    ),
    IF(
        $H$6="PEM",
        IF(
            OR(
                Data!$H$37=C437,
                MOD(C437,Data!$H$37)=0
            ),
            $D$8,
            G437*Data!$H$42
        ),
        ""
    )
)</f>
        <v>934253242.53666472</v>
      </c>
      <c r="H438" s="76">
        <f t="shared" si="98"/>
        <v>3.0715237559178106</v>
      </c>
      <c r="I438" s="73">
        <f t="shared" si="99"/>
        <v>0</v>
      </c>
      <c r="J438" s="73">
        <f t="shared" si="106"/>
        <v>0</v>
      </c>
      <c r="K438" s="73">
        <f t="shared" si="105"/>
        <v>0</v>
      </c>
      <c r="L438" s="74">
        <f t="shared" si="102"/>
        <v>2869581028.4946098</v>
      </c>
    </row>
    <row r="439" spans="1:13" x14ac:dyDescent="0.35">
      <c r="C439" s="69">
        <v>24</v>
      </c>
      <c r="D439" s="75">
        <v>0</v>
      </c>
      <c r="E439" s="126">
        <f t="shared" si="103"/>
        <v>0</v>
      </c>
      <c r="F439" s="71">
        <f t="shared" si="104"/>
        <v>0</v>
      </c>
      <c r="G439" s="128">
        <f>IF(
    $H$6="Alkaline",
    IF(
        OR(
            Data!$C$37=C438,
            MOD(C438,Data!$C$37)=0
        ),
        $D$8,
        G438*Data!$C$42
    ),
    IF(
        $H$6="PEM",
        IF(
            OR(
                Data!$H$37=C438,
                MOD(C438,Data!$H$37)=0
            ),
            $D$8,
            G438*Data!$H$42
        ),
        ""
    )
)</f>
        <v>924910710.11129808</v>
      </c>
      <c r="H439" s="76">
        <f t="shared" si="98"/>
        <v>3.2250999437137007</v>
      </c>
      <c r="I439" s="73">
        <f t="shared" si="99"/>
        <v>0</v>
      </c>
      <c r="J439" s="73">
        <f t="shared" si="106"/>
        <v>0</v>
      </c>
      <c r="K439" s="73">
        <f t="shared" si="105"/>
        <v>0</v>
      </c>
      <c r="L439" s="74">
        <f t="shared" si="102"/>
        <v>2982929479.1201463</v>
      </c>
    </row>
    <row r="440" spans="1:13" ht="15" thickBot="1" x14ac:dyDescent="0.4">
      <c r="C440" s="69">
        <v>25</v>
      </c>
      <c r="D440" s="75">
        <v>0</v>
      </c>
      <c r="E440" s="126">
        <f t="shared" si="103"/>
        <v>0</v>
      </c>
      <c r="F440" s="71">
        <f t="shared" si="104"/>
        <v>0</v>
      </c>
      <c r="G440" s="128">
        <f>IF(
    $H$6="Alkaline",
    IF(
        OR(
            Data!$C$37=C439,
            MOD(C439,Data!$C$37)=0
        ),
        $D$8,
        G439*Data!$C$42
    ),
    IF(
        $H$6="PEM",
        IF(
            OR(
                Data!$H$37=C439,
                MOD(C439,Data!$H$37)=0
            ),
            $D$8,
            G439*Data!$H$42
        ),
        ""
    )
)</f>
        <v>915661603.01018512</v>
      </c>
      <c r="H440" s="76">
        <f t="shared" si="98"/>
        <v>3.3863549408993858</v>
      </c>
      <c r="I440" s="73">
        <f t="shared" si="99"/>
        <v>0</v>
      </c>
      <c r="J440" s="73">
        <f t="shared" si="106"/>
        <v>0</v>
      </c>
      <c r="K440" s="73">
        <f t="shared" si="105"/>
        <v>0</v>
      </c>
      <c r="L440" s="74">
        <f t="shared" si="102"/>
        <v>3100755193.5453925</v>
      </c>
    </row>
    <row r="441" spans="1:13" ht="15" thickBot="1" x14ac:dyDescent="0.4">
      <c r="C441" s="70" t="s">
        <v>26</v>
      </c>
      <c r="D441" s="77">
        <f t="shared" ref="D441:K441" si="107">SUM(D415:D440)</f>
        <v>0</v>
      </c>
      <c r="E441" s="77">
        <f t="shared" si="107"/>
        <v>0</v>
      </c>
      <c r="F441" s="77">
        <f t="shared" si="107"/>
        <v>0</v>
      </c>
      <c r="G441" s="77">
        <f t="shared" si="107"/>
        <v>22951294184.026939</v>
      </c>
      <c r="H441" s="77">
        <f t="shared" si="107"/>
        <v>51.113453758887083</v>
      </c>
      <c r="I441" s="77">
        <f t="shared" si="107"/>
        <v>0</v>
      </c>
      <c r="J441" s="77">
        <f t="shared" si="107"/>
        <v>0</v>
      </c>
      <c r="K441" s="77">
        <f t="shared" si="107"/>
        <v>0</v>
      </c>
      <c r="L441" s="77">
        <f>SUM(L415:L440)</f>
        <v>45995618724.782455</v>
      </c>
    </row>
    <row r="443" spans="1:13" ht="15" thickBot="1" x14ac:dyDescent="0.4">
      <c r="A443">
        <v>11</v>
      </c>
      <c r="B443">
        <v>63</v>
      </c>
      <c r="C443" s="133" t="s">
        <v>149</v>
      </c>
    </row>
    <row r="444" spans="1:13" ht="19" thickBot="1" x14ac:dyDescent="0.5">
      <c r="C444" s="58" t="s">
        <v>15</v>
      </c>
      <c r="D444" s="58" t="s">
        <v>16</v>
      </c>
      <c r="E444" s="58" t="s">
        <v>17</v>
      </c>
      <c r="F444" s="58" t="s">
        <v>18</v>
      </c>
      <c r="G444" s="59" t="s">
        <v>19</v>
      </c>
      <c r="H444" s="58" t="s">
        <v>20</v>
      </c>
      <c r="I444" s="59" t="s">
        <v>21</v>
      </c>
      <c r="J444" s="58" t="s">
        <v>22</v>
      </c>
      <c r="K444" s="58" t="s">
        <v>23</v>
      </c>
      <c r="L444" s="58" t="s">
        <v>24</v>
      </c>
      <c r="M444" s="152" t="s">
        <v>253</v>
      </c>
    </row>
    <row r="445" spans="1:13" ht="18.5" x14ac:dyDescent="0.45">
      <c r="C445" s="68">
        <v>0</v>
      </c>
      <c r="D445" s="71">
        <f>$G$63</f>
        <v>0</v>
      </c>
      <c r="E445" s="71">
        <v>0</v>
      </c>
      <c r="F445" s="71">
        <v>0</v>
      </c>
      <c r="G445" s="127">
        <v>0</v>
      </c>
      <c r="H445" s="72">
        <f t="shared" ref="H445:H470" si="108">(1+$D$14)^$C445</f>
        <v>1</v>
      </c>
      <c r="I445" s="73">
        <f t="shared" ref="I445:I470" si="109">D445*$H445*(1+$D$15)^C445</f>
        <v>0</v>
      </c>
      <c r="J445" s="73">
        <f t="shared" ref="J445:J449" si="110">E445*$H445*(1+$D$15)^C445</f>
        <v>0</v>
      </c>
      <c r="K445" s="73">
        <f t="shared" ref="K445:K446" si="111">F445*$H445*(1+$D$15)^C445</f>
        <v>0</v>
      </c>
      <c r="L445" s="74">
        <f t="shared" ref="L445:L470" si="112">G445*$H445</f>
        <v>0</v>
      </c>
      <c r="M445" s="153">
        <f>(I471+J471+K471)/L471</f>
        <v>0</v>
      </c>
    </row>
    <row r="446" spans="1:13" x14ac:dyDescent="0.35">
      <c r="C446" s="69">
        <v>1</v>
      </c>
      <c r="D446" s="75">
        <v>0</v>
      </c>
      <c r="E446" s="126">
        <f>$K$63</f>
        <v>0</v>
      </c>
      <c r="F446" s="71">
        <f>(IF(MOD(C446,$H$63)=0,$J$63,0))</f>
        <v>0</v>
      </c>
      <c r="G446" s="128">
        <f>$D$8</f>
        <v>943690143.97642899</v>
      </c>
      <c r="H446" s="76">
        <f t="shared" si="108"/>
        <v>1.05</v>
      </c>
      <c r="I446" s="73">
        <f t="shared" si="109"/>
        <v>0</v>
      </c>
      <c r="J446" s="73">
        <f t="shared" si="110"/>
        <v>0</v>
      </c>
      <c r="K446" s="73">
        <f t="shared" si="111"/>
        <v>0</v>
      </c>
      <c r="L446" s="97">
        <f t="shared" si="112"/>
        <v>990874651.17525053</v>
      </c>
    </row>
    <row r="447" spans="1:13" x14ac:dyDescent="0.35">
      <c r="C447" s="69">
        <v>2</v>
      </c>
      <c r="D447" s="75">
        <v>0</v>
      </c>
      <c r="E447" s="126">
        <f t="shared" ref="E447:E470" si="113">$K$63</f>
        <v>0</v>
      </c>
      <c r="F447" s="71">
        <f>(IF(MOD(C446,$H$63)=0,$J$63,0))</f>
        <v>0</v>
      </c>
      <c r="G447" s="128">
        <f>IF(
    $H$6="Alkaline",
    IF(
        OR(
            Data!$C$37=C446,
            MOD(C446,Data!$C$37)=0
        ),
        $D$8,
        G446*Data!$C$42
    ),
    IF(
        $H$6="PEM",
        IF(
            OR(
                Data!$H$37=C446,
                MOD(C446,Data!$H$37)=0
            ),
            $D$8,
            G446*Data!$H$42
        ),
        ""
    )
)</f>
        <v>934253242.53666472</v>
      </c>
      <c r="H447" s="76">
        <f t="shared" si="108"/>
        <v>1.1025</v>
      </c>
      <c r="I447" s="73">
        <f t="shared" si="109"/>
        <v>0</v>
      </c>
      <c r="J447" s="73">
        <f t="shared" si="110"/>
        <v>0</v>
      </c>
      <c r="K447" s="73">
        <f>F447*$H447*(1+$D$15)^C447</f>
        <v>0</v>
      </c>
      <c r="L447" s="74">
        <f t="shared" si="112"/>
        <v>1030014199.8966728</v>
      </c>
    </row>
    <row r="448" spans="1:13" x14ac:dyDescent="0.35">
      <c r="C448" s="69">
        <v>3</v>
      </c>
      <c r="D448" s="75">
        <v>0</v>
      </c>
      <c r="E448" s="126">
        <f t="shared" si="113"/>
        <v>0</v>
      </c>
      <c r="F448" s="71">
        <f t="shared" ref="F448:F470" si="114">(IF(MOD(C447,$H$63)=0,$J$63,0))</f>
        <v>0</v>
      </c>
      <c r="G448" s="128">
        <f>IF(
    $H$6="Alkaline",
    IF(
        OR(
            Data!$C$37=C447,
            MOD(C447,Data!$C$37)=0
        ),
        $D$8,
        G447*Data!$C$42
    ),
    IF(
        $H$6="PEM",
        IF(
            OR(
                Data!$H$37=C447,
                MOD(C447,Data!$H$37)=0
            ),
            $D$8,
            G447*Data!$H$42
        ),
        ""
    )
)</f>
        <v>924910710.11129808</v>
      </c>
      <c r="H448" s="76">
        <f>(1+$D$14)^$C448</f>
        <v>1.1576250000000001</v>
      </c>
      <c r="I448" s="73">
        <f t="shared" si="109"/>
        <v>0</v>
      </c>
      <c r="J448" s="73">
        <f t="shared" si="110"/>
        <v>0</v>
      </c>
      <c r="K448" s="73">
        <f t="shared" ref="K448:K470" si="115">F448*$H448*(1+$D$15)^C448</f>
        <v>0</v>
      </c>
      <c r="L448" s="74">
        <f t="shared" si="112"/>
        <v>1070699760.7925916</v>
      </c>
    </row>
    <row r="449" spans="3:12" x14ac:dyDescent="0.35">
      <c r="C449" s="69">
        <v>4</v>
      </c>
      <c r="D449" s="75">
        <v>0</v>
      </c>
      <c r="E449" s="126">
        <f t="shared" si="113"/>
        <v>0</v>
      </c>
      <c r="F449" s="71">
        <f t="shared" si="114"/>
        <v>0</v>
      </c>
      <c r="G449" s="128">
        <f>IF(
    $H$6="Alkaline",
    IF(
        OR(
            Data!$C$37=C448,
            MOD(C448,Data!$C$37)=0
        ),
        $D$8,
        G448*Data!$C$42
    ),
    IF(
        $H$6="PEM",
        IF(
            OR(
                Data!$H$37=C448,
                MOD(C448,Data!$H$37)=0
            ),
            $D$8,
            G448*Data!$H$42
        ),
        ""
    )
)</f>
        <v>915661603.01018512</v>
      </c>
      <c r="H449" s="76">
        <f t="shared" si="108"/>
        <v>1.21550625</v>
      </c>
      <c r="I449" s="73">
        <f t="shared" si="109"/>
        <v>0</v>
      </c>
      <c r="J449" s="73">
        <f t="shared" si="110"/>
        <v>0</v>
      </c>
      <c r="K449" s="73">
        <f t="shared" si="115"/>
        <v>0</v>
      </c>
      <c r="L449" s="74">
        <f t="shared" si="112"/>
        <v>1112992401.3438988</v>
      </c>
    </row>
    <row r="450" spans="3:12" x14ac:dyDescent="0.35">
      <c r="C450" s="69">
        <v>5</v>
      </c>
      <c r="D450" s="75">
        <v>0</v>
      </c>
      <c r="E450" s="126">
        <f t="shared" si="113"/>
        <v>0</v>
      </c>
      <c r="F450" s="71">
        <f t="shared" si="114"/>
        <v>0</v>
      </c>
      <c r="G450" s="128">
        <f>IF(
    $H$6="Alkaline",
    IF(
        OR(
            Data!$C$37=C449,
            MOD(C449,Data!$C$37)=0
        ),
        $D$8,
        G449*Data!$C$42
    ),
    IF(
        $H$6="PEM",
        IF(
            OR(
                Data!$H$37=C449,
                MOD(C449,Data!$H$37)=0
            ),
            $D$8,
            G449*Data!$H$42
        ),
        ""
    )
)</f>
        <v>906504986.98008323</v>
      </c>
      <c r="H450" s="76">
        <f t="shared" si="108"/>
        <v>1.2762815625000001</v>
      </c>
      <c r="I450" s="73">
        <f t="shared" si="109"/>
        <v>0</v>
      </c>
      <c r="J450" s="73">
        <f>E450*$H450*(1+$D$15)^C450</f>
        <v>0</v>
      </c>
      <c r="K450" s="73">
        <f t="shared" si="115"/>
        <v>0</v>
      </c>
      <c r="L450" s="74">
        <f t="shared" si="112"/>
        <v>1156955601.1969829</v>
      </c>
    </row>
    <row r="451" spans="3:12" x14ac:dyDescent="0.35">
      <c r="C451" s="69">
        <v>6</v>
      </c>
      <c r="D451" s="75">
        <v>0</v>
      </c>
      <c r="E451" s="126">
        <f t="shared" si="113"/>
        <v>0</v>
      </c>
      <c r="F451" s="71">
        <f t="shared" si="114"/>
        <v>0</v>
      </c>
      <c r="G451" s="128">
        <f>IF(
    $H$6="Alkaline",
    IF(
        OR(
            Data!$C$37=C450,
            MOD(C450,Data!$C$37)=0
        ),
        $D$8,
        G450*Data!$C$42
    ),
    IF(
        $H$6="PEM",
        IF(
            OR(
                Data!$H$37=C450,
                MOD(C450,Data!$H$37)=0
            ),
            $D$8,
            G450*Data!$H$42
        ),
        ""
    )
)</f>
        <v>897439937.11028242</v>
      </c>
      <c r="H451" s="76">
        <f t="shared" si="108"/>
        <v>1.340095640625</v>
      </c>
      <c r="I451" s="73">
        <f t="shared" si="109"/>
        <v>0</v>
      </c>
      <c r="J451" s="73">
        <f t="shared" ref="J451:J470" si="116">E451*$H451*(1+$D$15)^C451</f>
        <v>0</v>
      </c>
      <c r="K451" s="73">
        <f t="shared" si="115"/>
        <v>0</v>
      </c>
      <c r="L451" s="74">
        <f t="shared" si="112"/>
        <v>1202655347.4442637</v>
      </c>
    </row>
    <row r="452" spans="3:12" x14ac:dyDescent="0.35">
      <c r="C452" s="69">
        <v>7</v>
      </c>
      <c r="D452" s="75">
        <v>0</v>
      </c>
      <c r="E452" s="126">
        <f t="shared" si="113"/>
        <v>0</v>
      </c>
      <c r="F452" s="71">
        <f t="shared" si="114"/>
        <v>0</v>
      </c>
      <c r="G452" s="128">
        <f>IF(
    $H$6="Alkaline",
    IF(
        OR(
            Data!$C$37=C451,
            MOD(C451,Data!$C$37)=0
        ),
        $D$8,
        G451*Data!$C$42
    ),
    IF(
        $H$6="PEM",
        IF(
            OR(
                Data!$H$37=C451,
                MOD(C451,Data!$H$37)=0
            ),
            $D$8,
            G451*Data!$H$42
        ),
        ""
    )
)</f>
        <v>888465537.73917961</v>
      </c>
      <c r="H452" s="76">
        <f t="shared" si="108"/>
        <v>1.4071004226562502</v>
      </c>
      <c r="I452" s="73">
        <f t="shared" si="109"/>
        <v>0</v>
      </c>
      <c r="J452" s="73">
        <f t="shared" si="116"/>
        <v>0</v>
      </c>
      <c r="K452" s="73">
        <f t="shared" si="115"/>
        <v>0</v>
      </c>
      <c r="L452" s="74">
        <f t="shared" si="112"/>
        <v>1250160233.6683123</v>
      </c>
    </row>
    <row r="453" spans="3:12" x14ac:dyDescent="0.35">
      <c r="C453" s="69">
        <v>8</v>
      </c>
      <c r="D453" s="75">
        <v>0</v>
      </c>
      <c r="E453" s="126">
        <f t="shared" si="113"/>
        <v>0</v>
      </c>
      <c r="F453" s="71">
        <f t="shared" si="114"/>
        <v>0</v>
      </c>
      <c r="G453" s="128">
        <f>IF(
    $H$6="Alkaline",
    IF(
        OR(
            Data!$C$37=C452,
            MOD(C452,Data!$C$37)=0
        ),
        $D$8,
        G452*Data!$C$42
    ),
    IF(
        $H$6="PEM",
        IF(
            OR(
                Data!$H$37=C452,
                MOD(C452,Data!$H$37)=0
            ),
            $D$8,
            G452*Data!$H$42
        ),
        ""
    )
)</f>
        <v>943690143.97642899</v>
      </c>
      <c r="H453" s="76">
        <f t="shared" si="108"/>
        <v>1.4774554437890626</v>
      </c>
      <c r="I453" s="73">
        <f t="shared" si="109"/>
        <v>0</v>
      </c>
      <c r="J453" s="73">
        <f t="shared" si="116"/>
        <v>0</v>
      </c>
      <c r="K453" s="73">
        <f t="shared" si="115"/>
        <v>0</v>
      </c>
      <c r="L453" s="74">
        <f t="shared" si="112"/>
        <v>1394260140.4680593</v>
      </c>
    </row>
    <row r="454" spans="3:12" x14ac:dyDescent="0.35">
      <c r="C454" s="69">
        <v>9</v>
      </c>
      <c r="D454" s="75">
        <v>0</v>
      </c>
      <c r="E454" s="126">
        <f t="shared" si="113"/>
        <v>0</v>
      </c>
      <c r="F454" s="71">
        <f t="shared" si="114"/>
        <v>0</v>
      </c>
      <c r="G454" s="128">
        <f>IF(
    $H$6="Alkaline",
    IF(
        OR(
            Data!$C$37=C453,
            MOD(C453,Data!$C$37)=0
        ),
        $D$8,
        G453*Data!$C$42
    ),
    IF(
        $H$6="PEM",
        IF(
            OR(
                Data!$H$37=C453,
                MOD(C453,Data!$H$37)=0
            ),
            $D$8,
            G453*Data!$H$42
        ),
        ""
    )
)</f>
        <v>934253242.53666472</v>
      </c>
      <c r="H454" s="76">
        <f t="shared" si="108"/>
        <v>1.5513282159785158</v>
      </c>
      <c r="I454" s="73">
        <f t="shared" si="109"/>
        <v>0</v>
      </c>
      <c r="J454" s="73">
        <f t="shared" si="116"/>
        <v>0</v>
      </c>
      <c r="K454" s="73">
        <f t="shared" si="115"/>
        <v>0</v>
      </c>
      <c r="L454" s="74">
        <f t="shared" si="112"/>
        <v>1449333416.0165477</v>
      </c>
    </row>
    <row r="455" spans="3:12" x14ac:dyDescent="0.35">
      <c r="C455" s="69">
        <v>10</v>
      </c>
      <c r="D455" s="75">
        <v>0</v>
      </c>
      <c r="E455" s="126">
        <f t="shared" si="113"/>
        <v>0</v>
      </c>
      <c r="F455" s="71">
        <f t="shared" si="114"/>
        <v>0</v>
      </c>
      <c r="G455" s="128">
        <f>IF(
    $H$6="Alkaline",
    IF(
        OR(
            Data!$C$37=C454,
            MOD(C454,Data!$C$37)=0
        ),
        $D$8,
        G454*Data!$C$42
    ),
    IF(
        $H$6="PEM",
        IF(
            OR(
                Data!$H$37=C454,
                MOD(C454,Data!$H$37)=0
            ),
            $D$8,
            G454*Data!$H$42
        ),
        ""
    )
)</f>
        <v>924910710.11129808</v>
      </c>
      <c r="H455" s="76">
        <f t="shared" si="108"/>
        <v>1.6288946267774416</v>
      </c>
      <c r="I455" s="73">
        <f t="shared" si="109"/>
        <v>0</v>
      </c>
      <c r="J455" s="73">
        <f t="shared" si="116"/>
        <v>0</v>
      </c>
      <c r="K455" s="73">
        <f t="shared" si="115"/>
        <v>0</v>
      </c>
      <c r="L455" s="74">
        <f t="shared" si="112"/>
        <v>1506582085.9492013</v>
      </c>
    </row>
    <row r="456" spans="3:12" x14ac:dyDescent="0.35">
      <c r="C456" s="69">
        <v>11</v>
      </c>
      <c r="D456" s="75">
        <v>0</v>
      </c>
      <c r="E456" s="126">
        <f t="shared" si="113"/>
        <v>0</v>
      </c>
      <c r="F456" s="71">
        <f t="shared" si="114"/>
        <v>0</v>
      </c>
      <c r="G456" s="128">
        <f>IF(
    $H$6="Alkaline",
    IF(
        OR(
            Data!$C$37=C455,
            MOD(C455,Data!$C$37)=0
        ),
        $D$8,
        G455*Data!$C$42
    ),
    IF(
        $H$6="PEM",
        IF(
            OR(
                Data!$H$37=C455,
                MOD(C455,Data!$H$37)=0
            ),
            $D$8,
            G455*Data!$H$42
        ),
        ""
    )
)</f>
        <v>915661603.01018512</v>
      </c>
      <c r="H456" s="76">
        <f t="shared" si="108"/>
        <v>1.7103393581163138</v>
      </c>
      <c r="I456" s="73">
        <f t="shared" si="109"/>
        <v>0</v>
      </c>
      <c r="J456" s="73">
        <f t="shared" si="116"/>
        <v>0</v>
      </c>
      <c r="K456" s="73">
        <f t="shared" si="115"/>
        <v>0</v>
      </c>
      <c r="L456" s="74">
        <f t="shared" si="112"/>
        <v>1566092078.3441949</v>
      </c>
    </row>
    <row r="457" spans="3:12" x14ac:dyDescent="0.35">
      <c r="C457" s="69">
        <v>12</v>
      </c>
      <c r="D457" s="75">
        <v>0</v>
      </c>
      <c r="E457" s="126">
        <f t="shared" si="113"/>
        <v>0</v>
      </c>
      <c r="F457" s="71">
        <f t="shared" si="114"/>
        <v>0</v>
      </c>
      <c r="G457" s="128">
        <f>IF(
    $H$6="Alkaline",
    IF(
        OR(
            Data!$C$37=C456,
            MOD(C456,Data!$C$37)=0
        ),
        $D$8,
        G456*Data!$C$42
    ),
    IF(
        $H$6="PEM",
        IF(
            OR(
                Data!$H$37=C456,
                MOD(C456,Data!$H$37)=0
            ),
            $D$8,
            G456*Data!$H$42
        ),
        ""
    )
)</f>
        <v>906504986.98008323</v>
      </c>
      <c r="H457" s="76">
        <f t="shared" si="108"/>
        <v>1.7958563260221292</v>
      </c>
      <c r="I457" s="73">
        <f t="shared" si="109"/>
        <v>0</v>
      </c>
      <c r="J457" s="73">
        <f t="shared" si="116"/>
        <v>0</v>
      </c>
      <c r="K457" s="73">
        <f t="shared" si="115"/>
        <v>0</v>
      </c>
      <c r="L457" s="74">
        <f t="shared" si="112"/>
        <v>1627952715.4387903</v>
      </c>
    </row>
    <row r="458" spans="3:12" x14ac:dyDescent="0.35">
      <c r="C458" s="69">
        <v>13</v>
      </c>
      <c r="D458" s="75">
        <v>0</v>
      </c>
      <c r="E458" s="126">
        <f t="shared" si="113"/>
        <v>0</v>
      </c>
      <c r="F458" s="71">
        <f t="shared" si="114"/>
        <v>0</v>
      </c>
      <c r="G458" s="128">
        <f>IF(
    $H$6="Alkaline",
    IF(
        OR(
            Data!$C$37=C457,
            MOD(C457,Data!$C$37)=0
        ),
        $D$8,
        G457*Data!$C$42
    ),
    IF(
        $H$6="PEM",
        IF(
            OR(
                Data!$H$37=C457,
                MOD(C457,Data!$H$37)=0
            ),
            $D$8,
            G457*Data!$H$42
        ),
        ""
    )
)</f>
        <v>897439937.11028242</v>
      </c>
      <c r="H458" s="76">
        <f t="shared" si="108"/>
        <v>1.885649142323236</v>
      </c>
      <c r="I458" s="73">
        <f t="shared" si="109"/>
        <v>0</v>
      </c>
      <c r="J458" s="73">
        <f t="shared" si="116"/>
        <v>0</v>
      </c>
      <c r="K458" s="73">
        <f t="shared" si="115"/>
        <v>0</v>
      </c>
      <c r="L458" s="74">
        <f t="shared" si="112"/>
        <v>1692256847.6986229</v>
      </c>
    </row>
    <row r="459" spans="3:12" x14ac:dyDescent="0.35">
      <c r="C459" s="69">
        <v>14</v>
      </c>
      <c r="D459" s="75">
        <v>0</v>
      </c>
      <c r="E459" s="126">
        <f t="shared" si="113"/>
        <v>0</v>
      </c>
      <c r="F459" s="71">
        <f t="shared" si="114"/>
        <v>0</v>
      </c>
      <c r="G459" s="128">
        <f>IF(
    $H$6="Alkaline",
    IF(
        OR(
            Data!$C$37=C458,
            MOD(C458,Data!$C$37)=0
        ),
        $D$8,
        G458*Data!$C$42
    ),
    IF(
        $H$6="PEM",
        IF(
            OR(
                Data!$H$37=C458,
                MOD(C458,Data!$H$37)=0
            ),
            $D$8,
            G458*Data!$H$42
        ),
        ""
    )
)</f>
        <v>888465537.73917961</v>
      </c>
      <c r="H459" s="76">
        <f t="shared" si="108"/>
        <v>1.9799315994393973</v>
      </c>
      <c r="I459" s="73">
        <f t="shared" si="109"/>
        <v>0</v>
      </c>
      <c r="J459" s="73">
        <f t="shared" si="116"/>
        <v>0</v>
      </c>
      <c r="K459" s="73">
        <f t="shared" si="115"/>
        <v>0</v>
      </c>
      <c r="L459" s="74">
        <f t="shared" si="112"/>
        <v>1759100993.182718</v>
      </c>
    </row>
    <row r="460" spans="3:12" x14ac:dyDescent="0.35">
      <c r="C460" s="69">
        <v>15</v>
      </c>
      <c r="D460" s="75">
        <v>0</v>
      </c>
      <c r="E460" s="126">
        <f t="shared" si="113"/>
        <v>0</v>
      </c>
      <c r="F460" s="71">
        <f t="shared" si="114"/>
        <v>0</v>
      </c>
      <c r="G460" s="128">
        <f>IF(
    $H$6="Alkaline",
    IF(
        OR(
            Data!$C$37=C459,
            MOD(C459,Data!$C$37)=0
        ),
        $D$8,
        G459*Data!$C$42
    ),
    IF(
        $H$6="PEM",
        IF(
            OR(
                Data!$H$37=C459,
                MOD(C459,Data!$H$37)=0
            ),
            $D$8,
            G459*Data!$H$42
        ),
        ""
    )
)</f>
        <v>943690143.97642899</v>
      </c>
      <c r="H460" s="76">
        <f t="shared" si="108"/>
        <v>2.0789281794113679</v>
      </c>
      <c r="I460" s="73">
        <f t="shared" si="109"/>
        <v>0</v>
      </c>
      <c r="J460" s="73">
        <f t="shared" si="116"/>
        <v>0</v>
      </c>
      <c r="K460" s="73">
        <f t="shared" si="115"/>
        <v>0</v>
      </c>
      <c r="L460" s="74">
        <f t="shared" si="112"/>
        <v>1961864032.9453692</v>
      </c>
    </row>
    <row r="461" spans="3:12" x14ac:dyDescent="0.35">
      <c r="C461" s="69">
        <v>16</v>
      </c>
      <c r="D461" s="75">
        <v>0</v>
      </c>
      <c r="E461" s="126">
        <f t="shared" si="113"/>
        <v>0</v>
      </c>
      <c r="F461" s="71">
        <f t="shared" si="114"/>
        <v>0</v>
      </c>
      <c r="G461" s="128">
        <f>IF(
    $H$6="Alkaline",
    IF(
        OR(
            Data!$C$37=C460,
            MOD(C460,Data!$C$37)=0
        ),
        $D$8,
        G460*Data!$C$42
    ),
    IF(
        $H$6="PEM",
        IF(
            OR(
                Data!$H$37=C460,
                MOD(C460,Data!$H$37)=0
            ),
            $D$8,
            G460*Data!$H$42
        ),
        ""
    )
)</f>
        <v>934253242.53666472</v>
      </c>
      <c r="H461" s="76">
        <f t="shared" si="108"/>
        <v>2.182874588381936</v>
      </c>
      <c r="I461" s="73">
        <f t="shared" si="109"/>
        <v>0</v>
      </c>
      <c r="J461" s="73">
        <f t="shared" si="116"/>
        <v>0</v>
      </c>
      <c r="K461" s="73">
        <f t="shared" si="115"/>
        <v>0</v>
      </c>
      <c r="L461" s="74">
        <f t="shared" si="112"/>
        <v>2039357662.246711</v>
      </c>
    </row>
    <row r="462" spans="3:12" x14ac:dyDescent="0.35">
      <c r="C462" s="69">
        <v>17</v>
      </c>
      <c r="D462" s="75">
        <v>0</v>
      </c>
      <c r="E462" s="126">
        <f t="shared" si="113"/>
        <v>0</v>
      </c>
      <c r="F462" s="71">
        <f t="shared" si="114"/>
        <v>0</v>
      </c>
      <c r="G462" s="128">
        <f>IF(
    $H$6="Alkaline",
    IF(
        OR(
            Data!$C$37=C461,
            MOD(C461,Data!$C$37)=0
        ),
        $D$8,
        G461*Data!$C$42
    ),
    IF(
        $H$6="PEM",
        IF(
            OR(
                Data!$H$37=C461,
                MOD(C461,Data!$H$37)=0
            ),
            $D$8,
            G461*Data!$H$42
        ),
        ""
    )
)</f>
        <v>924910710.11129808</v>
      </c>
      <c r="H462" s="76">
        <f t="shared" si="108"/>
        <v>2.2920183178010332</v>
      </c>
      <c r="I462" s="73">
        <f t="shared" si="109"/>
        <v>0</v>
      </c>
      <c r="J462" s="73">
        <f t="shared" si="116"/>
        <v>0</v>
      </c>
      <c r="K462" s="73">
        <f t="shared" si="115"/>
        <v>0</v>
      </c>
      <c r="L462" s="74">
        <f t="shared" si="112"/>
        <v>2119912289.9054565</v>
      </c>
    </row>
    <row r="463" spans="3:12" x14ac:dyDescent="0.35">
      <c r="C463" s="69">
        <v>18</v>
      </c>
      <c r="D463" s="75">
        <v>0</v>
      </c>
      <c r="E463" s="126">
        <f t="shared" si="113"/>
        <v>0</v>
      </c>
      <c r="F463" s="71">
        <f t="shared" si="114"/>
        <v>0</v>
      </c>
      <c r="G463" s="128">
        <f>IF(
    $H$6="Alkaline",
    IF(
        OR(
            Data!$C$37=C462,
            MOD(C462,Data!$C$37)=0
        ),
        $D$8,
        G462*Data!$C$42
    ),
    IF(
        $H$6="PEM",
        IF(
            OR(
                Data!$H$37=C462,
                MOD(C462,Data!$H$37)=0
            ),
            $D$8,
            G462*Data!$H$42
        ),
        ""
    )
)</f>
        <v>915661603.01018512</v>
      </c>
      <c r="H463" s="76">
        <f t="shared" si="108"/>
        <v>2.4066192336910848</v>
      </c>
      <c r="I463" s="73">
        <f t="shared" si="109"/>
        <v>0</v>
      </c>
      <c r="J463" s="73">
        <f t="shared" si="116"/>
        <v>0</v>
      </c>
      <c r="K463" s="73">
        <f t="shared" si="115"/>
        <v>0</v>
      </c>
      <c r="L463" s="74">
        <f t="shared" si="112"/>
        <v>2203648825.3567219</v>
      </c>
    </row>
    <row r="464" spans="3:12" x14ac:dyDescent="0.35">
      <c r="C464" s="69">
        <v>19</v>
      </c>
      <c r="D464" s="75">
        <v>0</v>
      </c>
      <c r="E464" s="126">
        <f t="shared" si="113"/>
        <v>0</v>
      </c>
      <c r="F464" s="71">
        <f t="shared" si="114"/>
        <v>0</v>
      </c>
      <c r="G464" s="128">
        <f>IF(
    $H$6="Alkaline",
    IF(
        OR(
            Data!$C$37=C463,
            MOD(C463,Data!$C$37)=0
        ),
        $D$8,
        G463*Data!$C$42
    ),
    IF(
        $H$6="PEM",
        IF(
            OR(
                Data!$H$37=C463,
                MOD(C463,Data!$H$37)=0
            ),
            $D$8,
            G463*Data!$H$42
        ),
        ""
    )
)</f>
        <v>906504986.98008323</v>
      </c>
      <c r="H464" s="76">
        <f t="shared" si="108"/>
        <v>2.526950195375639</v>
      </c>
      <c r="I464" s="73">
        <f t="shared" si="109"/>
        <v>0</v>
      </c>
      <c r="J464" s="73">
        <f t="shared" si="116"/>
        <v>0</v>
      </c>
      <c r="K464" s="73">
        <f t="shared" si="115"/>
        <v>0</v>
      </c>
      <c r="L464" s="74">
        <f t="shared" si="112"/>
        <v>2290692953.9583125</v>
      </c>
    </row>
    <row r="465" spans="1:13" x14ac:dyDescent="0.35">
      <c r="C465" s="69">
        <v>20</v>
      </c>
      <c r="D465" s="75">
        <v>0</v>
      </c>
      <c r="E465" s="126">
        <f t="shared" si="113"/>
        <v>0</v>
      </c>
      <c r="F465" s="71">
        <f t="shared" si="114"/>
        <v>0</v>
      </c>
      <c r="G465" s="128">
        <f>IF(
    $H$6="Alkaline",
    IF(
        OR(
            Data!$C$37=C464,
            MOD(C464,Data!$C$37)=0
        ),
        $D$8,
        G464*Data!$C$42
    ),
    IF(
        $H$6="PEM",
        IF(
            OR(
                Data!$H$37=C464,
                MOD(C464,Data!$H$37)=0
            ),
            $D$8,
            G464*Data!$H$42
        ),
        ""
    )
)</f>
        <v>897439937.11028242</v>
      </c>
      <c r="H465" s="76">
        <f t="shared" si="108"/>
        <v>2.6532977051444209</v>
      </c>
      <c r="I465" s="73">
        <f t="shared" si="109"/>
        <v>0</v>
      </c>
      <c r="J465" s="73">
        <f t="shared" si="116"/>
        <v>0</v>
      </c>
      <c r="K465" s="73">
        <f t="shared" si="115"/>
        <v>0</v>
      </c>
      <c r="L465" s="74">
        <f t="shared" si="112"/>
        <v>2381175325.6396656</v>
      </c>
    </row>
    <row r="466" spans="1:13" x14ac:dyDescent="0.35">
      <c r="C466" s="69">
        <v>21</v>
      </c>
      <c r="D466" s="75">
        <v>0</v>
      </c>
      <c r="E466" s="126">
        <f t="shared" si="113"/>
        <v>0</v>
      </c>
      <c r="F466" s="71">
        <f t="shared" si="114"/>
        <v>0</v>
      </c>
      <c r="G466" s="128">
        <f>IF(
    $H$6="Alkaline",
    IF(
        OR(
            Data!$C$37=C465,
            MOD(C465,Data!$C$37)=0
        ),
        $D$8,
        G465*Data!$C$42
    ),
    IF(
        $H$6="PEM",
        IF(
            OR(
                Data!$H$37=C465,
                MOD(C465,Data!$H$37)=0
            ),
            $D$8,
            G465*Data!$H$42
        ),
        ""
    )
)</f>
        <v>888465537.73917961</v>
      </c>
      <c r="H466" s="76">
        <f t="shared" si="108"/>
        <v>2.7859625904016418</v>
      </c>
      <c r="I466" s="73">
        <f t="shared" si="109"/>
        <v>0</v>
      </c>
      <c r="J466" s="73">
        <f t="shared" si="116"/>
        <v>0</v>
      </c>
      <c r="K466" s="73">
        <f t="shared" si="115"/>
        <v>0</v>
      </c>
      <c r="L466" s="74">
        <f t="shared" si="112"/>
        <v>2475231751.0024323</v>
      </c>
    </row>
    <row r="467" spans="1:13" x14ac:dyDescent="0.35">
      <c r="C467" s="69">
        <v>22</v>
      </c>
      <c r="D467" s="75">
        <v>0</v>
      </c>
      <c r="E467" s="126">
        <f t="shared" si="113"/>
        <v>0</v>
      </c>
      <c r="F467" s="71">
        <f t="shared" si="114"/>
        <v>0</v>
      </c>
      <c r="G467" s="128">
        <f>IF(
    $H$6="Alkaline",
    IF(
        OR(
            Data!$C$37=C466,
            MOD(C466,Data!$C$37)=0
        ),
        $D$8,
        G466*Data!$C$42
    ),
    IF(
        $H$6="PEM",
        IF(
            OR(
                Data!$H$37=C466,
                MOD(C466,Data!$H$37)=0
            ),
            $D$8,
            G466*Data!$H$42
        ),
        ""
    )
)</f>
        <v>943690143.97642899</v>
      </c>
      <c r="H467" s="76">
        <f t="shared" si="108"/>
        <v>2.9252607199217238</v>
      </c>
      <c r="I467" s="73">
        <f t="shared" si="109"/>
        <v>0</v>
      </c>
      <c r="J467" s="73">
        <f t="shared" si="116"/>
        <v>0</v>
      </c>
      <c r="K467" s="73">
        <f t="shared" si="115"/>
        <v>0</v>
      </c>
      <c r="L467" s="74">
        <f t="shared" si="112"/>
        <v>2760539709.9515238</v>
      </c>
    </row>
    <row r="468" spans="1:13" x14ac:dyDescent="0.35">
      <c r="C468" s="69">
        <v>23</v>
      </c>
      <c r="D468" s="75">
        <v>0</v>
      </c>
      <c r="E468" s="126">
        <f t="shared" si="113"/>
        <v>0</v>
      </c>
      <c r="F468" s="71">
        <f t="shared" si="114"/>
        <v>0</v>
      </c>
      <c r="G468" s="128">
        <f>IF(
    $H$6="Alkaline",
    IF(
        OR(
            Data!$C$37=C467,
            MOD(C467,Data!$C$37)=0
        ),
        $D$8,
        G467*Data!$C$42
    ),
    IF(
        $H$6="PEM",
        IF(
            OR(
                Data!$H$37=C467,
                MOD(C467,Data!$H$37)=0
            ),
            $D$8,
            G467*Data!$H$42
        ),
        ""
    )
)</f>
        <v>934253242.53666472</v>
      </c>
      <c r="H468" s="76">
        <f t="shared" si="108"/>
        <v>3.0715237559178106</v>
      </c>
      <c r="I468" s="73">
        <f t="shared" si="109"/>
        <v>0</v>
      </c>
      <c r="J468" s="73">
        <f t="shared" si="116"/>
        <v>0</v>
      </c>
      <c r="K468" s="73">
        <f t="shared" si="115"/>
        <v>0</v>
      </c>
      <c r="L468" s="74">
        <f t="shared" si="112"/>
        <v>2869581028.4946098</v>
      </c>
    </row>
    <row r="469" spans="1:13" x14ac:dyDescent="0.35">
      <c r="C469" s="69">
        <v>24</v>
      </c>
      <c r="D469" s="75">
        <v>0</v>
      </c>
      <c r="E469" s="126">
        <f t="shared" si="113"/>
        <v>0</v>
      </c>
      <c r="F469" s="71">
        <f t="shared" si="114"/>
        <v>0</v>
      </c>
      <c r="G469" s="128">
        <f>IF(
    $H$6="Alkaline",
    IF(
        OR(
            Data!$C$37=C468,
            MOD(C468,Data!$C$37)=0
        ),
        $D$8,
        G468*Data!$C$42
    ),
    IF(
        $H$6="PEM",
        IF(
            OR(
                Data!$H$37=C468,
                MOD(C468,Data!$H$37)=0
            ),
            $D$8,
            G468*Data!$H$42
        ),
        ""
    )
)</f>
        <v>924910710.11129808</v>
      </c>
      <c r="H469" s="76">
        <f t="shared" si="108"/>
        <v>3.2250999437137007</v>
      </c>
      <c r="I469" s="73">
        <f t="shared" si="109"/>
        <v>0</v>
      </c>
      <c r="J469" s="73">
        <f t="shared" si="116"/>
        <v>0</v>
      </c>
      <c r="K469" s="73">
        <f t="shared" si="115"/>
        <v>0</v>
      </c>
      <c r="L469" s="74">
        <f t="shared" si="112"/>
        <v>2982929479.1201463</v>
      </c>
    </row>
    <row r="470" spans="1:13" ht="15" thickBot="1" x14ac:dyDescent="0.4">
      <c r="C470" s="69">
        <v>25</v>
      </c>
      <c r="D470" s="75">
        <v>0</v>
      </c>
      <c r="E470" s="126">
        <f t="shared" si="113"/>
        <v>0</v>
      </c>
      <c r="F470" s="71">
        <f t="shared" si="114"/>
        <v>0</v>
      </c>
      <c r="G470" s="128">
        <f>IF(
    $H$6="Alkaline",
    IF(
        OR(
            Data!$C$37=C469,
            MOD(C469,Data!$C$37)=0
        ),
        $D$8,
        G469*Data!$C$42
    ),
    IF(
        $H$6="PEM",
        IF(
            OR(
                Data!$H$37=C469,
                MOD(C469,Data!$H$37)=0
            ),
            $D$8,
            G469*Data!$H$42
        ),
        ""
    )
)</f>
        <v>915661603.01018512</v>
      </c>
      <c r="H470" s="76">
        <f t="shared" si="108"/>
        <v>3.3863549408993858</v>
      </c>
      <c r="I470" s="73">
        <f t="shared" si="109"/>
        <v>0</v>
      </c>
      <c r="J470" s="73">
        <f t="shared" si="116"/>
        <v>0</v>
      </c>
      <c r="K470" s="73">
        <f t="shared" si="115"/>
        <v>0</v>
      </c>
      <c r="L470" s="74">
        <f t="shared" si="112"/>
        <v>3100755193.5453925</v>
      </c>
    </row>
    <row r="471" spans="1:13" ht="15" thickBot="1" x14ac:dyDescent="0.4">
      <c r="C471" s="70" t="s">
        <v>26</v>
      </c>
      <c r="D471" s="77">
        <f t="shared" ref="D471:K471" si="117">SUM(D445:D470)</f>
        <v>0</v>
      </c>
      <c r="E471" s="77">
        <f t="shared" si="117"/>
        <v>0</v>
      </c>
      <c r="F471" s="77">
        <f t="shared" si="117"/>
        <v>0</v>
      </c>
      <c r="G471" s="77">
        <f t="shared" si="117"/>
        <v>22951294184.026939</v>
      </c>
      <c r="H471" s="77">
        <f t="shared" si="117"/>
        <v>51.113453758887083</v>
      </c>
      <c r="I471" s="77">
        <f t="shared" si="117"/>
        <v>0</v>
      </c>
      <c r="J471" s="77">
        <f t="shared" si="117"/>
        <v>0</v>
      </c>
      <c r="K471" s="77">
        <f t="shared" si="117"/>
        <v>0</v>
      </c>
      <c r="L471" s="77">
        <f>SUM(L445:L470)</f>
        <v>45995618724.782455</v>
      </c>
    </row>
    <row r="473" spans="1:13" ht="15" thickBot="1" x14ac:dyDescent="0.4">
      <c r="A473">
        <v>12</v>
      </c>
      <c r="B473">
        <v>67</v>
      </c>
      <c r="C473" s="133" t="s">
        <v>128</v>
      </c>
    </row>
    <row r="474" spans="1:13" ht="19" thickBot="1" x14ac:dyDescent="0.5">
      <c r="C474" s="58" t="s">
        <v>15</v>
      </c>
      <c r="D474" s="58" t="s">
        <v>16</v>
      </c>
      <c r="E474" s="58" t="s">
        <v>17</v>
      </c>
      <c r="F474" s="58" t="s">
        <v>18</v>
      </c>
      <c r="G474" s="59" t="s">
        <v>19</v>
      </c>
      <c r="H474" s="58" t="s">
        <v>20</v>
      </c>
      <c r="I474" s="59" t="s">
        <v>21</v>
      </c>
      <c r="J474" s="58" t="s">
        <v>22</v>
      </c>
      <c r="K474" s="58" t="s">
        <v>23</v>
      </c>
      <c r="L474" s="58" t="s">
        <v>24</v>
      </c>
      <c r="M474" s="152" t="s">
        <v>253</v>
      </c>
    </row>
    <row r="475" spans="1:13" ht="18.5" x14ac:dyDescent="0.45">
      <c r="C475" s="68">
        <v>0</v>
      </c>
      <c r="D475" s="71">
        <f>$G$67</f>
        <v>7503540929.6327515</v>
      </c>
      <c r="E475" s="71">
        <v>0</v>
      </c>
      <c r="F475" s="71">
        <v>0</v>
      </c>
      <c r="G475" s="127">
        <v>0</v>
      </c>
      <c r="H475" s="72">
        <f t="shared" ref="H475:H500" si="118">(1+$D$14)^$C475</f>
        <v>1</v>
      </c>
      <c r="I475" s="73">
        <f t="shared" ref="I475:I500" si="119">D475*$H475*(1+$D$15)^C475</f>
        <v>7503540929.6327515</v>
      </c>
      <c r="J475" s="73">
        <f t="shared" ref="J475:J479" si="120">E475*$H475*(1+$D$15)^C475</f>
        <v>0</v>
      </c>
      <c r="K475" s="73">
        <f t="shared" ref="K475:K476" si="121">F475*$H475*(1+$D$15)^C475</f>
        <v>0</v>
      </c>
      <c r="L475" s="74">
        <f t="shared" ref="L475:L500" si="122">G475*$H475</f>
        <v>0</v>
      </c>
      <c r="M475" s="153">
        <f>(I501+J501+K501)/L501</f>
        <v>0.29497855244704574</v>
      </c>
    </row>
    <row r="476" spans="1:13" x14ac:dyDescent="0.35">
      <c r="C476" s="69">
        <v>1</v>
      </c>
      <c r="D476" s="75">
        <v>0</v>
      </c>
      <c r="E476" s="126">
        <f>$K$67</f>
        <v>75035409.296327516</v>
      </c>
      <c r="F476" s="71">
        <f>(IF(MOD(C476,$H$67)=0,$J$67,0))</f>
        <v>0</v>
      </c>
      <c r="G476" s="128">
        <f>$D$8</f>
        <v>943690143.97642899</v>
      </c>
      <c r="H476" s="76">
        <f t="shared" si="118"/>
        <v>1.05</v>
      </c>
      <c r="I476" s="73">
        <f t="shared" si="119"/>
        <v>0</v>
      </c>
      <c r="J476" s="73">
        <f t="shared" si="120"/>
        <v>81150795.153978214</v>
      </c>
      <c r="K476" s="73">
        <f t="shared" si="121"/>
        <v>0</v>
      </c>
      <c r="L476" s="97">
        <f t="shared" si="122"/>
        <v>990874651.17525053</v>
      </c>
    </row>
    <row r="477" spans="1:13" x14ac:dyDescent="0.35">
      <c r="C477" s="69">
        <v>2</v>
      </c>
      <c r="D477" s="75">
        <v>0</v>
      </c>
      <c r="E477" s="126">
        <f t="shared" ref="E477:E500" si="123">$K$67</f>
        <v>75035409.296327516</v>
      </c>
      <c r="F477" s="71">
        <f>(IF(MOD(C476,$H$67)=0,$J$67,0))</f>
        <v>0</v>
      </c>
      <c r="G477" s="128">
        <f>IF(
    $H$6="Alkaline",
    IF(
        OR(
            Data!$C$37=C476,
            MOD(C476,Data!$C$37)=0
        ),
        $D$8,
        G476*Data!$C$42
    ),
    IF(
        $H$6="PEM",
        IF(
            OR(
                Data!$H$37=C476,
                MOD(C476,Data!$H$37)=0
            ),
            $D$8,
            G476*Data!$H$42
        ),
        ""
    )
)</f>
        <v>934253242.53666472</v>
      </c>
      <c r="H477" s="76">
        <f t="shared" si="118"/>
        <v>1.1025</v>
      </c>
      <c r="I477" s="73">
        <f t="shared" si="119"/>
        <v>0</v>
      </c>
      <c r="J477" s="73">
        <f t="shared" si="120"/>
        <v>87764584.959027424</v>
      </c>
      <c r="K477" s="73">
        <f>F477*$H477*(1+$D$15)^C477</f>
        <v>0</v>
      </c>
      <c r="L477" s="74">
        <f t="shared" si="122"/>
        <v>1030014199.8966728</v>
      </c>
    </row>
    <row r="478" spans="1:13" x14ac:dyDescent="0.35">
      <c r="C478" s="69">
        <v>3</v>
      </c>
      <c r="D478" s="75">
        <v>0</v>
      </c>
      <c r="E478" s="126">
        <f t="shared" si="123"/>
        <v>75035409.296327516</v>
      </c>
      <c r="F478" s="71">
        <f t="shared" ref="F478:F500" si="124">(IF(MOD(C477,$H$67)=0,$J$67,0))</f>
        <v>0</v>
      </c>
      <c r="G478" s="128">
        <f>IF(
    $H$6="Alkaline",
    IF(
        OR(
            Data!$C$37=C477,
            MOD(C477,Data!$C$37)=0
        ),
        $D$8,
        G477*Data!$C$42
    ),
    IF(
        $H$6="PEM",
        IF(
            OR(
                Data!$H$37=C477,
                MOD(C477,Data!$H$37)=0
            ),
            $D$8,
            G477*Data!$H$42
        ),
        ""
    )
)</f>
        <v>924910710.11129808</v>
      </c>
      <c r="H478" s="76">
        <f>(1+$D$14)^$C478</f>
        <v>1.1576250000000001</v>
      </c>
      <c r="I478" s="73">
        <f t="shared" si="119"/>
        <v>0</v>
      </c>
      <c r="J478" s="73">
        <f t="shared" si="120"/>
        <v>94917398.633188188</v>
      </c>
      <c r="K478" s="73">
        <f t="shared" ref="K478:K500" si="125">F478*$H478*(1+$D$15)^C478</f>
        <v>0</v>
      </c>
      <c r="L478" s="74">
        <f t="shared" si="122"/>
        <v>1070699760.7925916</v>
      </c>
    </row>
    <row r="479" spans="1:13" x14ac:dyDescent="0.35">
      <c r="C479" s="69">
        <v>4</v>
      </c>
      <c r="D479" s="75">
        <v>0</v>
      </c>
      <c r="E479" s="126">
        <f t="shared" si="123"/>
        <v>75035409.296327516</v>
      </c>
      <c r="F479" s="71">
        <f t="shared" si="124"/>
        <v>0</v>
      </c>
      <c r="G479" s="128">
        <f>IF(
    $H$6="Alkaline",
    IF(
        OR(
            Data!$C$37=C478,
            MOD(C478,Data!$C$37)=0
        ),
        $D$8,
        G478*Data!$C$42
    ),
    IF(
        $H$6="PEM",
        IF(
            OR(
                Data!$H$37=C478,
                MOD(C478,Data!$H$37)=0
            ),
            $D$8,
            G478*Data!$H$42
        ),
        ""
    )
)</f>
        <v>915661603.01018512</v>
      </c>
      <c r="H479" s="76">
        <f t="shared" si="118"/>
        <v>1.21550625</v>
      </c>
      <c r="I479" s="73">
        <f t="shared" si="119"/>
        <v>0</v>
      </c>
      <c r="J479" s="73">
        <f t="shared" si="120"/>
        <v>102653166.621793</v>
      </c>
      <c r="K479" s="73">
        <f t="shared" si="125"/>
        <v>0</v>
      </c>
      <c r="L479" s="74">
        <f t="shared" si="122"/>
        <v>1112992401.3438988</v>
      </c>
    </row>
    <row r="480" spans="1:13" x14ac:dyDescent="0.35">
      <c r="C480" s="69">
        <v>5</v>
      </c>
      <c r="D480" s="75">
        <v>0</v>
      </c>
      <c r="E480" s="126">
        <f t="shared" si="123"/>
        <v>75035409.296327516</v>
      </c>
      <c r="F480" s="71">
        <f t="shared" si="124"/>
        <v>0</v>
      </c>
      <c r="G480" s="128">
        <f>IF(
    $H$6="Alkaline",
    IF(
        OR(
            Data!$C$37=C479,
            MOD(C479,Data!$C$37)=0
        ),
        $D$8,
        G479*Data!$C$42
    ),
    IF(
        $H$6="PEM",
        IF(
            OR(
                Data!$H$37=C479,
                MOD(C479,Data!$H$37)=0
            ),
            $D$8,
            G479*Data!$H$42
        ),
        ""
    )
)</f>
        <v>906504986.98008323</v>
      </c>
      <c r="H480" s="76">
        <f t="shared" si="118"/>
        <v>1.2762815625000001</v>
      </c>
      <c r="I480" s="73">
        <f t="shared" si="119"/>
        <v>0</v>
      </c>
      <c r="J480" s="73">
        <f>E480*$H480*(1+$D$15)^C480</f>
        <v>111019399.70146914</v>
      </c>
      <c r="K480" s="73">
        <f t="shared" si="125"/>
        <v>0</v>
      </c>
      <c r="L480" s="74">
        <f t="shared" si="122"/>
        <v>1156955601.1969829</v>
      </c>
    </row>
    <row r="481" spans="3:12" x14ac:dyDescent="0.35">
      <c r="C481" s="69">
        <v>6</v>
      </c>
      <c r="D481" s="75">
        <v>0</v>
      </c>
      <c r="E481" s="126">
        <f t="shared" si="123"/>
        <v>75035409.296327516</v>
      </c>
      <c r="F481" s="71">
        <f t="shared" si="124"/>
        <v>0</v>
      </c>
      <c r="G481" s="128">
        <f>IF(
    $H$6="Alkaline",
    IF(
        OR(
            Data!$C$37=C480,
            MOD(C480,Data!$C$37)=0
        ),
        $D$8,
        G480*Data!$C$42
    ),
    IF(
        $H$6="PEM",
        IF(
            OR(
                Data!$H$37=C480,
                MOD(C480,Data!$H$37)=0
            ),
            $D$8,
            G480*Data!$H$42
        ),
        ""
    )
)</f>
        <v>897439937.11028242</v>
      </c>
      <c r="H481" s="76">
        <f t="shared" si="118"/>
        <v>1.340095640625</v>
      </c>
      <c r="I481" s="73">
        <f t="shared" si="119"/>
        <v>0</v>
      </c>
      <c r="J481" s="73">
        <f t="shared" ref="J481:J500" si="126">E481*$H481*(1+$D$15)^C481</f>
        <v>120067480.77713884</v>
      </c>
      <c r="K481" s="73">
        <f t="shared" si="125"/>
        <v>0</v>
      </c>
      <c r="L481" s="74">
        <f t="shared" si="122"/>
        <v>1202655347.4442637</v>
      </c>
    </row>
    <row r="482" spans="3:12" x14ac:dyDescent="0.35">
      <c r="C482" s="69">
        <v>7</v>
      </c>
      <c r="D482" s="75">
        <v>0</v>
      </c>
      <c r="E482" s="126">
        <f t="shared" si="123"/>
        <v>75035409.296327516</v>
      </c>
      <c r="F482" s="71">
        <f t="shared" si="124"/>
        <v>0</v>
      </c>
      <c r="G482" s="128">
        <f>IF(
    $H$6="Alkaline",
    IF(
        OR(
            Data!$C$37=C481,
            MOD(C481,Data!$C$37)=0
        ),
        $D$8,
        G481*Data!$C$42
    ),
    IF(
        $H$6="PEM",
        IF(
            OR(
                Data!$H$37=C481,
                MOD(C481,Data!$H$37)=0
            ),
            $D$8,
            G481*Data!$H$42
        ),
        ""
    )
)</f>
        <v>888465537.73917961</v>
      </c>
      <c r="H482" s="76">
        <f t="shared" si="118"/>
        <v>1.4071004226562502</v>
      </c>
      <c r="I482" s="73">
        <f t="shared" si="119"/>
        <v>0</v>
      </c>
      <c r="J482" s="73">
        <f t="shared" si="126"/>
        <v>129852980.46047571</v>
      </c>
      <c r="K482" s="73">
        <f t="shared" si="125"/>
        <v>0</v>
      </c>
      <c r="L482" s="74">
        <f t="shared" si="122"/>
        <v>1250160233.6683123</v>
      </c>
    </row>
    <row r="483" spans="3:12" x14ac:dyDescent="0.35">
      <c r="C483" s="69">
        <v>8</v>
      </c>
      <c r="D483" s="75">
        <v>0</v>
      </c>
      <c r="E483" s="126">
        <f t="shared" si="123"/>
        <v>75035409.296327516</v>
      </c>
      <c r="F483" s="71">
        <f t="shared" si="124"/>
        <v>0</v>
      </c>
      <c r="G483" s="128">
        <f>IF(
    $H$6="Alkaline",
    IF(
        OR(
            Data!$C$37=C482,
            MOD(C482,Data!$C$37)=0
        ),
        $D$8,
        G482*Data!$C$42
    ),
    IF(
        $H$6="PEM",
        IF(
            OR(
                Data!$H$37=C482,
                MOD(C482,Data!$H$37)=0
            ),
            $D$8,
            G482*Data!$H$42
        ),
        ""
    )
)</f>
        <v>943690143.97642899</v>
      </c>
      <c r="H483" s="76">
        <f t="shared" si="118"/>
        <v>1.4774554437890626</v>
      </c>
      <c r="I483" s="73">
        <f t="shared" si="119"/>
        <v>0</v>
      </c>
      <c r="J483" s="73">
        <f t="shared" si="126"/>
        <v>140435998.36800444</v>
      </c>
      <c r="K483" s="73">
        <f t="shared" si="125"/>
        <v>0</v>
      </c>
      <c r="L483" s="74">
        <f t="shared" si="122"/>
        <v>1394260140.4680593</v>
      </c>
    </row>
    <row r="484" spans="3:12" x14ac:dyDescent="0.35">
      <c r="C484" s="69">
        <v>9</v>
      </c>
      <c r="D484" s="75">
        <v>0</v>
      </c>
      <c r="E484" s="126">
        <f t="shared" si="123"/>
        <v>75035409.296327516</v>
      </c>
      <c r="F484" s="71">
        <f t="shared" si="124"/>
        <v>0</v>
      </c>
      <c r="G484" s="128">
        <f>IF(
    $H$6="Alkaline",
    IF(
        OR(
            Data!$C$37=C483,
            MOD(C483,Data!$C$37)=0
        ),
        $D$8,
        G483*Data!$C$42
    ),
    IF(
        $H$6="PEM",
        IF(
            OR(
                Data!$H$37=C483,
                MOD(C483,Data!$H$37)=0
            ),
            $D$8,
            G483*Data!$H$42
        ),
        ""
    )
)</f>
        <v>934253242.53666472</v>
      </c>
      <c r="H484" s="76">
        <f t="shared" si="118"/>
        <v>1.5513282159785158</v>
      </c>
      <c r="I484" s="73">
        <f t="shared" si="119"/>
        <v>0</v>
      </c>
      <c r="J484" s="73">
        <f t="shared" si="126"/>
        <v>151881532.23499683</v>
      </c>
      <c r="K484" s="73">
        <f t="shared" si="125"/>
        <v>0</v>
      </c>
      <c r="L484" s="74">
        <f t="shared" si="122"/>
        <v>1449333416.0165477</v>
      </c>
    </row>
    <row r="485" spans="3:12" x14ac:dyDescent="0.35">
      <c r="C485" s="69">
        <v>10</v>
      </c>
      <c r="D485" s="75">
        <v>0</v>
      </c>
      <c r="E485" s="126">
        <f t="shared" si="123"/>
        <v>75035409.296327516</v>
      </c>
      <c r="F485" s="71">
        <f t="shared" si="124"/>
        <v>0</v>
      </c>
      <c r="G485" s="128">
        <f>IF(
    $H$6="Alkaline",
    IF(
        OR(
            Data!$C$37=C484,
            MOD(C484,Data!$C$37)=0
        ),
        $D$8,
        G484*Data!$C$42
    ),
    IF(
        $H$6="PEM",
        IF(
            OR(
                Data!$H$37=C484,
                MOD(C484,Data!$H$37)=0
            ),
            $D$8,
            G484*Data!$H$42
        ),
        ""
    )
)</f>
        <v>924910710.11129808</v>
      </c>
      <c r="H485" s="76">
        <f t="shared" si="118"/>
        <v>1.6288946267774416</v>
      </c>
      <c r="I485" s="73">
        <f t="shared" si="119"/>
        <v>0</v>
      </c>
      <c r="J485" s="73">
        <f t="shared" si="126"/>
        <v>164259877.11214906</v>
      </c>
      <c r="K485" s="73">
        <f t="shared" si="125"/>
        <v>0</v>
      </c>
      <c r="L485" s="74">
        <f t="shared" si="122"/>
        <v>1506582085.9492013</v>
      </c>
    </row>
    <row r="486" spans="3:12" x14ac:dyDescent="0.35">
      <c r="C486" s="69">
        <v>11</v>
      </c>
      <c r="D486" s="75">
        <v>0</v>
      </c>
      <c r="E486" s="126">
        <f t="shared" si="123"/>
        <v>75035409.296327516</v>
      </c>
      <c r="F486" s="71">
        <f t="shared" si="124"/>
        <v>0</v>
      </c>
      <c r="G486" s="128">
        <f>IF(
    $H$6="Alkaline",
    IF(
        OR(
            Data!$C$37=C485,
            MOD(C485,Data!$C$37)=0
        ),
        $D$8,
        G485*Data!$C$42
    ),
    IF(
        $H$6="PEM",
        IF(
            OR(
                Data!$H$37=C485,
                MOD(C485,Data!$H$37)=0
            ),
            $D$8,
            G485*Data!$H$42
        ),
        ""
    )
)</f>
        <v>915661603.01018512</v>
      </c>
      <c r="H486" s="76">
        <f t="shared" si="118"/>
        <v>1.7103393581163138</v>
      </c>
      <c r="I486" s="73">
        <f t="shared" si="119"/>
        <v>0</v>
      </c>
      <c r="J486" s="73">
        <f t="shared" si="126"/>
        <v>177647057.09678924</v>
      </c>
      <c r="K486" s="73">
        <f t="shared" si="125"/>
        <v>0</v>
      </c>
      <c r="L486" s="74">
        <f t="shared" si="122"/>
        <v>1566092078.3441949</v>
      </c>
    </row>
    <row r="487" spans="3:12" x14ac:dyDescent="0.35">
      <c r="C487" s="69">
        <v>12</v>
      </c>
      <c r="D487" s="75">
        <v>0</v>
      </c>
      <c r="E487" s="126">
        <f t="shared" si="123"/>
        <v>75035409.296327516</v>
      </c>
      <c r="F487" s="71">
        <f t="shared" si="124"/>
        <v>0</v>
      </c>
      <c r="G487" s="128">
        <f>IF(
    $H$6="Alkaline",
    IF(
        OR(
            Data!$C$37=C486,
            MOD(C486,Data!$C$37)=0
        ),
        $D$8,
        G486*Data!$C$42
    ),
    IF(
        $H$6="PEM",
        IF(
            OR(
                Data!$H$37=C486,
                MOD(C486,Data!$H$37)=0
            ),
            $D$8,
            G486*Data!$H$42
        ),
        ""
    )
)</f>
        <v>906504986.98008323</v>
      </c>
      <c r="H487" s="76">
        <f t="shared" si="118"/>
        <v>1.7958563260221292</v>
      </c>
      <c r="I487" s="73">
        <f t="shared" si="119"/>
        <v>0</v>
      </c>
      <c r="J487" s="73">
        <f t="shared" si="126"/>
        <v>192125292.2501775</v>
      </c>
      <c r="K487" s="73">
        <f t="shared" si="125"/>
        <v>0</v>
      </c>
      <c r="L487" s="74">
        <f t="shared" si="122"/>
        <v>1627952715.4387903</v>
      </c>
    </row>
    <row r="488" spans="3:12" x14ac:dyDescent="0.35">
      <c r="C488" s="69">
        <v>13</v>
      </c>
      <c r="D488" s="75">
        <v>0</v>
      </c>
      <c r="E488" s="126">
        <f t="shared" si="123"/>
        <v>75035409.296327516</v>
      </c>
      <c r="F488" s="71">
        <f t="shared" si="124"/>
        <v>0</v>
      </c>
      <c r="G488" s="128">
        <f>IF(
    $H$6="Alkaline",
    IF(
        OR(
            Data!$C$37=C487,
            MOD(C487,Data!$C$37)=0
        ),
        $D$8,
        G487*Data!$C$42
    ),
    IF(
        $H$6="PEM",
        IF(
            OR(
                Data!$H$37=C487,
                MOD(C487,Data!$H$37)=0
            ),
            $D$8,
            G487*Data!$H$42
        ),
        ""
    )
)</f>
        <v>897439937.11028242</v>
      </c>
      <c r="H488" s="76">
        <f t="shared" si="118"/>
        <v>1.885649142323236</v>
      </c>
      <c r="I488" s="73">
        <f t="shared" si="119"/>
        <v>0</v>
      </c>
      <c r="J488" s="73">
        <f t="shared" si="126"/>
        <v>207783503.56856701</v>
      </c>
      <c r="K488" s="73">
        <f t="shared" si="125"/>
        <v>0</v>
      </c>
      <c r="L488" s="74">
        <f t="shared" si="122"/>
        <v>1692256847.6986229</v>
      </c>
    </row>
    <row r="489" spans="3:12" x14ac:dyDescent="0.35">
      <c r="C489" s="69">
        <v>14</v>
      </c>
      <c r="D489" s="75">
        <v>0</v>
      </c>
      <c r="E489" s="126">
        <f t="shared" si="123"/>
        <v>75035409.296327516</v>
      </c>
      <c r="F489" s="71">
        <f t="shared" si="124"/>
        <v>0</v>
      </c>
      <c r="G489" s="128">
        <f>IF(
    $H$6="Alkaline",
    IF(
        OR(
            Data!$C$37=C488,
            MOD(C488,Data!$C$37)=0
        ),
        $D$8,
        G488*Data!$C$42
    ),
    IF(
        $H$6="PEM",
        IF(
            OR(
                Data!$H$37=C488,
                MOD(C488,Data!$H$37)=0
            ),
            $D$8,
            G488*Data!$H$42
        ),
        ""
    )
)</f>
        <v>888465537.73917961</v>
      </c>
      <c r="H489" s="76">
        <f t="shared" si="118"/>
        <v>1.9799315994393973</v>
      </c>
      <c r="I489" s="73">
        <f t="shared" si="119"/>
        <v>0</v>
      </c>
      <c r="J489" s="73">
        <f t="shared" si="126"/>
        <v>224717859.10940519</v>
      </c>
      <c r="K489" s="73">
        <f t="shared" si="125"/>
        <v>0</v>
      </c>
      <c r="L489" s="74">
        <f t="shared" si="122"/>
        <v>1759100993.182718</v>
      </c>
    </row>
    <row r="490" spans="3:12" x14ac:dyDescent="0.35">
      <c r="C490" s="69">
        <v>15</v>
      </c>
      <c r="D490" s="75">
        <v>0</v>
      </c>
      <c r="E490" s="126">
        <f t="shared" si="123"/>
        <v>75035409.296327516</v>
      </c>
      <c r="F490" s="71">
        <f t="shared" si="124"/>
        <v>0</v>
      </c>
      <c r="G490" s="128">
        <f>IF(
    $H$6="Alkaline",
    IF(
        OR(
            Data!$C$37=C489,
            MOD(C489,Data!$C$37)=0
        ),
        $D$8,
        G489*Data!$C$42
    ),
    IF(
        $H$6="PEM",
        IF(
            OR(
                Data!$H$37=C489,
                MOD(C489,Data!$H$37)=0
            ),
            $D$8,
            G489*Data!$H$42
        ),
        ""
    )
)</f>
        <v>943690143.97642899</v>
      </c>
      <c r="H490" s="76">
        <f t="shared" si="118"/>
        <v>2.0789281794113679</v>
      </c>
      <c r="I490" s="73">
        <f t="shared" si="119"/>
        <v>0</v>
      </c>
      <c r="J490" s="73">
        <f t="shared" si="126"/>
        <v>243032364.62682176</v>
      </c>
      <c r="K490" s="73">
        <f t="shared" si="125"/>
        <v>0</v>
      </c>
      <c r="L490" s="74">
        <f t="shared" si="122"/>
        <v>1961864032.9453692</v>
      </c>
    </row>
    <row r="491" spans="3:12" x14ac:dyDescent="0.35">
      <c r="C491" s="69">
        <v>16</v>
      </c>
      <c r="D491" s="75">
        <v>0</v>
      </c>
      <c r="E491" s="126">
        <f t="shared" si="123"/>
        <v>75035409.296327516</v>
      </c>
      <c r="F491" s="71">
        <f t="shared" si="124"/>
        <v>0</v>
      </c>
      <c r="G491" s="128">
        <f>IF(
    $H$6="Alkaline",
    IF(
        OR(
            Data!$C$37=C490,
            MOD(C490,Data!$C$37)=0
        ),
        $D$8,
        G490*Data!$C$42
    ),
    IF(
        $H$6="PEM",
        IF(
            OR(
                Data!$H$37=C490,
                MOD(C490,Data!$H$37)=0
            ),
            $D$8,
            G490*Data!$H$42
        ),
        ""
    )
)</f>
        <v>934253242.53666472</v>
      </c>
      <c r="H491" s="76">
        <f t="shared" si="118"/>
        <v>2.182874588381936</v>
      </c>
      <c r="I491" s="73">
        <f t="shared" si="119"/>
        <v>0</v>
      </c>
      <c r="J491" s="73">
        <f t="shared" si="126"/>
        <v>262839502.34390771</v>
      </c>
      <c r="K491" s="73">
        <f t="shared" si="125"/>
        <v>0</v>
      </c>
      <c r="L491" s="74">
        <f t="shared" si="122"/>
        <v>2039357662.246711</v>
      </c>
    </row>
    <row r="492" spans="3:12" x14ac:dyDescent="0.35">
      <c r="C492" s="69">
        <v>17</v>
      </c>
      <c r="D492" s="75">
        <v>0</v>
      </c>
      <c r="E492" s="126">
        <f t="shared" si="123"/>
        <v>75035409.296327516</v>
      </c>
      <c r="F492" s="71">
        <f t="shared" si="124"/>
        <v>0</v>
      </c>
      <c r="G492" s="128">
        <f>IF(
    $H$6="Alkaline",
    IF(
        OR(
            Data!$C$37=C491,
            MOD(C491,Data!$C$37)=0
        ),
        $D$8,
        G491*Data!$C$42
    ),
    IF(
        $H$6="PEM",
        IF(
            OR(
                Data!$H$37=C491,
                MOD(C491,Data!$H$37)=0
            ),
            $D$8,
            G491*Data!$H$42
        ),
        ""
    )
)</f>
        <v>924910710.11129808</v>
      </c>
      <c r="H492" s="76">
        <f t="shared" si="118"/>
        <v>2.2920183178010332</v>
      </c>
      <c r="I492" s="73">
        <f t="shared" si="119"/>
        <v>0</v>
      </c>
      <c r="J492" s="73">
        <f t="shared" si="126"/>
        <v>284260921.78493619</v>
      </c>
      <c r="K492" s="73">
        <f t="shared" si="125"/>
        <v>0</v>
      </c>
      <c r="L492" s="74">
        <f t="shared" si="122"/>
        <v>2119912289.9054565</v>
      </c>
    </row>
    <row r="493" spans="3:12" x14ac:dyDescent="0.35">
      <c r="C493" s="69">
        <v>18</v>
      </c>
      <c r="D493" s="75">
        <v>0</v>
      </c>
      <c r="E493" s="126">
        <f t="shared" si="123"/>
        <v>75035409.296327516</v>
      </c>
      <c r="F493" s="71">
        <f t="shared" si="124"/>
        <v>0</v>
      </c>
      <c r="G493" s="128">
        <f>IF(
    $H$6="Alkaline",
    IF(
        OR(
            Data!$C$37=C492,
            MOD(C492,Data!$C$37)=0
        ),
        $D$8,
        G492*Data!$C$42
    ),
    IF(
        $H$6="PEM",
        IF(
            OR(
                Data!$H$37=C492,
                MOD(C492,Data!$H$37)=0
            ),
            $D$8,
            G492*Data!$H$42
        ),
        ""
    )
)</f>
        <v>915661603.01018512</v>
      </c>
      <c r="H493" s="76">
        <f t="shared" si="118"/>
        <v>2.4066192336910848</v>
      </c>
      <c r="I493" s="73">
        <f t="shared" si="119"/>
        <v>0</v>
      </c>
      <c r="J493" s="73">
        <f t="shared" si="126"/>
        <v>307428186.9104085</v>
      </c>
      <c r="K493" s="73">
        <f t="shared" si="125"/>
        <v>0</v>
      </c>
      <c r="L493" s="74">
        <f t="shared" si="122"/>
        <v>2203648825.3567219</v>
      </c>
    </row>
    <row r="494" spans="3:12" x14ac:dyDescent="0.35">
      <c r="C494" s="69">
        <v>19</v>
      </c>
      <c r="D494" s="75">
        <v>0</v>
      </c>
      <c r="E494" s="126">
        <f t="shared" si="123"/>
        <v>75035409.296327516</v>
      </c>
      <c r="F494" s="71">
        <f t="shared" si="124"/>
        <v>0</v>
      </c>
      <c r="G494" s="128">
        <f>IF(
    $H$6="Alkaline",
    IF(
        OR(
            Data!$C$37=C493,
            MOD(C493,Data!$C$37)=0
        ),
        $D$8,
        G493*Data!$C$42
    ),
    IF(
        $H$6="PEM",
        IF(
            OR(
                Data!$H$37=C493,
                MOD(C493,Data!$H$37)=0
            ),
            $D$8,
            G493*Data!$H$42
        ),
        ""
    )
)</f>
        <v>906504986.98008323</v>
      </c>
      <c r="H494" s="76">
        <f t="shared" si="118"/>
        <v>2.526950195375639</v>
      </c>
      <c r="I494" s="73">
        <f t="shared" si="119"/>
        <v>0</v>
      </c>
      <c r="J494" s="73">
        <f t="shared" si="126"/>
        <v>332483584.14360678</v>
      </c>
      <c r="K494" s="73">
        <f t="shared" si="125"/>
        <v>0</v>
      </c>
      <c r="L494" s="74">
        <f t="shared" si="122"/>
        <v>2290692953.9583125</v>
      </c>
    </row>
    <row r="495" spans="3:12" x14ac:dyDescent="0.35">
      <c r="C495" s="69">
        <v>20</v>
      </c>
      <c r="D495" s="75">
        <v>0</v>
      </c>
      <c r="E495" s="126">
        <f t="shared" si="123"/>
        <v>75035409.296327516</v>
      </c>
      <c r="F495" s="71">
        <f t="shared" si="124"/>
        <v>0</v>
      </c>
      <c r="G495" s="128">
        <f>IF(
    $H$6="Alkaline",
    IF(
        OR(
            Data!$C$37=C494,
            MOD(C494,Data!$C$37)=0
        ),
        $D$8,
        G494*Data!$C$42
    ),
    IF(
        $H$6="PEM",
        IF(
            OR(
                Data!$H$37=C494,
                MOD(C494,Data!$H$37)=0
            ),
            $D$8,
            G494*Data!$H$42
        ),
        ""
    )
)</f>
        <v>897439937.11028242</v>
      </c>
      <c r="H495" s="76">
        <f t="shared" si="118"/>
        <v>2.6532977051444209</v>
      </c>
      <c r="I495" s="73">
        <f t="shared" si="119"/>
        <v>0</v>
      </c>
      <c r="J495" s="73">
        <f t="shared" si="126"/>
        <v>359580996.25131071</v>
      </c>
      <c r="K495" s="73">
        <f t="shared" si="125"/>
        <v>0</v>
      </c>
      <c r="L495" s="74">
        <f t="shared" si="122"/>
        <v>2381175325.6396656</v>
      </c>
    </row>
    <row r="496" spans="3:12" x14ac:dyDescent="0.35">
      <c r="C496" s="69">
        <v>21</v>
      </c>
      <c r="D496" s="75">
        <v>0</v>
      </c>
      <c r="E496" s="126">
        <f t="shared" si="123"/>
        <v>75035409.296327516</v>
      </c>
      <c r="F496" s="71">
        <f t="shared" si="124"/>
        <v>0</v>
      </c>
      <c r="G496" s="128">
        <f>IF(
    $H$6="Alkaline",
    IF(
        OR(
            Data!$C$37=C495,
            MOD(C495,Data!$C$37)=0
        ),
        $D$8,
        G495*Data!$C$42
    ),
    IF(
        $H$6="PEM",
        IF(
            OR(
                Data!$H$37=C495,
                MOD(C495,Data!$H$37)=0
            ),
            $D$8,
            G495*Data!$H$42
        ),
        ""
    )
)</f>
        <v>888465537.73917961</v>
      </c>
      <c r="H496" s="76">
        <f t="shared" si="118"/>
        <v>2.7859625904016418</v>
      </c>
      <c r="I496" s="73">
        <f t="shared" si="119"/>
        <v>0</v>
      </c>
      <c r="J496" s="73">
        <f t="shared" si="126"/>
        <v>388886847.4457925</v>
      </c>
      <c r="K496" s="73">
        <f t="shared" si="125"/>
        <v>0</v>
      </c>
      <c r="L496" s="74">
        <f t="shared" si="122"/>
        <v>2475231751.0024323</v>
      </c>
    </row>
    <row r="497" spans="1:13" x14ac:dyDescent="0.35">
      <c r="C497" s="69">
        <v>22</v>
      </c>
      <c r="D497" s="75">
        <v>0</v>
      </c>
      <c r="E497" s="126">
        <f t="shared" si="123"/>
        <v>75035409.296327516</v>
      </c>
      <c r="F497" s="71">
        <f t="shared" si="124"/>
        <v>0</v>
      </c>
      <c r="G497" s="128">
        <f>IF(
    $H$6="Alkaline",
    IF(
        OR(
            Data!$C$37=C496,
            MOD(C496,Data!$C$37)=0
        ),
        $D$8,
        G496*Data!$C$42
    ),
    IF(
        $H$6="PEM",
        IF(
            OR(
                Data!$H$37=C496,
                MOD(C496,Data!$H$37)=0
            ),
            $D$8,
            G496*Data!$H$42
        ),
        ""
    )
)</f>
        <v>943690143.97642899</v>
      </c>
      <c r="H497" s="76">
        <f t="shared" si="118"/>
        <v>2.9252607199217238</v>
      </c>
      <c r="I497" s="73">
        <f t="shared" si="119"/>
        <v>0</v>
      </c>
      <c r="J497" s="73">
        <f t="shared" si="126"/>
        <v>420581125.51262456</v>
      </c>
      <c r="K497" s="73">
        <f t="shared" si="125"/>
        <v>0</v>
      </c>
      <c r="L497" s="74">
        <f t="shared" si="122"/>
        <v>2760539709.9515238</v>
      </c>
    </row>
    <row r="498" spans="1:13" x14ac:dyDescent="0.35">
      <c r="C498" s="69">
        <v>23</v>
      </c>
      <c r="D498" s="75">
        <v>0</v>
      </c>
      <c r="E498" s="126">
        <f t="shared" si="123"/>
        <v>75035409.296327516</v>
      </c>
      <c r="F498" s="71">
        <f t="shared" si="124"/>
        <v>0</v>
      </c>
      <c r="G498" s="128">
        <f>IF(
    $H$6="Alkaline",
    IF(
        OR(
            Data!$C$37=C497,
            MOD(C497,Data!$C$37)=0
        ),
        $D$8,
        G497*Data!$C$42
    ),
    IF(
        $H$6="PEM",
        IF(
            OR(
                Data!$H$37=C497,
                MOD(C497,Data!$H$37)=0
            ),
            $D$8,
            G497*Data!$H$42
        ),
        ""
    )
)</f>
        <v>934253242.53666472</v>
      </c>
      <c r="H498" s="76">
        <f t="shared" si="118"/>
        <v>3.0715237559178106</v>
      </c>
      <c r="I498" s="73">
        <f t="shared" si="119"/>
        <v>0</v>
      </c>
      <c r="J498" s="73">
        <f t="shared" si="126"/>
        <v>454858487.2419036</v>
      </c>
      <c r="K498" s="73">
        <f t="shared" si="125"/>
        <v>0</v>
      </c>
      <c r="L498" s="74">
        <f t="shared" si="122"/>
        <v>2869581028.4946098</v>
      </c>
    </row>
    <row r="499" spans="1:13" x14ac:dyDescent="0.35">
      <c r="C499" s="69">
        <v>24</v>
      </c>
      <c r="D499" s="75">
        <v>0</v>
      </c>
      <c r="E499" s="126">
        <f t="shared" si="123"/>
        <v>75035409.296327516</v>
      </c>
      <c r="F499" s="71">
        <f t="shared" si="124"/>
        <v>0</v>
      </c>
      <c r="G499" s="128">
        <f>IF(
    $H$6="Alkaline",
    IF(
        OR(
            Data!$C$37=C498,
            MOD(C498,Data!$C$37)=0
        ),
        $D$8,
        G498*Data!$C$42
    ),
    IF(
        $H$6="PEM",
        IF(
            OR(
                Data!$H$37=C498,
                MOD(C498,Data!$H$37)=0
            ),
            $D$8,
            G498*Data!$H$42
        ),
        ""
    )
)</f>
        <v>924910710.11129808</v>
      </c>
      <c r="H499" s="76">
        <f t="shared" si="118"/>
        <v>3.2250999437137007</v>
      </c>
      <c r="I499" s="73">
        <f t="shared" si="119"/>
        <v>0</v>
      </c>
      <c r="J499" s="73">
        <f t="shared" si="126"/>
        <v>491929453.95211864</v>
      </c>
      <c r="K499" s="73">
        <f t="shared" si="125"/>
        <v>0</v>
      </c>
      <c r="L499" s="74">
        <f t="shared" si="122"/>
        <v>2982929479.1201463</v>
      </c>
    </row>
    <row r="500" spans="1:13" ht="15" thickBot="1" x14ac:dyDescent="0.4">
      <c r="C500" s="69">
        <v>25</v>
      </c>
      <c r="D500" s="75">
        <v>0</v>
      </c>
      <c r="E500" s="126">
        <f t="shared" si="123"/>
        <v>75035409.296327516</v>
      </c>
      <c r="F500" s="71">
        <f t="shared" si="124"/>
        <v>0</v>
      </c>
      <c r="G500" s="128">
        <f>IF(
    $H$6="Alkaline",
    IF(
        OR(
            Data!$C$37=C499,
            MOD(C499,Data!$C$37)=0
        ),
        $D$8,
        G499*Data!$C$42
    ),
    IF(
        $H$6="PEM",
        IF(
            OR(
                Data!$H$37=C499,
                MOD(C499,Data!$H$37)=0
            ),
            $D$8,
            G499*Data!$H$42
        ),
        ""
    )
)</f>
        <v>915661603.01018512</v>
      </c>
      <c r="H500" s="76">
        <f t="shared" si="118"/>
        <v>3.3863549408993858</v>
      </c>
      <c r="I500" s="73">
        <f t="shared" si="119"/>
        <v>0</v>
      </c>
      <c r="J500" s="73">
        <f t="shared" si="126"/>
        <v>532021704.44921625</v>
      </c>
      <c r="K500" s="73">
        <f t="shared" si="125"/>
        <v>0</v>
      </c>
      <c r="L500" s="74">
        <f t="shared" si="122"/>
        <v>3100755193.5453925</v>
      </c>
    </row>
    <row r="501" spans="1:13" ht="15" thickBot="1" x14ac:dyDescent="0.4">
      <c r="C501" s="70" t="s">
        <v>26</v>
      </c>
      <c r="D501" s="77">
        <f t="shared" ref="D501:K501" si="127">SUM(D475:D500)</f>
        <v>7503540929.6327515</v>
      </c>
      <c r="E501" s="77">
        <f t="shared" si="127"/>
        <v>1875885232.4081883</v>
      </c>
      <c r="F501" s="77">
        <f t="shared" si="127"/>
        <v>0</v>
      </c>
      <c r="G501" s="77">
        <f t="shared" si="127"/>
        <v>22951294184.026939</v>
      </c>
      <c r="H501" s="77">
        <f t="shared" si="127"/>
        <v>51.113453758887083</v>
      </c>
      <c r="I501" s="77">
        <f t="shared" si="127"/>
        <v>7503540929.6327515</v>
      </c>
      <c r="J501" s="77">
        <f t="shared" si="127"/>
        <v>6064180100.7098074</v>
      </c>
      <c r="K501" s="77">
        <f t="shared" si="127"/>
        <v>0</v>
      </c>
      <c r="L501" s="77">
        <f>SUM(L475:L500)</f>
        <v>45995618724.782455</v>
      </c>
    </row>
    <row r="503" spans="1:13" ht="15" thickBot="1" x14ac:dyDescent="0.4">
      <c r="A503">
        <v>13</v>
      </c>
      <c r="B503">
        <v>71</v>
      </c>
      <c r="C503" s="133" t="s">
        <v>148</v>
      </c>
    </row>
    <row r="504" spans="1:13" ht="19" thickBot="1" x14ac:dyDescent="0.5">
      <c r="C504" s="58" t="s">
        <v>15</v>
      </c>
      <c r="D504" s="58" t="s">
        <v>16</v>
      </c>
      <c r="E504" s="58" t="s">
        <v>17</v>
      </c>
      <c r="F504" s="58" t="s">
        <v>18</v>
      </c>
      <c r="G504" s="59" t="s">
        <v>19</v>
      </c>
      <c r="H504" s="58" t="s">
        <v>20</v>
      </c>
      <c r="I504" s="59" t="s">
        <v>21</v>
      </c>
      <c r="J504" s="58" t="s">
        <v>22</v>
      </c>
      <c r="K504" s="58" t="s">
        <v>23</v>
      </c>
      <c r="L504" s="58" t="s">
        <v>24</v>
      </c>
      <c r="M504" s="152" t="s">
        <v>253</v>
      </c>
    </row>
    <row r="505" spans="1:13" ht="18.5" x14ac:dyDescent="0.45">
      <c r="C505" s="68">
        <v>0</v>
      </c>
      <c r="D505" s="71">
        <f>$G$71</f>
        <v>3739311585.4568138</v>
      </c>
      <c r="E505" s="71">
        <v>0</v>
      </c>
      <c r="F505" s="71">
        <v>0</v>
      </c>
      <c r="G505" s="127">
        <v>0</v>
      </c>
      <c r="H505" s="72">
        <f t="shared" ref="H505:H530" si="128">(1+$D$14)^$C505</f>
        <v>1</v>
      </c>
      <c r="I505" s="73">
        <f t="shared" ref="I505:I530" si="129">D505*$H505*(1+$D$15)^C505</f>
        <v>3739311585.4568138</v>
      </c>
      <c r="J505" s="73">
        <f t="shared" ref="J505:J509" si="130">E505*$H505*(1+$D$15)^C505</f>
        <v>0</v>
      </c>
      <c r="K505" s="73">
        <f t="shared" ref="K505:K506" si="131">F505*$H505*(1+$D$15)^C505</f>
        <v>0</v>
      </c>
      <c r="L505" s="74">
        <f t="shared" ref="L505:L530" si="132">G505*$H505</f>
        <v>0</v>
      </c>
      <c r="M505" s="153">
        <f>(I531+J531+K531)/L531</f>
        <v>0.24555304641788897</v>
      </c>
    </row>
    <row r="506" spans="1:13" x14ac:dyDescent="0.35">
      <c r="C506" s="69">
        <v>1</v>
      </c>
      <c r="D506" s="75">
        <v>0</v>
      </c>
      <c r="E506" s="126">
        <f>$K$71</f>
        <v>93482789.636420354</v>
      </c>
      <c r="F506" s="71">
        <f>(IF(MOD(C506,$H$71)=0,$J$71,0))</f>
        <v>0</v>
      </c>
      <c r="G506" s="128">
        <f>$D$8</f>
        <v>943690143.97642899</v>
      </c>
      <c r="H506" s="76">
        <f t="shared" si="128"/>
        <v>1.05</v>
      </c>
      <c r="I506" s="73">
        <f t="shared" si="129"/>
        <v>0</v>
      </c>
      <c r="J506" s="73">
        <f t="shared" si="130"/>
        <v>101101636.99178861</v>
      </c>
      <c r="K506" s="73">
        <f t="shared" si="131"/>
        <v>0</v>
      </c>
      <c r="L506" s="97">
        <f t="shared" si="132"/>
        <v>990874651.17525053</v>
      </c>
    </row>
    <row r="507" spans="1:13" x14ac:dyDescent="0.35">
      <c r="C507" s="69">
        <v>2</v>
      </c>
      <c r="D507" s="75">
        <v>0</v>
      </c>
      <c r="E507" s="126">
        <f t="shared" ref="E507:E530" si="133">$K$71</f>
        <v>93482789.636420354</v>
      </c>
      <c r="F507" s="71">
        <f>(IF(MOD(C506,$H$71)=0,$J$71,0))</f>
        <v>0</v>
      </c>
      <c r="G507" s="128">
        <f>IF(
    $H$6="Alkaline",
    IF(
        OR(
            Data!$C$37=C506,
            MOD(C506,Data!$C$37)=0
        ),
        $D$8,
        G506*Data!$C$42
    ),
    IF(
        $H$6="PEM",
        IF(
            OR(
                Data!$H$37=C506,
                MOD(C506,Data!$H$37)=0
            ),
            $D$8,
            G506*Data!$H$42
        ),
        ""
    )
)</f>
        <v>934253242.53666472</v>
      </c>
      <c r="H507" s="76">
        <f t="shared" si="128"/>
        <v>1.1025</v>
      </c>
      <c r="I507" s="73">
        <f t="shared" si="129"/>
        <v>0</v>
      </c>
      <c r="J507" s="73">
        <f t="shared" si="130"/>
        <v>109341420.40661938</v>
      </c>
      <c r="K507" s="73">
        <f>F507*$H507*(1+$D$15)^C507</f>
        <v>0</v>
      </c>
      <c r="L507" s="74">
        <f t="shared" si="132"/>
        <v>1030014199.8966728</v>
      </c>
    </row>
    <row r="508" spans="1:13" x14ac:dyDescent="0.35">
      <c r="C508" s="69">
        <v>3</v>
      </c>
      <c r="D508" s="75">
        <v>0</v>
      </c>
      <c r="E508" s="126">
        <f t="shared" si="133"/>
        <v>93482789.636420354</v>
      </c>
      <c r="F508" s="71">
        <f t="shared" ref="F508:F530" si="134">(IF(MOD(C507,$H$71)=0,$J$71,0))</f>
        <v>0</v>
      </c>
      <c r="G508" s="128">
        <f>IF(
    $H$6="Alkaline",
    IF(
        OR(
            Data!$C$37=C507,
            MOD(C507,Data!$C$37)=0
        ),
        $D$8,
        G507*Data!$C$42
    ),
    IF(
        $H$6="PEM",
        IF(
            OR(
                Data!$H$37=C507,
                MOD(C507,Data!$H$37)=0
            ),
            $D$8,
            G507*Data!$H$42
        ),
        ""
    )
)</f>
        <v>924910710.11129808</v>
      </c>
      <c r="H508" s="76">
        <f>(1+$D$14)^$C508</f>
        <v>1.1576250000000001</v>
      </c>
      <c r="I508" s="73">
        <f t="shared" si="129"/>
        <v>0</v>
      </c>
      <c r="J508" s="73">
        <f t="shared" si="130"/>
        <v>118252746.16975887</v>
      </c>
      <c r="K508" s="73">
        <f t="shared" ref="K508:K530" si="135">F508*$H508*(1+$D$15)^C508</f>
        <v>0</v>
      </c>
      <c r="L508" s="74">
        <f t="shared" si="132"/>
        <v>1070699760.7925916</v>
      </c>
    </row>
    <row r="509" spans="1:13" x14ac:dyDescent="0.35">
      <c r="C509" s="69">
        <v>4</v>
      </c>
      <c r="D509" s="75">
        <v>0</v>
      </c>
      <c r="E509" s="126">
        <f t="shared" si="133"/>
        <v>93482789.636420354</v>
      </c>
      <c r="F509" s="71">
        <f t="shared" si="134"/>
        <v>0</v>
      </c>
      <c r="G509" s="128">
        <f>IF(
    $H$6="Alkaline",
    IF(
        OR(
            Data!$C$37=C508,
            MOD(C508,Data!$C$37)=0
        ),
        $D$8,
        G508*Data!$C$42
    ),
    IF(
        $H$6="PEM",
        IF(
            OR(
                Data!$H$37=C508,
                MOD(C508,Data!$H$37)=0
            ),
            $D$8,
            G508*Data!$H$42
        ),
        ""
    )
)</f>
        <v>915661603.01018512</v>
      </c>
      <c r="H509" s="76">
        <f t="shared" si="128"/>
        <v>1.21550625</v>
      </c>
      <c r="I509" s="73">
        <f t="shared" si="129"/>
        <v>0</v>
      </c>
      <c r="J509" s="73">
        <f t="shared" si="130"/>
        <v>127890344.98259421</v>
      </c>
      <c r="K509" s="73">
        <f t="shared" si="135"/>
        <v>0</v>
      </c>
      <c r="L509" s="74">
        <f t="shared" si="132"/>
        <v>1112992401.3438988</v>
      </c>
    </row>
    <row r="510" spans="1:13" x14ac:dyDescent="0.35">
      <c r="C510" s="69">
        <v>5</v>
      </c>
      <c r="D510" s="75">
        <v>0</v>
      </c>
      <c r="E510" s="126">
        <f t="shared" si="133"/>
        <v>93482789.636420354</v>
      </c>
      <c r="F510" s="71">
        <f t="shared" si="134"/>
        <v>0</v>
      </c>
      <c r="G510" s="128">
        <f>IF(
    $H$6="Alkaline",
    IF(
        OR(
            Data!$C$37=C509,
            MOD(C509,Data!$C$37)=0
        ),
        $D$8,
        G509*Data!$C$42
    ),
    IF(
        $H$6="PEM",
        IF(
            OR(
                Data!$H$37=C509,
                MOD(C509,Data!$H$37)=0
            ),
            $D$8,
            G509*Data!$H$42
        ),
        ""
    )
)</f>
        <v>906504986.98008323</v>
      </c>
      <c r="H510" s="76">
        <f t="shared" si="128"/>
        <v>1.2762815625000001</v>
      </c>
      <c r="I510" s="73">
        <f t="shared" si="129"/>
        <v>0</v>
      </c>
      <c r="J510" s="73">
        <f>E510*$H510*(1+$D$15)^C510</f>
        <v>138313408.09867564</v>
      </c>
      <c r="K510" s="73">
        <f t="shared" si="135"/>
        <v>0</v>
      </c>
      <c r="L510" s="74">
        <f t="shared" si="132"/>
        <v>1156955601.1969829</v>
      </c>
    </row>
    <row r="511" spans="1:13" x14ac:dyDescent="0.35">
      <c r="C511" s="69">
        <v>6</v>
      </c>
      <c r="D511" s="75">
        <v>0</v>
      </c>
      <c r="E511" s="126">
        <f t="shared" si="133"/>
        <v>93482789.636420354</v>
      </c>
      <c r="F511" s="71">
        <f t="shared" si="134"/>
        <v>0</v>
      </c>
      <c r="G511" s="128">
        <f>IF(
    $H$6="Alkaline",
    IF(
        OR(
            Data!$C$37=C510,
            MOD(C510,Data!$C$37)=0
        ),
        $D$8,
        G510*Data!$C$42
    ),
    IF(
        $H$6="PEM",
        IF(
            OR(
                Data!$H$37=C510,
                MOD(C510,Data!$H$37)=0
            ),
            $D$8,
            G510*Data!$H$42
        ),
        ""
    )
)</f>
        <v>897439937.11028242</v>
      </c>
      <c r="H511" s="76">
        <f t="shared" si="128"/>
        <v>1.340095640625</v>
      </c>
      <c r="I511" s="73">
        <f t="shared" si="129"/>
        <v>0</v>
      </c>
      <c r="J511" s="73">
        <f t="shared" ref="J511:J530" si="136">E511*$H511*(1+$D$15)^C511</f>
        <v>149585950.85871768</v>
      </c>
      <c r="K511" s="73">
        <f t="shared" si="135"/>
        <v>0</v>
      </c>
      <c r="L511" s="74">
        <f t="shared" si="132"/>
        <v>1202655347.4442637</v>
      </c>
    </row>
    <row r="512" spans="1:13" x14ac:dyDescent="0.35">
      <c r="C512" s="69">
        <v>7</v>
      </c>
      <c r="D512" s="75">
        <v>0</v>
      </c>
      <c r="E512" s="126">
        <f t="shared" si="133"/>
        <v>93482789.636420354</v>
      </c>
      <c r="F512" s="71">
        <f t="shared" si="134"/>
        <v>0</v>
      </c>
      <c r="G512" s="128">
        <f>IF(
    $H$6="Alkaline",
    IF(
        OR(
            Data!$C$37=C511,
            MOD(C511,Data!$C$37)=0
        ),
        $D$8,
        G511*Data!$C$42
    ),
    IF(
        $H$6="PEM",
        IF(
            OR(
                Data!$H$37=C511,
                MOD(C511,Data!$H$37)=0
            ),
            $D$8,
            G511*Data!$H$42
        ),
        ""
    )
)</f>
        <v>888465537.73917961</v>
      </c>
      <c r="H512" s="76">
        <f t="shared" si="128"/>
        <v>1.4071004226562502</v>
      </c>
      <c r="I512" s="73">
        <f t="shared" si="129"/>
        <v>0</v>
      </c>
      <c r="J512" s="73">
        <f t="shared" si="136"/>
        <v>161777205.85370323</v>
      </c>
      <c r="K512" s="73">
        <f t="shared" si="135"/>
        <v>0</v>
      </c>
      <c r="L512" s="74">
        <f t="shared" si="132"/>
        <v>1250160233.6683123</v>
      </c>
    </row>
    <row r="513" spans="3:12" x14ac:dyDescent="0.35">
      <c r="C513" s="69">
        <v>8</v>
      </c>
      <c r="D513" s="75">
        <v>0</v>
      </c>
      <c r="E513" s="126">
        <f t="shared" si="133"/>
        <v>93482789.636420354</v>
      </c>
      <c r="F513" s="71">
        <f t="shared" si="134"/>
        <v>0</v>
      </c>
      <c r="G513" s="128">
        <f>IF(
    $H$6="Alkaline",
    IF(
        OR(
            Data!$C$37=C512,
            MOD(C512,Data!$C$37)=0
        ),
        $D$8,
        G512*Data!$C$42
    ),
    IF(
        $H$6="PEM",
        IF(
            OR(
                Data!$H$37=C512,
                MOD(C512,Data!$H$37)=0
            ),
            $D$8,
            G512*Data!$H$42
        ),
        ""
    )
)</f>
        <v>943690143.97642899</v>
      </c>
      <c r="H513" s="76">
        <f t="shared" si="128"/>
        <v>1.4774554437890626</v>
      </c>
      <c r="I513" s="73">
        <f t="shared" si="129"/>
        <v>0</v>
      </c>
      <c r="J513" s="73">
        <f t="shared" si="136"/>
        <v>174962048.13077998</v>
      </c>
      <c r="K513" s="73">
        <f t="shared" si="135"/>
        <v>0</v>
      </c>
      <c r="L513" s="74">
        <f t="shared" si="132"/>
        <v>1394260140.4680593</v>
      </c>
    </row>
    <row r="514" spans="3:12" x14ac:dyDescent="0.35">
      <c r="C514" s="69">
        <v>9</v>
      </c>
      <c r="D514" s="75">
        <v>0</v>
      </c>
      <c r="E514" s="126">
        <f t="shared" si="133"/>
        <v>93482789.636420354</v>
      </c>
      <c r="F514" s="71">
        <f t="shared" si="134"/>
        <v>0</v>
      </c>
      <c r="G514" s="128">
        <f>IF(
    $H$6="Alkaline",
    IF(
        OR(
            Data!$C$37=C513,
            MOD(C513,Data!$C$37)=0
        ),
        $D$8,
        G513*Data!$C$42
    ),
    IF(
        $H$6="PEM",
        IF(
            OR(
                Data!$H$37=C513,
                MOD(C513,Data!$H$37)=0
            ),
            $D$8,
            G513*Data!$H$42
        ),
        ""
    )
)</f>
        <v>934253242.53666472</v>
      </c>
      <c r="H514" s="76">
        <f t="shared" si="128"/>
        <v>1.5513282159785158</v>
      </c>
      <c r="I514" s="73">
        <f t="shared" si="129"/>
        <v>0</v>
      </c>
      <c r="J514" s="73">
        <f t="shared" si="136"/>
        <v>189221455.05343857</v>
      </c>
      <c r="K514" s="73">
        <f t="shared" si="135"/>
        <v>0</v>
      </c>
      <c r="L514" s="74">
        <f t="shared" si="132"/>
        <v>1449333416.0165477</v>
      </c>
    </row>
    <row r="515" spans="3:12" x14ac:dyDescent="0.35">
      <c r="C515" s="69">
        <v>10</v>
      </c>
      <c r="D515" s="75">
        <v>0</v>
      </c>
      <c r="E515" s="126">
        <f t="shared" si="133"/>
        <v>93482789.636420354</v>
      </c>
      <c r="F515" s="71">
        <f t="shared" si="134"/>
        <v>0</v>
      </c>
      <c r="G515" s="128">
        <f>IF(
    $H$6="Alkaline",
    IF(
        OR(
            Data!$C$37=C514,
            MOD(C514,Data!$C$37)=0
        ),
        $D$8,
        G514*Data!$C$42
    ),
    IF(
        $H$6="PEM",
        IF(
            OR(
                Data!$H$37=C514,
                MOD(C514,Data!$H$37)=0
            ),
            $D$8,
            G514*Data!$H$42
        ),
        ""
    )
)</f>
        <v>924910710.11129808</v>
      </c>
      <c r="H515" s="76">
        <f t="shared" si="128"/>
        <v>1.6288946267774416</v>
      </c>
      <c r="I515" s="73">
        <f t="shared" si="129"/>
        <v>0</v>
      </c>
      <c r="J515" s="73">
        <f t="shared" si="136"/>
        <v>204643003.64029384</v>
      </c>
      <c r="K515" s="73">
        <f t="shared" si="135"/>
        <v>0</v>
      </c>
      <c r="L515" s="74">
        <f t="shared" si="132"/>
        <v>1506582085.9492013</v>
      </c>
    </row>
    <row r="516" spans="3:12" x14ac:dyDescent="0.35">
      <c r="C516" s="69">
        <v>11</v>
      </c>
      <c r="D516" s="75">
        <v>0</v>
      </c>
      <c r="E516" s="126">
        <f t="shared" si="133"/>
        <v>93482789.636420354</v>
      </c>
      <c r="F516" s="71">
        <f t="shared" si="134"/>
        <v>0</v>
      </c>
      <c r="G516" s="128">
        <f>IF(
    $H$6="Alkaline",
    IF(
        OR(
            Data!$C$37=C515,
            MOD(C515,Data!$C$37)=0
        ),
        $D$8,
        G515*Data!$C$42
    ),
    IF(
        $H$6="PEM",
        IF(
            OR(
                Data!$H$37=C515,
                MOD(C515,Data!$H$37)=0
            ),
            $D$8,
            G515*Data!$H$42
        ),
        ""
    )
)</f>
        <v>915661603.01018512</v>
      </c>
      <c r="H516" s="76">
        <f t="shared" si="128"/>
        <v>1.7103393581163138</v>
      </c>
      <c r="I516" s="73">
        <f t="shared" si="129"/>
        <v>0</v>
      </c>
      <c r="J516" s="73">
        <f t="shared" si="136"/>
        <v>221321408.4369778</v>
      </c>
      <c r="K516" s="73">
        <f t="shared" si="135"/>
        <v>0</v>
      </c>
      <c r="L516" s="74">
        <f t="shared" si="132"/>
        <v>1566092078.3441949</v>
      </c>
    </row>
    <row r="517" spans="3:12" x14ac:dyDescent="0.35">
      <c r="C517" s="69">
        <v>12</v>
      </c>
      <c r="D517" s="75">
        <v>0</v>
      </c>
      <c r="E517" s="126">
        <f t="shared" si="133"/>
        <v>93482789.636420354</v>
      </c>
      <c r="F517" s="71">
        <f t="shared" si="134"/>
        <v>0</v>
      </c>
      <c r="G517" s="128">
        <f>IF(
    $H$6="Alkaline",
    IF(
        OR(
            Data!$C$37=C516,
            MOD(C516,Data!$C$37)=0
        ),
        $D$8,
        G516*Data!$C$42
    ),
    IF(
        $H$6="PEM",
        IF(
            OR(
                Data!$H$37=C516,
                MOD(C516,Data!$H$37)=0
            ),
            $D$8,
            G516*Data!$H$42
        ),
        ""
    )
)</f>
        <v>906504986.98008323</v>
      </c>
      <c r="H517" s="76">
        <f t="shared" si="128"/>
        <v>1.7958563260221292</v>
      </c>
      <c r="I517" s="73">
        <f t="shared" si="129"/>
        <v>0</v>
      </c>
      <c r="J517" s="73">
        <f t="shared" si="136"/>
        <v>239359103.22459143</v>
      </c>
      <c r="K517" s="73">
        <f t="shared" si="135"/>
        <v>0</v>
      </c>
      <c r="L517" s="74">
        <f t="shared" si="132"/>
        <v>1627952715.4387903</v>
      </c>
    </row>
    <row r="518" spans="3:12" x14ac:dyDescent="0.35">
      <c r="C518" s="69">
        <v>13</v>
      </c>
      <c r="D518" s="75">
        <v>0</v>
      </c>
      <c r="E518" s="126">
        <f t="shared" si="133"/>
        <v>93482789.636420354</v>
      </c>
      <c r="F518" s="71">
        <f t="shared" si="134"/>
        <v>0</v>
      </c>
      <c r="G518" s="128">
        <f>IF(
    $H$6="Alkaline",
    IF(
        OR(
            Data!$C$37=C517,
            MOD(C517,Data!$C$37)=0
        ),
        $D$8,
        G517*Data!$C$42
    ),
    IF(
        $H$6="PEM",
        IF(
            OR(
                Data!$H$37=C517,
                MOD(C517,Data!$H$37)=0
            ),
            $D$8,
            G517*Data!$H$42
        ),
        ""
    )
)</f>
        <v>897439937.11028242</v>
      </c>
      <c r="H518" s="76">
        <f t="shared" si="128"/>
        <v>1.885649142323236</v>
      </c>
      <c r="I518" s="73">
        <f t="shared" si="129"/>
        <v>0</v>
      </c>
      <c r="J518" s="73">
        <f t="shared" si="136"/>
        <v>258866870.13739565</v>
      </c>
      <c r="K518" s="73">
        <f t="shared" si="135"/>
        <v>0</v>
      </c>
      <c r="L518" s="74">
        <f t="shared" si="132"/>
        <v>1692256847.6986229</v>
      </c>
    </row>
    <row r="519" spans="3:12" x14ac:dyDescent="0.35">
      <c r="C519" s="69">
        <v>14</v>
      </c>
      <c r="D519" s="75">
        <v>0</v>
      </c>
      <c r="E519" s="126">
        <f t="shared" si="133"/>
        <v>93482789.636420354</v>
      </c>
      <c r="F519" s="71">
        <f t="shared" si="134"/>
        <v>0</v>
      </c>
      <c r="G519" s="128">
        <f>IF(
    $H$6="Alkaline",
    IF(
        OR(
            Data!$C$37=C518,
            MOD(C518,Data!$C$37)=0
        ),
        $D$8,
        G518*Data!$C$42
    ),
    IF(
        $H$6="PEM",
        IF(
            OR(
                Data!$H$37=C518,
                MOD(C518,Data!$H$37)=0
            ),
            $D$8,
            G518*Data!$H$42
        ),
        ""
    )
)</f>
        <v>888465537.73917961</v>
      </c>
      <c r="H519" s="76">
        <f t="shared" si="128"/>
        <v>1.9799315994393973</v>
      </c>
      <c r="I519" s="73">
        <f t="shared" si="129"/>
        <v>0</v>
      </c>
      <c r="J519" s="73">
        <f t="shared" si="136"/>
        <v>279964520.0535934</v>
      </c>
      <c r="K519" s="73">
        <f t="shared" si="135"/>
        <v>0</v>
      </c>
      <c r="L519" s="74">
        <f t="shared" si="132"/>
        <v>1759100993.182718</v>
      </c>
    </row>
    <row r="520" spans="3:12" x14ac:dyDescent="0.35">
      <c r="C520" s="69">
        <v>15</v>
      </c>
      <c r="D520" s="75">
        <v>0</v>
      </c>
      <c r="E520" s="126">
        <f t="shared" si="133"/>
        <v>93482789.636420354</v>
      </c>
      <c r="F520" s="71">
        <f t="shared" si="134"/>
        <v>0</v>
      </c>
      <c r="G520" s="128">
        <f>IF(
    $H$6="Alkaline",
    IF(
        OR(
            Data!$C$37=C519,
            MOD(C519,Data!$C$37)=0
        ),
        $D$8,
        G519*Data!$C$42
    ),
    IF(
        $H$6="PEM",
        IF(
            OR(
                Data!$H$37=C519,
                MOD(C519,Data!$H$37)=0
            ),
            $D$8,
            G519*Data!$H$42
        ),
        ""
    )
)</f>
        <v>943690143.97642899</v>
      </c>
      <c r="H520" s="76">
        <f t="shared" si="128"/>
        <v>2.0789281794113679</v>
      </c>
      <c r="I520" s="73">
        <f t="shared" si="129"/>
        <v>0</v>
      </c>
      <c r="J520" s="73">
        <f t="shared" si="136"/>
        <v>302781628.43796134</v>
      </c>
      <c r="K520" s="73">
        <f t="shared" si="135"/>
        <v>0</v>
      </c>
      <c r="L520" s="74">
        <f t="shared" si="132"/>
        <v>1961864032.9453692</v>
      </c>
    </row>
    <row r="521" spans="3:12" x14ac:dyDescent="0.35">
      <c r="C521" s="69">
        <v>16</v>
      </c>
      <c r="D521" s="75">
        <v>0</v>
      </c>
      <c r="E521" s="126">
        <f t="shared" si="133"/>
        <v>93482789.636420354</v>
      </c>
      <c r="F521" s="71">
        <f t="shared" si="134"/>
        <v>0</v>
      </c>
      <c r="G521" s="128">
        <f>IF(
    $H$6="Alkaline",
    IF(
        OR(
            Data!$C$37=C520,
            MOD(C520,Data!$C$37)=0
        ),
        $D$8,
        G520*Data!$C$42
    ),
    IF(
        $H$6="PEM",
        IF(
            OR(
                Data!$H$37=C520,
                MOD(C520,Data!$H$37)=0
            ),
            $D$8,
            G520*Data!$H$42
        ),
        ""
    )
)</f>
        <v>934253242.53666472</v>
      </c>
      <c r="H521" s="76">
        <f t="shared" si="128"/>
        <v>2.182874588381936</v>
      </c>
      <c r="I521" s="73">
        <f t="shared" si="129"/>
        <v>0</v>
      </c>
      <c r="J521" s="73">
        <f t="shared" si="136"/>
        <v>327458331.15565509</v>
      </c>
      <c r="K521" s="73">
        <f t="shared" si="135"/>
        <v>0</v>
      </c>
      <c r="L521" s="74">
        <f t="shared" si="132"/>
        <v>2039357662.246711</v>
      </c>
    </row>
    <row r="522" spans="3:12" x14ac:dyDescent="0.35">
      <c r="C522" s="69">
        <v>17</v>
      </c>
      <c r="D522" s="75">
        <v>0</v>
      </c>
      <c r="E522" s="126">
        <f t="shared" si="133"/>
        <v>93482789.636420354</v>
      </c>
      <c r="F522" s="71">
        <f t="shared" si="134"/>
        <v>0</v>
      </c>
      <c r="G522" s="128">
        <f>IF(
    $H$6="Alkaline",
    IF(
        OR(
            Data!$C$37=C521,
            MOD(C521,Data!$C$37)=0
        ),
        $D$8,
        G521*Data!$C$42
    ),
    IF(
        $H$6="PEM",
        IF(
            OR(
                Data!$H$37=C521,
                MOD(C521,Data!$H$37)=0
            ),
            $D$8,
            G521*Data!$H$42
        ),
        ""
    )
)</f>
        <v>924910710.11129808</v>
      </c>
      <c r="H522" s="76">
        <f t="shared" si="128"/>
        <v>2.2920183178010332</v>
      </c>
      <c r="I522" s="73">
        <f t="shared" si="129"/>
        <v>0</v>
      </c>
      <c r="J522" s="73">
        <f t="shared" si="136"/>
        <v>354146185.14484102</v>
      </c>
      <c r="K522" s="73">
        <f t="shared" si="135"/>
        <v>0</v>
      </c>
      <c r="L522" s="74">
        <f t="shared" si="132"/>
        <v>2119912289.9054565</v>
      </c>
    </row>
    <row r="523" spans="3:12" x14ac:dyDescent="0.35">
      <c r="C523" s="69">
        <v>18</v>
      </c>
      <c r="D523" s="75">
        <v>0</v>
      </c>
      <c r="E523" s="126">
        <f t="shared" si="133"/>
        <v>93482789.636420354</v>
      </c>
      <c r="F523" s="71">
        <f t="shared" si="134"/>
        <v>0</v>
      </c>
      <c r="G523" s="128">
        <f>IF(
    $H$6="Alkaline",
    IF(
        OR(
            Data!$C$37=C522,
            MOD(C522,Data!$C$37)=0
        ),
        $D$8,
        G522*Data!$C$42
    ),
    IF(
        $H$6="PEM",
        IF(
            OR(
                Data!$H$37=C522,
                MOD(C522,Data!$H$37)=0
            ),
            $D$8,
            G522*Data!$H$42
        ),
        ""
    )
)</f>
        <v>915661603.01018512</v>
      </c>
      <c r="H523" s="76">
        <f t="shared" si="128"/>
        <v>2.4066192336910848</v>
      </c>
      <c r="I523" s="73">
        <f t="shared" si="129"/>
        <v>0</v>
      </c>
      <c r="J523" s="73">
        <f t="shared" si="136"/>
        <v>383009099.23414558</v>
      </c>
      <c r="K523" s="73">
        <f t="shared" si="135"/>
        <v>0</v>
      </c>
      <c r="L523" s="74">
        <f t="shared" si="132"/>
        <v>2203648825.3567219</v>
      </c>
    </row>
    <row r="524" spans="3:12" x14ac:dyDescent="0.35">
      <c r="C524" s="69">
        <v>19</v>
      </c>
      <c r="D524" s="75">
        <v>0</v>
      </c>
      <c r="E524" s="126">
        <f t="shared" si="133"/>
        <v>93482789.636420354</v>
      </c>
      <c r="F524" s="71">
        <f t="shared" si="134"/>
        <v>0</v>
      </c>
      <c r="G524" s="128">
        <f>IF(
    $H$6="Alkaline",
    IF(
        OR(
            Data!$C$37=C523,
            MOD(C523,Data!$C$37)=0
        ),
        $D$8,
        G523*Data!$C$42
    ),
    IF(
        $H$6="PEM",
        IF(
            OR(
                Data!$H$37=C523,
                MOD(C523,Data!$H$37)=0
            ),
            $D$8,
            G523*Data!$H$42
        ),
        ""
    )
)</f>
        <v>906504986.98008323</v>
      </c>
      <c r="H524" s="76">
        <f t="shared" si="128"/>
        <v>2.526950195375639</v>
      </c>
      <c r="I524" s="73">
        <f t="shared" si="129"/>
        <v>0</v>
      </c>
      <c r="J524" s="73">
        <f t="shared" si="136"/>
        <v>414224340.82172841</v>
      </c>
      <c r="K524" s="73">
        <f t="shared" si="135"/>
        <v>0</v>
      </c>
      <c r="L524" s="74">
        <f t="shared" si="132"/>
        <v>2290692953.9583125</v>
      </c>
    </row>
    <row r="525" spans="3:12" x14ac:dyDescent="0.35">
      <c r="C525" s="69">
        <v>20</v>
      </c>
      <c r="D525" s="75">
        <v>0</v>
      </c>
      <c r="E525" s="126">
        <f t="shared" si="133"/>
        <v>93482789.636420354</v>
      </c>
      <c r="F525" s="71">
        <f t="shared" si="134"/>
        <v>0</v>
      </c>
      <c r="G525" s="128">
        <f>IF(
    $H$6="Alkaline",
    IF(
        OR(
            Data!$C$37=C524,
            MOD(C524,Data!$C$37)=0
        ),
        $D$8,
        G524*Data!$C$42
    ),
    IF(
        $H$6="PEM",
        IF(
            OR(
                Data!$H$37=C524,
                MOD(C524,Data!$H$37)=0
            ),
            $D$8,
            G524*Data!$H$42
        ),
        ""
    )
)</f>
        <v>897439937.11028242</v>
      </c>
      <c r="H525" s="76">
        <f t="shared" si="128"/>
        <v>2.6532977051444209</v>
      </c>
      <c r="I525" s="73">
        <f t="shared" si="129"/>
        <v>0</v>
      </c>
      <c r="J525" s="73">
        <f t="shared" si="136"/>
        <v>447983624.59869927</v>
      </c>
      <c r="K525" s="73">
        <f t="shared" si="135"/>
        <v>0</v>
      </c>
      <c r="L525" s="74">
        <f t="shared" si="132"/>
        <v>2381175325.6396656</v>
      </c>
    </row>
    <row r="526" spans="3:12" x14ac:dyDescent="0.35">
      <c r="C526" s="69">
        <v>21</v>
      </c>
      <c r="D526" s="75">
        <v>0</v>
      </c>
      <c r="E526" s="126">
        <f t="shared" si="133"/>
        <v>93482789.636420354</v>
      </c>
      <c r="F526" s="71">
        <f t="shared" si="134"/>
        <v>0</v>
      </c>
      <c r="G526" s="128">
        <f>IF(
    $H$6="Alkaline",
    IF(
        OR(
            Data!$C$37=C525,
            MOD(C525,Data!$C$37)=0
        ),
        $D$8,
        G525*Data!$C$42
    ),
    IF(
        $H$6="PEM",
        IF(
            OR(
                Data!$H$37=C525,
                MOD(C525,Data!$H$37)=0
            ),
            $D$8,
            G525*Data!$H$42
        ),
        ""
    )
)</f>
        <v>888465537.73917961</v>
      </c>
      <c r="H526" s="76">
        <f t="shared" si="128"/>
        <v>2.7859625904016418</v>
      </c>
      <c r="I526" s="73">
        <f t="shared" si="129"/>
        <v>0</v>
      </c>
      <c r="J526" s="73">
        <f t="shared" si="136"/>
        <v>484494290.00349319</v>
      </c>
      <c r="K526" s="73">
        <f t="shared" si="135"/>
        <v>0</v>
      </c>
      <c r="L526" s="74">
        <f t="shared" si="132"/>
        <v>2475231751.0024323</v>
      </c>
    </row>
    <row r="527" spans="3:12" x14ac:dyDescent="0.35">
      <c r="C527" s="69">
        <v>22</v>
      </c>
      <c r="D527" s="75">
        <v>0</v>
      </c>
      <c r="E527" s="126">
        <f t="shared" si="133"/>
        <v>93482789.636420354</v>
      </c>
      <c r="F527" s="71">
        <f t="shared" si="134"/>
        <v>0</v>
      </c>
      <c r="G527" s="128">
        <f>IF(
    $H$6="Alkaline",
    IF(
        OR(
            Data!$C$37=C526,
            MOD(C526,Data!$C$37)=0
        ),
        $D$8,
        G526*Data!$C$42
    ),
    IF(
        $H$6="PEM",
        IF(
            OR(
                Data!$H$37=C526,
                MOD(C526,Data!$H$37)=0
            ),
            $D$8,
            G526*Data!$H$42
        ),
        ""
    )
)</f>
        <v>943690143.97642899</v>
      </c>
      <c r="H527" s="76">
        <f t="shared" si="128"/>
        <v>2.9252607199217238</v>
      </c>
      <c r="I527" s="73">
        <f t="shared" si="129"/>
        <v>0</v>
      </c>
      <c r="J527" s="73">
        <f t="shared" si="136"/>
        <v>523980574.63877791</v>
      </c>
      <c r="K527" s="73">
        <f t="shared" si="135"/>
        <v>0</v>
      </c>
      <c r="L527" s="74">
        <f t="shared" si="132"/>
        <v>2760539709.9515238</v>
      </c>
    </row>
    <row r="528" spans="3:12" x14ac:dyDescent="0.35">
      <c r="C528" s="69">
        <v>23</v>
      </c>
      <c r="D528" s="75">
        <v>0</v>
      </c>
      <c r="E528" s="126">
        <f t="shared" si="133"/>
        <v>93482789.636420354</v>
      </c>
      <c r="F528" s="71">
        <f t="shared" si="134"/>
        <v>0</v>
      </c>
      <c r="G528" s="128">
        <f>IF(
    $H$6="Alkaline",
    IF(
        OR(
            Data!$C$37=C527,
            MOD(C527,Data!$C$37)=0
        ),
        $D$8,
        G527*Data!$C$42
    ),
    IF(
        $H$6="PEM",
        IF(
            OR(
                Data!$H$37=C527,
                MOD(C527,Data!$H$37)=0
            ),
            $D$8,
            G527*Data!$H$42
        ),
        ""
    )
)</f>
        <v>934253242.53666472</v>
      </c>
      <c r="H528" s="76">
        <f t="shared" si="128"/>
        <v>3.0715237559178106</v>
      </c>
      <c r="I528" s="73">
        <f t="shared" si="129"/>
        <v>0</v>
      </c>
      <c r="J528" s="73">
        <f t="shared" si="136"/>
        <v>566684991.47183847</v>
      </c>
      <c r="K528" s="73">
        <f t="shared" si="135"/>
        <v>0</v>
      </c>
      <c r="L528" s="74">
        <f t="shared" si="132"/>
        <v>2869581028.4946098</v>
      </c>
    </row>
    <row r="529" spans="1:13" x14ac:dyDescent="0.35">
      <c r="C529" s="69">
        <v>24</v>
      </c>
      <c r="D529" s="75">
        <v>0</v>
      </c>
      <c r="E529" s="126">
        <f t="shared" si="133"/>
        <v>93482789.636420354</v>
      </c>
      <c r="F529" s="71">
        <f t="shared" si="134"/>
        <v>0</v>
      </c>
      <c r="G529" s="128">
        <f>IF(
    $H$6="Alkaline",
    IF(
        OR(
            Data!$C$37=C528,
            MOD(C528,Data!$C$37)=0
        ),
        $D$8,
        G528*Data!$C$42
    ),
    IF(
        $H$6="PEM",
        IF(
            OR(
                Data!$H$37=C528,
                MOD(C528,Data!$H$37)=0
            ),
            $D$8,
            G528*Data!$H$42
        ),
        ""
    )
)</f>
        <v>924910710.11129808</v>
      </c>
      <c r="H529" s="76">
        <f t="shared" si="128"/>
        <v>3.2250999437137007</v>
      </c>
      <c r="I529" s="73">
        <f t="shared" si="129"/>
        <v>0</v>
      </c>
      <c r="J529" s="73">
        <f t="shared" si="136"/>
        <v>612869818.276793</v>
      </c>
      <c r="K529" s="73">
        <f t="shared" si="135"/>
        <v>0</v>
      </c>
      <c r="L529" s="74">
        <f t="shared" si="132"/>
        <v>2982929479.1201463</v>
      </c>
    </row>
    <row r="530" spans="1:13" ht="15" thickBot="1" x14ac:dyDescent="0.4">
      <c r="C530" s="69">
        <v>25</v>
      </c>
      <c r="D530" s="75">
        <v>0</v>
      </c>
      <c r="E530" s="126">
        <f t="shared" si="133"/>
        <v>93482789.636420354</v>
      </c>
      <c r="F530" s="71">
        <f t="shared" si="134"/>
        <v>0</v>
      </c>
      <c r="G530" s="128">
        <f>IF(
    $H$6="Alkaline",
    IF(
        OR(
            Data!$C$37=C529,
            MOD(C529,Data!$C$37)=0
        ),
        $D$8,
        G529*Data!$C$42
    ),
    IF(
        $H$6="PEM",
        IF(
            OR(
                Data!$H$37=C529,
                MOD(C529,Data!$H$37)=0
            ),
            $D$8,
            G529*Data!$H$42
        ),
        ""
    )
)</f>
        <v>915661603.01018512</v>
      </c>
      <c r="H530" s="76">
        <f t="shared" si="128"/>
        <v>3.3863549408993858</v>
      </c>
      <c r="I530" s="73">
        <f t="shared" si="129"/>
        <v>0</v>
      </c>
      <c r="J530" s="73">
        <f t="shared" si="136"/>
        <v>662818708.46635175</v>
      </c>
      <c r="K530" s="73">
        <f t="shared" si="135"/>
        <v>0</v>
      </c>
      <c r="L530" s="74">
        <f t="shared" si="132"/>
        <v>3100755193.5453925</v>
      </c>
    </row>
    <row r="531" spans="1:13" ht="15" thickBot="1" x14ac:dyDescent="0.4">
      <c r="C531" s="70" t="s">
        <v>26</v>
      </c>
      <c r="D531" s="77">
        <f t="shared" ref="D531:K531" si="137">SUM(D505:D530)</f>
        <v>3739311585.4568138</v>
      </c>
      <c r="E531" s="77">
        <f t="shared" si="137"/>
        <v>2337069740.9105077</v>
      </c>
      <c r="F531" s="77">
        <f t="shared" si="137"/>
        <v>0</v>
      </c>
      <c r="G531" s="77">
        <f t="shared" si="137"/>
        <v>22951294184.026939</v>
      </c>
      <c r="H531" s="77">
        <f t="shared" si="137"/>
        <v>51.113453758887083</v>
      </c>
      <c r="I531" s="77">
        <f t="shared" si="137"/>
        <v>3739311585.4568138</v>
      </c>
      <c r="J531" s="77">
        <f t="shared" si="137"/>
        <v>7555052714.2892141</v>
      </c>
      <c r="K531" s="77">
        <f t="shared" si="137"/>
        <v>0</v>
      </c>
      <c r="L531" s="77">
        <f>SUM(L505:L530)</f>
        <v>45995618724.782455</v>
      </c>
    </row>
    <row r="533" spans="1:13" ht="15" thickBot="1" x14ac:dyDescent="0.4">
      <c r="A533">
        <v>14</v>
      </c>
      <c r="B533">
        <v>75</v>
      </c>
      <c r="C533" s="133" t="s">
        <v>176</v>
      </c>
    </row>
    <row r="534" spans="1:13" ht="19" thickBot="1" x14ac:dyDescent="0.5">
      <c r="C534" s="58" t="s">
        <v>15</v>
      </c>
      <c r="D534" s="58" t="s">
        <v>16</v>
      </c>
      <c r="E534" s="58" t="s">
        <v>17</v>
      </c>
      <c r="F534" s="58" t="s">
        <v>18</v>
      </c>
      <c r="G534" s="59" t="s">
        <v>19</v>
      </c>
      <c r="H534" s="58" t="s">
        <v>20</v>
      </c>
      <c r="I534" s="59" t="s">
        <v>21</v>
      </c>
      <c r="J534" s="58" t="s">
        <v>22</v>
      </c>
      <c r="K534" s="58" t="s">
        <v>23</v>
      </c>
      <c r="L534" s="58" t="s">
        <v>24</v>
      </c>
      <c r="M534" s="152" t="s">
        <v>253</v>
      </c>
    </row>
    <row r="535" spans="1:13" ht="18.5" x14ac:dyDescent="0.45">
      <c r="C535" s="68">
        <v>0</v>
      </c>
      <c r="D535" s="71">
        <f>$G$75</f>
        <v>0</v>
      </c>
      <c r="E535" s="71">
        <v>0</v>
      </c>
      <c r="F535" s="71">
        <v>0</v>
      </c>
      <c r="G535" s="127">
        <v>0</v>
      </c>
      <c r="H535" s="72">
        <f t="shared" ref="H535:H560" si="138">(1+$D$14)^$C535</f>
        <v>1</v>
      </c>
      <c r="I535" s="73">
        <f t="shared" ref="I535:I560" si="139">D535*$H535*(1+$D$15)^C535</f>
        <v>0</v>
      </c>
      <c r="J535" s="73">
        <f t="shared" ref="J535:J539" si="140">E535*$H535*(1+$D$15)^C535</f>
        <v>0</v>
      </c>
      <c r="K535" s="73">
        <f t="shared" ref="K535:K560" si="141">F535*$H535*(1+$D$15)^C535</f>
        <v>0</v>
      </c>
      <c r="L535" s="74">
        <f t="shared" ref="L535:L560" si="142">G535*$H535</f>
        <v>0</v>
      </c>
      <c r="M535" s="153">
        <f>(I561+J561+K561)/L561</f>
        <v>0</v>
      </c>
    </row>
    <row r="536" spans="1:13" x14ac:dyDescent="0.35">
      <c r="C536" s="69">
        <v>1</v>
      </c>
      <c r="D536" s="75">
        <v>0</v>
      </c>
      <c r="E536" s="126">
        <f>$K$75</f>
        <v>0</v>
      </c>
      <c r="F536" s="71">
        <f>(IF(MOD(C536,$H$75)=0,$J$75,0))</f>
        <v>0</v>
      </c>
      <c r="G536" s="128">
        <f>$D$8</f>
        <v>943690143.97642899</v>
      </c>
      <c r="H536" s="76">
        <f t="shared" si="138"/>
        <v>1.05</v>
      </c>
      <c r="I536" s="73">
        <f t="shared" si="139"/>
        <v>0</v>
      </c>
      <c r="J536" s="73">
        <f t="shared" si="140"/>
        <v>0</v>
      </c>
      <c r="K536" s="73">
        <f t="shared" si="141"/>
        <v>0</v>
      </c>
      <c r="L536" s="97">
        <f t="shared" si="142"/>
        <v>990874651.17525053</v>
      </c>
    </row>
    <row r="537" spans="1:13" x14ac:dyDescent="0.35">
      <c r="C537" s="69">
        <v>2</v>
      </c>
      <c r="D537" s="75">
        <v>0</v>
      </c>
      <c r="E537" s="126">
        <f t="shared" ref="E537:E560" si="143">$K$75</f>
        <v>0</v>
      </c>
      <c r="F537" s="71">
        <f>(IF(MOD(C536,$H$75)=0,$J$75,0))</f>
        <v>0</v>
      </c>
      <c r="G537" s="128">
        <f>IF(
    $H$6="Alkaline",
    IF(
        OR(
            Data!$C$37=C536,
            MOD(C536,Data!$C$37)=0
        ),
        $D$8,
        G536*Data!$C$42
    ),
    IF(
        $H$6="PEM",
        IF(
            OR(
                Data!$H$37=C536,
                MOD(C536,Data!$H$37)=0
            ),
            $D$8,
            G536*Data!$H$42
        ),
        ""
    )
)</f>
        <v>934253242.53666472</v>
      </c>
      <c r="H537" s="76">
        <f t="shared" si="138"/>
        <v>1.1025</v>
      </c>
      <c r="I537" s="73">
        <f t="shared" si="139"/>
        <v>0</v>
      </c>
      <c r="J537" s="73">
        <f t="shared" si="140"/>
        <v>0</v>
      </c>
      <c r="K537" s="73">
        <f t="shared" si="141"/>
        <v>0</v>
      </c>
      <c r="L537" s="74">
        <f t="shared" si="142"/>
        <v>1030014199.8966728</v>
      </c>
    </row>
    <row r="538" spans="1:13" x14ac:dyDescent="0.35">
      <c r="C538" s="69">
        <v>3</v>
      </c>
      <c r="D538" s="75">
        <v>0</v>
      </c>
      <c r="E538" s="126">
        <f t="shared" si="143"/>
        <v>0</v>
      </c>
      <c r="F538" s="71">
        <f t="shared" ref="F538:F560" si="144">(IF(MOD(C537,$H$75)=0,$J$75,0))</f>
        <v>0</v>
      </c>
      <c r="G538" s="128">
        <f>IF(
    $H$6="Alkaline",
    IF(
        OR(
            Data!$C$37=C537,
            MOD(C537,Data!$C$37)=0
        ),
        $D$8,
        G537*Data!$C$42
    ),
    IF(
        $H$6="PEM",
        IF(
            OR(
                Data!$H$37=C537,
                MOD(C537,Data!$H$37)=0
            ),
            $D$8,
            G537*Data!$H$42
        ),
        ""
    )
)</f>
        <v>924910710.11129808</v>
      </c>
      <c r="H538" s="76">
        <f>(1+$D$14)^$C538</f>
        <v>1.1576250000000001</v>
      </c>
      <c r="I538" s="73">
        <f t="shared" si="139"/>
        <v>0</v>
      </c>
      <c r="J538" s="73">
        <f t="shared" si="140"/>
        <v>0</v>
      </c>
      <c r="K538" s="73">
        <f t="shared" si="141"/>
        <v>0</v>
      </c>
      <c r="L538" s="74">
        <f t="shared" si="142"/>
        <v>1070699760.7925916</v>
      </c>
    </row>
    <row r="539" spans="1:13" x14ac:dyDescent="0.35">
      <c r="C539" s="69">
        <v>4</v>
      </c>
      <c r="D539" s="75">
        <v>0</v>
      </c>
      <c r="E539" s="126">
        <f t="shared" si="143"/>
        <v>0</v>
      </c>
      <c r="F539" s="71">
        <f t="shared" si="144"/>
        <v>0</v>
      </c>
      <c r="G539" s="128">
        <f>IF(
    $H$6="Alkaline",
    IF(
        OR(
            Data!$C$37=C538,
            MOD(C538,Data!$C$37)=0
        ),
        $D$8,
        G538*Data!$C$42
    ),
    IF(
        $H$6="PEM",
        IF(
            OR(
                Data!$H$37=C538,
                MOD(C538,Data!$H$37)=0
            ),
            $D$8,
            G538*Data!$H$42
        ),
        ""
    )
)</f>
        <v>915661603.01018512</v>
      </c>
      <c r="H539" s="76">
        <f t="shared" si="138"/>
        <v>1.21550625</v>
      </c>
      <c r="I539" s="73">
        <f t="shared" si="139"/>
        <v>0</v>
      </c>
      <c r="J539" s="73">
        <f t="shared" si="140"/>
        <v>0</v>
      </c>
      <c r="K539" s="73">
        <f t="shared" si="141"/>
        <v>0</v>
      </c>
      <c r="L539" s="74">
        <f t="shared" si="142"/>
        <v>1112992401.3438988</v>
      </c>
    </row>
    <row r="540" spans="1:13" x14ac:dyDescent="0.35">
      <c r="C540" s="69">
        <v>5</v>
      </c>
      <c r="D540" s="75">
        <v>0</v>
      </c>
      <c r="E540" s="126">
        <f t="shared" si="143"/>
        <v>0</v>
      </c>
      <c r="F540" s="71">
        <f t="shared" si="144"/>
        <v>0</v>
      </c>
      <c r="G540" s="128">
        <f>IF(
    $H$6="Alkaline",
    IF(
        OR(
            Data!$C$37=C539,
            MOD(C539,Data!$C$37)=0
        ),
        $D$8,
        G539*Data!$C$42
    ),
    IF(
        $H$6="PEM",
        IF(
            OR(
                Data!$H$37=C539,
                MOD(C539,Data!$H$37)=0
            ),
            $D$8,
            G539*Data!$H$42
        ),
        ""
    )
)</f>
        <v>906504986.98008323</v>
      </c>
      <c r="H540" s="76">
        <f t="shared" si="138"/>
        <v>1.2762815625000001</v>
      </c>
      <c r="I540" s="73">
        <f t="shared" si="139"/>
        <v>0</v>
      </c>
      <c r="J540" s="73">
        <f>E540*$H540*(1+$D$15)^C540</f>
        <v>0</v>
      </c>
      <c r="K540" s="73">
        <f t="shared" si="141"/>
        <v>0</v>
      </c>
      <c r="L540" s="74">
        <f t="shared" si="142"/>
        <v>1156955601.1969829</v>
      </c>
    </row>
    <row r="541" spans="1:13" x14ac:dyDescent="0.35">
      <c r="C541" s="69">
        <v>6</v>
      </c>
      <c r="D541" s="75">
        <v>0</v>
      </c>
      <c r="E541" s="126">
        <f t="shared" si="143"/>
        <v>0</v>
      </c>
      <c r="F541" s="71">
        <f t="shared" si="144"/>
        <v>0</v>
      </c>
      <c r="G541" s="128">
        <f>IF(
    $H$6="Alkaline",
    IF(
        OR(
            Data!$C$37=C540,
            MOD(C540,Data!$C$37)=0
        ),
        $D$8,
        G540*Data!$C$42
    ),
    IF(
        $H$6="PEM",
        IF(
            OR(
                Data!$H$37=C540,
                MOD(C540,Data!$H$37)=0
            ),
            $D$8,
            G540*Data!$H$42
        ),
        ""
    )
)</f>
        <v>897439937.11028242</v>
      </c>
      <c r="H541" s="76">
        <f t="shared" si="138"/>
        <v>1.340095640625</v>
      </c>
      <c r="I541" s="73">
        <f t="shared" si="139"/>
        <v>0</v>
      </c>
      <c r="J541" s="73">
        <f t="shared" ref="J541:J560" si="145">E541*$H541*(1+$D$15)^C541</f>
        <v>0</v>
      </c>
      <c r="K541" s="73">
        <f t="shared" si="141"/>
        <v>0</v>
      </c>
      <c r="L541" s="74">
        <f t="shared" si="142"/>
        <v>1202655347.4442637</v>
      </c>
    </row>
    <row r="542" spans="1:13" x14ac:dyDescent="0.35">
      <c r="C542" s="69">
        <v>7</v>
      </c>
      <c r="D542" s="75">
        <v>0</v>
      </c>
      <c r="E542" s="126">
        <f t="shared" si="143"/>
        <v>0</v>
      </c>
      <c r="F542" s="71">
        <f t="shared" si="144"/>
        <v>0</v>
      </c>
      <c r="G542" s="128">
        <f>IF(
    $H$6="Alkaline",
    IF(
        OR(
            Data!$C$37=C541,
            MOD(C541,Data!$C$37)=0
        ),
        $D$8,
        G541*Data!$C$42
    ),
    IF(
        $H$6="PEM",
        IF(
            OR(
                Data!$H$37=C541,
                MOD(C541,Data!$H$37)=0
            ),
            $D$8,
            G541*Data!$H$42
        ),
        ""
    )
)</f>
        <v>888465537.73917961</v>
      </c>
      <c r="H542" s="76">
        <f t="shared" si="138"/>
        <v>1.4071004226562502</v>
      </c>
      <c r="I542" s="73">
        <f t="shared" si="139"/>
        <v>0</v>
      </c>
      <c r="J542" s="73">
        <f t="shared" si="145"/>
        <v>0</v>
      </c>
      <c r="K542" s="73">
        <f t="shared" si="141"/>
        <v>0</v>
      </c>
      <c r="L542" s="74">
        <f t="shared" si="142"/>
        <v>1250160233.6683123</v>
      </c>
    </row>
    <row r="543" spans="1:13" x14ac:dyDescent="0.35">
      <c r="C543" s="69">
        <v>8</v>
      </c>
      <c r="D543" s="75">
        <v>0</v>
      </c>
      <c r="E543" s="126">
        <f t="shared" si="143"/>
        <v>0</v>
      </c>
      <c r="F543" s="71">
        <f t="shared" si="144"/>
        <v>0</v>
      </c>
      <c r="G543" s="128">
        <f>IF(
    $H$6="Alkaline",
    IF(
        OR(
            Data!$C$37=C542,
            MOD(C542,Data!$C$37)=0
        ),
        $D$8,
        G542*Data!$C$42
    ),
    IF(
        $H$6="PEM",
        IF(
            OR(
                Data!$H$37=C542,
                MOD(C542,Data!$H$37)=0
            ),
            $D$8,
            G542*Data!$H$42
        ),
        ""
    )
)</f>
        <v>943690143.97642899</v>
      </c>
      <c r="H543" s="76">
        <f t="shared" si="138"/>
        <v>1.4774554437890626</v>
      </c>
      <c r="I543" s="73">
        <f t="shared" si="139"/>
        <v>0</v>
      </c>
      <c r="J543" s="73">
        <f t="shared" si="145"/>
        <v>0</v>
      </c>
      <c r="K543" s="73">
        <f t="shared" si="141"/>
        <v>0</v>
      </c>
      <c r="L543" s="74">
        <f t="shared" si="142"/>
        <v>1394260140.4680593</v>
      </c>
    </row>
    <row r="544" spans="1:13" x14ac:dyDescent="0.35">
      <c r="C544" s="69">
        <v>9</v>
      </c>
      <c r="D544" s="75">
        <v>0</v>
      </c>
      <c r="E544" s="126">
        <f t="shared" si="143"/>
        <v>0</v>
      </c>
      <c r="F544" s="71">
        <f t="shared" si="144"/>
        <v>0</v>
      </c>
      <c r="G544" s="128">
        <f>IF(
    $H$6="Alkaline",
    IF(
        OR(
            Data!$C$37=C543,
            MOD(C543,Data!$C$37)=0
        ),
        $D$8,
        G543*Data!$C$42
    ),
    IF(
        $H$6="PEM",
        IF(
            OR(
                Data!$H$37=C543,
                MOD(C543,Data!$H$37)=0
            ),
            $D$8,
            G543*Data!$H$42
        ),
        ""
    )
)</f>
        <v>934253242.53666472</v>
      </c>
      <c r="H544" s="76">
        <f t="shared" si="138"/>
        <v>1.5513282159785158</v>
      </c>
      <c r="I544" s="73">
        <f t="shared" si="139"/>
        <v>0</v>
      </c>
      <c r="J544" s="73">
        <f t="shared" si="145"/>
        <v>0</v>
      </c>
      <c r="K544" s="73">
        <f t="shared" si="141"/>
        <v>0</v>
      </c>
      <c r="L544" s="74">
        <f t="shared" si="142"/>
        <v>1449333416.0165477</v>
      </c>
    </row>
    <row r="545" spans="3:12" x14ac:dyDescent="0.35">
      <c r="C545" s="69">
        <v>10</v>
      </c>
      <c r="D545" s="75">
        <v>0</v>
      </c>
      <c r="E545" s="126">
        <f t="shared" si="143"/>
        <v>0</v>
      </c>
      <c r="F545" s="71">
        <f t="shared" si="144"/>
        <v>0</v>
      </c>
      <c r="G545" s="128">
        <f>IF(
    $H$6="Alkaline",
    IF(
        OR(
            Data!$C$37=C544,
            MOD(C544,Data!$C$37)=0
        ),
        $D$8,
        G544*Data!$C$42
    ),
    IF(
        $H$6="PEM",
        IF(
            OR(
                Data!$H$37=C544,
                MOD(C544,Data!$H$37)=0
            ),
            $D$8,
            G544*Data!$H$42
        ),
        ""
    )
)</f>
        <v>924910710.11129808</v>
      </c>
      <c r="H545" s="76">
        <f t="shared" si="138"/>
        <v>1.6288946267774416</v>
      </c>
      <c r="I545" s="73">
        <f t="shared" si="139"/>
        <v>0</v>
      </c>
      <c r="J545" s="73">
        <f t="shared" si="145"/>
        <v>0</v>
      </c>
      <c r="K545" s="73">
        <f t="shared" si="141"/>
        <v>0</v>
      </c>
      <c r="L545" s="74">
        <f t="shared" si="142"/>
        <v>1506582085.9492013</v>
      </c>
    </row>
    <row r="546" spans="3:12" x14ac:dyDescent="0.35">
      <c r="C546" s="69">
        <v>11</v>
      </c>
      <c r="D546" s="75">
        <v>0</v>
      </c>
      <c r="E546" s="126">
        <f t="shared" si="143"/>
        <v>0</v>
      </c>
      <c r="F546" s="71">
        <f t="shared" si="144"/>
        <v>0</v>
      </c>
      <c r="G546" s="128">
        <f>IF(
    $H$6="Alkaline",
    IF(
        OR(
            Data!$C$37=C545,
            MOD(C545,Data!$C$37)=0
        ),
        $D$8,
        G545*Data!$C$42
    ),
    IF(
        $H$6="PEM",
        IF(
            OR(
                Data!$H$37=C545,
                MOD(C545,Data!$H$37)=0
            ),
            $D$8,
            G545*Data!$H$42
        ),
        ""
    )
)</f>
        <v>915661603.01018512</v>
      </c>
      <c r="H546" s="76">
        <f t="shared" si="138"/>
        <v>1.7103393581163138</v>
      </c>
      <c r="I546" s="73">
        <f t="shared" si="139"/>
        <v>0</v>
      </c>
      <c r="J546" s="73">
        <f t="shared" si="145"/>
        <v>0</v>
      </c>
      <c r="K546" s="73">
        <f t="shared" si="141"/>
        <v>0</v>
      </c>
      <c r="L546" s="74">
        <f t="shared" si="142"/>
        <v>1566092078.3441949</v>
      </c>
    </row>
    <row r="547" spans="3:12" x14ac:dyDescent="0.35">
      <c r="C547" s="69">
        <v>12</v>
      </c>
      <c r="D547" s="75">
        <v>0</v>
      </c>
      <c r="E547" s="126">
        <f t="shared" si="143"/>
        <v>0</v>
      </c>
      <c r="F547" s="71">
        <f t="shared" si="144"/>
        <v>0</v>
      </c>
      <c r="G547" s="128">
        <f>IF(
    $H$6="Alkaline",
    IF(
        OR(
            Data!$C$37=C546,
            MOD(C546,Data!$C$37)=0
        ),
        $D$8,
        G546*Data!$C$42
    ),
    IF(
        $H$6="PEM",
        IF(
            OR(
                Data!$H$37=C546,
                MOD(C546,Data!$H$37)=0
            ),
            $D$8,
            G546*Data!$H$42
        ),
        ""
    )
)</f>
        <v>906504986.98008323</v>
      </c>
      <c r="H547" s="76">
        <f t="shared" si="138"/>
        <v>1.7958563260221292</v>
      </c>
      <c r="I547" s="73">
        <f t="shared" si="139"/>
        <v>0</v>
      </c>
      <c r="J547" s="73">
        <f t="shared" si="145"/>
        <v>0</v>
      </c>
      <c r="K547" s="73">
        <f t="shared" si="141"/>
        <v>0</v>
      </c>
      <c r="L547" s="74">
        <f t="shared" si="142"/>
        <v>1627952715.4387903</v>
      </c>
    </row>
    <row r="548" spans="3:12" x14ac:dyDescent="0.35">
      <c r="C548" s="69">
        <v>13</v>
      </c>
      <c r="D548" s="75">
        <v>0</v>
      </c>
      <c r="E548" s="126">
        <f t="shared" si="143"/>
        <v>0</v>
      </c>
      <c r="F548" s="71">
        <f t="shared" si="144"/>
        <v>0</v>
      </c>
      <c r="G548" s="128">
        <f>IF(
    $H$6="Alkaline",
    IF(
        OR(
            Data!$C$37=C547,
            MOD(C547,Data!$C$37)=0
        ),
        $D$8,
        G547*Data!$C$42
    ),
    IF(
        $H$6="PEM",
        IF(
            OR(
                Data!$H$37=C547,
                MOD(C547,Data!$H$37)=0
            ),
            $D$8,
            G547*Data!$H$42
        ),
        ""
    )
)</f>
        <v>897439937.11028242</v>
      </c>
      <c r="H548" s="76">
        <f t="shared" si="138"/>
        <v>1.885649142323236</v>
      </c>
      <c r="I548" s="73">
        <f t="shared" si="139"/>
        <v>0</v>
      </c>
      <c r="J548" s="73">
        <f t="shared" si="145"/>
        <v>0</v>
      </c>
      <c r="K548" s="73">
        <f t="shared" si="141"/>
        <v>0</v>
      </c>
      <c r="L548" s="74">
        <f t="shared" si="142"/>
        <v>1692256847.6986229</v>
      </c>
    </row>
    <row r="549" spans="3:12" x14ac:dyDescent="0.35">
      <c r="C549" s="69">
        <v>14</v>
      </c>
      <c r="D549" s="75">
        <v>0</v>
      </c>
      <c r="E549" s="126">
        <f t="shared" si="143"/>
        <v>0</v>
      </c>
      <c r="F549" s="71">
        <f t="shared" si="144"/>
        <v>0</v>
      </c>
      <c r="G549" s="128">
        <f>IF(
    $H$6="Alkaline",
    IF(
        OR(
            Data!$C$37=C548,
            MOD(C548,Data!$C$37)=0
        ),
        $D$8,
        G548*Data!$C$42
    ),
    IF(
        $H$6="PEM",
        IF(
            OR(
                Data!$H$37=C548,
                MOD(C548,Data!$H$37)=0
            ),
            $D$8,
            G548*Data!$H$42
        ),
        ""
    )
)</f>
        <v>888465537.73917961</v>
      </c>
      <c r="H549" s="76">
        <f t="shared" si="138"/>
        <v>1.9799315994393973</v>
      </c>
      <c r="I549" s="73">
        <f t="shared" si="139"/>
        <v>0</v>
      </c>
      <c r="J549" s="73">
        <f t="shared" si="145"/>
        <v>0</v>
      </c>
      <c r="K549" s="73">
        <f t="shared" si="141"/>
        <v>0</v>
      </c>
      <c r="L549" s="74">
        <f t="shared" si="142"/>
        <v>1759100993.182718</v>
      </c>
    </row>
    <row r="550" spans="3:12" x14ac:dyDescent="0.35">
      <c r="C550" s="69">
        <v>15</v>
      </c>
      <c r="D550" s="75">
        <v>0</v>
      </c>
      <c r="E550" s="126">
        <f t="shared" si="143"/>
        <v>0</v>
      </c>
      <c r="F550" s="71">
        <f t="shared" si="144"/>
        <v>0</v>
      </c>
      <c r="G550" s="128">
        <f>IF(
    $H$6="Alkaline",
    IF(
        OR(
            Data!$C$37=C549,
            MOD(C549,Data!$C$37)=0
        ),
        $D$8,
        G549*Data!$C$42
    ),
    IF(
        $H$6="PEM",
        IF(
            OR(
                Data!$H$37=C549,
                MOD(C549,Data!$H$37)=0
            ),
            $D$8,
            G549*Data!$H$42
        ),
        ""
    )
)</f>
        <v>943690143.97642899</v>
      </c>
      <c r="H550" s="76">
        <f t="shared" si="138"/>
        <v>2.0789281794113679</v>
      </c>
      <c r="I550" s="73">
        <f t="shared" si="139"/>
        <v>0</v>
      </c>
      <c r="J550" s="73">
        <f t="shared" si="145"/>
        <v>0</v>
      </c>
      <c r="K550" s="73">
        <f t="shared" si="141"/>
        <v>0</v>
      </c>
      <c r="L550" s="74">
        <f t="shared" si="142"/>
        <v>1961864032.9453692</v>
      </c>
    </row>
    <row r="551" spans="3:12" x14ac:dyDescent="0.35">
      <c r="C551" s="69">
        <v>16</v>
      </c>
      <c r="D551" s="75">
        <v>0</v>
      </c>
      <c r="E551" s="126">
        <f t="shared" si="143"/>
        <v>0</v>
      </c>
      <c r="F551" s="71">
        <f t="shared" si="144"/>
        <v>0</v>
      </c>
      <c r="G551" s="128">
        <f>IF(
    $H$6="Alkaline",
    IF(
        OR(
            Data!$C$37=C550,
            MOD(C550,Data!$C$37)=0
        ),
        $D$8,
        G550*Data!$C$42
    ),
    IF(
        $H$6="PEM",
        IF(
            OR(
                Data!$H$37=C550,
                MOD(C550,Data!$H$37)=0
            ),
            $D$8,
            G550*Data!$H$42
        ),
        ""
    )
)</f>
        <v>934253242.53666472</v>
      </c>
      <c r="H551" s="76">
        <f t="shared" si="138"/>
        <v>2.182874588381936</v>
      </c>
      <c r="I551" s="73">
        <f t="shared" si="139"/>
        <v>0</v>
      </c>
      <c r="J551" s="73">
        <f t="shared" si="145"/>
        <v>0</v>
      </c>
      <c r="K551" s="73">
        <f t="shared" si="141"/>
        <v>0</v>
      </c>
      <c r="L551" s="74">
        <f t="shared" si="142"/>
        <v>2039357662.246711</v>
      </c>
    </row>
    <row r="552" spans="3:12" x14ac:dyDescent="0.35">
      <c r="C552" s="69">
        <v>17</v>
      </c>
      <c r="D552" s="75">
        <v>0</v>
      </c>
      <c r="E552" s="126">
        <f t="shared" si="143"/>
        <v>0</v>
      </c>
      <c r="F552" s="71">
        <f t="shared" si="144"/>
        <v>0</v>
      </c>
      <c r="G552" s="128">
        <f>IF(
    $H$6="Alkaline",
    IF(
        OR(
            Data!$C$37=C551,
            MOD(C551,Data!$C$37)=0
        ),
        $D$8,
        G551*Data!$C$42
    ),
    IF(
        $H$6="PEM",
        IF(
            OR(
                Data!$H$37=C551,
                MOD(C551,Data!$H$37)=0
            ),
            $D$8,
            G551*Data!$H$42
        ),
        ""
    )
)</f>
        <v>924910710.11129808</v>
      </c>
      <c r="H552" s="76">
        <f t="shared" si="138"/>
        <v>2.2920183178010332</v>
      </c>
      <c r="I552" s="73">
        <f t="shared" si="139"/>
        <v>0</v>
      </c>
      <c r="J552" s="73">
        <f t="shared" si="145"/>
        <v>0</v>
      </c>
      <c r="K552" s="73">
        <f t="shared" si="141"/>
        <v>0</v>
      </c>
      <c r="L552" s="74">
        <f t="shared" si="142"/>
        <v>2119912289.9054565</v>
      </c>
    </row>
    <row r="553" spans="3:12" x14ac:dyDescent="0.35">
      <c r="C553" s="69">
        <v>18</v>
      </c>
      <c r="D553" s="75">
        <v>0</v>
      </c>
      <c r="E553" s="126">
        <f t="shared" si="143"/>
        <v>0</v>
      </c>
      <c r="F553" s="71">
        <f t="shared" si="144"/>
        <v>0</v>
      </c>
      <c r="G553" s="128">
        <f>IF(
    $H$6="Alkaline",
    IF(
        OR(
            Data!$C$37=C552,
            MOD(C552,Data!$C$37)=0
        ),
        $D$8,
        G552*Data!$C$42
    ),
    IF(
        $H$6="PEM",
        IF(
            OR(
                Data!$H$37=C552,
                MOD(C552,Data!$H$37)=0
            ),
            $D$8,
            G552*Data!$H$42
        ),
        ""
    )
)</f>
        <v>915661603.01018512</v>
      </c>
      <c r="H553" s="76">
        <f t="shared" si="138"/>
        <v>2.4066192336910848</v>
      </c>
      <c r="I553" s="73">
        <f t="shared" si="139"/>
        <v>0</v>
      </c>
      <c r="J553" s="73">
        <f t="shared" si="145"/>
        <v>0</v>
      </c>
      <c r="K553" s="73">
        <f t="shared" si="141"/>
        <v>0</v>
      </c>
      <c r="L553" s="74">
        <f t="shared" si="142"/>
        <v>2203648825.3567219</v>
      </c>
    </row>
    <row r="554" spans="3:12" x14ac:dyDescent="0.35">
      <c r="C554" s="69">
        <v>19</v>
      </c>
      <c r="D554" s="75">
        <v>0</v>
      </c>
      <c r="E554" s="126">
        <f t="shared" si="143"/>
        <v>0</v>
      </c>
      <c r="F554" s="71">
        <f t="shared" si="144"/>
        <v>0</v>
      </c>
      <c r="G554" s="128">
        <f>IF(
    $H$6="Alkaline",
    IF(
        OR(
            Data!$C$37=C553,
            MOD(C553,Data!$C$37)=0
        ),
        $D$8,
        G553*Data!$C$42
    ),
    IF(
        $H$6="PEM",
        IF(
            OR(
                Data!$H$37=C553,
                MOD(C553,Data!$H$37)=0
            ),
            $D$8,
            G553*Data!$H$42
        ),
        ""
    )
)</f>
        <v>906504986.98008323</v>
      </c>
      <c r="H554" s="76">
        <f t="shared" si="138"/>
        <v>2.526950195375639</v>
      </c>
      <c r="I554" s="73">
        <f t="shared" si="139"/>
        <v>0</v>
      </c>
      <c r="J554" s="73">
        <f t="shared" si="145"/>
        <v>0</v>
      </c>
      <c r="K554" s="73">
        <f t="shared" si="141"/>
        <v>0</v>
      </c>
      <c r="L554" s="74">
        <f t="shared" si="142"/>
        <v>2290692953.9583125</v>
      </c>
    </row>
    <row r="555" spans="3:12" x14ac:dyDescent="0.35">
      <c r="C555" s="69">
        <v>20</v>
      </c>
      <c r="D555" s="75">
        <v>0</v>
      </c>
      <c r="E555" s="126">
        <f t="shared" si="143"/>
        <v>0</v>
      </c>
      <c r="F555" s="71">
        <f t="shared" si="144"/>
        <v>0</v>
      </c>
      <c r="G555" s="128">
        <f>IF(
    $H$6="Alkaline",
    IF(
        OR(
            Data!$C$37=C554,
            MOD(C554,Data!$C$37)=0
        ),
        $D$8,
        G554*Data!$C$42
    ),
    IF(
        $H$6="PEM",
        IF(
            OR(
                Data!$H$37=C554,
                MOD(C554,Data!$H$37)=0
            ),
            $D$8,
            G554*Data!$H$42
        ),
        ""
    )
)</f>
        <v>897439937.11028242</v>
      </c>
      <c r="H555" s="76">
        <f t="shared" si="138"/>
        <v>2.6532977051444209</v>
      </c>
      <c r="I555" s="73">
        <f t="shared" si="139"/>
        <v>0</v>
      </c>
      <c r="J555" s="73">
        <f t="shared" si="145"/>
        <v>0</v>
      </c>
      <c r="K555" s="73">
        <f t="shared" si="141"/>
        <v>0</v>
      </c>
      <c r="L555" s="74">
        <f t="shared" si="142"/>
        <v>2381175325.6396656</v>
      </c>
    </row>
    <row r="556" spans="3:12" x14ac:dyDescent="0.35">
      <c r="C556" s="69">
        <v>21</v>
      </c>
      <c r="D556" s="75">
        <v>0</v>
      </c>
      <c r="E556" s="126">
        <f t="shared" si="143"/>
        <v>0</v>
      </c>
      <c r="F556" s="71">
        <f t="shared" si="144"/>
        <v>0</v>
      </c>
      <c r="G556" s="128">
        <f>IF(
    $H$6="Alkaline",
    IF(
        OR(
            Data!$C$37=C555,
            MOD(C555,Data!$C$37)=0
        ),
        $D$8,
        G555*Data!$C$42
    ),
    IF(
        $H$6="PEM",
        IF(
            OR(
                Data!$H$37=C555,
                MOD(C555,Data!$H$37)=0
            ),
            $D$8,
            G555*Data!$H$42
        ),
        ""
    )
)</f>
        <v>888465537.73917961</v>
      </c>
      <c r="H556" s="76">
        <f t="shared" si="138"/>
        <v>2.7859625904016418</v>
      </c>
      <c r="I556" s="73">
        <f t="shared" si="139"/>
        <v>0</v>
      </c>
      <c r="J556" s="73">
        <f t="shared" si="145"/>
        <v>0</v>
      </c>
      <c r="K556" s="73">
        <f t="shared" si="141"/>
        <v>0</v>
      </c>
      <c r="L556" s="74">
        <f t="shared" si="142"/>
        <v>2475231751.0024323</v>
      </c>
    </row>
    <row r="557" spans="3:12" x14ac:dyDescent="0.35">
      <c r="C557" s="69">
        <v>22</v>
      </c>
      <c r="D557" s="75">
        <v>0</v>
      </c>
      <c r="E557" s="126">
        <f t="shared" si="143"/>
        <v>0</v>
      </c>
      <c r="F557" s="71">
        <f t="shared" si="144"/>
        <v>0</v>
      </c>
      <c r="G557" s="128">
        <f>IF(
    $H$6="Alkaline",
    IF(
        OR(
            Data!$C$37=C556,
            MOD(C556,Data!$C$37)=0
        ),
        $D$8,
        G556*Data!$C$42
    ),
    IF(
        $H$6="PEM",
        IF(
            OR(
                Data!$H$37=C556,
                MOD(C556,Data!$H$37)=0
            ),
            $D$8,
            G556*Data!$H$42
        ),
        ""
    )
)</f>
        <v>943690143.97642899</v>
      </c>
      <c r="H557" s="76">
        <f t="shared" si="138"/>
        <v>2.9252607199217238</v>
      </c>
      <c r="I557" s="73">
        <f t="shared" si="139"/>
        <v>0</v>
      </c>
      <c r="J557" s="73">
        <f t="shared" si="145"/>
        <v>0</v>
      </c>
      <c r="K557" s="73">
        <f t="shared" si="141"/>
        <v>0</v>
      </c>
      <c r="L557" s="74">
        <f t="shared" si="142"/>
        <v>2760539709.9515238</v>
      </c>
    </row>
    <row r="558" spans="3:12" x14ac:dyDescent="0.35">
      <c r="C558" s="69">
        <v>23</v>
      </c>
      <c r="D558" s="75">
        <v>0</v>
      </c>
      <c r="E558" s="126">
        <f t="shared" si="143"/>
        <v>0</v>
      </c>
      <c r="F558" s="71">
        <f t="shared" si="144"/>
        <v>0</v>
      </c>
      <c r="G558" s="128">
        <f>IF(
    $H$6="Alkaline",
    IF(
        OR(
            Data!$C$37=C557,
            MOD(C557,Data!$C$37)=0
        ),
        $D$8,
        G557*Data!$C$42
    ),
    IF(
        $H$6="PEM",
        IF(
            OR(
                Data!$H$37=C557,
                MOD(C557,Data!$H$37)=0
            ),
            $D$8,
            G557*Data!$H$42
        ),
        ""
    )
)</f>
        <v>934253242.53666472</v>
      </c>
      <c r="H558" s="76">
        <f t="shared" si="138"/>
        <v>3.0715237559178106</v>
      </c>
      <c r="I558" s="73">
        <f t="shared" si="139"/>
        <v>0</v>
      </c>
      <c r="J558" s="73">
        <f t="shared" si="145"/>
        <v>0</v>
      </c>
      <c r="K558" s="73">
        <f t="shared" si="141"/>
        <v>0</v>
      </c>
      <c r="L558" s="74">
        <f t="shared" si="142"/>
        <v>2869581028.4946098</v>
      </c>
    </row>
    <row r="559" spans="3:12" x14ac:dyDescent="0.35">
      <c r="C559" s="69">
        <v>24</v>
      </c>
      <c r="D559" s="75">
        <v>0</v>
      </c>
      <c r="E559" s="126">
        <f t="shared" si="143"/>
        <v>0</v>
      </c>
      <c r="F559" s="71">
        <f t="shared" si="144"/>
        <v>0</v>
      </c>
      <c r="G559" s="128">
        <f>IF(
    $H$6="Alkaline",
    IF(
        OR(
            Data!$C$37=C558,
            MOD(C558,Data!$C$37)=0
        ),
        $D$8,
        G558*Data!$C$42
    ),
    IF(
        $H$6="PEM",
        IF(
            OR(
                Data!$H$37=C558,
                MOD(C558,Data!$H$37)=0
            ),
            $D$8,
            G558*Data!$H$42
        ),
        ""
    )
)</f>
        <v>924910710.11129808</v>
      </c>
      <c r="H559" s="76">
        <f t="shared" si="138"/>
        <v>3.2250999437137007</v>
      </c>
      <c r="I559" s="73">
        <f t="shared" si="139"/>
        <v>0</v>
      </c>
      <c r="J559" s="73">
        <f t="shared" si="145"/>
        <v>0</v>
      </c>
      <c r="K559" s="73">
        <f t="shared" si="141"/>
        <v>0</v>
      </c>
      <c r="L559" s="74">
        <f t="shared" si="142"/>
        <v>2982929479.1201463</v>
      </c>
    </row>
    <row r="560" spans="3:12" ht="15" thickBot="1" x14ac:dyDescent="0.4">
      <c r="C560" s="69">
        <v>25</v>
      </c>
      <c r="D560" s="75">
        <v>0</v>
      </c>
      <c r="E560" s="126">
        <f t="shared" si="143"/>
        <v>0</v>
      </c>
      <c r="F560" s="71">
        <f t="shared" si="144"/>
        <v>0</v>
      </c>
      <c r="G560" s="128">
        <f>IF(
    $H$6="Alkaline",
    IF(
        OR(
            Data!$C$37=C559,
            MOD(C559,Data!$C$37)=0
        ),
        $D$8,
        G559*Data!$C$42
    ),
    IF(
        $H$6="PEM",
        IF(
            OR(
                Data!$H$37=C559,
                MOD(C559,Data!$H$37)=0
            ),
            $D$8,
            G559*Data!$H$42
        ),
        ""
    )
)</f>
        <v>915661603.01018512</v>
      </c>
      <c r="H560" s="76">
        <f t="shared" si="138"/>
        <v>3.3863549408993858</v>
      </c>
      <c r="I560" s="73">
        <f t="shared" si="139"/>
        <v>0</v>
      </c>
      <c r="J560" s="73">
        <f t="shared" si="145"/>
        <v>0</v>
      </c>
      <c r="K560" s="73">
        <f t="shared" si="141"/>
        <v>0</v>
      </c>
      <c r="L560" s="74">
        <f t="shared" si="142"/>
        <v>3100755193.5453925</v>
      </c>
    </row>
    <row r="561" spans="1:13" ht="15" thickBot="1" x14ac:dyDescent="0.4">
      <c r="C561" s="70" t="s">
        <v>26</v>
      </c>
      <c r="D561" s="77">
        <f t="shared" ref="D561:K561" si="146">SUM(D535:D560)</f>
        <v>0</v>
      </c>
      <c r="E561" s="77">
        <f t="shared" si="146"/>
        <v>0</v>
      </c>
      <c r="F561" s="77">
        <f t="shared" si="146"/>
        <v>0</v>
      </c>
      <c r="G561" s="77">
        <f t="shared" si="146"/>
        <v>22951294184.026939</v>
      </c>
      <c r="H561" s="77">
        <f t="shared" si="146"/>
        <v>51.113453758887083</v>
      </c>
      <c r="I561" s="77">
        <f t="shared" si="146"/>
        <v>0</v>
      </c>
      <c r="J561" s="77">
        <f t="shared" si="146"/>
        <v>0</v>
      </c>
      <c r="K561" s="77">
        <f t="shared" si="146"/>
        <v>0</v>
      </c>
      <c r="L561" s="77">
        <f>SUM(L535:L560)</f>
        <v>45995618724.782455</v>
      </c>
    </row>
    <row r="563" spans="1:13" ht="15" thickBot="1" x14ac:dyDescent="0.4">
      <c r="A563">
        <v>15</v>
      </c>
      <c r="B563">
        <v>79</v>
      </c>
      <c r="C563" s="154" t="s">
        <v>4</v>
      </c>
    </row>
    <row r="564" spans="1:13" ht="19" thickBot="1" x14ac:dyDescent="0.5">
      <c r="C564" s="58" t="s">
        <v>15</v>
      </c>
      <c r="D564" s="58" t="s">
        <v>16</v>
      </c>
      <c r="E564" s="58" t="s">
        <v>17</v>
      </c>
      <c r="F564" s="58" t="s">
        <v>18</v>
      </c>
      <c r="G564" s="59" t="s">
        <v>19</v>
      </c>
      <c r="H564" s="58" t="s">
        <v>20</v>
      </c>
      <c r="I564" s="59" t="s">
        <v>21</v>
      </c>
      <c r="J564" s="58" t="s">
        <v>22</v>
      </c>
      <c r="K564" s="58" t="s">
        <v>23</v>
      </c>
      <c r="L564" s="58" t="s">
        <v>24</v>
      </c>
      <c r="M564" s="152" t="s">
        <v>253</v>
      </c>
    </row>
    <row r="565" spans="1:13" ht="18.5" x14ac:dyDescent="0.45">
      <c r="C565" s="68">
        <v>0</v>
      </c>
      <c r="D565" s="71">
        <f>$G$79</f>
        <v>0</v>
      </c>
      <c r="E565" s="71">
        <v>0</v>
      </c>
      <c r="F565" s="71">
        <v>0</v>
      </c>
      <c r="G565" s="127">
        <v>0</v>
      </c>
      <c r="H565" s="72">
        <f t="shared" ref="H565:H590" si="147">(1+$D$14)^$C565</f>
        <v>1</v>
      </c>
      <c r="I565" s="73">
        <f t="shared" ref="I565:I590" si="148">D565*$H565*(1+$D$15)^C565</f>
        <v>0</v>
      </c>
      <c r="J565" s="73">
        <f t="shared" ref="J565:J569" si="149">E565*$H565*(1+$D$15)^C565</f>
        <v>0</v>
      </c>
      <c r="K565" s="73">
        <f t="shared" ref="K565:K590" si="150">F565*$H565*(1+$D$15)^C565</f>
        <v>0</v>
      </c>
      <c r="L565" s="74">
        <f t="shared" ref="L565:L590" si="151">G565*$H565</f>
        <v>0</v>
      </c>
      <c r="M565" s="153" t="e">
        <f>(I591+J591+K591)/L591</f>
        <v>#DIV/0!</v>
      </c>
    </row>
    <row r="566" spans="1:13" x14ac:dyDescent="0.35">
      <c r="C566" s="69">
        <v>1</v>
      </c>
      <c r="D566" s="75">
        <v>0</v>
      </c>
      <c r="E566" s="126">
        <f>$K$79</f>
        <v>0</v>
      </c>
      <c r="F566" s="71" t="e">
        <f>(IF(MOD(C566,$H$79)=0,$J$79,0))</f>
        <v>#DIV/0!</v>
      </c>
      <c r="G566" s="128">
        <f>$D$8</f>
        <v>943690143.97642899</v>
      </c>
      <c r="H566" s="76">
        <f t="shared" si="147"/>
        <v>1.05</v>
      </c>
      <c r="I566" s="73">
        <f t="shared" si="148"/>
        <v>0</v>
      </c>
      <c r="J566" s="73">
        <f t="shared" si="149"/>
        <v>0</v>
      </c>
      <c r="K566" s="73" t="e">
        <f t="shared" si="150"/>
        <v>#DIV/0!</v>
      </c>
      <c r="L566" s="97">
        <f t="shared" si="151"/>
        <v>990874651.17525053</v>
      </c>
    </row>
    <row r="567" spans="1:13" x14ac:dyDescent="0.35">
      <c r="C567" s="69">
        <v>2</v>
      </c>
      <c r="D567" s="75">
        <v>0</v>
      </c>
      <c r="E567" s="126">
        <f t="shared" ref="E567:E590" si="152">$K$79</f>
        <v>0</v>
      </c>
      <c r="F567" s="71" t="e">
        <f>(IF(MOD(C566,$H$79)=0,$J$79,0))</f>
        <v>#DIV/0!</v>
      </c>
      <c r="G567" s="128">
        <f>IF(
    $H$6="Alkaline",
    IF(
        OR(
            Data!$C$37=C566,
            MOD(C566,Data!$C$37)=0
        ),
        $D$8,
        G566*Data!$C$42
    ),
    IF(
        $H$6="PEM",
        IF(
            OR(
                Data!$H$37=C566,
                MOD(C566,Data!$H$37)=0
            ),
            $D$8,
            G566*Data!$H$42
        ),
        ""
    )
)</f>
        <v>934253242.53666472</v>
      </c>
      <c r="H567" s="76">
        <f t="shared" si="147"/>
        <v>1.1025</v>
      </c>
      <c r="I567" s="73">
        <f t="shared" si="148"/>
        <v>0</v>
      </c>
      <c r="J567" s="73">
        <f t="shared" si="149"/>
        <v>0</v>
      </c>
      <c r="K567" s="73" t="e">
        <f t="shared" si="150"/>
        <v>#DIV/0!</v>
      </c>
      <c r="L567" s="74">
        <f t="shared" si="151"/>
        <v>1030014199.8966728</v>
      </c>
    </row>
    <row r="568" spans="1:13" x14ac:dyDescent="0.35">
      <c r="C568" s="69">
        <v>3</v>
      </c>
      <c r="D568" s="75">
        <v>0</v>
      </c>
      <c r="E568" s="126">
        <f t="shared" si="152"/>
        <v>0</v>
      </c>
      <c r="F568" s="71" t="e">
        <f t="shared" ref="F568:F590" si="153">(IF(MOD(C567,$H$79)=0,$J$79,0))</f>
        <v>#DIV/0!</v>
      </c>
      <c r="G568" s="128">
        <f>IF(
    $H$6="Alkaline",
    IF(
        OR(
            Data!$C$37=C567,
            MOD(C567,Data!$C$37)=0
        ),
        $D$8,
        G567*Data!$C$42
    ),
    IF(
        $H$6="PEM",
        IF(
            OR(
                Data!$H$37=C567,
                MOD(C567,Data!$H$37)=0
            ),
            $D$8,
            G567*Data!$H$42
        ),
        ""
    )
)</f>
        <v>924910710.11129808</v>
      </c>
      <c r="H568" s="76">
        <f>(1+$D$14)^$C568</f>
        <v>1.1576250000000001</v>
      </c>
      <c r="I568" s="73">
        <f t="shared" si="148"/>
        <v>0</v>
      </c>
      <c r="J568" s="73">
        <f t="shared" si="149"/>
        <v>0</v>
      </c>
      <c r="K568" s="73" t="e">
        <f t="shared" si="150"/>
        <v>#DIV/0!</v>
      </c>
      <c r="L568" s="74">
        <f t="shared" si="151"/>
        <v>1070699760.7925916</v>
      </c>
    </row>
    <row r="569" spans="1:13" x14ac:dyDescent="0.35">
      <c r="C569" s="69">
        <v>4</v>
      </c>
      <c r="D569" s="75">
        <v>0</v>
      </c>
      <c r="E569" s="126">
        <f t="shared" si="152"/>
        <v>0</v>
      </c>
      <c r="F569" s="71" t="e">
        <f t="shared" si="153"/>
        <v>#DIV/0!</v>
      </c>
      <c r="G569" s="128">
        <f>IF(
    $H$6="Alkaline",
    IF(
        OR(
            Data!$C$37=C568,
            MOD(C568,Data!$C$37)=0
        ),
        $D$8,
        G568*Data!$C$42
    ),
    IF(
        $H$6="PEM",
        IF(
            OR(
                Data!$H$37=C568,
                MOD(C568,Data!$H$37)=0
            ),
            $D$8,
            G568*Data!$H$42
        ),
        ""
    )
)</f>
        <v>915661603.01018512</v>
      </c>
      <c r="H569" s="76">
        <f t="shared" si="147"/>
        <v>1.21550625</v>
      </c>
      <c r="I569" s="73">
        <f t="shared" si="148"/>
        <v>0</v>
      </c>
      <c r="J569" s="73">
        <f t="shared" si="149"/>
        <v>0</v>
      </c>
      <c r="K569" s="73" t="e">
        <f t="shared" si="150"/>
        <v>#DIV/0!</v>
      </c>
      <c r="L569" s="74">
        <f t="shared" si="151"/>
        <v>1112992401.3438988</v>
      </c>
    </row>
    <row r="570" spans="1:13" x14ac:dyDescent="0.35">
      <c r="C570" s="69">
        <v>5</v>
      </c>
      <c r="D570" s="75">
        <v>0</v>
      </c>
      <c r="E570" s="126">
        <f t="shared" si="152"/>
        <v>0</v>
      </c>
      <c r="F570" s="71" t="e">
        <f t="shared" si="153"/>
        <v>#DIV/0!</v>
      </c>
      <c r="G570" s="128">
        <f>IF(
    $H$6="Alkaline",
    IF(
        OR(
            Data!$C$37=C569,
            MOD(C569,Data!$C$37)=0
        ),
        $D$8,
        G569*Data!$C$42
    ),
    IF(
        $H$6="PEM",
        IF(
            OR(
                Data!$H$37=C569,
                MOD(C569,Data!$H$37)=0
            ),
            $D$8,
            G569*Data!$H$42
        ),
        ""
    )
)</f>
        <v>906504986.98008323</v>
      </c>
      <c r="H570" s="76">
        <f t="shared" si="147"/>
        <v>1.2762815625000001</v>
      </c>
      <c r="I570" s="73">
        <f t="shared" si="148"/>
        <v>0</v>
      </c>
      <c r="J570" s="73">
        <f>E570*$H570*(1+$D$15)^C570</f>
        <v>0</v>
      </c>
      <c r="K570" s="73" t="e">
        <f t="shared" si="150"/>
        <v>#DIV/0!</v>
      </c>
      <c r="L570" s="74">
        <f t="shared" si="151"/>
        <v>1156955601.1969829</v>
      </c>
    </row>
    <row r="571" spans="1:13" x14ac:dyDescent="0.35">
      <c r="C571" s="69">
        <v>6</v>
      </c>
      <c r="D571" s="75">
        <v>0</v>
      </c>
      <c r="E571" s="126">
        <f t="shared" si="152"/>
        <v>0</v>
      </c>
      <c r="F571" s="71" t="e">
        <f t="shared" si="153"/>
        <v>#DIV/0!</v>
      </c>
      <c r="G571" s="128">
        <f>IF(
    $H$6="Alkaline",
    IF(
        OR(
            Data!$C$37=C570,
            MOD(C570,Data!$C$37)=0
        ),
        $D$8,
        G570*Data!$C$42
    ),
    IF(
        $H$6="PEM",
        IF(
            OR(
                Data!$H$37=C570,
                MOD(C570,Data!$H$37)=0
            ),
            $D$8,
            G570*Data!$H$42
        ),
        ""
    )
)</f>
        <v>897439937.11028242</v>
      </c>
      <c r="H571" s="76">
        <f t="shared" si="147"/>
        <v>1.340095640625</v>
      </c>
      <c r="I571" s="73">
        <f t="shared" si="148"/>
        <v>0</v>
      </c>
      <c r="J571" s="73">
        <f t="shared" ref="J571:J590" si="154">E571*$H571*(1+$D$15)^C571</f>
        <v>0</v>
      </c>
      <c r="K571" s="73" t="e">
        <f t="shared" si="150"/>
        <v>#DIV/0!</v>
      </c>
      <c r="L571" s="74">
        <f t="shared" si="151"/>
        <v>1202655347.4442637</v>
      </c>
    </row>
    <row r="572" spans="1:13" x14ac:dyDescent="0.35">
      <c r="C572" s="69">
        <v>7</v>
      </c>
      <c r="D572" s="75">
        <v>0</v>
      </c>
      <c r="E572" s="126">
        <f t="shared" si="152"/>
        <v>0</v>
      </c>
      <c r="F572" s="71" t="e">
        <f t="shared" si="153"/>
        <v>#DIV/0!</v>
      </c>
      <c r="G572" s="128">
        <f>IF(
    $H$6="Alkaline",
    IF(
        OR(
            Data!$C$37=C571,
            MOD(C571,Data!$C$37)=0
        ),
        $D$8,
        G571*Data!$C$42
    ),
    IF(
        $H$6="PEM",
        IF(
            OR(
                Data!$H$37=C571,
                MOD(C571,Data!$H$37)=0
            ),
            $D$8,
            G571*Data!$H$42
        ),
        ""
    )
)</f>
        <v>888465537.73917961</v>
      </c>
      <c r="H572" s="76">
        <f t="shared" si="147"/>
        <v>1.4071004226562502</v>
      </c>
      <c r="I572" s="73">
        <f t="shared" si="148"/>
        <v>0</v>
      </c>
      <c r="J572" s="73">
        <f t="shared" si="154"/>
        <v>0</v>
      </c>
      <c r="K572" s="73" t="e">
        <f t="shared" si="150"/>
        <v>#DIV/0!</v>
      </c>
      <c r="L572" s="74">
        <f t="shared" si="151"/>
        <v>1250160233.6683123</v>
      </c>
    </row>
    <row r="573" spans="1:13" x14ac:dyDescent="0.35">
      <c r="C573" s="69">
        <v>8</v>
      </c>
      <c r="D573" s="75">
        <v>0</v>
      </c>
      <c r="E573" s="126">
        <f t="shared" si="152"/>
        <v>0</v>
      </c>
      <c r="F573" s="71" t="e">
        <f t="shared" si="153"/>
        <v>#DIV/0!</v>
      </c>
      <c r="G573" s="128">
        <f>IF(
    $H$6="Alkaline",
    IF(
        OR(
            Data!$C$37=C572,
            MOD(C572,Data!$C$37)=0
        ),
        $D$8,
        G572*Data!$C$42
    ),
    IF(
        $H$6="PEM",
        IF(
            OR(
                Data!$H$37=C572,
                MOD(C572,Data!$H$37)=0
            ),
            $D$8,
            G572*Data!$H$42
        ),
        ""
    )
)</f>
        <v>943690143.97642899</v>
      </c>
      <c r="H573" s="76">
        <f t="shared" si="147"/>
        <v>1.4774554437890626</v>
      </c>
      <c r="I573" s="73">
        <f t="shared" si="148"/>
        <v>0</v>
      </c>
      <c r="J573" s="73">
        <f t="shared" si="154"/>
        <v>0</v>
      </c>
      <c r="K573" s="73" t="e">
        <f t="shared" si="150"/>
        <v>#DIV/0!</v>
      </c>
      <c r="L573" s="74">
        <f t="shared" si="151"/>
        <v>1394260140.4680593</v>
      </c>
    </row>
    <row r="574" spans="1:13" x14ac:dyDescent="0.35">
      <c r="C574" s="69">
        <v>9</v>
      </c>
      <c r="D574" s="75">
        <v>0</v>
      </c>
      <c r="E574" s="126">
        <f t="shared" si="152"/>
        <v>0</v>
      </c>
      <c r="F574" s="71" t="e">
        <f t="shared" si="153"/>
        <v>#DIV/0!</v>
      </c>
      <c r="G574" s="128">
        <f>IF(
    $H$6="Alkaline",
    IF(
        OR(
            Data!$C$37=C573,
            MOD(C573,Data!$C$37)=0
        ),
        $D$8,
        G573*Data!$C$42
    ),
    IF(
        $H$6="PEM",
        IF(
            OR(
                Data!$H$37=C573,
                MOD(C573,Data!$H$37)=0
            ),
            $D$8,
            G573*Data!$H$42
        ),
        ""
    )
)</f>
        <v>934253242.53666472</v>
      </c>
      <c r="H574" s="76">
        <f t="shared" si="147"/>
        <v>1.5513282159785158</v>
      </c>
      <c r="I574" s="73">
        <f t="shared" si="148"/>
        <v>0</v>
      </c>
      <c r="J574" s="73">
        <f t="shared" si="154"/>
        <v>0</v>
      </c>
      <c r="K574" s="73" t="e">
        <f t="shared" si="150"/>
        <v>#DIV/0!</v>
      </c>
      <c r="L574" s="74">
        <f t="shared" si="151"/>
        <v>1449333416.0165477</v>
      </c>
    </row>
    <row r="575" spans="1:13" x14ac:dyDescent="0.35">
      <c r="C575" s="69">
        <v>10</v>
      </c>
      <c r="D575" s="75">
        <v>0</v>
      </c>
      <c r="E575" s="126">
        <f t="shared" si="152"/>
        <v>0</v>
      </c>
      <c r="F575" s="71" t="e">
        <f>(IF(MOD(C574,$H$79)=0,$J$79,0))</f>
        <v>#DIV/0!</v>
      </c>
      <c r="G575" s="128">
        <f>IF(
    $H$6="Alkaline",
    IF(
        OR(
            Data!$C$37=C574,
            MOD(C574,Data!$C$37)=0
        ),
        $D$8,
        G574*Data!$C$42
    ),
    IF(
        $H$6="PEM",
        IF(
            OR(
                Data!$H$37=C574,
                MOD(C574,Data!$H$37)=0
            ),
            $D$8,
            G574*Data!$H$42
        ),
        ""
    )
)</f>
        <v>924910710.11129808</v>
      </c>
      <c r="H575" s="76">
        <f t="shared" si="147"/>
        <v>1.6288946267774416</v>
      </c>
      <c r="I575" s="73">
        <f t="shared" si="148"/>
        <v>0</v>
      </c>
      <c r="J575" s="73">
        <f t="shared" si="154"/>
        <v>0</v>
      </c>
      <c r="K575" s="73" t="e">
        <f t="shared" si="150"/>
        <v>#DIV/0!</v>
      </c>
      <c r="L575" s="74">
        <f t="shared" si="151"/>
        <v>1506582085.9492013</v>
      </c>
    </row>
    <row r="576" spans="1:13" x14ac:dyDescent="0.35">
      <c r="C576" s="69">
        <v>11</v>
      </c>
      <c r="D576" s="75">
        <v>0</v>
      </c>
      <c r="E576" s="126">
        <f t="shared" si="152"/>
        <v>0</v>
      </c>
      <c r="F576" s="71" t="e">
        <f t="shared" si="153"/>
        <v>#DIV/0!</v>
      </c>
      <c r="G576" s="128">
        <f>IF(
    $H$6="Alkaline",
    IF(
        OR(
            Data!$C$37=C575,
            MOD(C575,Data!$C$37)=0
        ),
        $D$8,
        G575*Data!$C$42
    ),
    IF(
        $H$6="PEM",
        IF(
            OR(
                Data!$H$37=C575,
                MOD(C575,Data!$H$37)=0
            ),
            $D$8,
            G575*Data!$H$42
        ),
        ""
    )
)</f>
        <v>915661603.01018512</v>
      </c>
      <c r="H576" s="76">
        <f t="shared" si="147"/>
        <v>1.7103393581163138</v>
      </c>
      <c r="I576" s="73">
        <f t="shared" si="148"/>
        <v>0</v>
      </c>
      <c r="J576" s="73">
        <f t="shared" si="154"/>
        <v>0</v>
      </c>
      <c r="K576" s="73" t="e">
        <f t="shared" si="150"/>
        <v>#DIV/0!</v>
      </c>
      <c r="L576" s="74">
        <f t="shared" si="151"/>
        <v>1566092078.3441949</v>
      </c>
    </row>
    <row r="577" spans="3:12" x14ac:dyDescent="0.35">
      <c r="C577" s="69">
        <v>12</v>
      </c>
      <c r="D577" s="75">
        <v>0</v>
      </c>
      <c r="E577" s="126">
        <f t="shared" si="152"/>
        <v>0</v>
      </c>
      <c r="F577" s="71" t="e">
        <f t="shared" si="153"/>
        <v>#DIV/0!</v>
      </c>
      <c r="G577" s="128">
        <f>IF(
    $H$6="Alkaline",
    IF(
        OR(
            Data!$C$37=C576,
            MOD(C576,Data!$C$37)=0
        ),
        $D$8,
        G576*Data!$C$42
    ),
    IF(
        $H$6="PEM",
        IF(
            OR(
                Data!$H$37=C576,
                MOD(C576,Data!$H$37)=0
            ),
            $D$8,
            G576*Data!$H$42
        ),
        ""
    )
)</f>
        <v>906504986.98008323</v>
      </c>
      <c r="H577" s="76">
        <f t="shared" si="147"/>
        <v>1.7958563260221292</v>
      </c>
      <c r="I577" s="73">
        <f t="shared" si="148"/>
        <v>0</v>
      </c>
      <c r="J577" s="73">
        <f t="shared" si="154"/>
        <v>0</v>
      </c>
      <c r="K577" s="73" t="e">
        <f t="shared" si="150"/>
        <v>#DIV/0!</v>
      </c>
      <c r="L577" s="74">
        <f t="shared" si="151"/>
        <v>1627952715.4387903</v>
      </c>
    </row>
    <row r="578" spans="3:12" x14ac:dyDescent="0.35">
      <c r="C578" s="69">
        <v>13</v>
      </c>
      <c r="D578" s="75">
        <v>0</v>
      </c>
      <c r="E578" s="126">
        <f t="shared" si="152"/>
        <v>0</v>
      </c>
      <c r="F578" s="71" t="e">
        <f t="shared" si="153"/>
        <v>#DIV/0!</v>
      </c>
      <c r="G578" s="128">
        <f>IF(
    $H$6="Alkaline",
    IF(
        OR(
            Data!$C$37=C577,
            MOD(C577,Data!$C$37)=0
        ),
        $D$8,
        G577*Data!$C$42
    ),
    IF(
        $H$6="PEM",
        IF(
            OR(
                Data!$H$37=C577,
                MOD(C577,Data!$H$37)=0
            ),
            $D$8,
            G577*Data!$H$42
        ),
        ""
    )
)</f>
        <v>897439937.11028242</v>
      </c>
      <c r="H578" s="76">
        <f t="shared" si="147"/>
        <v>1.885649142323236</v>
      </c>
      <c r="I578" s="73">
        <f t="shared" si="148"/>
        <v>0</v>
      </c>
      <c r="J578" s="73">
        <f t="shared" si="154"/>
        <v>0</v>
      </c>
      <c r="K578" s="73" t="e">
        <f t="shared" si="150"/>
        <v>#DIV/0!</v>
      </c>
      <c r="L578" s="74">
        <f t="shared" si="151"/>
        <v>1692256847.6986229</v>
      </c>
    </row>
    <row r="579" spans="3:12" x14ac:dyDescent="0.35">
      <c r="C579" s="69">
        <v>14</v>
      </c>
      <c r="D579" s="75">
        <v>0</v>
      </c>
      <c r="E579" s="126">
        <f t="shared" si="152"/>
        <v>0</v>
      </c>
      <c r="F579" s="71" t="e">
        <f t="shared" si="153"/>
        <v>#DIV/0!</v>
      </c>
      <c r="G579" s="128">
        <f>IF(
    $H$6="Alkaline",
    IF(
        OR(
            Data!$C$37=C578,
            MOD(C578,Data!$C$37)=0
        ),
        $D$8,
        G578*Data!$C$42
    ),
    IF(
        $H$6="PEM",
        IF(
            OR(
                Data!$H$37=C578,
                MOD(C578,Data!$H$37)=0
            ),
            $D$8,
            G578*Data!$H$42
        ),
        ""
    )
)</f>
        <v>888465537.73917961</v>
      </c>
      <c r="H579" s="76">
        <f t="shared" si="147"/>
        <v>1.9799315994393973</v>
      </c>
      <c r="I579" s="73">
        <f t="shared" si="148"/>
        <v>0</v>
      </c>
      <c r="J579" s="73">
        <f t="shared" si="154"/>
        <v>0</v>
      </c>
      <c r="K579" s="73" t="e">
        <f t="shared" si="150"/>
        <v>#DIV/0!</v>
      </c>
      <c r="L579" s="74">
        <f t="shared" si="151"/>
        <v>1759100993.182718</v>
      </c>
    </row>
    <row r="580" spans="3:12" x14ac:dyDescent="0.35">
      <c r="C580" s="69">
        <v>15</v>
      </c>
      <c r="D580" s="75">
        <v>0</v>
      </c>
      <c r="E580" s="126">
        <f t="shared" si="152"/>
        <v>0</v>
      </c>
      <c r="F580" s="71" t="e">
        <f t="shared" si="153"/>
        <v>#DIV/0!</v>
      </c>
      <c r="G580" s="128">
        <f>IF(
    $H$6="Alkaline",
    IF(
        OR(
            Data!$C$37=C579,
            MOD(C579,Data!$C$37)=0
        ),
        $D$8,
        G579*Data!$C$42
    ),
    IF(
        $H$6="PEM",
        IF(
            OR(
                Data!$H$37=C579,
                MOD(C579,Data!$H$37)=0
            ),
            $D$8,
            G579*Data!$H$42
        ),
        ""
    )
)</f>
        <v>943690143.97642899</v>
      </c>
      <c r="H580" s="76">
        <f t="shared" si="147"/>
        <v>2.0789281794113679</v>
      </c>
      <c r="I580" s="73">
        <f t="shared" si="148"/>
        <v>0</v>
      </c>
      <c r="J580" s="73">
        <f t="shared" si="154"/>
        <v>0</v>
      </c>
      <c r="K580" s="73" t="e">
        <f t="shared" si="150"/>
        <v>#DIV/0!</v>
      </c>
      <c r="L580" s="74">
        <f t="shared" si="151"/>
        <v>1961864032.9453692</v>
      </c>
    </row>
    <row r="581" spans="3:12" x14ac:dyDescent="0.35">
      <c r="C581" s="69">
        <v>16</v>
      </c>
      <c r="D581" s="75">
        <v>0</v>
      </c>
      <c r="E581" s="126">
        <f t="shared" si="152"/>
        <v>0</v>
      </c>
      <c r="F581" s="71" t="e">
        <f t="shared" si="153"/>
        <v>#DIV/0!</v>
      </c>
      <c r="G581" s="128">
        <f>IF(
    $H$6="Alkaline",
    IF(
        OR(
            Data!$C$37=C580,
            MOD(C580,Data!$C$37)=0
        ),
        $D$8,
        G580*Data!$C$42
    ),
    IF(
        $H$6="PEM",
        IF(
            OR(
                Data!$H$37=C580,
                MOD(C580,Data!$H$37)=0
            ),
            $D$8,
            G580*Data!$H$42
        ),
        ""
    )
)</f>
        <v>934253242.53666472</v>
      </c>
      <c r="H581" s="76">
        <f t="shared" si="147"/>
        <v>2.182874588381936</v>
      </c>
      <c r="I581" s="73">
        <f t="shared" si="148"/>
        <v>0</v>
      </c>
      <c r="J581" s="73">
        <f t="shared" si="154"/>
        <v>0</v>
      </c>
      <c r="K581" s="73" t="e">
        <f t="shared" si="150"/>
        <v>#DIV/0!</v>
      </c>
      <c r="L581" s="74">
        <f t="shared" si="151"/>
        <v>2039357662.246711</v>
      </c>
    </row>
    <row r="582" spans="3:12" x14ac:dyDescent="0.35">
      <c r="C582" s="69">
        <v>17</v>
      </c>
      <c r="D582" s="75">
        <v>0</v>
      </c>
      <c r="E582" s="126">
        <f t="shared" si="152"/>
        <v>0</v>
      </c>
      <c r="F582" s="71" t="e">
        <f t="shared" si="153"/>
        <v>#DIV/0!</v>
      </c>
      <c r="G582" s="128">
        <f>IF(
    $H$6="Alkaline",
    IF(
        OR(
            Data!$C$37=C581,
            MOD(C581,Data!$C$37)=0
        ),
        $D$8,
        G581*Data!$C$42
    ),
    IF(
        $H$6="PEM",
        IF(
            OR(
                Data!$H$37=C581,
                MOD(C581,Data!$H$37)=0
            ),
            $D$8,
            G581*Data!$H$42
        ),
        ""
    )
)</f>
        <v>924910710.11129808</v>
      </c>
      <c r="H582" s="76">
        <f t="shared" si="147"/>
        <v>2.2920183178010332</v>
      </c>
      <c r="I582" s="73">
        <f t="shared" si="148"/>
        <v>0</v>
      </c>
      <c r="J582" s="73">
        <f t="shared" si="154"/>
        <v>0</v>
      </c>
      <c r="K582" s="73" t="e">
        <f t="shared" si="150"/>
        <v>#DIV/0!</v>
      </c>
      <c r="L582" s="74">
        <f t="shared" si="151"/>
        <v>2119912289.9054565</v>
      </c>
    </row>
    <row r="583" spans="3:12" x14ac:dyDescent="0.35">
      <c r="C583" s="69">
        <v>18</v>
      </c>
      <c r="D583" s="75">
        <v>0</v>
      </c>
      <c r="E583" s="126">
        <f t="shared" si="152"/>
        <v>0</v>
      </c>
      <c r="F583" s="71" t="e">
        <f t="shared" si="153"/>
        <v>#DIV/0!</v>
      </c>
      <c r="G583" s="128">
        <f>IF(
    $H$6="Alkaline",
    IF(
        OR(
            Data!$C$37=C582,
            MOD(C582,Data!$C$37)=0
        ),
        $D$8,
        G582*Data!$C$42
    ),
    IF(
        $H$6="PEM",
        IF(
            OR(
                Data!$H$37=C582,
                MOD(C582,Data!$H$37)=0
            ),
            $D$8,
            G582*Data!$H$42
        ),
        ""
    )
)</f>
        <v>915661603.01018512</v>
      </c>
      <c r="H583" s="76">
        <f t="shared" si="147"/>
        <v>2.4066192336910848</v>
      </c>
      <c r="I583" s="73">
        <f t="shared" si="148"/>
        <v>0</v>
      </c>
      <c r="J583" s="73">
        <f t="shared" si="154"/>
        <v>0</v>
      </c>
      <c r="K583" s="73" t="e">
        <f t="shared" si="150"/>
        <v>#DIV/0!</v>
      </c>
      <c r="L583" s="74">
        <f t="shared" si="151"/>
        <v>2203648825.3567219</v>
      </c>
    </row>
    <row r="584" spans="3:12" x14ac:dyDescent="0.35">
      <c r="C584" s="69">
        <v>19</v>
      </c>
      <c r="D584" s="75">
        <v>0</v>
      </c>
      <c r="E584" s="126">
        <f t="shared" si="152"/>
        <v>0</v>
      </c>
      <c r="F584" s="71" t="e">
        <f t="shared" si="153"/>
        <v>#DIV/0!</v>
      </c>
      <c r="G584" s="128">
        <f>IF(
    $H$6="Alkaline",
    IF(
        OR(
            Data!$C$37=C583,
            MOD(C583,Data!$C$37)=0
        ),
        $D$8,
        G583*Data!$C$42
    ),
    IF(
        $H$6="PEM",
        IF(
            OR(
                Data!$H$37=C583,
                MOD(C583,Data!$H$37)=0
            ),
            $D$8,
            G583*Data!$H$42
        ),
        ""
    )
)</f>
        <v>906504986.98008323</v>
      </c>
      <c r="H584" s="76">
        <f t="shared" si="147"/>
        <v>2.526950195375639</v>
      </c>
      <c r="I584" s="73">
        <f t="shared" si="148"/>
        <v>0</v>
      </c>
      <c r="J584" s="73">
        <f t="shared" si="154"/>
        <v>0</v>
      </c>
      <c r="K584" s="73" t="e">
        <f t="shared" si="150"/>
        <v>#DIV/0!</v>
      </c>
      <c r="L584" s="74">
        <f t="shared" si="151"/>
        <v>2290692953.9583125</v>
      </c>
    </row>
    <row r="585" spans="3:12" x14ac:dyDescent="0.35">
      <c r="C585" s="69">
        <v>20</v>
      </c>
      <c r="D585" s="75">
        <v>0</v>
      </c>
      <c r="E585" s="126">
        <f t="shared" si="152"/>
        <v>0</v>
      </c>
      <c r="F585" s="71" t="e">
        <f t="shared" si="153"/>
        <v>#DIV/0!</v>
      </c>
      <c r="G585" s="128">
        <f>IF(
    $H$6="Alkaline",
    IF(
        OR(
            Data!$C$37=C584,
            MOD(C584,Data!$C$37)=0
        ),
        $D$8,
        G584*Data!$C$42
    ),
    IF(
        $H$6="PEM",
        IF(
            OR(
                Data!$H$37=C584,
                MOD(C584,Data!$H$37)=0
            ),
            $D$8,
            G584*Data!$H$42
        ),
        ""
    )
)</f>
        <v>897439937.11028242</v>
      </c>
      <c r="H585" s="76">
        <f t="shared" si="147"/>
        <v>2.6532977051444209</v>
      </c>
      <c r="I585" s="73">
        <f t="shared" si="148"/>
        <v>0</v>
      </c>
      <c r="J585" s="73">
        <f t="shared" si="154"/>
        <v>0</v>
      </c>
      <c r="K585" s="73" t="e">
        <f t="shared" si="150"/>
        <v>#DIV/0!</v>
      </c>
      <c r="L585" s="74">
        <f t="shared" si="151"/>
        <v>2381175325.6396656</v>
      </c>
    </row>
    <row r="586" spans="3:12" x14ac:dyDescent="0.35">
      <c r="C586" s="69">
        <v>21</v>
      </c>
      <c r="D586" s="75">
        <v>0</v>
      </c>
      <c r="E586" s="126">
        <f t="shared" si="152"/>
        <v>0</v>
      </c>
      <c r="F586" s="71" t="e">
        <f t="shared" si="153"/>
        <v>#DIV/0!</v>
      </c>
      <c r="G586" s="128">
        <f>IF(
    $H$6="Alkaline",
    IF(
        OR(
            Data!$C$37=C585,
            MOD(C585,Data!$C$37)=0
        ),
        $D$8,
        G585*Data!$C$42
    ),
    IF(
        $H$6="PEM",
        IF(
            OR(
                Data!$H$37=C585,
                MOD(C585,Data!$H$37)=0
            ),
            $D$8,
            G585*Data!$H$42
        ),
        ""
    )
)</f>
        <v>888465537.73917961</v>
      </c>
      <c r="H586" s="76">
        <f t="shared" si="147"/>
        <v>2.7859625904016418</v>
      </c>
      <c r="I586" s="73">
        <f t="shared" si="148"/>
        <v>0</v>
      </c>
      <c r="J586" s="73">
        <f t="shared" si="154"/>
        <v>0</v>
      </c>
      <c r="K586" s="73" t="e">
        <f t="shared" si="150"/>
        <v>#DIV/0!</v>
      </c>
      <c r="L586" s="74">
        <f t="shared" si="151"/>
        <v>2475231751.0024323</v>
      </c>
    </row>
    <row r="587" spans="3:12" x14ac:dyDescent="0.35">
      <c r="C587" s="69">
        <v>22</v>
      </c>
      <c r="D587" s="75">
        <v>0</v>
      </c>
      <c r="E587" s="126">
        <f t="shared" si="152"/>
        <v>0</v>
      </c>
      <c r="F587" s="71" t="e">
        <f t="shared" si="153"/>
        <v>#DIV/0!</v>
      </c>
      <c r="G587" s="128">
        <f>IF(
    $H$6="Alkaline",
    IF(
        OR(
            Data!$C$37=C586,
            MOD(C586,Data!$C$37)=0
        ),
        $D$8,
        G586*Data!$C$42
    ),
    IF(
        $H$6="PEM",
        IF(
            OR(
                Data!$H$37=C586,
                MOD(C586,Data!$H$37)=0
            ),
            $D$8,
            G586*Data!$H$42
        ),
        ""
    )
)</f>
        <v>943690143.97642899</v>
      </c>
      <c r="H587" s="76">
        <f t="shared" si="147"/>
        <v>2.9252607199217238</v>
      </c>
      <c r="I587" s="73">
        <f t="shared" si="148"/>
        <v>0</v>
      </c>
      <c r="J587" s="73">
        <f t="shared" si="154"/>
        <v>0</v>
      </c>
      <c r="K587" s="73" t="e">
        <f t="shared" si="150"/>
        <v>#DIV/0!</v>
      </c>
      <c r="L587" s="74">
        <f t="shared" si="151"/>
        <v>2760539709.9515238</v>
      </c>
    </row>
    <row r="588" spans="3:12" x14ac:dyDescent="0.35">
      <c r="C588" s="69">
        <v>23</v>
      </c>
      <c r="D588" s="75">
        <v>0</v>
      </c>
      <c r="E588" s="126">
        <f t="shared" si="152"/>
        <v>0</v>
      </c>
      <c r="F588" s="71" t="e">
        <f t="shared" si="153"/>
        <v>#DIV/0!</v>
      </c>
      <c r="G588" s="128">
        <f>IF(
    $H$6="Alkaline",
    IF(
        OR(
            Data!$C$37=C587,
            MOD(C587,Data!$C$37)=0
        ),
        $D$8,
        G587*Data!$C$42
    ),
    IF(
        $H$6="PEM",
        IF(
            OR(
                Data!$H$37=C587,
                MOD(C587,Data!$H$37)=0
            ),
            $D$8,
            G587*Data!$H$42
        ),
        ""
    )
)</f>
        <v>934253242.53666472</v>
      </c>
      <c r="H588" s="76">
        <f t="shared" si="147"/>
        <v>3.0715237559178106</v>
      </c>
      <c r="I588" s="73">
        <f t="shared" si="148"/>
        <v>0</v>
      </c>
      <c r="J588" s="73">
        <f t="shared" si="154"/>
        <v>0</v>
      </c>
      <c r="K588" s="73" t="e">
        <f t="shared" si="150"/>
        <v>#DIV/0!</v>
      </c>
      <c r="L588" s="74">
        <f t="shared" si="151"/>
        <v>2869581028.4946098</v>
      </c>
    </row>
    <row r="589" spans="3:12" x14ac:dyDescent="0.35">
      <c r="C589" s="69">
        <v>24</v>
      </c>
      <c r="D589" s="75">
        <v>0</v>
      </c>
      <c r="E589" s="126">
        <f t="shared" si="152"/>
        <v>0</v>
      </c>
      <c r="F589" s="71" t="e">
        <f t="shared" si="153"/>
        <v>#DIV/0!</v>
      </c>
      <c r="G589" s="128">
        <f>IF(
    $H$6="Alkaline",
    IF(
        OR(
            Data!$C$37=C588,
            MOD(C588,Data!$C$37)=0
        ),
        $D$8,
        G588*Data!$C$42
    ),
    IF(
        $H$6="PEM",
        IF(
            OR(
                Data!$H$37=C588,
                MOD(C588,Data!$H$37)=0
            ),
            $D$8,
            G588*Data!$H$42
        ),
        ""
    )
)</f>
        <v>924910710.11129808</v>
      </c>
      <c r="H589" s="76">
        <f t="shared" si="147"/>
        <v>3.2250999437137007</v>
      </c>
      <c r="I589" s="73">
        <f t="shared" si="148"/>
        <v>0</v>
      </c>
      <c r="J589" s="73">
        <f t="shared" si="154"/>
        <v>0</v>
      </c>
      <c r="K589" s="73" t="e">
        <f t="shared" si="150"/>
        <v>#DIV/0!</v>
      </c>
      <c r="L589" s="74">
        <f t="shared" si="151"/>
        <v>2982929479.1201463</v>
      </c>
    </row>
    <row r="590" spans="3:12" ht="15" thickBot="1" x14ac:dyDescent="0.4">
      <c r="C590" s="69">
        <v>25</v>
      </c>
      <c r="D590" s="75">
        <v>0</v>
      </c>
      <c r="E590" s="126">
        <f t="shared" si="152"/>
        <v>0</v>
      </c>
      <c r="F590" s="71" t="e">
        <f t="shared" si="153"/>
        <v>#DIV/0!</v>
      </c>
      <c r="G590" s="128">
        <f>IF(
    $H$6="Alkaline",
    IF(
        OR(
            Data!$C$37=C589,
            MOD(C589,Data!$C$37)=0
        ),
        $D$8,
        G589*Data!$C$42
    ),
    IF(
        $H$6="PEM",
        IF(
            OR(
                Data!$H$37=C589,
                MOD(C589,Data!$H$37)=0
            ),
            $D$8,
            G589*Data!$H$42
        ),
        ""
    )
)</f>
        <v>915661603.01018512</v>
      </c>
      <c r="H590" s="76">
        <f t="shared" si="147"/>
        <v>3.3863549408993858</v>
      </c>
      <c r="I590" s="73">
        <f t="shared" si="148"/>
        <v>0</v>
      </c>
      <c r="J590" s="73">
        <f t="shared" si="154"/>
        <v>0</v>
      </c>
      <c r="K590" s="73" t="e">
        <f t="shared" si="150"/>
        <v>#DIV/0!</v>
      </c>
      <c r="L590" s="74">
        <f t="shared" si="151"/>
        <v>3100755193.5453925</v>
      </c>
    </row>
    <row r="591" spans="3:12" ht="15" thickBot="1" x14ac:dyDescent="0.4">
      <c r="C591" s="70" t="s">
        <v>26</v>
      </c>
      <c r="D591" s="77">
        <f>SUM(D565:D590)</f>
        <v>0</v>
      </c>
      <c r="E591" s="77">
        <f>SUM(E565:E590)</f>
        <v>0</v>
      </c>
      <c r="F591" s="77" t="e">
        <f>SUM(F565:F590)</f>
        <v>#DIV/0!</v>
      </c>
      <c r="G591" s="149">
        <f>SUM(G565:G590)</f>
        <v>22951294184.026939</v>
      </c>
      <c r="H591" s="77">
        <f>SUM(H565:H590)</f>
        <v>51.113453758887083</v>
      </c>
      <c r="I591" s="77">
        <f t="shared" ref="I591:K591" si="155">SUM(I565:I590)</f>
        <v>0</v>
      </c>
      <c r="J591" s="77">
        <f t="shared" si="155"/>
        <v>0</v>
      </c>
      <c r="K591" s="77" t="e">
        <f t="shared" si="155"/>
        <v>#DIV/0!</v>
      </c>
      <c r="L591" s="77">
        <f>SUM(L565:L590)</f>
        <v>45995618724.782455</v>
      </c>
    </row>
    <row r="593" spans="1:13" ht="15" thickBot="1" x14ac:dyDescent="0.4">
      <c r="A593">
        <v>16</v>
      </c>
      <c r="B593">
        <v>83</v>
      </c>
      <c r="C593" s="133" t="s">
        <v>114</v>
      </c>
    </row>
    <row r="594" spans="1:13" ht="19" thickBot="1" x14ac:dyDescent="0.5">
      <c r="C594" s="58" t="s">
        <v>15</v>
      </c>
      <c r="D594" s="58" t="s">
        <v>16</v>
      </c>
      <c r="E594" s="58" t="s">
        <v>17</v>
      </c>
      <c r="F594" s="58" t="s">
        <v>18</v>
      </c>
      <c r="G594" s="59" t="s">
        <v>19</v>
      </c>
      <c r="H594" s="58" t="s">
        <v>20</v>
      </c>
      <c r="I594" s="59" t="s">
        <v>21</v>
      </c>
      <c r="J594" s="58" t="s">
        <v>22</v>
      </c>
      <c r="K594" s="58" t="s">
        <v>23</v>
      </c>
      <c r="L594" s="58" t="s">
        <v>24</v>
      </c>
      <c r="M594" s="152" t="s">
        <v>253</v>
      </c>
    </row>
    <row r="595" spans="1:13" ht="18.5" x14ac:dyDescent="0.45">
      <c r="C595" s="68">
        <v>0</v>
      </c>
      <c r="D595" s="71">
        <f>$G$83</f>
        <v>339728.45183151448</v>
      </c>
      <c r="E595" s="71">
        <v>0</v>
      </c>
      <c r="F595" s="71">
        <v>0</v>
      </c>
      <c r="G595" s="127">
        <v>0</v>
      </c>
      <c r="H595" s="72">
        <f t="shared" ref="H595:H620" si="156">(1+$D$14)^$C595</f>
        <v>1</v>
      </c>
      <c r="I595" s="73">
        <f t="shared" ref="I595:I620" si="157">D595*$H595*(1+$D$15)^C595</f>
        <v>339728.45183151448</v>
      </c>
      <c r="J595" s="73">
        <f t="shared" ref="J595:J599" si="158">E595*$H595*(1+$D$15)^C595</f>
        <v>0</v>
      </c>
      <c r="K595" s="73">
        <f t="shared" ref="K595:K620" si="159">F595*$H595*(1+$D$15)^C595</f>
        <v>0</v>
      </c>
      <c r="L595" s="74">
        <f t="shared" ref="L595:L620" si="160">G595*$H595</f>
        <v>0</v>
      </c>
      <c r="M595" s="153">
        <f>(I621+J621+K621)/L621</f>
        <v>2.2309281908068174E-5</v>
      </c>
    </row>
    <row r="596" spans="1:13" x14ac:dyDescent="0.35">
      <c r="C596" s="69">
        <v>1</v>
      </c>
      <c r="D596" s="75">
        <v>0</v>
      </c>
      <c r="E596" s="126">
        <f>$K$83</f>
        <v>8493.2112957878617</v>
      </c>
      <c r="F596" s="71">
        <f>(IF(MOD(C596,$H$83)=0,$J$83,0))</f>
        <v>0</v>
      </c>
      <c r="G596" s="128">
        <f>$D$8</f>
        <v>943690143.97642899</v>
      </c>
      <c r="H596" s="76">
        <f t="shared" si="156"/>
        <v>1.05</v>
      </c>
      <c r="I596" s="73">
        <f t="shared" si="157"/>
        <v>0</v>
      </c>
      <c r="J596" s="73">
        <f t="shared" si="158"/>
        <v>9185.4080163945728</v>
      </c>
      <c r="K596" s="73">
        <f t="shared" si="159"/>
        <v>0</v>
      </c>
      <c r="L596" s="97">
        <f t="shared" si="160"/>
        <v>990874651.17525053</v>
      </c>
    </row>
    <row r="597" spans="1:13" x14ac:dyDescent="0.35">
      <c r="C597" s="69">
        <v>2</v>
      </c>
      <c r="D597" s="75">
        <v>0</v>
      </c>
      <c r="E597" s="126">
        <f t="shared" ref="E597:E620" si="161">$K$83</f>
        <v>8493.2112957878617</v>
      </c>
      <c r="F597" s="71">
        <f>(IF(MOD(C596,$H$83)=0,$J$83,0))</f>
        <v>0</v>
      </c>
      <c r="G597" s="128">
        <f>IF(
    $H$6="Alkaline",
    IF(
        OR(
            Data!$C$37=C596,
            MOD(C596,Data!$C$37)=0
        ),
        $D$8,
        G596*Data!$C$42
    ),
    IF(
        $H$6="PEM",
        IF(
            OR(
                Data!$H$37=C596,
                MOD(C596,Data!$H$37)=0
            ),
            $D$8,
            G596*Data!$H$42
        ),
        ""
    )
)</f>
        <v>934253242.53666472</v>
      </c>
      <c r="H597" s="76">
        <f t="shared" si="156"/>
        <v>1.1025</v>
      </c>
      <c r="I597" s="73">
        <f t="shared" si="157"/>
        <v>0</v>
      </c>
      <c r="J597" s="73">
        <f t="shared" si="158"/>
        <v>9934.0187697307301</v>
      </c>
      <c r="K597" s="73">
        <f t="shared" si="159"/>
        <v>0</v>
      </c>
      <c r="L597" s="74">
        <f t="shared" si="160"/>
        <v>1030014199.8966728</v>
      </c>
    </row>
    <row r="598" spans="1:13" x14ac:dyDescent="0.35">
      <c r="C598" s="69">
        <v>3</v>
      </c>
      <c r="D598" s="75">
        <v>0</v>
      </c>
      <c r="E598" s="126">
        <f t="shared" si="161"/>
        <v>8493.2112957878617</v>
      </c>
      <c r="F598" s="71">
        <f t="shared" ref="F598:F620" si="162">(IF(MOD(C597,$H$83)=0,$J$83,0))</f>
        <v>0</v>
      </c>
      <c r="G598" s="128">
        <f>IF(
    $H$6="Alkaline",
    IF(
        OR(
            Data!$C$37=C597,
            MOD(C597,Data!$C$37)=0
        ),
        $D$8,
        G597*Data!$C$42
    ),
    IF(
        $H$6="PEM",
        IF(
            OR(
                Data!$H$37=C597,
                MOD(C597,Data!$H$37)=0
            ),
            $D$8,
            G597*Data!$H$42
        ),
        ""
    )
)</f>
        <v>924910710.11129808</v>
      </c>
      <c r="H598" s="76">
        <f>(1+$D$14)^$C598</f>
        <v>1.1576250000000001</v>
      </c>
      <c r="I598" s="73">
        <f t="shared" si="157"/>
        <v>0</v>
      </c>
      <c r="J598" s="73">
        <f t="shared" si="158"/>
        <v>10743.641299463787</v>
      </c>
      <c r="K598" s="73">
        <f t="shared" si="159"/>
        <v>0</v>
      </c>
      <c r="L598" s="74">
        <f t="shared" si="160"/>
        <v>1070699760.7925916</v>
      </c>
    </row>
    <row r="599" spans="1:13" x14ac:dyDescent="0.35">
      <c r="C599" s="69">
        <v>4</v>
      </c>
      <c r="D599" s="75">
        <v>0</v>
      </c>
      <c r="E599" s="126">
        <f t="shared" si="161"/>
        <v>8493.2112957878617</v>
      </c>
      <c r="F599" s="71">
        <f t="shared" si="162"/>
        <v>0</v>
      </c>
      <c r="G599" s="128">
        <f>IF(
    $H$6="Alkaline",
    IF(
        OR(
            Data!$C$37=C598,
            MOD(C598,Data!$C$37)=0
        ),
        $D$8,
        G598*Data!$C$42
    ),
    IF(
        $H$6="PEM",
        IF(
            OR(
                Data!$H$37=C598,
                MOD(C598,Data!$H$37)=0
            ),
            $D$8,
            G598*Data!$H$42
        ),
        ""
    )
)</f>
        <v>915661603.01018512</v>
      </c>
      <c r="H599" s="76">
        <f t="shared" si="156"/>
        <v>1.21550625</v>
      </c>
      <c r="I599" s="73">
        <f t="shared" si="157"/>
        <v>0</v>
      </c>
      <c r="J599" s="73">
        <f t="shared" si="158"/>
        <v>11619.24806537008</v>
      </c>
      <c r="K599" s="73">
        <f t="shared" si="159"/>
        <v>0</v>
      </c>
      <c r="L599" s="74">
        <f t="shared" si="160"/>
        <v>1112992401.3438988</v>
      </c>
    </row>
    <row r="600" spans="1:13" x14ac:dyDescent="0.35">
      <c r="C600" s="69">
        <v>5</v>
      </c>
      <c r="D600" s="75">
        <v>0</v>
      </c>
      <c r="E600" s="126">
        <f t="shared" si="161"/>
        <v>8493.2112957878617</v>
      </c>
      <c r="F600" s="71">
        <f t="shared" si="162"/>
        <v>0</v>
      </c>
      <c r="G600" s="128">
        <f>IF(
    $H$6="Alkaline",
    IF(
        OR(
            Data!$C$37=C599,
            MOD(C599,Data!$C$37)=0
        ),
        $D$8,
        G599*Data!$C$42
    ),
    IF(
        $H$6="PEM",
        IF(
            OR(
                Data!$H$37=C599,
                MOD(C599,Data!$H$37)=0
            ),
            $D$8,
            G599*Data!$H$42
        ),
        ""
    )
)</f>
        <v>906504986.98008323</v>
      </c>
      <c r="H600" s="76">
        <f t="shared" si="156"/>
        <v>1.2762815625000001</v>
      </c>
      <c r="I600" s="73">
        <f t="shared" si="157"/>
        <v>0</v>
      </c>
      <c r="J600" s="73">
        <f>E600*$H600*(1+$D$15)^C600</f>
        <v>12566.216782697746</v>
      </c>
      <c r="K600" s="73">
        <f t="shared" si="159"/>
        <v>0</v>
      </c>
      <c r="L600" s="74">
        <f t="shared" si="160"/>
        <v>1156955601.1969829</v>
      </c>
    </row>
    <row r="601" spans="1:13" x14ac:dyDescent="0.35">
      <c r="C601" s="69">
        <v>6</v>
      </c>
      <c r="D601" s="75">
        <v>0</v>
      </c>
      <c r="E601" s="126">
        <f t="shared" si="161"/>
        <v>8493.2112957878617</v>
      </c>
      <c r="F601" s="71">
        <f t="shared" si="162"/>
        <v>0</v>
      </c>
      <c r="G601" s="128">
        <f>IF(
    $H$6="Alkaline",
    IF(
        OR(
            Data!$C$37=C600,
            MOD(C600,Data!$C$37)=0
        ),
        $D$8,
        G600*Data!$C$42
    ),
    IF(
        $H$6="PEM",
        IF(
            OR(
                Data!$H$37=C600,
                MOD(C600,Data!$H$37)=0
            ),
            $D$8,
            G600*Data!$H$42
        ),
        ""
    )
)</f>
        <v>897439937.11028242</v>
      </c>
      <c r="H601" s="76">
        <f t="shared" si="156"/>
        <v>1.340095640625</v>
      </c>
      <c r="I601" s="73">
        <f t="shared" si="157"/>
        <v>0</v>
      </c>
      <c r="J601" s="73">
        <f t="shared" ref="J601:J620" si="163">E601*$H601*(1+$D$15)^C601</f>
        <v>13590.36345048761</v>
      </c>
      <c r="K601" s="73">
        <f t="shared" si="159"/>
        <v>0</v>
      </c>
      <c r="L601" s="74">
        <f t="shared" si="160"/>
        <v>1202655347.4442637</v>
      </c>
    </row>
    <row r="602" spans="1:13" x14ac:dyDescent="0.35">
      <c r="C602" s="69">
        <v>7</v>
      </c>
      <c r="D602" s="75">
        <v>0</v>
      </c>
      <c r="E602" s="126">
        <f t="shared" si="161"/>
        <v>8493.2112957878617</v>
      </c>
      <c r="F602" s="71">
        <f t="shared" si="162"/>
        <v>0</v>
      </c>
      <c r="G602" s="128">
        <f>IF(
    $H$6="Alkaline",
    IF(
        OR(
            Data!$C$37=C601,
            MOD(C601,Data!$C$37)=0
        ),
        $D$8,
        G601*Data!$C$42
    ),
    IF(
        $H$6="PEM",
        IF(
            OR(
                Data!$H$37=C601,
                MOD(C601,Data!$H$37)=0
            ),
            $D$8,
            G601*Data!$H$42
        ),
        ""
    )
)</f>
        <v>888465537.73917961</v>
      </c>
      <c r="H602" s="76">
        <f t="shared" si="156"/>
        <v>1.4071004226562502</v>
      </c>
      <c r="I602" s="73">
        <f t="shared" si="157"/>
        <v>0</v>
      </c>
      <c r="J602" s="73">
        <f t="shared" si="163"/>
        <v>14697.978071702353</v>
      </c>
      <c r="K602" s="73">
        <f t="shared" si="159"/>
        <v>0</v>
      </c>
      <c r="L602" s="74">
        <f t="shared" si="160"/>
        <v>1250160233.6683123</v>
      </c>
    </row>
    <row r="603" spans="1:13" x14ac:dyDescent="0.35">
      <c r="C603" s="69">
        <v>8</v>
      </c>
      <c r="D603" s="75">
        <v>0</v>
      </c>
      <c r="E603" s="126">
        <f t="shared" si="161"/>
        <v>8493.2112957878617</v>
      </c>
      <c r="F603" s="71">
        <f t="shared" si="162"/>
        <v>0</v>
      </c>
      <c r="G603" s="128">
        <f>IF(
    $H$6="Alkaline",
    IF(
        OR(
            Data!$C$37=C602,
            MOD(C602,Data!$C$37)=0
        ),
        $D$8,
        G602*Data!$C$42
    ),
    IF(
        $H$6="PEM",
        IF(
            OR(
                Data!$H$37=C602,
                MOD(C602,Data!$H$37)=0
            ),
            $D$8,
            G602*Data!$H$42
        ),
        ""
    )
)</f>
        <v>943690143.97642899</v>
      </c>
      <c r="H603" s="76">
        <f t="shared" si="156"/>
        <v>1.4774554437890626</v>
      </c>
      <c r="I603" s="73">
        <f t="shared" si="157"/>
        <v>0</v>
      </c>
      <c r="J603" s="73">
        <f t="shared" si="163"/>
        <v>15895.863284546092</v>
      </c>
      <c r="K603" s="73">
        <f t="shared" si="159"/>
        <v>0</v>
      </c>
      <c r="L603" s="74">
        <f t="shared" si="160"/>
        <v>1394260140.4680593</v>
      </c>
    </row>
    <row r="604" spans="1:13" x14ac:dyDescent="0.35">
      <c r="C604" s="69">
        <v>9</v>
      </c>
      <c r="D604" s="75">
        <v>0</v>
      </c>
      <c r="E604" s="126">
        <f t="shared" si="161"/>
        <v>8493.2112957878617</v>
      </c>
      <c r="F604" s="71">
        <f t="shared" si="162"/>
        <v>0</v>
      </c>
      <c r="G604" s="128">
        <f>IF(
    $H$6="Alkaline",
    IF(
        OR(
            Data!$C$37=C603,
            MOD(C603,Data!$C$37)=0
        ),
        $D$8,
        G603*Data!$C$42
    ),
    IF(
        $H$6="PEM",
        IF(
            OR(
                Data!$H$37=C603,
                MOD(C603,Data!$H$37)=0
            ),
            $D$8,
            G603*Data!$H$42
        ),
        ""
    )
)</f>
        <v>934253242.53666472</v>
      </c>
      <c r="H604" s="76">
        <f t="shared" si="156"/>
        <v>1.5513282159785158</v>
      </c>
      <c r="I604" s="73">
        <f t="shared" si="157"/>
        <v>0</v>
      </c>
      <c r="J604" s="73">
        <f t="shared" si="163"/>
        <v>17191.376142236601</v>
      </c>
      <c r="K604" s="73">
        <f t="shared" si="159"/>
        <v>0</v>
      </c>
      <c r="L604" s="74">
        <f t="shared" si="160"/>
        <v>1449333416.0165477</v>
      </c>
    </row>
    <row r="605" spans="1:13" x14ac:dyDescent="0.35">
      <c r="C605" s="69">
        <v>10</v>
      </c>
      <c r="D605" s="75">
        <v>0</v>
      </c>
      <c r="E605" s="126">
        <f t="shared" si="161"/>
        <v>8493.2112957878617</v>
      </c>
      <c r="F605" s="71">
        <f t="shared" si="162"/>
        <v>0</v>
      </c>
      <c r="G605" s="128">
        <f>IF(
    $H$6="Alkaline",
    IF(
        OR(
            Data!$C$37=C604,
            MOD(C604,Data!$C$37)=0
        ),
        $D$8,
        G604*Data!$C$42
    ),
    IF(
        $H$6="PEM",
        IF(
            OR(
                Data!$H$37=C604,
                MOD(C604,Data!$H$37)=0
            ),
            $D$8,
            G604*Data!$H$42
        ),
        ""
    )
)</f>
        <v>924910710.11129808</v>
      </c>
      <c r="H605" s="76">
        <f t="shared" si="156"/>
        <v>1.6288946267774416</v>
      </c>
      <c r="I605" s="73">
        <f t="shared" si="157"/>
        <v>0</v>
      </c>
      <c r="J605" s="73">
        <f t="shared" si="163"/>
        <v>18592.473297828885</v>
      </c>
      <c r="K605" s="73">
        <f t="shared" si="159"/>
        <v>0</v>
      </c>
      <c r="L605" s="74">
        <f t="shared" si="160"/>
        <v>1506582085.9492013</v>
      </c>
    </row>
    <row r="606" spans="1:13" x14ac:dyDescent="0.35">
      <c r="C606" s="69">
        <v>11</v>
      </c>
      <c r="D606" s="75">
        <v>0</v>
      </c>
      <c r="E606" s="126">
        <f t="shared" si="161"/>
        <v>8493.2112957878617</v>
      </c>
      <c r="F606" s="71">
        <f t="shared" si="162"/>
        <v>0</v>
      </c>
      <c r="G606" s="128">
        <f>IF(
    $H$6="Alkaline",
    IF(
        OR(
            Data!$C$37=C605,
            MOD(C605,Data!$C$37)=0
        ),
        $D$8,
        G605*Data!$C$42
    ),
    IF(
        $H$6="PEM",
        IF(
            OR(
                Data!$H$37=C605,
                MOD(C605,Data!$H$37)=0
            ),
            $D$8,
            G605*Data!$H$42
        ),
        ""
    )
)</f>
        <v>915661603.01018512</v>
      </c>
      <c r="H606" s="76">
        <f t="shared" si="156"/>
        <v>1.7103393581163138</v>
      </c>
      <c r="I606" s="73">
        <f t="shared" si="157"/>
        <v>0</v>
      </c>
      <c r="J606" s="73">
        <f t="shared" si="163"/>
        <v>20107.759871601938</v>
      </c>
      <c r="K606" s="73">
        <f t="shared" si="159"/>
        <v>0</v>
      </c>
      <c r="L606" s="74">
        <f t="shared" si="160"/>
        <v>1566092078.3441949</v>
      </c>
    </row>
    <row r="607" spans="1:13" x14ac:dyDescent="0.35">
      <c r="C607" s="69">
        <v>12</v>
      </c>
      <c r="D607" s="75">
        <v>0</v>
      </c>
      <c r="E607" s="126">
        <f t="shared" si="161"/>
        <v>8493.2112957878617</v>
      </c>
      <c r="F607" s="71">
        <f t="shared" si="162"/>
        <v>0</v>
      </c>
      <c r="G607" s="128">
        <f>IF(
    $H$6="Alkaline",
    IF(
        OR(
            Data!$C$37=C606,
            MOD(C606,Data!$C$37)=0
        ),
        $D$8,
        G606*Data!$C$42
    ),
    IF(
        $H$6="PEM",
        IF(
            OR(
                Data!$H$37=C606,
                MOD(C606,Data!$H$37)=0
            ),
            $D$8,
            G606*Data!$H$42
        ),
        ""
    )
)</f>
        <v>906504986.98008323</v>
      </c>
      <c r="H607" s="76">
        <f t="shared" si="156"/>
        <v>1.7958563260221292</v>
      </c>
      <c r="I607" s="73">
        <f t="shared" si="157"/>
        <v>0</v>
      </c>
      <c r="J607" s="73">
        <f t="shared" si="163"/>
        <v>21746.542301137491</v>
      </c>
      <c r="K607" s="73">
        <f t="shared" si="159"/>
        <v>0</v>
      </c>
      <c r="L607" s="74">
        <f t="shared" si="160"/>
        <v>1627952715.4387903</v>
      </c>
    </row>
    <row r="608" spans="1:13" x14ac:dyDescent="0.35">
      <c r="C608" s="69">
        <v>13</v>
      </c>
      <c r="D608" s="75">
        <v>0</v>
      </c>
      <c r="E608" s="126">
        <f t="shared" si="161"/>
        <v>8493.2112957878617</v>
      </c>
      <c r="F608" s="71">
        <f t="shared" si="162"/>
        <v>0</v>
      </c>
      <c r="G608" s="128">
        <f>IF(
    $H$6="Alkaline",
    IF(
        OR(
            Data!$C$37=C607,
            MOD(C607,Data!$C$37)=0
        ),
        $D$8,
        G607*Data!$C$42
    ),
    IF(
        $H$6="PEM",
        IF(
            OR(
                Data!$H$37=C607,
                MOD(C607,Data!$H$37)=0
            ),
            $D$8,
            G607*Data!$H$42
        ),
        ""
    )
)</f>
        <v>897439937.11028242</v>
      </c>
      <c r="H608" s="76">
        <f t="shared" si="156"/>
        <v>1.885649142323236</v>
      </c>
      <c r="I608" s="73">
        <f t="shared" si="157"/>
        <v>0</v>
      </c>
      <c r="J608" s="73">
        <f t="shared" si="163"/>
        <v>23518.885498680196</v>
      </c>
      <c r="K608" s="73">
        <f t="shared" si="159"/>
        <v>0</v>
      </c>
      <c r="L608" s="74">
        <f t="shared" si="160"/>
        <v>1692256847.6986229</v>
      </c>
    </row>
    <row r="609" spans="1:13" x14ac:dyDescent="0.35">
      <c r="C609" s="69">
        <v>14</v>
      </c>
      <c r="D609" s="75">
        <v>0</v>
      </c>
      <c r="E609" s="126">
        <f t="shared" si="161"/>
        <v>8493.2112957878617</v>
      </c>
      <c r="F609" s="71">
        <f t="shared" si="162"/>
        <v>0</v>
      </c>
      <c r="G609" s="128">
        <f>IF(
    $H$6="Alkaline",
    IF(
        OR(
            Data!$C$37=C608,
            MOD(C608,Data!$C$37)=0
        ),
        $D$8,
        G608*Data!$C$42
    ),
    IF(
        $H$6="PEM",
        IF(
            OR(
                Data!$H$37=C608,
                MOD(C608,Data!$H$37)=0
            ),
            $D$8,
            G608*Data!$H$42
        ),
        ""
    )
)</f>
        <v>888465537.73917961</v>
      </c>
      <c r="H609" s="76">
        <f t="shared" si="156"/>
        <v>1.9799315994393973</v>
      </c>
      <c r="I609" s="73">
        <f t="shared" si="157"/>
        <v>0</v>
      </c>
      <c r="J609" s="73">
        <f t="shared" si="163"/>
        <v>25435.67466682263</v>
      </c>
      <c r="K609" s="73">
        <f t="shared" si="159"/>
        <v>0</v>
      </c>
      <c r="L609" s="74">
        <f t="shared" si="160"/>
        <v>1759100993.182718</v>
      </c>
    </row>
    <row r="610" spans="1:13" x14ac:dyDescent="0.35">
      <c r="C610" s="69">
        <v>15</v>
      </c>
      <c r="D610" s="75">
        <v>0</v>
      </c>
      <c r="E610" s="126">
        <f t="shared" si="161"/>
        <v>8493.2112957878617</v>
      </c>
      <c r="F610" s="71">
        <f t="shared" si="162"/>
        <v>0</v>
      </c>
      <c r="G610" s="128">
        <f>IF(
    $H$6="Alkaline",
    IF(
        OR(
            Data!$C$37=C609,
            MOD(C609,Data!$C$37)=0
        ),
        $D$8,
        G609*Data!$C$42
    ),
    IF(
        $H$6="PEM",
        IF(
            OR(
                Data!$H$37=C609,
                MOD(C609,Data!$H$37)=0
            ),
            $D$8,
            G609*Data!$H$42
        ),
        ""
    )
)</f>
        <v>943690143.97642899</v>
      </c>
      <c r="H610" s="76">
        <f t="shared" si="156"/>
        <v>2.0789281794113679</v>
      </c>
      <c r="I610" s="73">
        <f t="shared" si="157"/>
        <v>0</v>
      </c>
      <c r="J610" s="73">
        <f t="shared" si="163"/>
        <v>27508.682152168687</v>
      </c>
      <c r="K610" s="73">
        <f t="shared" si="159"/>
        <v>0</v>
      </c>
      <c r="L610" s="74">
        <f t="shared" si="160"/>
        <v>1961864032.9453692</v>
      </c>
    </row>
    <row r="611" spans="1:13" x14ac:dyDescent="0.35">
      <c r="C611" s="69">
        <v>16</v>
      </c>
      <c r="D611" s="75">
        <v>0</v>
      </c>
      <c r="E611" s="126">
        <f t="shared" si="161"/>
        <v>8493.2112957878617</v>
      </c>
      <c r="F611" s="71">
        <f t="shared" si="162"/>
        <v>0</v>
      </c>
      <c r="G611" s="128">
        <f>IF(
    $H$6="Alkaline",
    IF(
        OR(
            Data!$C$37=C610,
            MOD(C610,Data!$C$37)=0
        ),
        $D$8,
        G610*Data!$C$42
    ),
    IF(
        $H$6="PEM",
        IF(
            OR(
                Data!$H$37=C610,
                MOD(C610,Data!$H$37)=0
            ),
            $D$8,
            G610*Data!$H$42
        ),
        ""
    )
)</f>
        <v>934253242.53666472</v>
      </c>
      <c r="H611" s="76">
        <f t="shared" si="156"/>
        <v>2.182874588381936</v>
      </c>
      <c r="I611" s="73">
        <f t="shared" si="157"/>
        <v>0</v>
      </c>
      <c r="J611" s="73">
        <f t="shared" si="163"/>
        <v>29750.639747570422</v>
      </c>
      <c r="K611" s="73">
        <f t="shared" si="159"/>
        <v>0</v>
      </c>
      <c r="L611" s="74">
        <f t="shared" si="160"/>
        <v>2039357662.246711</v>
      </c>
    </row>
    <row r="612" spans="1:13" x14ac:dyDescent="0.35">
      <c r="C612" s="69">
        <v>17</v>
      </c>
      <c r="D612" s="75">
        <v>0</v>
      </c>
      <c r="E612" s="126">
        <f t="shared" si="161"/>
        <v>8493.2112957878617</v>
      </c>
      <c r="F612" s="71">
        <f t="shared" si="162"/>
        <v>0</v>
      </c>
      <c r="G612" s="128">
        <f>IF(
    $H$6="Alkaline",
    IF(
        OR(
            Data!$C$37=C611,
            MOD(C611,Data!$C$37)=0
        ),
        $D$8,
        G611*Data!$C$42
    ),
    IF(
        $H$6="PEM",
        IF(
            OR(
                Data!$H$37=C611,
                MOD(C611,Data!$H$37)=0
            ),
            $D$8,
            G611*Data!$H$42
        ),
        ""
    )
)</f>
        <v>924910710.11129808</v>
      </c>
      <c r="H612" s="76">
        <f t="shared" si="156"/>
        <v>2.2920183178010332</v>
      </c>
      <c r="I612" s="73">
        <f t="shared" si="157"/>
        <v>0</v>
      </c>
      <c r="J612" s="73">
        <f t="shared" si="163"/>
        <v>32175.316886997422</v>
      </c>
      <c r="K612" s="73">
        <f t="shared" si="159"/>
        <v>0</v>
      </c>
      <c r="L612" s="74">
        <f t="shared" si="160"/>
        <v>2119912289.9054565</v>
      </c>
    </row>
    <row r="613" spans="1:13" x14ac:dyDescent="0.35">
      <c r="C613" s="69">
        <v>18</v>
      </c>
      <c r="D613" s="75">
        <v>0</v>
      </c>
      <c r="E613" s="126">
        <f t="shared" si="161"/>
        <v>8493.2112957878617</v>
      </c>
      <c r="F613" s="71">
        <f t="shared" si="162"/>
        <v>0</v>
      </c>
      <c r="G613" s="128">
        <f>IF(
    $H$6="Alkaline",
    IF(
        OR(
            Data!$C$37=C612,
            MOD(C612,Data!$C$37)=0
        ),
        $D$8,
        G612*Data!$C$42
    ),
    IF(
        $H$6="PEM",
        IF(
            OR(
                Data!$H$37=C612,
                MOD(C612,Data!$H$37)=0
            ),
            $D$8,
            G612*Data!$H$42
        ),
        ""
    )
)</f>
        <v>915661603.01018512</v>
      </c>
      <c r="H613" s="76">
        <f t="shared" si="156"/>
        <v>2.4066192336910848</v>
      </c>
      <c r="I613" s="73">
        <f t="shared" si="157"/>
        <v>0</v>
      </c>
      <c r="J613" s="73">
        <f t="shared" si="163"/>
        <v>34797.605213287708</v>
      </c>
      <c r="K613" s="73">
        <f t="shared" si="159"/>
        <v>0</v>
      </c>
      <c r="L613" s="74">
        <f t="shared" si="160"/>
        <v>2203648825.3567219</v>
      </c>
    </row>
    <row r="614" spans="1:13" x14ac:dyDescent="0.35">
      <c r="C614" s="69">
        <v>19</v>
      </c>
      <c r="D614" s="75">
        <v>0</v>
      </c>
      <c r="E614" s="126">
        <f t="shared" si="161"/>
        <v>8493.2112957878617</v>
      </c>
      <c r="F614" s="71">
        <f t="shared" si="162"/>
        <v>0</v>
      </c>
      <c r="G614" s="128">
        <f>IF(
    $H$6="Alkaline",
    IF(
        OR(
            Data!$C$37=C613,
            MOD(C613,Data!$C$37)=0
        ),
        $D$8,
        G613*Data!$C$42
    ),
    IF(
        $H$6="PEM",
        IF(
            OR(
                Data!$H$37=C613,
                MOD(C613,Data!$H$37)=0
            ),
            $D$8,
            G613*Data!$H$42
        ),
        ""
    )
)</f>
        <v>906504986.98008323</v>
      </c>
      <c r="H614" s="76">
        <f t="shared" si="156"/>
        <v>2.526950195375639</v>
      </c>
      <c r="I614" s="73">
        <f t="shared" si="157"/>
        <v>0</v>
      </c>
      <c r="J614" s="73">
        <f t="shared" si="163"/>
        <v>37633.610038170656</v>
      </c>
      <c r="K614" s="73">
        <f t="shared" si="159"/>
        <v>0</v>
      </c>
      <c r="L614" s="74">
        <f t="shared" si="160"/>
        <v>2290692953.9583125</v>
      </c>
    </row>
    <row r="615" spans="1:13" x14ac:dyDescent="0.35">
      <c r="C615" s="69">
        <v>20</v>
      </c>
      <c r="D615" s="75">
        <v>0</v>
      </c>
      <c r="E615" s="126">
        <f t="shared" si="161"/>
        <v>8493.2112957878617</v>
      </c>
      <c r="F615" s="71">
        <f t="shared" si="162"/>
        <v>0</v>
      </c>
      <c r="G615" s="128">
        <f>IF(
    $H$6="Alkaline",
    IF(
        OR(
            Data!$C$37=C614,
            MOD(C614,Data!$C$37)=0
        ),
        $D$8,
        G614*Data!$C$42
    ),
    IF(
        $H$6="PEM",
        IF(
            OR(
                Data!$H$37=C614,
                MOD(C614,Data!$H$37)=0
            ),
            $D$8,
            G614*Data!$H$42
        ),
        ""
    )
)</f>
        <v>897439937.11028242</v>
      </c>
      <c r="H615" s="76">
        <f t="shared" si="156"/>
        <v>2.6532977051444209</v>
      </c>
      <c r="I615" s="73">
        <f t="shared" si="157"/>
        <v>0</v>
      </c>
      <c r="J615" s="73">
        <f t="shared" si="163"/>
        <v>40700.749256281568</v>
      </c>
      <c r="K615" s="73">
        <f t="shared" si="159"/>
        <v>0</v>
      </c>
      <c r="L615" s="74">
        <f t="shared" si="160"/>
        <v>2381175325.6396656</v>
      </c>
    </row>
    <row r="616" spans="1:13" x14ac:dyDescent="0.35">
      <c r="C616" s="69">
        <v>21</v>
      </c>
      <c r="D616" s="75">
        <v>0</v>
      </c>
      <c r="E616" s="126">
        <f t="shared" si="161"/>
        <v>8493.2112957878617</v>
      </c>
      <c r="F616" s="71">
        <f t="shared" si="162"/>
        <v>0</v>
      </c>
      <c r="G616" s="128">
        <f>IF(
    $H$6="Alkaline",
    IF(
        OR(
            Data!$C$37=C615,
            MOD(C615,Data!$C$37)=0
        ),
        $D$8,
        G615*Data!$C$42
    ),
    IF(
        $H$6="PEM",
        IF(
            OR(
                Data!$H$37=C615,
                MOD(C615,Data!$H$37)=0
            ),
            $D$8,
            G615*Data!$H$42
        ),
        ""
    )
)</f>
        <v>888465537.73917961</v>
      </c>
      <c r="H616" s="76">
        <f t="shared" si="156"/>
        <v>2.7859625904016418</v>
      </c>
      <c r="I616" s="73">
        <f t="shared" si="157"/>
        <v>0</v>
      </c>
      <c r="J616" s="73">
        <f t="shared" si="163"/>
        <v>44017.8603206685</v>
      </c>
      <c r="K616" s="73">
        <f t="shared" si="159"/>
        <v>0</v>
      </c>
      <c r="L616" s="74">
        <f t="shared" si="160"/>
        <v>2475231751.0024323</v>
      </c>
    </row>
    <row r="617" spans="1:13" x14ac:dyDescent="0.35">
      <c r="C617" s="69">
        <v>22</v>
      </c>
      <c r="D617" s="75">
        <v>0</v>
      </c>
      <c r="E617" s="126">
        <f t="shared" si="161"/>
        <v>8493.2112957878617</v>
      </c>
      <c r="F617" s="71">
        <f t="shared" si="162"/>
        <v>0</v>
      </c>
      <c r="G617" s="128">
        <f>IF(
    $H$6="Alkaline",
    IF(
        OR(
            Data!$C$37=C616,
            MOD(C616,Data!$C$37)=0
        ),
        $D$8,
        G616*Data!$C$42
    ),
    IF(
        $H$6="PEM",
        IF(
            OR(
                Data!$H$37=C616,
                MOD(C616,Data!$H$37)=0
            ),
            $D$8,
            G616*Data!$H$42
        ),
        ""
    )
)</f>
        <v>943690143.97642899</v>
      </c>
      <c r="H617" s="76">
        <f t="shared" si="156"/>
        <v>2.9252607199217238</v>
      </c>
      <c r="I617" s="73">
        <f t="shared" si="157"/>
        <v>0</v>
      </c>
      <c r="J617" s="73">
        <f t="shared" si="163"/>
        <v>47605.315936802988</v>
      </c>
      <c r="K617" s="73">
        <f t="shared" si="159"/>
        <v>0</v>
      </c>
      <c r="L617" s="74">
        <f t="shared" si="160"/>
        <v>2760539709.9515238</v>
      </c>
    </row>
    <row r="618" spans="1:13" x14ac:dyDescent="0.35">
      <c r="C618" s="69">
        <v>23</v>
      </c>
      <c r="D618" s="75">
        <v>0</v>
      </c>
      <c r="E618" s="126">
        <f t="shared" si="161"/>
        <v>8493.2112957878617</v>
      </c>
      <c r="F618" s="71">
        <f t="shared" si="162"/>
        <v>0</v>
      </c>
      <c r="G618" s="128">
        <f>IF(
    $H$6="Alkaline",
    IF(
        OR(
            Data!$C$37=C617,
            MOD(C617,Data!$C$37)=0
        ),
        $D$8,
        G617*Data!$C$42
    ),
    IF(
        $H$6="PEM",
        IF(
            OR(
                Data!$H$37=C617,
                MOD(C617,Data!$H$37)=0
            ),
            $D$8,
            G617*Data!$H$42
        ),
        ""
    )
)</f>
        <v>934253242.53666472</v>
      </c>
      <c r="H618" s="76">
        <f t="shared" si="156"/>
        <v>3.0715237559178106</v>
      </c>
      <c r="I618" s="73">
        <f t="shared" si="157"/>
        <v>0</v>
      </c>
      <c r="J618" s="73">
        <f t="shared" si="163"/>
        <v>51485.149185652444</v>
      </c>
      <c r="K618" s="73">
        <f t="shared" si="159"/>
        <v>0</v>
      </c>
      <c r="L618" s="74">
        <f t="shared" si="160"/>
        <v>2869581028.4946098</v>
      </c>
    </row>
    <row r="619" spans="1:13" x14ac:dyDescent="0.35">
      <c r="C619" s="69">
        <v>24</v>
      </c>
      <c r="D619" s="75">
        <v>0</v>
      </c>
      <c r="E619" s="126">
        <f t="shared" si="161"/>
        <v>8493.2112957878617</v>
      </c>
      <c r="F619" s="71">
        <f t="shared" si="162"/>
        <v>0</v>
      </c>
      <c r="G619" s="128">
        <f>IF(
    $H$6="Alkaline",
    IF(
        OR(
            Data!$C$37=C618,
            MOD(C618,Data!$C$37)=0
        ),
        $D$8,
        G618*Data!$C$42
    ),
    IF(
        $H$6="PEM",
        IF(
            OR(
                Data!$H$37=C618,
                MOD(C618,Data!$H$37)=0
            ),
            $D$8,
            G618*Data!$H$42
        ),
        ""
    )
)</f>
        <v>924910710.11129808</v>
      </c>
      <c r="H619" s="76">
        <f t="shared" si="156"/>
        <v>3.2250999437137007</v>
      </c>
      <c r="I619" s="73">
        <f t="shared" si="157"/>
        <v>0</v>
      </c>
      <c r="J619" s="73">
        <f t="shared" si="163"/>
        <v>55681.188844283104</v>
      </c>
      <c r="K619" s="73">
        <f t="shared" si="159"/>
        <v>0</v>
      </c>
      <c r="L619" s="74">
        <f t="shared" si="160"/>
        <v>2982929479.1201463</v>
      </c>
    </row>
    <row r="620" spans="1:13" ht="15" thickBot="1" x14ac:dyDescent="0.4">
      <c r="C620" s="69">
        <v>25</v>
      </c>
      <c r="D620" s="75">
        <v>0</v>
      </c>
      <c r="E620" s="126">
        <f t="shared" si="161"/>
        <v>8493.2112957878617</v>
      </c>
      <c r="F620" s="71">
        <f t="shared" si="162"/>
        <v>0</v>
      </c>
      <c r="G620" s="128">
        <f>IF(
    $H$6="Alkaline",
    IF(
        OR(
            Data!$C$37=C619,
            MOD(C619,Data!$C$37)=0
        ),
        $D$8,
        G619*Data!$C$42
    ),
    IF(
        $H$6="PEM",
        IF(
            OR(
                Data!$H$37=C619,
                MOD(C619,Data!$H$37)=0
            ),
            $D$8,
            G619*Data!$H$42
        ),
        ""
    )
)</f>
        <v>915661603.01018512</v>
      </c>
      <c r="H620" s="76">
        <f t="shared" si="156"/>
        <v>3.3863549408993858</v>
      </c>
      <c r="I620" s="73">
        <f t="shared" si="157"/>
        <v>0</v>
      </c>
      <c r="J620" s="73">
        <f t="shared" si="163"/>
        <v>60219.205735092175</v>
      </c>
      <c r="K620" s="73">
        <f t="shared" si="159"/>
        <v>0</v>
      </c>
      <c r="L620" s="74">
        <f t="shared" si="160"/>
        <v>3100755193.5453925</v>
      </c>
    </row>
    <row r="621" spans="1:13" ht="15" thickBot="1" x14ac:dyDescent="0.4">
      <c r="C621" s="70" t="s">
        <v>26</v>
      </c>
      <c r="D621" s="77">
        <f>SUM(D595:D620)</f>
        <v>339728.45183151448</v>
      </c>
      <c r="E621" s="77">
        <f>SUM(E595:E620)</f>
        <v>212330.28239469646</v>
      </c>
      <c r="F621" s="77">
        <f>SUM(F595:F620)</f>
        <v>0</v>
      </c>
      <c r="G621" s="149">
        <f>SUM(G595:G620)</f>
        <v>22951294184.026939</v>
      </c>
      <c r="H621" s="77">
        <f>SUM(H595:H620)</f>
        <v>51.113453758887083</v>
      </c>
      <c r="I621" s="77">
        <f t="shared" ref="I621:K621" si="164">SUM(I595:I620)</f>
        <v>339728.45183151448</v>
      </c>
      <c r="J621" s="77">
        <f t="shared" si="164"/>
        <v>686400.77283567644</v>
      </c>
      <c r="K621" s="77">
        <f t="shared" si="164"/>
        <v>0</v>
      </c>
      <c r="L621" s="77">
        <f>SUM(L595:L620)</f>
        <v>45995618724.782455</v>
      </c>
    </row>
    <row r="622" spans="1:13" x14ac:dyDescent="0.35">
      <c r="C622" s="49"/>
      <c r="D622" s="49"/>
      <c r="E622" s="49"/>
      <c r="F622" s="49"/>
      <c r="G622" s="150"/>
      <c r="H622" s="49"/>
      <c r="I622" s="49"/>
      <c r="J622" s="49"/>
      <c r="K622" s="49"/>
      <c r="L622" s="49"/>
    </row>
    <row r="623" spans="1:13" ht="15" thickBot="1" x14ac:dyDescent="0.4">
      <c r="A623">
        <v>17</v>
      </c>
      <c r="B623">
        <v>87</v>
      </c>
      <c r="C623" s="133" t="s">
        <v>205</v>
      </c>
    </row>
    <row r="624" spans="1:13" ht="19" thickBot="1" x14ac:dyDescent="0.5">
      <c r="C624" s="58" t="s">
        <v>15</v>
      </c>
      <c r="D624" s="58" t="s">
        <v>16</v>
      </c>
      <c r="E624" s="58" t="s">
        <v>17</v>
      </c>
      <c r="F624" s="58" t="s">
        <v>18</v>
      </c>
      <c r="G624" s="59" t="s">
        <v>19</v>
      </c>
      <c r="H624" s="58" t="s">
        <v>20</v>
      </c>
      <c r="I624" s="59" t="s">
        <v>21</v>
      </c>
      <c r="J624" s="58" t="s">
        <v>22</v>
      </c>
      <c r="K624" s="58" t="s">
        <v>23</v>
      </c>
      <c r="L624" s="58" t="s">
        <v>24</v>
      </c>
      <c r="M624" s="152" t="s">
        <v>253</v>
      </c>
    </row>
    <row r="625" spans="3:13" ht="18.5" x14ac:dyDescent="0.45">
      <c r="C625" s="68">
        <v>0</v>
      </c>
      <c r="D625" s="71">
        <f>$G$87</f>
        <v>129198878.81023557</v>
      </c>
      <c r="E625" s="71">
        <v>0</v>
      </c>
      <c r="F625" s="71">
        <v>0</v>
      </c>
      <c r="G625" s="127">
        <v>0</v>
      </c>
      <c r="H625" s="72">
        <f t="shared" ref="H625:H650" si="165">(1+$D$14)^$C625</f>
        <v>1</v>
      </c>
      <c r="I625" s="73">
        <f t="shared" ref="I625:I650" si="166">D625*$H625*(1+$D$15)^C625</f>
        <v>129198878.81023557</v>
      </c>
      <c r="J625" s="73">
        <f t="shared" ref="J625:J629" si="167">E625*$H625*(1+$D$15)^C625</f>
        <v>0</v>
      </c>
      <c r="K625" s="73">
        <f t="shared" ref="K625:K650" si="168">F625*$H625*(1+$D$15)^C625</f>
        <v>0</v>
      </c>
      <c r="L625" s="74">
        <f t="shared" ref="L625:L650" si="169">G625*$H625</f>
        <v>0</v>
      </c>
      <c r="M625" s="153">
        <f>(I651+J651+K651)/L651</f>
        <v>9.6192878365670212E-3</v>
      </c>
    </row>
    <row r="626" spans="3:13" x14ac:dyDescent="0.35">
      <c r="C626" s="69">
        <v>1</v>
      </c>
      <c r="D626" s="75">
        <v>0</v>
      </c>
      <c r="E626" s="126">
        <f>$K$87</f>
        <v>3875966.3643070669</v>
      </c>
      <c r="F626" s="71">
        <f>(IF(MOD(C626,$H$87)=0,$J$87,0))</f>
        <v>0</v>
      </c>
      <c r="G626" s="128">
        <f>$D$8</f>
        <v>943690143.97642899</v>
      </c>
      <c r="H626" s="76">
        <f t="shared" si="165"/>
        <v>1.05</v>
      </c>
      <c r="I626" s="73">
        <f t="shared" si="166"/>
        <v>0</v>
      </c>
      <c r="J626" s="73">
        <f t="shared" si="167"/>
        <v>4191857.6229980933</v>
      </c>
      <c r="K626" s="73">
        <f t="shared" si="168"/>
        <v>0</v>
      </c>
      <c r="L626" s="97">
        <f t="shared" si="169"/>
        <v>990874651.17525053</v>
      </c>
    </row>
    <row r="627" spans="3:13" x14ac:dyDescent="0.35">
      <c r="C627" s="69">
        <v>2</v>
      </c>
      <c r="D627" s="75">
        <v>0</v>
      </c>
      <c r="E627" s="126">
        <f t="shared" ref="E627:E650" si="170">$K$87</f>
        <v>3875966.3643070669</v>
      </c>
      <c r="F627" s="71">
        <f>(IF(MOD(C626,$H$87)=0,$J$87,0))</f>
        <v>0</v>
      </c>
      <c r="G627" s="128">
        <f>IF(
    $H$6="Alkaline",
    IF(
        OR(
            Data!$C$37=C626,
            MOD(C626,Data!$C$37)=0
        ),
        $D$8,
        G626*Data!$C$42
    ),
    IF(
        $H$6="PEM",
        IF(
            OR(
                Data!$H$37=C626,
                MOD(C626,Data!$H$37)=0
            ),
            $D$8,
            G626*Data!$H$42
        ),
        ""
    )
)</f>
        <v>934253242.53666472</v>
      </c>
      <c r="H627" s="76">
        <f t="shared" si="165"/>
        <v>1.1025</v>
      </c>
      <c r="I627" s="73">
        <f t="shared" si="166"/>
        <v>0</v>
      </c>
      <c r="J627" s="73">
        <f t="shared" si="167"/>
        <v>4533494.0192724373</v>
      </c>
      <c r="K627" s="73">
        <f t="shared" si="168"/>
        <v>0</v>
      </c>
      <c r="L627" s="74">
        <f t="shared" si="169"/>
        <v>1030014199.8966728</v>
      </c>
    </row>
    <row r="628" spans="3:13" x14ac:dyDescent="0.35">
      <c r="C628" s="69">
        <v>3</v>
      </c>
      <c r="D628" s="75">
        <v>0</v>
      </c>
      <c r="E628" s="126">
        <f t="shared" si="170"/>
        <v>3875966.3643070669</v>
      </c>
      <c r="F628" s="71">
        <f t="shared" ref="F628:F650" si="171">(IF(MOD(C627,$H$87)=0,$J$87,0))</f>
        <v>0</v>
      </c>
      <c r="G628" s="128">
        <f>IF(
    $H$6="Alkaline",
    IF(
        OR(
            Data!$C$37=C627,
            MOD(C627,Data!$C$37)=0
        ),
        $D$8,
        G627*Data!$C$42
    ),
    IF(
        $H$6="PEM",
        IF(
            OR(
                Data!$H$37=C627,
                MOD(C627,Data!$H$37)=0
            ),
            $D$8,
            G627*Data!$H$42
        ),
        ""
    )
)</f>
        <v>924910710.11129808</v>
      </c>
      <c r="H628" s="76">
        <f>(1+$D$14)^$C628</f>
        <v>1.1576250000000001</v>
      </c>
      <c r="I628" s="73">
        <f t="shared" si="166"/>
        <v>0</v>
      </c>
      <c r="J628" s="73">
        <f t="shared" si="167"/>
        <v>4902973.7818431417</v>
      </c>
      <c r="K628" s="73">
        <f t="shared" si="168"/>
        <v>0</v>
      </c>
      <c r="L628" s="74">
        <f t="shared" si="169"/>
        <v>1070699760.7925916</v>
      </c>
    </row>
    <row r="629" spans="3:13" x14ac:dyDescent="0.35">
      <c r="C629" s="69">
        <v>4</v>
      </c>
      <c r="D629" s="75">
        <v>0</v>
      </c>
      <c r="E629" s="126">
        <f t="shared" si="170"/>
        <v>3875966.3643070669</v>
      </c>
      <c r="F629" s="71">
        <f t="shared" si="171"/>
        <v>0</v>
      </c>
      <c r="G629" s="128">
        <f>IF(
    $H$6="Alkaline",
    IF(
        OR(
            Data!$C$37=C628,
            MOD(C628,Data!$C$37)=0
        ),
        $D$8,
        G628*Data!$C$42
    ),
    IF(
        $H$6="PEM",
        IF(
            OR(
                Data!$H$37=C628,
                MOD(C628,Data!$H$37)=0
            ),
            $D$8,
            G628*Data!$H$42
        ),
        ""
    )
)</f>
        <v>915661603.01018512</v>
      </c>
      <c r="H629" s="76">
        <f t="shared" si="165"/>
        <v>1.21550625</v>
      </c>
      <c r="I629" s="73">
        <f t="shared" si="166"/>
        <v>0</v>
      </c>
      <c r="J629" s="73">
        <f t="shared" si="167"/>
        <v>5302566.1450633565</v>
      </c>
      <c r="K629" s="73">
        <f t="shared" si="168"/>
        <v>0</v>
      </c>
      <c r="L629" s="74">
        <f t="shared" si="169"/>
        <v>1112992401.3438988</v>
      </c>
    </row>
    <row r="630" spans="3:13" x14ac:dyDescent="0.35">
      <c r="C630" s="69">
        <v>5</v>
      </c>
      <c r="D630" s="75">
        <v>0</v>
      </c>
      <c r="E630" s="126">
        <f t="shared" si="170"/>
        <v>3875966.3643070669</v>
      </c>
      <c r="F630" s="71">
        <f t="shared" si="171"/>
        <v>0</v>
      </c>
      <c r="G630" s="128">
        <f>IF(
    $H$6="Alkaline",
    IF(
        OR(
            Data!$C$37=C629,
            MOD(C629,Data!$C$37)=0
        ),
        $D$8,
        G629*Data!$C$42
    ),
    IF(
        $H$6="PEM",
        IF(
            OR(
                Data!$H$37=C629,
                MOD(C629,Data!$H$37)=0
            ),
            $D$8,
            G629*Data!$H$42
        ),
        ""
    )
)</f>
        <v>906504986.98008323</v>
      </c>
      <c r="H630" s="76">
        <f t="shared" si="165"/>
        <v>1.2762815625000001</v>
      </c>
      <c r="I630" s="73">
        <f t="shared" si="166"/>
        <v>0</v>
      </c>
      <c r="J630" s="73">
        <f>E630*$H630*(1+$D$15)^C630</f>
        <v>5734725.2858860204</v>
      </c>
      <c r="K630" s="73">
        <f t="shared" si="168"/>
        <v>0</v>
      </c>
      <c r="L630" s="74">
        <f t="shared" si="169"/>
        <v>1156955601.1969829</v>
      </c>
    </row>
    <row r="631" spans="3:13" x14ac:dyDescent="0.35">
      <c r="C631" s="69">
        <v>6</v>
      </c>
      <c r="D631" s="75">
        <v>0</v>
      </c>
      <c r="E631" s="126">
        <f t="shared" si="170"/>
        <v>3875966.3643070669</v>
      </c>
      <c r="F631" s="71">
        <f t="shared" si="171"/>
        <v>0</v>
      </c>
      <c r="G631" s="128">
        <f>IF(
    $H$6="Alkaline",
    IF(
        OR(
            Data!$C$37=C630,
            MOD(C630,Data!$C$37)=0
        ),
        $D$8,
        G630*Data!$C$42
    ),
    IF(
        $H$6="PEM",
        IF(
            OR(
                Data!$H$37=C630,
                MOD(C630,Data!$H$37)=0
            ),
            $D$8,
            G630*Data!$H$42
        ),
        ""
    )
)</f>
        <v>897439937.11028242</v>
      </c>
      <c r="H631" s="76">
        <f t="shared" si="165"/>
        <v>1.340095640625</v>
      </c>
      <c r="I631" s="73">
        <f t="shared" si="166"/>
        <v>0</v>
      </c>
      <c r="J631" s="73">
        <f t="shared" ref="J631:J650" si="172">E631*$H631*(1+$D$15)^C631</f>
        <v>6202105.3966857307</v>
      </c>
      <c r="K631" s="73">
        <f t="shared" si="168"/>
        <v>0</v>
      </c>
      <c r="L631" s="74">
        <f t="shared" si="169"/>
        <v>1202655347.4442637</v>
      </c>
    </row>
    <row r="632" spans="3:13" x14ac:dyDescent="0.35">
      <c r="C632" s="69">
        <v>7</v>
      </c>
      <c r="D632" s="75">
        <v>0</v>
      </c>
      <c r="E632" s="126">
        <f t="shared" si="170"/>
        <v>3875966.3643070669</v>
      </c>
      <c r="F632" s="71">
        <f t="shared" si="171"/>
        <v>0</v>
      </c>
      <c r="G632" s="128">
        <f>IF(
    $H$6="Alkaline",
    IF(
        OR(
            Data!$C$37=C631,
            MOD(C631,Data!$C$37)=0
        ),
        $D$8,
        G631*Data!$C$42
    ),
    IF(
        $H$6="PEM",
        IF(
            OR(
                Data!$H$37=C631,
                MOD(C631,Data!$H$37)=0
            ),
            $D$8,
            G631*Data!$H$42
        ),
        ""
    )
)</f>
        <v>888465537.73917961</v>
      </c>
      <c r="H632" s="76">
        <f t="shared" si="165"/>
        <v>1.4071004226562502</v>
      </c>
      <c r="I632" s="73">
        <f t="shared" si="166"/>
        <v>0</v>
      </c>
      <c r="J632" s="73">
        <f t="shared" si="172"/>
        <v>6707576.9865156198</v>
      </c>
      <c r="K632" s="73">
        <f t="shared" si="168"/>
        <v>0</v>
      </c>
      <c r="L632" s="74">
        <f t="shared" si="169"/>
        <v>1250160233.6683123</v>
      </c>
    </row>
    <row r="633" spans="3:13" x14ac:dyDescent="0.35">
      <c r="C633" s="69">
        <v>8</v>
      </c>
      <c r="D633" s="75">
        <v>0</v>
      </c>
      <c r="E633" s="126">
        <f t="shared" si="170"/>
        <v>3875966.3643070669</v>
      </c>
      <c r="F633" s="71">
        <f t="shared" si="171"/>
        <v>0</v>
      </c>
      <c r="G633" s="128">
        <f>IF(
    $H$6="Alkaline",
    IF(
        OR(
            Data!$C$37=C632,
            MOD(C632,Data!$C$37)=0
        ),
        $D$8,
        G632*Data!$C$42
    ),
    IF(
        $H$6="PEM",
        IF(
            OR(
                Data!$H$37=C632,
                MOD(C632,Data!$H$37)=0
            ),
            $D$8,
            G632*Data!$H$42
        ),
        ""
    )
)</f>
        <v>943690143.97642899</v>
      </c>
      <c r="H633" s="76">
        <f t="shared" si="165"/>
        <v>1.4774554437890626</v>
      </c>
      <c r="I633" s="73">
        <f t="shared" si="166"/>
        <v>0</v>
      </c>
      <c r="J633" s="73">
        <f t="shared" si="172"/>
        <v>7254244.510916641</v>
      </c>
      <c r="K633" s="73">
        <f t="shared" si="168"/>
        <v>0</v>
      </c>
      <c r="L633" s="74">
        <f t="shared" si="169"/>
        <v>1394260140.4680593</v>
      </c>
    </row>
    <row r="634" spans="3:13" x14ac:dyDescent="0.35">
      <c r="C634" s="69">
        <v>9</v>
      </c>
      <c r="D634" s="75">
        <v>0</v>
      </c>
      <c r="E634" s="126">
        <f t="shared" si="170"/>
        <v>3875966.3643070669</v>
      </c>
      <c r="F634" s="71">
        <f t="shared" si="171"/>
        <v>0</v>
      </c>
      <c r="G634" s="128">
        <f>IF(
    $H$6="Alkaline",
    IF(
        OR(
            Data!$C$37=C633,
            MOD(C633,Data!$C$37)=0
        ),
        $D$8,
        G633*Data!$C$42
    ),
    IF(
        $H$6="PEM",
        IF(
            OR(
                Data!$H$37=C633,
                MOD(C633,Data!$H$37)=0
            ),
            $D$8,
            G633*Data!$H$42
        ),
        ""
    )
)</f>
        <v>934253242.53666472</v>
      </c>
      <c r="H634" s="76">
        <f t="shared" si="165"/>
        <v>1.5513282159785158</v>
      </c>
      <c r="I634" s="73">
        <f t="shared" si="166"/>
        <v>0</v>
      </c>
      <c r="J634" s="73">
        <f t="shared" si="172"/>
        <v>7845465.438556347</v>
      </c>
      <c r="K634" s="73">
        <f t="shared" si="168"/>
        <v>0</v>
      </c>
      <c r="L634" s="74">
        <f t="shared" si="169"/>
        <v>1449333416.0165477</v>
      </c>
    </row>
    <row r="635" spans="3:13" x14ac:dyDescent="0.35">
      <c r="C635" s="69">
        <v>10</v>
      </c>
      <c r="D635" s="75">
        <v>0</v>
      </c>
      <c r="E635" s="126">
        <f t="shared" si="170"/>
        <v>3875966.3643070669</v>
      </c>
      <c r="F635" s="71">
        <f t="shared" si="171"/>
        <v>0</v>
      </c>
      <c r="G635" s="128">
        <f>IF(
    $H$6="Alkaline",
    IF(
        OR(
            Data!$C$37=C634,
            MOD(C634,Data!$C$37)=0
        ),
        $D$8,
        G634*Data!$C$42
    ),
    IF(
        $H$6="PEM",
        IF(
            OR(
                Data!$H$37=C634,
                MOD(C634,Data!$H$37)=0
            ),
            $D$8,
            G634*Data!$H$42
        ),
        ""
    )
)</f>
        <v>924910710.11129808</v>
      </c>
      <c r="H635" s="76">
        <f t="shared" si="165"/>
        <v>1.6288946267774416</v>
      </c>
      <c r="I635" s="73">
        <f t="shared" si="166"/>
        <v>0</v>
      </c>
      <c r="J635" s="73">
        <f t="shared" si="172"/>
        <v>8484870.8717986904</v>
      </c>
      <c r="K635" s="73">
        <f t="shared" si="168"/>
        <v>0</v>
      </c>
      <c r="L635" s="74">
        <f t="shared" si="169"/>
        <v>1506582085.9492013</v>
      </c>
    </row>
    <row r="636" spans="3:13" x14ac:dyDescent="0.35">
      <c r="C636" s="69">
        <v>11</v>
      </c>
      <c r="D636" s="75">
        <v>0</v>
      </c>
      <c r="E636" s="126">
        <f t="shared" si="170"/>
        <v>3875966.3643070669</v>
      </c>
      <c r="F636" s="71">
        <f t="shared" si="171"/>
        <v>0</v>
      </c>
      <c r="G636" s="128">
        <f>IF(
    $H$6="Alkaline",
    IF(
        OR(
            Data!$C$37=C635,
            MOD(C635,Data!$C$37)=0
        ),
        $D$8,
        G635*Data!$C$42
    ),
    IF(
        $H$6="PEM",
        IF(
            OR(
                Data!$H$37=C635,
                MOD(C635,Data!$H$37)=0
            ),
            $D$8,
            G635*Data!$H$42
        ),
        ""
    )
)</f>
        <v>915661603.01018512</v>
      </c>
      <c r="H636" s="76">
        <f t="shared" si="165"/>
        <v>1.7103393581163138</v>
      </c>
      <c r="I636" s="73">
        <f t="shared" si="166"/>
        <v>0</v>
      </c>
      <c r="J636" s="73">
        <f t="shared" si="172"/>
        <v>9176387.8478502836</v>
      </c>
      <c r="K636" s="73">
        <f t="shared" si="168"/>
        <v>0</v>
      </c>
      <c r="L636" s="74">
        <f t="shared" si="169"/>
        <v>1566092078.3441949</v>
      </c>
    </row>
    <row r="637" spans="3:13" x14ac:dyDescent="0.35">
      <c r="C637" s="69">
        <v>12</v>
      </c>
      <c r="D637" s="75">
        <v>0</v>
      </c>
      <c r="E637" s="126">
        <f t="shared" si="170"/>
        <v>3875966.3643070669</v>
      </c>
      <c r="F637" s="71">
        <f t="shared" si="171"/>
        <v>0</v>
      </c>
      <c r="G637" s="128">
        <f>IF(
    $H$6="Alkaline",
    IF(
        OR(
            Data!$C$37=C636,
            MOD(C636,Data!$C$37)=0
        ),
        $D$8,
        G636*Data!$C$42
    ),
    IF(
        $H$6="PEM",
        IF(
            OR(
                Data!$H$37=C636,
                MOD(C636,Data!$H$37)=0
            ),
            $D$8,
            G636*Data!$H$42
        ),
        ""
    )
)</f>
        <v>906504986.98008323</v>
      </c>
      <c r="H637" s="76">
        <f t="shared" si="165"/>
        <v>1.7958563260221292</v>
      </c>
      <c r="I637" s="73">
        <f t="shared" si="166"/>
        <v>0</v>
      </c>
      <c r="J637" s="73">
        <f t="shared" si="172"/>
        <v>9924263.4574500788</v>
      </c>
      <c r="K637" s="73">
        <f t="shared" si="168"/>
        <v>0</v>
      </c>
      <c r="L637" s="74">
        <f t="shared" si="169"/>
        <v>1627952715.4387903</v>
      </c>
    </row>
    <row r="638" spans="3:13" x14ac:dyDescent="0.35">
      <c r="C638" s="69">
        <v>13</v>
      </c>
      <c r="D638" s="75">
        <v>0</v>
      </c>
      <c r="E638" s="126">
        <f t="shared" si="170"/>
        <v>3875966.3643070669</v>
      </c>
      <c r="F638" s="71">
        <f t="shared" si="171"/>
        <v>0</v>
      </c>
      <c r="G638" s="128">
        <f>IF(
    $H$6="Alkaline",
    IF(
        OR(
            Data!$C$37=C637,
            MOD(C637,Data!$C$37)=0
        ),
        $D$8,
        G637*Data!$C$42
    ),
    IF(
        $H$6="PEM",
        IF(
            OR(
                Data!$H$37=C637,
                MOD(C637,Data!$H$37)=0
            ),
            $D$8,
            G637*Data!$H$42
        ),
        ""
    )
)</f>
        <v>897439937.11028242</v>
      </c>
      <c r="H638" s="76">
        <f t="shared" si="165"/>
        <v>1.885649142323236</v>
      </c>
      <c r="I638" s="73">
        <f t="shared" si="166"/>
        <v>0</v>
      </c>
      <c r="J638" s="73">
        <f t="shared" si="172"/>
        <v>10733090.929232262</v>
      </c>
      <c r="K638" s="73">
        <f t="shared" si="168"/>
        <v>0</v>
      </c>
      <c r="L638" s="74">
        <f t="shared" si="169"/>
        <v>1692256847.6986229</v>
      </c>
    </row>
    <row r="639" spans="3:13" x14ac:dyDescent="0.35">
      <c r="C639" s="69">
        <v>14</v>
      </c>
      <c r="D639" s="75">
        <v>0</v>
      </c>
      <c r="E639" s="126">
        <f t="shared" si="170"/>
        <v>3875966.3643070669</v>
      </c>
      <c r="F639" s="71">
        <f t="shared" si="171"/>
        <v>0</v>
      </c>
      <c r="G639" s="128">
        <f>IF(
    $H$6="Alkaline",
    IF(
        OR(
            Data!$C$37=C638,
            MOD(C638,Data!$C$37)=0
        ),
        $D$8,
        G638*Data!$C$42
    ),
    IF(
        $H$6="PEM",
        IF(
            OR(
                Data!$H$37=C638,
                MOD(C638,Data!$H$37)=0
            ),
            $D$8,
            G638*Data!$H$42
        ),
        ""
    )
)</f>
        <v>888465537.73917961</v>
      </c>
      <c r="H639" s="76">
        <f t="shared" si="165"/>
        <v>1.9799315994393973</v>
      </c>
      <c r="I639" s="73">
        <f t="shared" si="166"/>
        <v>0</v>
      </c>
      <c r="J639" s="73">
        <f t="shared" si="172"/>
        <v>11607837.839964692</v>
      </c>
      <c r="K639" s="73">
        <f t="shared" si="168"/>
        <v>0</v>
      </c>
      <c r="L639" s="74">
        <f t="shared" si="169"/>
        <v>1759100993.182718</v>
      </c>
    </row>
    <row r="640" spans="3:13" x14ac:dyDescent="0.35">
      <c r="C640" s="69">
        <v>15</v>
      </c>
      <c r="D640" s="75">
        <v>0</v>
      </c>
      <c r="E640" s="126">
        <f t="shared" si="170"/>
        <v>3875966.3643070669</v>
      </c>
      <c r="F640" s="71">
        <f t="shared" si="171"/>
        <v>0</v>
      </c>
      <c r="G640" s="128">
        <f>IF(
    $H$6="Alkaline",
    IF(
        OR(
            Data!$C$37=C639,
            MOD(C639,Data!$C$37)=0
        ),
        $D$8,
        G639*Data!$C$42
    ),
    IF(
        $H$6="PEM",
        IF(
            OR(
                Data!$H$37=C639,
                MOD(C639,Data!$H$37)=0
            ),
            $D$8,
            G639*Data!$H$42
        ),
        ""
    )
)</f>
        <v>943690143.97642899</v>
      </c>
      <c r="H640" s="76">
        <f t="shared" si="165"/>
        <v>2.0789281794113679</v>
      </c>
      <c r="I640" s="73">
        <f t="shared" si="166"/>
        <v>0</v>
      </c>
      <c r="J640" s="73">
        <f t="shared" si="172"/>
        <v>12553876.623921817</v>
      </c>
      <c r="K640" s="73">
        <f t="shared" si="168"/>
        <v>0</v>
      </c>
      <c r="L640" s="74">
        <f t="shared" si="169"/>
        <v>1961864032.9453692</v>
      </c>
    </row>
    <row r="641" spans="1:13" x14ac:dyDescent="0.35">
      <c r="C641" s="69">
        <v>16</v>
      </c>
      <c r="D641" s="75">
        <v>0</v>
      </c>
      <c r="E641" s="126">
        <f t="shared" si="170"/>
        <v>3875966.3643070669</v>
      </c>
      <c r="F641" s="71">
        <f t="shared" si="171"/>
        <v>0</v>
      </c>
      <c r="G641" s="128">
        <f>IF(
    $H$6="Alkaline",
    IF(
        OR(
            Data!$C$37=C640,
            MOD(C640,Data!$C$37)=0
        ),
        $D$8,
        G640*Data!$C$42
    ),
    IF(
        $H$6="PEM",
        IF(
            OR(
                Data!$H$37=C640,
                MOD(C640,Data!$H$37)=0
            ),
            $D$8,
            G640*Data!$H$42
        ),
        ""
    )
)</f>
        <v>934253242.53666472</v>
      </c>
      <c r="H641" s="76">
        <f t="shared" si="165"/>
        <v>2.182874588381936</v>
      </c>
      <c r="I641" s="73">
        <f t="shared" si="166"/>
        <v>0</v>
      </c>
      <c r="J641" s="73">
        <f t="shared" si="172"/>
        <v>13577017.568771441</v>
      </c>
      <c r="K641" s="73">
        <f t="shared" si="168"/>
        <v>0</v>
      </c>
      <c r="L641" s="74">
        <f t="shared" si="169"/>
        <v>2039357662.246711</v>
      </c>
    </row>
    <row r="642" spans="1:13" x14ac:dyDescent="0.35">
      <c r="C642" s="69">
        <v>17</v>
      </c>
      <c r="D642" s="75">
        <v>0</v>
      </c>
      <c r="E642" s="126">
        <f t="shared" si="170"/>
        <v>3875966.3643070669</v>
      </c>
      <c r="F642" s="71">
        <f t="shared" si="171"/>
        <v>0</v>
      </c>
      <c r="G642" s="128">
        <f>IF(
    $H$6="Alkaline",
    IF(
        OR(
            Data!$C$37=C641,
            MOD(C641,Data!$C$37)=0
        ),
        $D$8,
        G641*Data!$C$42
    ),
    IF(
        $H$6="PEM",
        IF(
            OR(
                Data!$H$37=C641,
                MOD(C641,Data!$H$37)=0
            ),
            $D$8,
            G641*Data!$H$42
        ),
        ""
    )
)</f>
        <v>924910710.11129808</v>
      </c>
      <c r="H642" s="76">
        <f t="shared" si="165"/>
        <v>2.2920183178010332</v>
      </c>
      <c r="I642" s="73">
        <f t="shared" si="166"/>
        <v>0</v>
      </c>
      <c r="J642" s="73">
        <f t="shared" si="172"/>
        <v>14683544.500626314</v>
      </c>
      <c r="K642" s="73">
        <f t="shared" si="168"/>
        <v>0</v>
      </c>
      <c r="L642" s="74">
        <f t="shared" si="169"/>
        <v>2119912289.9054565</v>
      </c>
    </row>
    <row r="643" spans="1:13" x14ac:dyDescent="0.35">
      <c r="C643" s="69">
        <v>18</v>
      </c>
      <c r="D643" s="75">
        <v>0</v>
      </c>
      <c r="E643" s="126">
        <f t="shared" si="170"/>
        <v>3875966.3643070669</v>
      </c>
      <c r="F643" s="71">
        <f t="shared" si="171"/>
        <v>0</v>
      </c>
      <c r="G643" s="128">
        <f>IF(
    $H$6="Alkaline",
    IF(
        OR(
            Data!$C$37=C642,
            MOD(C642,Data!$C$37)=0
        ),
        $D$8,
        G642*Data!$C$42
    ),
    IF(
        $H$6="PEM",
        IF(
            OR(
                Data!$H$37=C642,
                MOD(C642,Data!$H$37)=0
            ),
            $D$8,
            G642*Data!$H$42
        ),
        ""
    )
)</f>
        <v>915661603.01018512</v>
      </c>
      <c r="H643" s="76">
        <f t="shared" si="165"/>
        <v>2.4066192336910848</v>
      </c>
      <c r="I643" s="73">
        <f t="shared" si="166"/>
        <v>0</v>
      </c>
      <c r="J643" s="73">
        <f t="shared" si="172"/>
        <v>15880253.37742736</v>
      </c>
      <c r="K643" s="73">
        <f t="shared" si="168"/>
        <v>0</v>
      </c>
      <c r="L643" s="74">
        <f t="shared" si="169"/>
        <v>2203648825.3567219</v>
      </c>
    </row>
    <row r="644" spans="1:13" x14ac:dyDescent="0.35">
      <c r="C644" s="69">
        <v>19</v>
      </c>
      <c r="D644" s="75">
        <v>0</v>
      </c>
      <c r="E644" s="126">
        <f t="shared" si="170"/>
        <v>3875966.3643070669</v>
      </c>
      <c r="F644" s="71">
        <f t="shared" si="171"/>
        <v>0</v>
      </c>
      <c r="G644" s="128">
        <f>IF(
    $H$6="Alkaline",
    IF(
        OR(
            Data!$C$37=C643,
            MOD(C643,Data!$C$37)=0
        ),
        $D$8,
        G643*Data!$C$42
    ),
    IF(
        $H$6="PEM",
        IF(
            OR(
                Data!$H$37=C643,
                MOD(C643,Data!$H$37)=0
            ),
            $D$8,
            G643*Data!$H$42
        ),
        ""
    )
)</f>
        <v>906504986.98008323</v>
      </c>
      <c r="H644" s="76">
        <f t="shared" si="165"/>
        <v>2.526950195375639</v>
      </c>
      <c r="I644" s="73">
        <f t="shared" si="166"/>
        <v>0</v>
      </c>
      <c r="J644" s="73">
        <f t="shared" si="172"/>
        <v>17174494.027687691</v>
      </c>
      <c r="K644" s="73">
        <f t="shared" si="168"/>
        <v>0</v>
      </c>
      <c r="L644" s="74">
        <f t="shared" si="169"/>
        <v>2290692953.9583125</v>
      </c>
    </row>
    <row r="645" spans="1:13" x14ac:dyDescent="0.35">
      <c r="C645" s="69">
        <v>20</v>
      </c>
      <c r="D645" s="75">
        <v>0</v>
      </c>
      <c r="E645" s="126">
        <f t="shared" si="170"/>
        <v>3875966.3643070669</v>
      </c>
      <c r="F645" s="71">
        <f t="shared" si="171"/>
        <v>0</v>
      </c>
      <c r="G645" s="128">
        <f>IF(
    $H$6="Alkaline",
    IF(
        OR(
            Data!$C$37=C644,
            MOD(C644,Data!$C$37)=0
        ),
        $D$8,
        G644*Data!$C$42
    ),
    IF(
        $H$6="PEM",
        IF(
            OR(
                Data!$H$37=C644,
                MOD(C644,Data!$H$37)=0
            ),
            $D$8,
            G644*Data!$H$42
        ),
        ""
    )
)</f>
        <v>897439937.11028242</v>
      </c>
      <c r="H645" s="76">
        <f t="shared" si="165"/>
        <v>2.6532977051444209</v>
      </c>
      <c r="I645" s="73">
        <f t="shared" si="166"/>
        <v>0</v>
      </c>
      <c r="J645" s="73">
        <f t="shared" si="172"/>
        <v>18574215.290944234</v>
      </c>
      <c r="K645" s="73">
        <f t="shared" si="168"/>
        <v>0</v>
      </c>
      <c r="L645" s="74">
        <f t="shared" si="169"/>
        <v>2381175325.6396656</v>
      </c>
    </row>
    <row r="646" spans="1:13" x14ac:dyDescent="0.35">
      <c r="C646" s="69">
        <v>21</v>
      </c>
      <c r="D646" s="75">
        <v>0</v>
      </c>
      <c r="E646" s="126">
        <f t="shared" si="170"/>
        <v>3875966.3643070669</v>
      </c>
      <c r="F646" s="71">
        <f t="shared" si="171"/>
        <v>0</v>
      </c>
      <c r="G646" s="128">
        <f>IF(
    $H$6="Alkaline",
    IF(
        OR(
            Data!$C$37=C645,
            MOD(C645,Data!$C$37)=0
        ),
        $D$8,
        G645*Data!$C$42
    ),
    IF(
        $H$6="PEM",
        IF(
            OR(
                Data!$H$37=C645,
                MOD(C645,Data!$H$37)=0
            ),
            $D$8,
            G645*Data!$H$42
        ),
        ""
    )
)</f>
        <v>888465537.73917961</v>
      </c>
      <c r="H646" s="76">
        <f t="shared" si="165"/>
        <v>2.7859625904016418</v>
      </c>
      <c r="I646" s="73">
        <f t="shared" si="166"/>
        <v>0</v>
      </c>
      <c r="J646" s="73">
        <f t="shared" si="172"/>
        <v>20088013.837156188</v>
      </c>
      <c r="K646" s="73">
        <f t="shared" si="168"/>
        <v>0</v>
      </c>
      <c r="L646" s="74">
        <f t="shared" si="169"/>
        <v>2475231751.0024323</v>
      </c>
    </row>
    <row r="647" spans="1:13" x14ac:dyDescent="0.35">
      <c r="C647" s="69">
        <v>22</v>
      </c>
      <c r="D647" s="75">
        <v>0</v>
      </c>
      <c r="E647" s="126">
        <f t="shared" si="170"/>
        <v>3875966.3643070669</v>
      </c>
      <c r="F647" s="71">
        <f t="shared" si="171"/>
        <v>0</v>
      </c>
      <c r="G647" s="128">
        <f>IF(
    $H$6="Alkaline",
    IF(
        OR(
            Data!$C$37=C646,
            MOD(C646,Data!$C$37)=0
        ),
        $D$8,
        G646*Data!$C$42
    ),
    IF(
        $H$6="PEM",
        IF(
            OR(
                Data!$H$37=C646,
                MOD(C646,Data!$H$37)=0
            ),
            $D$8,
            G646*Data!$H$42
        ),
        ""
    )
)</f>
        <v>943690143.97642899</v>
      </c>
      <c r="H647" s="76">
        <f t="shared" si="165"/>
        <v>2.9252607199217238</v>
      </c>
      <c r="I647" s="73">
        <f t="shared" si="166"/>
        <v>0</v>
      </c>
      <c r="J647" s="73">
        <f t="shared" si="172"/>
        <v>21725186.964884419</v>
      </c>
      <c r="K647" s="73">
        <f t="shared" si="168"/>
        <v>0</v>
      </c>
      <c r="L647" s="74">
        <f t="shared" si="169"/>
        <v>2760539709.9515238</v>
      </c>
    </row>
    <row r="648" spans="1:13" x14ac:dyDescent="0.35">
      <c r="C648" s="69">
        <v>23</v>
      </c>
      <c r="D648" s="75">
        <v>0</v>
      </c>
      <c r="E648" s="126">
        <f t="shared" si="170"/>
        <v>3875966.3643070669</v>
      </c>
      <c r="F648" s="71">
        <f t="shared" si="171"/>
        <v>0</v>
      </c>
      <c r="G648" s="128">
        <f>IF(
    $H$6="Alkaline",
    IF(
        OR(
            Data!$C$37=C647,
            MOD(C647,Data!$C$37)=0
        ),
        $D$8,
        G647*Data!$C$42
    ),
    IF(
        $H$6="PEM",
        IF(
            OR(
                Data!$H$37=C647,
                MOD(C647,Data!$H$37)=0
            ),
            $D$8,
            G647*Data!$H$42
        ),
        ""
    )
)</f>
        <v>934253242.53666472</v>
      </c>
      <c r="H648" s="76">
        <f t="shared" si="165"/>
        <v>3.0715237559178106</v>
      </c>
      <c r="I648" s="73">
        <f t="shared" si="166"/>
        <v>0</v>
      </c>
      <c r="J648" s="73">
        <f t="shared" si="172"/>
        <v>23495789.702522501</v>
      </c>
      <c r="K648" s="73">
        <f t="shared" si="168"/>
        <v>0</v>
      </c>
      <c r="L648" s="74">
        <f t="shared" si="169"/>
        <v>2869581028.4946098</v>
      </c>
    </row>
    <row r="649" spans="1:13" x14ac:dyDescent="0.35">
      <c r="C649" s="69">
        <v>24</v>
      </c>
      <c r="D649" s="75">
        <v>0</v>
      </c>
      <c r="E649" s="126">
        <f t="shared" si="170"/>
        <v>3875966.3643070669</v>
      </c>
      <c r="F649" s="71">
        <f t="shared" si="171"/>
        <v>0</v>
      </c>
      <c r="G649" s="128">
        <f>IF(
    $H$6="Alkaline",
    IF(
        OR(
            Data!$C$37=C648,
            MOD(C648,Data!$C$37)=0
        ),
        $D$8,
        G648*Data!$C$42
    ),
    IF(
        $H$6="PEM",
        IF(
            OR(
                Data!$H$37=C648,
                MOD(C648,Data!$H$37)=0
            ),
            $D$8,
            G648*Data!$H$42
        ),
        ""
    )
)</f>
        <v>924910710.11129808</v>
      </c>
      <c r="H649" s="76">
        <f t="shared" si="165"/>
        <v>3.2250999437137007</v>
      </c>
      <c r="I649" s="73">
        <f t="shared" si="166"/>
        <v>0</v>
      </c>
      <c r="J649" s="73">
        <f t="shared" si="172"/>
        <v>25410696.563278083</v>
      </c>
      <c r="K649" s="73">
        <f t="shared" si="168"/>
        <v>0</v>
      </c>
      <c r="L649" s="74">
        <f t="shared" si="169"/>
        <v>2982929479.1201463</v>
      </c>
    </row>
    <row r="650" spans="1:13" ht="15" thickBot="1" x14ac:dyDescent="0.4">
      <c r="C650" s="69">
        <v>25</v>
      </c>
      <c r="D650" s="75">
        <v>0</v>
      </c>
      <c r="E650" s="126">
        <f t="shared" si="170"/>
        <v>3875966.3643070669</v>
      </c>
      <c r="F650" s="71">
        <f t="shared" si="171"/>
        <v>0</v>
      </c>
      <c r="G650" s="128">
        <f>IF(
    $H$6="Alkaline",
    IF(
        OR(
            Data!$C$37=C649,
            MOD(C649,Data!$C$37)=0
        ),
        $D$8,
        G649*Data!$C$42
    ),
    IF(
        $H$6="PEM",
        IF(
            OR(
                Data!$H$37=C649,
                MOD(C649,Data!$H$37)=0
            ),
            $D$8,
            G649*Data!$H$42
        ),
        ""
    )
)</f>
        <v>915661603.01018512</v>
      </c>
      <c r="H650" s="76">
        <f t="shared" si="165"/>
        <v>3.3863549408993858</v>
      </c>
      <c r="I650" s="73">
        <f t="shared" si="166"/>
        <v>0</v>
      </c>
      <c r="J650" s="73">
        <f t="shared" si="172"/>
        <v>27481668.333185248</v>
      </c>
      <c r="K650" s="73">
        <f t="shared" si="168"/>
        <v>0</v>
      </c>
      <c r="L650" s="74">
        <f t="shared" si="169"/>
        <v>3100755193.5453925</v>
      </c>
    </row>
    <row r="651" spans="1:13" ht="15" thickBot="1" x14ac:dyDescent="0.4">
      <c r="C651" s="70" t="s">
        <v>26</v>
      </c>
      <c r="D651" s="77">
        <f>SUM(D625:D650)</f>
        <v>129198878.81023557</v>
      </c>
      <c r="E651" s="77">
        <f>SUM(E625:E650)</f>
        <v>96899159.10767664</v>
      </c>
      <c r="F651" s="77">
        <f>SUM(F625:F650)</f>
        <v>0</v>
      </c>
      <c r="G651" s="149">
        <f>SUM(G625:G650)</f>
        <v>22951294184.026939</v>
      </c>
      <c r="H651" s="77">
        <f>SUM(H625:H650)</f>
        <v>51.113453758887083</v>
      </c>
      <c r="I651" s="77">
        <f t="shared" ref="I651:K651" si="173">SUM(I625:I650)</f>
        <v>129198878.81023557</v>
      </c>
      <c r="J651" s="77">
        <f t="shared" si="173"/>
        <v>313246216.92443866</v>
      </c>
      <c r="K651" s="77">
        <f t="shared" si="173"/>
        <v>0</v>
      </c>
      <c r="L651" s="77">
        <f>SUM(L625:L650)</f>
        <v>45995618724.782455</v>
      </c>
    </row>
    <row r="652" spans="1:13" x14ac:dyDescent="0.35">
      <c r="C652" s="49"/>
      <c r="D652" s="49"/>
      <c r="E652" s="49"/>
      <c r="F652" s="49"/>
      <c r="G652" s="150"/>
      <c r="H652" s="49"/>
      <c r="I652" s="49"/>
      <c r="J652" s="49"/>
      <c r="K652" s="49"/>
      <c r="L652" s="49"/>
    </row>
    <row r="653" spans="1:13" ht="15" thickBot="1" x14ac:dyDescent="0.4">
      <c r="A653">
        <v>18</v>
      </c>
      <c r="B653">
        <v>91</v>
      </c>
      <c r="C653" s="133" t="s">
        <v>207</v>
      </c>
    </row>
    <row r="654" spans="1:13" ht="19" thickBot="1" x14ac:dyDescent="0.5">
      <c r="C654" s="58" t="s">
        <v>15</v>
      </c>
      <c r="D654" s="58" t="s">
        <v>16</v>
      </c>
      <c r="E654" s="58" t="s">
        <v>17</v>
      </c>
      <c r="F654" s="58" t="s">
        <v>18</v>
      </c>
      <c r="G654" s="59" t="s">
        <v>19</v>
      </c>
      <c r="H654" s="58" t="s">
        <v>20</v>
      </c>
      <c r="I654" s="59" t="s">
        <v>21</v>
      </c>
      <c r="J654" s="58" t="s">
        <v>22</v>
      </c>
      <c r="K654" s="58" t="s">
        <v>23</v>
      </c>
      <c r="L654" s="58" t="s">
        <v>24</v>
      </c>
      <c r="M654" s="152" t="s">
        <v>253</v>
      </c>
    </row>
    <row r="655" spans="1:13" ht="18.5" x14ac:dyDescent="0.45">
      <c r="C655" s="68">
        <v>0</v>
      </c>
      <c r="D655" s="71">
        <f>$G$91</f>
        <v>0</v>
      </c>
      <c r="E655" s="71">
        <v>0</v>
      </c>
      <c r="F655" s="71">
        <v>0</v>
      </c>
      <c r="G655" s="127">
        <v>0</v>
      </c>
      <c r="H655" s="72">
        <f t="shared" ref="H655:H680" si="174">(1+$D$14)^$C655</f>
        <v>1</v>
      </c>
      <c r="I655" s="73">
        <f t="shared" ref="I655:I680" si="175">D655*$H655*(1+$D$15)^C655</f>
        <v>0</v>
      </c>
      <c r="J655" s="73">
        <f t="shared" ref="J655:J659" si="176">E655*$H655*(1+$D$15)^C655</f>
        <v>0</v>
      </c>
      <c r="K655" s="73">
        <f t="shared" ref="K655:K680" si="177">F655*$H655*(1+$D$15)^C655</f>
        <v>0</v>
      </c>
      <c r="L655" s="74">
        <f t="shared" ref="L655:L680" si="178">G655*$H655</f>
        <v>0</v>
      </c>
      <c r="M655" s="153">
        <f>(I681+J681+K681)/L681</f>
        <v>0</v>
      </c>
    </row>
    <row r="656" spans="1:13" x14ac:dyDescent="0.35">
      <c r="C656" s="69">
        <v>1</v>
      </c>
      <c r="D656" s="75">
        <v>0</v>
      </c>
      <c r="E656" s="126">
        <f>$K$91</f>
        <v>0</v>
      </c>
      <c r="F656" s="71">
        <f>(IF(MOD(C656,$H$91)=0,$J$91,0))</f>
        <v>0</v>
      </c>
      <c r="G656" s="128">
        <f>$D$8</f>
        <v>943690143.97642899</v>
      </c>
      <c r="H656" s="76">
        <f t="shared" si="174"/>
        <v>1.05</v>
      </c>
      <c r="I656" s="73">
        <f t="shared" si="175"/>
        <v>0</v>
      </c>
      <c r="J656" s="73">
        <f t="shared" si="176"/>
        <v>0</v>
      </c>
      <c r="K656" s="73">
        <f t="shared" si="177"/>
        <v>0</v>
      </c>
      <c r="L656" s="97">
        <f t="shared" si="178"/>
        <v>990874651.17525053</v>
      </c>
    </row>
    <row r="657" spans="3:12" x14ac:dyDescent="0.35">
      <c r="C657" s="69">
        <v>2</v>
      </c>
      <c r="D657" s="75">
        <v>0</v>
      </c>
      <c r="E657" s="126">
        <f>$K$91</f>
        <v>0</v>
      </c>
      <c r="F657" s="71">
        <f>(IF(MOD(C656,$H$91)=0,$J$91,0))</f>
        <v>0</v>
      </c>
      <c r="G657" s="128">
        <f>IF(
    $H$6="Alkaline",
    IF(
        OR(
            Data!$C$37=C656,
            MOD(C656,Data!$C$37)=0
        ),
        $D$8,
        G656*Data!$C$42
    ),
    IF(
        $H$6="PEM",
        IF(
            OR(
                Data!$H$37=C656,
                MOD(C656,Data!$H$37)=0
            ),
            $D$8,
            G656*Data!$H$42
        ),
        ""
    )
)</f>
        <v>934253242.53666472</v>
      </c>
      <c r="H657" s="76">
        <f t="shared" si="174"/>
        <v>1.1025</v>
      </c>
      <c r="I657" s="73">
        <f t="shared" si="175"/>
        <v>0</v>
      </c>
      <c r="J657" s="73">
        <f t="shared" si="176"/>
        <v>0</v>
      </c>
      <c r="K657" s="73">
        <f t="shared" si="177"/>
        <v>0</v>
      </c>
      <c r="L657" s="74">
        <f t="shared" si="178"/>
        <v>1030014199.8966728</v>
      </c>
    </row>
    <row r="658" spans="3:12" x14ac:dyDescent="0.35">
      <c r="C658" s="69">
        <v>3</v>
      </c>
      <c r="D658" s="75">
        <v>0</v>
      </c>
      <c r="E658" s="126">
        <f t="shared" ref="E658:E680" si="179">$K$91</f>
        <v>0</v>
      </c>
      <c r="F658" s="71">
        <f t="shared" ref="F658:F680" si="180">(IF(MOD(C657,$H$91)=0,$J$91,0))</f>
        <v>0</v>
      </c>
      <c r="G658" s="128">
        <f>IF(
    $H$6="Alkaline",
    IF(
        OR(
            Data!$C$37=C657,
            MOD(C657,Data!$C$37)=0
        ),
        $D$8,
        G657*Data!$C$42
    ),
    IF(
        $H$6="PEM",
        IF(
            OR(
                Data!$H$37=C657,
                MOD(C657,Data!$H$37)=0
            ),
            $D$8,
            G657*Data!$H$42
        ),
        ""
    )
)</f>
        <v>924910710.11129808</v>
      </c>
      <c r="H658" s="76">
        <f>(1+$D$14)^$C658</f>
        <v>1.1576250000000001</v>
      </c>
      <c r="I658" s="73">
        <f t="shared" si="175"/>
        <v>0</v>
      </c>
      <c r="J658" s="73">
        <f t="shared" si="176"/>
        <v>0</v>
      </c>
      <c r="K658" s="73">
        <f t="shared" si="177"/>
        <v>0</v>
      </c>
      <c r="L658" s="74">
        <f t="shared" si="178"/>
        <v>1070699760.7925916</v>
      </c>
    </row>
    <row r="659" spans="3:12" x14ac:dyDescent="0.35">
      <c r="C659" s="69">
        <v>4</v>
      </c>
      <c r="D659" s="75">
        <v>0</v>
      </c>
      <c r="E659" s="126">
        <f t="shared" si="179"/>
        <v>0</v>
      </c>
      <c r="F659" s="71">
        <f t="shared" si="180"/>
        <v>0</v>
      </c>
      <c r="G659" s="128">
        <f>IF(
    $H$6="Alkaline",
    IF(
        OR(
            Data!$C$37=C658,
            MOD(C658,Data!$C$37)=0
        ),
        $D$8,
        G658*Data!$C$42
    ),
    IF(
        $H$6="PEM",
        IF(
            OR(
                Data!$H$37=C658,
                MOD(C658,Data!$H$37)=0
            ),
            $D$8,
            G658*Data!$H$42
        ),
        ""
    )
)</f>
        <v>915661603.01018512</v>
      </c>
      <c r="H659" s="76">
        <f t="shared" si="174"/>
        <v>1.21550625</v>
      </c>
      <c r="I659" s="73">
        <f t="shared" si="175"/>
        <v>0</v>
      </c>
      <c r="J659" s="73">
        <f t="shared" si="176"/>
        <v>0</v>
      </c>
      <c r="K659" s="73">
        <f t="shared" si="177"/>
        <v>0</v>
      </c>
      <c r="L659" s="74">
        <f t="shared" si="178"/>
        <v>1112992401.3438988</v>
      </c>
    </row>
    <row r="660" spans="3:12" x14ac:dyDescent="0.35">
      <c r="C660" s="69">
        <v>5</v>
      </c>
      <c r="D660" s="75">
        <v>0</v>
      </c>
      <c r="E660" s="126">
        <f t="shared" si="179"/>
        <v>0</v>
      </c>
      <c r="F660" s="71">
        <f t="shared" si="180"/>
        <v>0</v>
      </c>
      <c r="G660" s="128">
        <f>IF(
    $H$6="Alkaline",
    IF(
        OR(
            Data!$C$37=C659,
            MOD(C659,Data!$C$37)=0
        ),
        $D$8,
        G659*Data!$C$42
    ),
    IF(
        $H$6="PEM",
        IF(
            OR(
                Data!$H$37=C659,
                MOD(C659,Data!$H$37)=0
            ),
            $D$8,
            G659*Data!$H$42
        ),
        ""
    )
)</f>
        <v>906504986.98008323</v>
      </c>
      <c r="H660" s="76">
        <f t="shared" si="174"/>
        <v>1.2762815625000001</v>
      </c>
      <c r="I660" s="73">
        <f t="shared" si="175"/>
        <v>0</v>
      </c>
      <c r="J660" s="73">
        <f>E660*$H660*(1+$D$15)^C660</f>
        <v>0</v>
      </c>
      <c r="K660" s="73">
        <f t="shared" si="177"/>
        <v>0</v>
      </c>
      <c r="L660" s="74">
        <f t="shared" si="178"/>
        <v>1156955601.1969829</v>
      </c>
    </row>
    <row r="661" spans="3:12" x14ac:dyDescent="0.35">
      <c r="C661" s="69">
        <v>6</v>
      </c>
      <c r="D661" s="75">
        <v>0</v>
      </c>
      <c r="E661" s="126">
        <f t="shared" si="179"/>
        <v>0</v>
      </c>
      <c r="F661" s="71">
        <f t="shared" si="180"/>
        <v>0</v>
      </c>
      <c r="G661" s="128">
        <f>IF(
    $H$6="Alkaline",
    IF(
        OR(
            Data!$C$37=C660,
            MOD(C660,Data!$C$37)=0
        ),
        $D$8,
        G660*Data!$C$42
    ),
    IF(
        $H$6="PEM",
        IF(
            OR(
                Data!$H$37=C660,
                MOD(C660,Data!$H$37)=0
            ),
            $D$8,
            G660*Data!$H$42
        ),
        ""
    )
)</f>
        <v>897439937.11028242</v>
      </c>
      <c r="H661" s="76">
        <f t="shared" si="174"/>
        <v>1.340095640625</v>
      </c>
      <c r="I661" s="73">
        <f t="shared" si="175"/>
        <v>0</v>
      </c>
      <c r="J661" s="73">
        <f t="shared" ref="J661:J680" si="181">E661*$H661*(1+$D$15)^C661</f>
        <v>0</v>
      </c>
      <c r="K661" s="73">
        <f t="shared" si="177"/>
        <v>0</v>
      </c>
      <c r="L661" s="74">
        <f t="shared" si="178"/>
        <v>1202655347.4442637</v>
      </c>
    </row>
    <row r="662" spans="3:12" x14ac:dyDescent="0.35">
      <c r="C662" s="69">
        <v>7</v>
      </c>
      <c r="D662" s="75">
        <v>0</v>
      </c>
      <c r="E662" s="126">
        <f t="shared" si="179"/>
        <v>0</v>
      </c>
      <c r="F662" s="71">
        <f t="shared" si="180"/>
        <v>0</v>
      </c>
      <c r="G662" s="128">
        <f>IF(
    $H$6="Alkaline",
    IF(
        OR(
            Data!$C$37=C661,
            MOD(C661,Data!$C$37)=0
        ),
        $D$8,
        G661*Data!$C$42
    ),
    IF(
        $H$6="PEM",
        IF(
            OR(
                Data!$H$37=C661,
                MOD(C661,Data!$H$37)=0
            ),
            $D$8,
            G661*Data!$H$42
        ),
        ""
    )
)</f>
        <v>888465537.73917961</v>
      </c>
      <c r="H662" s="76">
        <f t="shared" si="174"/>
        <v>1.4071004226562502</v>
      </c>
      <c r="I662" s="73">
        <f t="shared" si="175"/>
        <v>0</v>
      </c>
      <c r="J662" s="73">
        <f t="shared" si="181"/>
        <v>0</v>
      </c>
      <c r="K662" s="73">
        <f t="shared" si="177"/>
        <v>0</v>
      </c>
      <c r="L662" s="74">
        <f t="shared" si="178"/>
        <v>1250160233.6683123</v>
      </c>
    </row>
    <row r="663" spans="3:12" x14ac:dyDescent="0.35">
      <c r="C663" s="69">
        <v>8</v>
      </c>
      <c r="D663" s="75">
        <v>0</v>
      </c>
      <c r="E663" s="126">
        <f t="shared" si="179"/>
        <v>0</v>
      </c>
      <c r="F663" s="71">
        <f t="shared" si="180"/>
        <v>0</v>
      </c>
      <c r="G663" s="128">
        <f>IF(
    $H$6="Alkaline",
    IF(
        OR(
            Data!$C$37=C662,
            MOD(C662,Data!$C$37)=0
        ),
        $D$8,
        G662*Data!$C$42
    ),
    IF(
        $H$6="PEM",
        IF(
            OR(
                Data!$H$37=C662,
                MOD(C662,Data!$H$37)=0
            ),
            $D$8,
            G662*Data!$H$42
        ),
        ""
    )
)</f>
        <v>943690143.97642899</v>
      </c>
      <c r="H663" s="76">
        <f t="shared" si="174"/>
        <v>1.4774554437890626</v>
      </c>
      <c r="I663" s="73">
        <f t="shared" si="175"/>
        <v>0</v>
      </c>
      <c r="J663" s="73">
        <f t="shared" si="181"/>
        <v>0</v>
      </c>
      <c r="K663" s="73">
        <f t="shared" si="177"/>
        <v>0</v>
      </c>
      <c r="L663" s="74">
        <f t="shared" si="178"/>
        <v>1394260140.4680593</v>
      </c>
    </row>
    <row r="664" spans="3:12" x14ac:dyDescent="0.35">
      <c r="C664" s="69">
        <v>9</v>
      </c>
      <c r="D664" s="75">
        <v>0</v>
      </c>
      <c r="E664" s="126">
        <f t="shared" si="179"/>
        <v>0</v>
      </c>
      <c r="F664" s="71">
        <f t="shared" si="180"/>
        <v>0</v>
      </c>
      <c r="G664" s="128">
        <f>IF(
    $H$6="Alkaline",
    IF(
        OR(
            Data!$C$37=C663,
            MOD(C663,Data!$C$37)=0
        ),
        $D$8,
        G663*Data!$C$42
    ),
    IF(
        $H$6="PEM",
        IF(
            OR(
                Data!$H$37=C663,
                MOD(C663,Data!$H$37)=0
            ),
            $D$8,
            G663*Data!$H$42
        ),
        ""
    )
)</f>
        <v>934253242.53666472</v>
      </c>
      <c r="H664" s="76">
        <f t="shared" si="174"/>
        <v>1.5513282159785158</v>
      </c>
      <c r="I664" s="73">
        <f t="shared" si="175"/>
        <v>0</v>
      </c>
      <c r="J664" s="73">
        <f t="shared" si="181"/>
        <v>0</v>
      </c>
      <c r="K664" s="73">
        <f t="shared" si="177"/>
        <v>0</v>
      </c>
      <c r="L664" s="74">
        <f t="shared" si="178"/>
        <v>1449333416.0165477</v>
      </c>
    </row>
    <row r="665" spans="3:12" x14ac:dyDescent="0.35">
      <c r="C665" s="69">
        <v>10</v>
      </c>
      <c r="D665" s="75">
        <v>0</v>
      </c>
      <c r="E665" s="126">
        <f t="shared" si="179"/>
        <v>0</v>
      </c>
      <c r="F665" s="71">
        <f t="shared" si="180"/>
        <v>0</v>
      </c>
      <c r="G665" s="128">
        <f>IF(
    $H$6="Alkaline",
    IF(
        OR(
            Data!$C$37=C664,
            MOD(C664,Data!$C$37)=0
        ),
        $D$8,
        G664*Data!$C$42
    ),
    IF(
        $H$6="PEM",
        IF(
            OR(
                Data!$H$37=C664,
                MOD(C664,Data!$H$37)=0
            ),
            $D$8,
            G664*Data!$H$42
        ),
        ""
    )
)</f>
        <v>924910710.11129808</v>
      </c>
      <c r="H665" s="76">
        <f t="shared" si="174"/>
        <v>1.6288946267774416</v>
      </c>
      <c r="I665" s="73">
        <f t="shared" si="175"/>
        <v>0</v>
      </c>
      <c r="J665" s="73">
        <f t="shared" si="181"/>
        <v>0</v>
      </c>
      <c r="K665" s="73">
        <f t="shared" si="177"/>
        <v>0</v>
      </c>
      <c r="L665" s="74">
        <f t="shared" si="178"/>
        <v>1506582085.9492013</v>
      </c>
    </row>
    <row r="666" spans="3:12" x14ac:dyDescent="0.35">
      <c r="C666" s="69">
        <v>11</v>
      </c>
      <c r="D666" s="75">
        <v>0</v>
      </c>
      <c r="E666" s="126">
        <f t="shared" si="179"/>
        <v>0</v>
      </c>
      <c r="F666" s="71">
        <f t="shared" si="180"/>
        <v>0</v>
      </c>
      <c r="G666" s="128">
        <f>IF(
    $H$6="Alkaline",
    IF(
        OR(
            Data!$C$37=C665,
            MOD(C665,Data!$C$37)=0
        ),
        $D$8,
        G665*Data!$C$42
    ),
    IF(
        $H$6="PEM",
        IF(
            OR(
                Data!$H$37=C665,
                MOD(C665,Data!$H$37)=0
            ),
            $D$8,
            G665*Data!$H$42
        ),
        ""
    )
)</f>
        <v>915661603.01018512</v>
      </c>
      <c r="H666" s="76">
        <f t="shared" si="174"/>
        <v>1.7103393581163138</v>
      </c>
      <c r="I666" s="73">
        <f t="shared" si="175"/>
        <v>0</v>
      </c>
      <c r="J666" s="73">
        <f t="shared" si="181"/>
        <v>0</v>
      </c>
      <c r="K666" s="73">
        <f t="shared" si="177"/>
        <v>0</v>
      </c>
      <c r="L666" s="74">
        <f t="shared" si="178"/>
        <v>1566092078.3441949</v>
      </c>
    </row>
    <row r="667" spans="3:12" x14ac:dyDescent="0.35">
      <c r="C667" s="69">
        <v>12</v>
      </c>
      <c r="D667" s="75">
        <v>0</v>
      </c>
      <c r="E667" s="126">
        <f t="shared" si="179"/>
        <v>0</v>
      </c>
      <c r="F667" s="71">
        <f t="shared" si="180"/>
        <v>0</v>
      </c>
      <c r="G667" s="128">
        <f>IF(
    $H$6="Alkaline",
    IF(
        OR(
            Data!$C$37=C666,
            MOD(C666,Data!$C$37)=0
        ),
        $D$8,
        G666*Data!$C$42
    ),
    IF(
        $H$6="PEM",
        IF(
            OR(
                Data!$H$37=C666,
                MOD(C666,Data!$H$37)=0
            ),
            $D$8,
            G666*Data!$H$42
        ),
        ""
    )
)</f>
        <v>906504986.98008323</v>
      </c>
      <c r="H667" s="76">
        <f t="shared" si="174"/>
        <v>1.7958563260221292</v>
      </c>
      <c r="I667" s="73">
        <f t="shared" si="175"/>
        <v>0</v>
      </c>
      <c r="J667" s="73">
        <f t="shared" si="181"/>
        <v>0</v>
      </c>
      <c r="K667" s="73">
        <f t="shared" si="177"/>
        <v>0</v>
      </c>
      <c r="L667" s="74">
        <f t="shared" si="178"/>
        <v>1627952715.4387903</v>
      </c>
    </row>
    <row r="668" spans="3:12" x14ac:dyDescent="0.35">
      <c r="C668" s="69">
        <v>13</v>
      </c>
      <c r="D668" s="75">
        <v>0</v>
      </c>
      <c r="E668" s="126">
        <f t="shared" si="179"/>
        <v>0</v>
      </c>
      <c r="F668" s="71">
        <f t="shared" si="180"/>
        <v>0</v>
      </c>
      <c r="G668" s="128">
        <f>IF(
    $H$6="Alkaline",
    IF(
        OR(
            Data!$C$37=C667,
            MOD(C667,Data!$C$37)=0
        ),
        $D$8,
        G667*Data!$C$42
    ),
    IF(
        $H$6="PEM",
        IF(
            OR(
                Data!$H$37=C667,
                MOD(C667,Data!$H$37)=0
            ),
            $D$8,
            G667*Data!$H$42
        ),
        ""
    )
)</f>
        <v>897439937.11028242</v>
      </c>
      <c r="H668" s="76">
        <f t="shared" si="174"/>
        <v>1.885649142323236</v>
      </c>
      <c r="I668" s="73">
        <f t="shared" si="175"/>
        <v>0</v>
      </c>
      <c r="J668" s="73">
        <f t="shared" si="181"/>
        <v>0</v>
      </c>
      <c r="K668" s="73">
        <f t="shared" si="177"/>
        <v>0</v>
      </c>
      <c r="L668" s="74">
        <f t="shared" si="178"/>
        <v>1692256847.6986229</v>
      </c>
    </row>
    <row r="669" spans="3:12" x14ac:dyDescent="0.35">
      <c r="C669" s="69">
        <v>14</v>
      </c>
      <c r="D669" s="75">
        <v>0</v>
      </c>
      <c r="E669" s="126">
        <f t="shared" si="179"/>
        <v>0</v>
      </c>
      <c r="F669" s="71">
        <f t="shared" si="180"/>
        <v>0</v>
      </c>
      <c r="G669" s="128">
        <f>IF(
    $H$6="Alkaline",
    IF(
        OR(
            Data!$C$37=C668,
            MOD(C668,Data!$C$37)=0
        ),
        $D$8,
        G668*Data!$C$42
    ),
    IF(
        $H$6="PEM",
        IF(
            OR(
                Data!$H$37=C668,
                MOD(C668,Data!$H$37)=0
            ),
            $D$8,
            G668*Data!$H$42
        ),
        ""
    )
)</f>
        <v>888465537.73917961</v>
      </c>
      <c r="H669" s="76">
        <f t="shared" si="174"/>
        <v>1.9799315994393973</v>
      </c>
      <c r="I669" s="73">
        <f t="shared" si="175"/>
        <v>0</v>
      </c>
      <c r="J669" s="73">
        <f t="shared" si="181"/>
        <v>0</v>
      </c>
      <c r="K669" s="73">
        <f t="shared" si="177"/>
        <v>0</v>
      </c>
      <c r="L669" s="74">
        <f t="shared" si="178"/>
        <v>1759100993.182718</v>
      </c>
    </row>
    <row r="670" spans="3:12" x14ac:dyDescent="0.35">
      <c r="C670" s="69">
        <v>15</v>
      </c>
      <c r="D670" s="75">
        <v>0</v>
      </c>
      <c r="E670" s="126">
        <f t="shared" si="179"/>
        <v>0</v>
      </c>
      <c r="F670" s="71">
        <f t="shared" si="180"/>
        <v>0</v>
      </c>
      <c r="G670" s="128">
        <f>IF(
    $H$6="Alkaline",
    IF(
        OR(
            Data!$C$37=C669,
            MOD(C669,Data!$C$37)=0
        ),
        $D$8,
        G669*Data!$C$42
    ),
    IF(
        $H$6="PEM",
        IF(
            OR(
                Data!$H$37=C669,
                MOD(C669,Data!$H$37)=0
            ),
            $D$8,
            G669*Data!$H$42
        ),
        ""
    )
)</f>
        <v>943690143.97642899</v>
      </c>
      <c r="H670" s="76">
        <f t="shared" si="174"/>
        <v>2.0789281794113679</v>
      </c>
      <c r="I670" s="73">
        <f t="shared" si="175"/>
        <v>0</v>
      </c>
      <c r="J670" s="73">
        <f t="shared" si="181"/>
        <v>0</v>
      </c>
      <c r="K670" s="73">
        <f t="shared" si="177"/>
        <v>0</v>
      </c>
      <c r="L670" s="74">
        <f t="shared" si="178"/>
        <v>1961864032.9453692</v>
      </c>
    </row>
    <row r="671" spans="3:12" x14ac:dyDescent="0.35">
      <c r="C671" s="69">
        <v>16</v>
      </c>
      <c r="D671" s="75">
        <v>0</v>
      </c>
      <c r="E671" s="126">
        <f t="shared" si="179"/>
        <v>0</v>
      </c>
      <c r="F671" s="71">
        <f t="shared" si="180"/>
        <v>0</v>
      </c>
      <c r="G671" s="128">
        <f>IF(
    $H$6="Alkaline",
    IF(
        OR(
            Data!$C$37=C670,
            MOD(C670,Data!$C$37)=0
        ),
        $D$8,
        G670*Data!$C$42
    ),
    IF(
        $H$6="PEM",
        IF(
            OR(
                Data!$H$37=C670,
                MOD(C670,Data!$H$37)=0
            ),
            $D$8,
            G670*Data!$H$42
        ),
        ""
    )
)</f>
        <v>934253242.53666472</v>
      </c>
      <c r="H671" s="76">
        <f t="shared" si="174"/>
        <v>2.182874588381936</v>
      </c>
      <c r="I671" s="73">
        <f t="shared" si="175"/>
        <v>0</v>
      </c>
      <c r="J671" s="73">
        <f t="shared" si="181"/>
        <v>0</v>
      </c>
      <c r="K671" s="73">
        <f t="shared" si="177"/>
        <v>0</v>
      </c>
      <c r="L671" s="74">
        <f t="shared" si="178"/>
        <v>2039357662.246711</v>
      </c>
    </row>
    <row r="672" spans="3:12" x14ac:dyDescent="0.35">
      <c r="C672" s="69">
        <v>17</v>
      </c>
      <c r="D672" s="75">
        <v>0</v>
      </c>
      <c r="E672" s="126">
        <f t="shared" si="179"/>
        <v>0</v>
      </c>
      <c r="F672" s="71">
        <f t="shared" si="180"/>
        <v>0</v>
      </c>
      <c r="G672" s="128">
        <f>IF(
    $H$6="Alkaline",
    IF(
        OR(
            Data!$C$37=C671,
            MOD(C671,Data!$C$37)=0
        ),
        $D$8,
        G671*Data!$C$42
    ),
    IF(
        $H$6="PEM",
        IF(
            OR(
                Data!$H$37=C671,
                MOD(C671,Data!$H$37)=0
            ),
            $D$8,
            G671*Data!$H$42
        ),
        ""
    )
)</f>
        <v>924910710.11129808</v>
      </c>
      <c r="H672" s="76">
        <f t="shared" si="174"/>
        <v>2.2920183178010332</v>
      </c>
      <c r="I672" s="73">
        <f t="shared" si="175"/>
        <v>0</v>
      </c>
      <c r="J672" s="73">
        <f t="shared" si="181"/>
        <v>0</v>
      </c>
      <c r="K672" s="73">
        <f t="shared" si="177"/>
        <v>0</v>
      </c>
      <c r="L672" s="74">
        <f t="shared" si="178"/>
        <v>2119912289.9054565</v>
      </c>
    </row>
    <row r="673" spans="1:13" x14ac:dyDescent="0.35">
      <c r="C673" s="69">
        <v>18</v>
      </c>
      <c r="D673" s="75">
        <v>0</v>
      </c>
      <c r="E673" s="126">
        <f t="shared" si="179"/>
        <v>0</v>
      </c>
      <c r="F673" s="71">
        <f t="shared" si="180"/>
        <v>0</v>
      </c>
      <c r="G673" s="128">
        <f>IF(
    $H$6="Alkaline",
    IF(
        OR(
            Data!$C$37=C672,
            MOD(C672,Data!$C$37)=0
        ),
        $D$8,
        G672*Data!$C$42
    ),
    IF(
        $H$6="PEM",
        IF(
            OR(
                Data!$H$37=C672,
                MOD(C672,Data!$H$37)=0
            ),
            $D$8,
            G672*Data!$H$42
        ),
        ""
    )
)</f>
        <v>915661603.01018512</v>
      </c>
      <c r="H673" s="76">
        <f t="shared" si="174"/>
        <v>2.4066192336910848</v>
      </c>
      <c r="I673" s="73">
        <f t="shared" si="175"/>
        <v>0</v>
      </c>
      <c r="J673" s="73">
        <f t="shared" si="181"/>
        <v>0</v>
      </c>
      <c r="K673" s="73">
        <f t="shared" si="177"/>
        <v>0</v>
      </c>
      <c r="L673" s="74">
        <f t="shared" si="178"/>
        <v>2203648825.3567219</v>
      </c>
    </row>
    <row r="674" spans="1:13" x14ac:dyDescent="0.35">
      <c r="C674" s="69">
        <v>19</v>
      </c>
      <c r="D674" s="75">
        <v>0</v>
      </c>
      <c r="E674" s="126">
        <f t="shared" si="179"/>
        <v>0</v>
      </c>
      <c r="F674" s="71">
        <f t="shared" si="180"/>
        <v>0</v>
      </c>
      <c r="G674" s="128">
        <f>IF(
    $H$6="Alkaline",
    IF(
        OR(
            Data!$C$37=C673,
            MOD(C673,Data!$C$37)=0
        ),
        $D$8,
        G673*Data!$C$42
    ),
    IF(
        $H$6="PEM",
        IF(
            OR(
                Data!$H$37=C673,
                MOD(C673,Data!$H$37)=0
            ),
            $D$8,
            G673*Data!$H$42
        ),
        ""
    )
)</f>
        <v>906504986.98008323</v>
      </c>
      <c r="H674" s="76">
        <f t="shared" si="174"/>
        <v>2.526950195375639</v>
      </c>
      <c r="I674" s="73">
        <f t="shared" si="175"/>
        <v>0</v>
      </c>
      <c r="J674" s="73">
        <f t="shared" si="181"/>
        <v>0</v>
      </c>
      <c r="K674" s="73">
        <f t="shared" si="177"/>
        <v>0</v>
      </c>
      <c r="L674" s="74">
        <f t="shared" si="178"/>
        <v>2290692953.9583125</v>
      </c>
    </row>
    <row r="675" spans="1:13" x14ac:dyDescent="0.35">
      <c r="C675" s="69">
        <v>20</v>
      </c>
      <c r="D675" s="75">
        <v>0</v>
      </c>
      <c r="E675" s="126">
        <f t="shared" si="179"/>
        <v>0</v>
      </c>
      <c r="F675" s="71">
        <f t="shared" si="180"/>
        <v>0</v>
      </c>
      <c r="G675" s="128">
        <f>IF(
    $H$6="Alkaline",
    IF(
        OR(
            Data!$C$37=C674,
            MOD(C674,Data!$C$37)=0
        ),
        $D$8,
        G674*Data!$C$42
    ),
    IF(
        $H$6="PEM",
        IF(
            OR(
                Data!$H$37=C674,
                MOD(C674,Data!$H$37)=0
            ),
            $D$8,
            G674*Data!$H$42
        ),
        ""
    )
)</f>
        <v>897439937.11028242</v>
      </c>
      <c r="H675" s="76">
        <f t="shared" si="174"/>
        <v>2.6532977051444209</v>
      </c>
      <c r="I675" s="73">
        <f t="shared" si="175"/>
        <v>0</v>
      </c>
      <c r="J675" s="73">
        <f t="shared" si="181"/>
        <v>0</v>
      </c>
      <c r="K675" s="73">
        <f t="shared" si="177"/>
        <v>0</v>
      </c>
      <c r="L675" s="74">
        <f t="shared" si="178"/>
        <v>2381175325.6396656</v>
      </c>
    </row>
    <row r="676" spans="1:13" x14ac:dyDescent="0.35">
      <c r="C676" s="69">
        <v>21</v>
      </c>
      <c r="D676" s="75">
        <v>0</v>
      </c>
      <c r="E676" s="126">
        <f t="shared" si="179"/>
        <v>0</v>
      </c>
      <c r="F676" s="71">
        <f t="shared" si="180"/>
        <v>0</v>
      </c>
      <c r="G676" s="128">
        <f>IF(
    $H$6="Alkaline",
    IF(
        OR(
            Data!$C$37=C675,
            MOD(C675,Data!$C$37)=0
        ),
        $D$8,
        G675*Data!$C$42
    ),
    IF(
        $H$6="PEM",
        IF(
            OR(
                Data!$H$37=C675,
                MOD(C675,Data!$H$37)=0
            ),
            $D$8,
            G675*Data!$H$42
        ),
        ""
    )
)</f>
        <v>888465537.73917961</v>
      </c>
      <c r="H676" s="76">
        <f t="shared" si="174"/>
        <v>2.7859625904016418</v>
      </c>
      <c r="I676" s="73">
        <f t="shared" si="175"/>
        <v>0</v>
      </c>
      <c r="J676" s="73">
        <f t="shared" si="181"/>
        <v>0</v>
      </c>
      <c r="K676" s="73">
        <f t="shared" si="177"/>
        <v>0</v>
      </c>
      <c r="L676" s="74">
        <f t="shared" si="178"/>
        <v>2475231751.0024323</v>
      </c>
    </row>
    <row r="677" spans="1:13" x14ac:dyDescent="0.35">
      <c r="C677" s="69">
        <v>22</v>
      </c>
      <c r="D677" s="75">
        <v>0</v>
      </c>
      <c r="E677" s="126">
        <f t="shared" si="179"/>
        <v>0</v>
      </c>
      <c r="F677" s="71">
        <f t="shared" si="180"/>
        <v>0</v>
      </c>
      <c r="G677" s="128">
        <f>IF(
    $H$6="Alkaline",
    IF(
        OR(
            Data!$C$37=C676,
            MOD(C676,Data!$C$37)=0
        ),
        $D$8,
        G676*Data!$C$42
    ),
    IF(
        $H$6="PEM",
        IF(
            OR(
                Data!$H$37=C676,
                MOD(C676,Data!$H$37)=0
            ),
            $D$8,
            G676*Data!$H$42
        ),
        ""
    )
)</f>
        <v>943690143.97642899</v>
      </c>
      <c r="H677" s="76">
        <f t="shared" si="174"/>
        <v>2.9252607199217238</v>
      </c>
      <c r="I677" s="73">
        <f t="shared" si="175"/>
        <v>0</v>
      </c>
      <c r="J677" s="73">
        <f t="shared" si="181"/>
        <v>0</v>
      </c>
      <c r="K677" s="73">
        <f t="shared" si="177"/>
        <v>0</v>
      </c>
      <c r="L677" s="74">
        <f t="shared" si="178"/>
        <v>2760539709.9515238</v>
      </c>
    </row>
    <row r="678" spans="1:13" x14ac:dyDescent="0.35">
      <c r="C678" s="69">
        <v>23</v>
      </c>
      <c r="D678" s="75">
        <v>0</v>
      </c>
      <c r="E678" s="126">
        <f t="shared" si="179"/>
        <v>0</v>
      </c>
      <c r="F678" s="71">
        <f t="shared" si="180"/>
        <v>0</v>
      </c>
      <c r="G678" s="128">
        <f>IF(
    $H$6="Alkaline",
    IF(
        OR(
            Data!$C$37=C677,
            MOD(C677,Data!$C$37)=0
        ),
        $D$8,
        G677*Data!$C$42
    ),
    IF(
        $H$6="PEM",
        IF(
            OR(
                Data!$H$37=C677,
                MOD(C677,Data!$H$37)=0
            ),
            $D$8,
            G677*Data!$H$42
        ),
        ""
    )
)</f>
        <v>934253242.53666472</v>
      </c>
      <c r="H678" s="76">
        <f t="shared" si="174"/>
        <v>3.0715237559178106</v>
      </c>
      <c r="I678" s="73">
        <f t="shared" si="175"/>
        <v>0</v>
      </c>
      <c r="J678" s="73">
        <f t="shared" si="181"/>
        <v>0</v>
      </c>
      <c r="K678" s="73">
        <f t="shared" si="177"/>
        <v>0</v>
      </c>
      <c r="L678" s="74">
        <f t="shared" si="178"/>
        <v>2869581028.4946098</v>
      </c>
    </row>
    <row r="679" spans="1:13" x14ac:dyDescent="0.35">
      <c r="C679" s="69">
        <v>24</v>
      </c>
      <c r="D679" s="75">
        <v>0</v>
      </c>
      <c r="E679" s="126">
        <f t="shared" si="179"/>
        <v>0</v>
      </c>
      <c r="F679" s="71">
        <f t="shared" si="180"/>
        <v>0</v>
      </c>
      <c r="G679" s="128">
        <f>IF(
    $H$6="Alkaline",
    IF(
        OR(
            Data!$C$37=C678,
            MOD(C678,Data!$C$37)=0
        ),
        $D$8,
        G678*Data!$C$42
    ),
    IF(
        $H$6="PEM",
        IF(
            OR(
                Data!$H$37=C678,
                MOD(C678,Data!$H$37)=0
            ),
            $D$8,
            G678*Data!$H$42
        ),
        ""
    )
)</f>
        <v>924910710.11129808</v>
      </c>
      <c r="H679" s="76">
        <f t="shared" si="174"/>
        <v>3.2250999437137007</v>
      </c>
      <c r="I679" s="73">
        <f t="shared" si="175"/>
        <v>0</v>
      </c>
      <c r="J679" s="73">
        <f t="shared" si="181"/>
        <v>0</v>
      </c>
      <c r="K679" s="73">
        <f t="shared" si="177"/>
        <v>0</v>
      </c>
      <c r="L679" s="74">
        <f t="shared" si="178"/>
        <v>2982929479.1201463</v>
      </c>
    </row>
    <row r="680" spans="1:13" ht="15" thickBot="1" x14ac:dyDescent="0.4">
      <c r="C680" s="69">
        <v>25</v>
      </c>
      <c r="D680" s="75">
        <v>0</v>
      </c>
      <c r="E680" s="126">
        <f t="shared" si="179"/>
        <v>0</v>
      </c>
      <c r="F680" s="71">
        <f t="shared" si="180"/>
        <v>0</v>
      </c>
      <c r="G680" s="128">
        <f>IF(
    $H$6="Alkaline",
    IF(
        OR(
            Data!$C$37=C679,
            MOD(C679,Data!$C$37)=0
        ),
        $D$8,
        G679*Data!$C$42
    ),
    IF(
        $H$6="PEM",
        IF(
            OR(
                Data!$H$37=C679,
                MOD(C679,Data!$H$37)=0
            ),
            $D$8,
            G679*Data!$H$42
        ),
        ""
    )
)</f>
        <v>915661603.01018512</v>
      </c>
      <c r="H680" s="76">
        <f t="shared" si="174"/>
        <v>3.3863549408993858</v>
      </c>
      <c r="I680" s="73">
        <f t="shared" si="175"/>
        <v>0</v>
      </c>
      <c r="J680" s="73">
        <f t="shared" si="181"/>
        <v>0</v>
      </c>
      <c r="K680" s="73">
        <f t="shared" si="177"/>
        <v>0</v>
      </c>
      <c r="L680" s="74">
        <f t="shared" si="178"/>
        <v>3100755193.5453925</v>
      </c>
    </row>
    <row r="681" spans="1:13" ht="15" thickBot="1" x14ac:dyDescent="0.4">
      <c r="C681" s="70" t="s">
        <v>26</v>
      </c>
      <c r="D681" s="77">
        <f>SUM(D655:D680)</f>
        <v>0</v>
      </c>
      <c r="E681" s="77">
        <f>SUM(E655:E680)</f>
        <v>0</v>
      </c>
      <c r="F681" s="77">
        <f>SUM(F655:F680)</f>
        <v>0</v>
      </c>
      <c r="G681" s="149">
        <f>SUM(G655:G680)</f>
        <v>22951294184.026939</v>
      </c>
      <c r="H681" s="77">
        <f>SUM(H655:H680)</f>
        <v>51.113453758887083</v>
      </c>
      <c r="I681" s="77">
        <f t="shared" ref="I681:K681" si="182">SUM(I655:I680)</f>
        <v>0</v>
      </c>
      <c r="J681" s="77">
        <f t="shared" si="182"/>
        <v>0</v>
      </c>
      <c r="K681" s="77">
        <f t="shared" si="182"/>
        <v>0</v>
      </c>
      <c r="L681" s="77">
        <f>SUM(L655:L680)</f>
        <v>45995618724.782455</v>
      </c>
    </row>
    <row r="682" spans="1:13" x14ac:dyDescent="0.35">
      <c r="C682" s="49"/>
      <c r="D682" s="49"/>
      <c r="E682" s="49"/>
      <c r="F682" s="49"/>
      <c r="G682" s="150"/>
      <c r="H682" s="49"/>
      <c r="I682" s="49"/>
      <c r="J682" s="49"/>
      <c r="K682" s="49"/>
      <c r="L682" s="49"/>
    </row>
    <row r="683" spans="1:13" ht="15" thickBot="1" x14ac:dyDescent="0.4">
      <c r="A683">
        <v>19</v>
      </c>
      <c r="B683">
        <v>95</v>
      </c>
      <c r="C683" s="133" t="s">
        <v>88</v>
      </c>
    </row>
    <row r="684" spans="1:13" ht="19" thickBot="1" x14ac:dyDescent="0.5">
      <c r="C684" s="58" t="s">
        <v>15</v>
      </c>
      <c r="D684" s="58" t="s">
        <v>16</v>
      </c>
      <c r="E684" s="58" t="s">
        <v>17</v>
      </c>
      <c r="F684" s="58" t="s">
        <v>18</v>
      </c>
      <c r="G684" s="59" t="s">
        <v>19</v>
      </c>
      <c r="H684" s="58" t="s">
        <v>20</v>
      </c>
      <c r="I684" s="59" t="s">
        <v>21</v>
      </c>
      <c r="J684" s="58" t="s">
        <v>22</v>
      </c>
      <c r="K684" s="58" t="s">
        <v>23</v>
      </c>
      <c r="L684" s="58" t="s">
        <v>24</v>
      </c>
      <c r="M684" s="152" t="s">
        <v>253</v>
      </c>
    </row>
    <row r="685" spans="1:13" ht="18.5" x14ac:dyDescent="0.45">
      <c r="C685" s="68">
        <v>0</v>
      </c>
      <c r="D685" s="71">
        <f>$G$95</f>
        <v>1000000</v>
      </c>
      <c r="E685" s="71">
        <v>0</v>
      </c>
      <c r="F685" s="71">
        <v>0</v>
      </c>
      <c r="G685" s="127">
        <v>0</v>
      </c>
      <c r="H685" s="72">
        <f t="shared" ref="H685:H710" si="183">(1+$D$14)^$C685</f>
        <v>1</v>
      </c>
      <c r="I685" s="73">
        <f t="shared" ref="I685:I710" si="184">D685*$H685*(1+$D$15)^C685</f>
        <v>1000000</v>
      </c>
      <c r="J685" s="73">
        <f t="shared" ref="J685:J689" si="185">E685*$H685*(1+$D$15)^C685</f>
        <v>0</v>
      </c>
      <c r="K685" s="73">
        <f t="shared" ref="K685:K710" si="186">F685*$H685*(1+$D$15)^C685</f>
        <v>0</v>
      </c>
      <c r="L685" s="74">
        <f t="shared" ref="L685:L710" si="187">G685*$H685</f>
        <v>0</v>
      </c>
      <c r="M685" s="153">
        <f>(I711+J711+K711)/L711</f>
        <v>3.9311913563651733E-5</v>
      </c>
    </row>
    <row r="686" spans="1:13" x14ac:dyDescent="0.35">
      <c r="C686" s="69">
        <v>1</v>
      </c>
      <c r="D686" s="75">
        <v>0</v>
      </c>
      <c r="E686" s="126">
        <f>$K$95</f>
        <v>10000</v>
      </c>
      <c r="F686" s="71">
        <f>(IF(MOD(C686,$H$95)=0,$J$95,0))</f>
        <v>0</v>
      </c>
      <c r="G686" s="128">
        <f>$D$8</f>
        <v>943690143.97642899</v>
      </c>
      <c r="H686" s="76">
        <f t="shared" si="183"/>
        <v>1.05</v>
      </c>
      <c r="I686" s="73">
        <f t="shared" si="184"/>
        <v>0</v>
      </c>
      <c r="J686" s="73">
        <f t="shared" si="185"/>
        <v>10815</v>
      </c>
      <c r="K686" s="73">
        <f t="shared" si="186"/>
        <v>0</v>
      </c>
      <c r="L686" s="97">
        <f t="shared" si="187"/>
        <v>990874651.17525053</v>
      </c>
    </row>
    <row r="687" spans="1:13" x14ac:dyDescent="0.35">
      <c r="C687" s="69">
        <v>2</v>
      </c>
      <c r="D687" s="75">
        <v>0</v>
      </c>
      <c r="E687" s="126">
        <f>$K$95</f>
        <v>10000</v>
      </c>
      <c r="F687" s="71">
        <f>(IF(MOD(C686,$H$95)=0,$J$95,0))</f>
        <v>0</v>
      </c>
      <c r="G687" s="128">
        <f>IF(
    $H$6="Alkaline",
    IF(
        OR(
            Data!$C$37=C686,
            MOD(C686,Data!$C$37)=0
        ),
        $D$8,
        G686*Data!$C$42
    ),
    IF(
        $H$6="PEM",
        IF(
            OR(
                Data!$H$37=C686,
                MOD(C686,Data!$H$37)=0
            ),
            $D$8,
            G686*Data!$H$42
        ),
        ""
    )
)</f>
        <v>934253242.53666472</v>
      </c>
      <c r="H687" s="76">
        <f t="shared" si="183"/>
        <v>1.1025</v>
      </c>
      <c r="I687" s="73">
        <f t="shared" si="184"/>
        <v>0</v>
      </c>
      <c r="J687" s="73">
        <f t="shared" si="185"/>
        <v>11696.422499999999</v>
      </c>
      <c r="K687" s="73">
        <f t="shared" si="186"/>
        <v>0</v>
      </c>
      <c r="L687" s="74">
        <f t="shared" si="187"/>
        <v>1030014199.8966728</v>
      </c>
    </row>
    <row r="688" spans="1:13" x14ac:dyDescent="0.35">
      <c r="C688" s="69">
        <v>3</v>
      </c>
      <c r="D688" s="75">
        <v>0</v>
      </c>
      <c r="E688" s="126">
        <f t="shared" ref="E688:E710" si="188">$K$95</f>
        <v>10000</v>
      </c>
      <c r="F688" s="71">
        <f t="shared" ref="F688:F710" si="189">(IF(MOD(C687,$H$95)=0,$J$95,0))</f>
        <v>0</v>
      </c>
      <c r="G688" s="128">
        <f>IF(
    $H$6="Alkaline",
    IF(
        OR(
            Data!$C$37=C687,
            MOD(C687,Data!$C$37)=0
        ),
        $D$8,
        G687*Data!$C$42
    ),
    IF(
        $H$6="PEM",
        IF(
            OR(
                Data!$H$37=C687,
                MOD(C687,Data!$H$37)=0
            ),
            $D$8,
            G687*Data!$H$42
        ),
        ""
    )
)</f>
        <v>924910710.11129808</v>
      </c>
      <c r="H688" s="76">
        <f>(1+$D$14)^$C688</f>
        <v>1.1576250000000001</v>
      </c>
      <c r="I688" s="73">
        <f t="shared" si="184"/>
        <v>0</v>
      </c>
      <c r="J688" s="73">
        <f t="shared" si="185"/>
        <v>12649.680933750002</v>
      </c>
      <c r="K688" s="73">
        <f t="shared" si="186"/>
        <v>0</v>
      </c>
      <c r="L688" s="74">
        <f t="shared" si="187"/>
        <v>1070699760.7925916</v>
      </c>
    </row>
    <row r="689" spans="3:12" x14ac:dyDescent="0.35">
      <c r="C689" s="69">
        <v>4</v>
      </c>
      <c r="D689" s="75">
        <v>0</v>
      </c>
      <c r="E689" s="126">
        <f t="shared" si="188"/>
        <v>10000</v>
      </c>
      <c r="F689" s="71">
        <f t="shared" si="189"/>
        <v>0</v>
      </c>
      <c r="G689" s="128">
        <f>IF(
    $H$6="Alkaline",
    IF(
        OR(
            Data!$C$37=C688,
            MOD(C688,Data!$C$37)=0
        ),
        $D$8,
        G688*Data!$C$42
    ),
    IF(
        $H$6="PEM",
        IF(
            OR(
                Data!$H$37=C688,
                MOD(C688,Data!$H$37)=0
            ),
            $D$8,
            G688*Data!$H$42
        ),
        ""
    )
)</f>
        <v>915661603.01018512</v>
      </c>
      <c r="H689" s="76">
        <f t="shared" si="183"/>
        <v>1.21550625</v>
      </c>
      <c r="I689" s="73">
        <f t="shared" si="184"/>
        <v>0</v>
      </c>
      <c r="J689" s="73">
        <f t="shared" si="185"/>
        <v>13680.629929850624</v>
      </c>
      <c r="K689" s="73">
        <f t="shared" si="186"/>
        <v>0</v>
      </c>
      <c r="L689" s="74">
        <f t="shared" si="187"/>
        <v>1112992401.3438988</v>
      </c>
    </row>
    <row r="690" spans="3:12" x14ac:dyDescent="0.35">
      <c r="C690" s="69">
        <v>5</v>
      </c>
      <c r="D690" s="75">
        <v>0</v>
      </c>
      <c r="E690" s="126">
        <f t="shared" si="188"/>
        <v>10000</v>
      </c>
      <c r="F690" s="71">
        <f t="shared" si="189"/>
        <v>0</v>
      </c>
      <c r="G690" s="128">
        <f>IF(
    $H$6="Alkaline",
    IF(
        OR(
            Data!$C$37=C689,
            MOD(C689,Data!$C$37)=0
        ),
        $D$8,
        G689*Data!$C$42
    ),
    IF(
        $H$6="PEM",
        IF(
            OR(
                Data!$H$37=C689,
                MOD(C689,Data!$H$37)=0
            ),
            $D$8,
            G689*Data!$H$42
        ),
        ""
    )
)</f>
        <v>906504986.98008323</v>
      </c>
      <c r="H690" s="76">
        <f t="shared" si="183"/>
        <v>1.2762815625000001</v>
      </c>
      <c r="I690" s="73">
        <f t="shared" si="184"/>
        <v>0</v>
      </c>
      <c r="J690" s="73">
        <f>E690*$H690*(1+$D$15)^C690</f>
        <v>14795.601269133451</v>
      </c>
      <c r="K690" s="73">
        <f t="shared" si="186"/>
        <v>0</v>
      </c>
      <c r="L690" s="74">
        <f t="shared" si="187"/>
        <v>1156955601.1969829</v>
      </c>
    </row>
    <row r="691" spans="3:12" x14ac:dyDescent="0.35">
      <c r="C691" s="69">
        <v>6</v>
      </c>
      <c r="D691" s="75">
        <v>0</v>
      </c>
      <c r="E691" s="126">
        <f t="shared" si="188"/>
        <v>10000</v>
      </c>
      <c r="F691" s="71">
        <f t="shared" si="189"/>
        <v>0</v>
      </c>
      <c r="G691" s="128">
        <f>IF(
    $H$6="Alkaline",
    IF(
        OR(
            Data!$C$37=C690,
            MOD(C690,Data!$C$37)=0
        ),
        $D$8,
        G690*Data!$C$42
    ),
    IF(
        $H$6="PEM",
        IF(
            OR(
                Data!$H$37=C690,
                MOD(C690,Data!$H$37)=0
            ),
            $D$8,
            G690*Data!$H$42
        ),
        ""
    )
)</f>
        <v>897439937.11028242</v>
      </c>
      <c r="H691" s="76">
        <f t="shared" si="183"/>
        <v>1.340095640625</v>
      </c>
      <c r="I691" s="73">
        <f t="shared" si="184"/>
        <v>0</v>
      </c>
      <c r="J691" s="73">
        <f t="shared" ref="J691:J710" si="190">E691*$H691*(1+$D$15)^C691</f>
        <v>16001.442772567825</v>
      </c>
      <c r="K691" s="73">
        <f t="shared" si="186"/>
        <v>0</v>
      </c>
      <c r="L691" s="74">
        <f t="shared" si="187"/>
        <v>1202655347.4442637</v>
      </c>
    </row>
    <row r="692" spans="3:12" x14ac:dyDescent="0.35">
      <c r="C692" s="69">
        <v>7</v>
      </c>
      <c r="D692" s="75">
        <v>0</v>
      </c>
      <c r="E692" s="126">
        <f t="shared" si="188"/>
        <v>10000</v>
      </c>
      <c r="F692" s="71">
        <f t="shared" si="189"/>
        <v>0</v>
      </c>
      <c r="G692" s="128">
        <f>IF(
    $H$6="Alkaline",
    IF(
        OR(
            Data!$C$37=C691,
            MOD(C691,Data!$C$37)=0
        ),
        $D$8,
        G691*Data!$C$42
    ),
    IF(
        $H$6="PEM",
        IF(
            OR(
                Data!$H$37=C691,
                MOD(C691,Data!$H$37)=0
            ),
            $D$8,
            G691*Data!$H$42
        ),
        ""
    )
)</f>
        <v>888465537.73917961</v>
      </c>
      <c r="H692" s="76">
        <f t="shared" si="183"/>
        <v>1.4071004226562502</v>
      </c>
      <c r="I692" s="73">
        <f t="shared" si="184"/>
        <v>0</v>
      </c>
      <c r="J692" s="73">
        <f t="shared" si="190"/>
        <v>17305.560358532108</v>
      </c>
      <c r="K692" s="73">
        <f t="shared" si="186"/>
        <v>0</v>
      </c>
      <c r="L692" s="74">
        <f t="shared" si="187"/>
        <v>1250160233.6683123</v>
      </c>
    </row>
    <row r="693" spans="3:12" x14ac:dyDescent="0.35">
      <c r="C693" s="69">
        <v>8</v>
      </c>
      <c r="D693" s="75">
        <v>0</v>
      </c>
      <c r="E693" s="126">
        <f t="shared" si="188"/>
        <v>10000</v>
      </c>
      <c r="F693" s="71">
        <f t="shared" si="189"/>
        <v>0</v>
      </c>
      <c r="G693" s="128">
        <f>IF(
    $H$6="Alkaline",
    IF(
        OR(
            Data!$C$37=C692,
            MOD(C692,Data!$C$37)=0
        ),
        $D$8,
        G692*Data!$C$42
    ),
    IF(
        $H$6="PEM",
        IF(
            OR(
                Data!$H$37=C692,
                MOD(C692,Data!$H$37)=0
            ),
            $D$8,
            G692*Data!$H$42
        ),
        ""
    )
)</f>
        <v>943690143.97642899</v>
      </c>
      <c r="H693" s="76">
        <f t="shared" si="183"/>
        <v>1.4774554437890626</v>
      </c>
      <c r="I693" s="73">
        <f t="shared" si="184"/>
        <v>0</v>
      </c>
      <c r="J693" s="73">
        <f t="shared" si="190"/>
        <v>18715.963527752469</v>
      </c>
      <c r="K693" s="73">
        <f t="shared" si="186"/>
        <v>0</v>
      </c>
      <c r="L693" s="74">
        <f t="shared" si="187"/>
        <v>1394260140.4680593</v>
      </c>
    </row>
    <row r="694" spans="3:12" x14ac:dyDescent="0.35">
      <c r="C694" s="69">
        <v>9</v>
      </c>
      <c r="D694" s="75">
        <v>0</v>
      </c>
      <c r="E694" s="126">
        <f t="shared" si="188"/>
        <v>10000</v>
      </c>
      <c r="F694" s="71">
        <f t="shared" si="189"/>
        <v>0</v>
      </c>
      <c r="G694" s="128">
        <f>IF(
    $H$6="Alkaline",
    IF(
        OR(
            Data!$C$37=C693,
            MOD(C693,Data!$C$37)=0
        ),
        $D$8,
        G693*Data!$C$42
    ),
    IF(
        $H$6="PEM",
        IF(
            OR(
                Data!$H$37=C693,
                MOD(C693,Data!$H$37)=0
            ),
            $D$8,
            G693*Data!$H$42
        ),
        ""
    )
)</f>
        <v>934253242.53666472</v>
      </c>
      <c r="H694" s="76">
        <f t="shared" si="183"/>
        <v>1.5513282159785158</v>
      </c>
      <c r="I694" s="73">
        <f t="shared" si="184"/>
        <v>0</v>
      </c>
      <c r="J694" s="73">
        <f t="shared" si="190"/>
        <v>20241.3145552643</v>
      </c>
      <c r="K694" s="73">
        <f t="shared" si="186"/>
        <v>0</v>
      </c>
      <c r="L694" s="74">
        <f t="shared" si="187"/>
        <v>1449333416.0165477</v>
      </c>
    </row>
    <row r="695" spans="3:12" x14ac:dyDescent="0.35">
      <c r="C695" s="69">
        <v>10</v>
      </c>
      <c r="D695" s="75">
        <v>0</v>
      </c>
      <c r="E695" s="126">
        <f t="shared" si="188"/>
        <v>10000</v>
      </c>
      <c r="F695" s="71">
        <f t="shared" si="189"/>
        <v>0</v>
      </c>
      <c r="G695" s="128">
        <f>IF(
    $H$6="Alkaline",
    IF(
        OR(
            Data!$C$37=C694,
            MOD(C694,Data!$C$37)=0
        ),
        $D$8,
        G694*Data!$C$42
    ),
    IF(
        $H$6="PEM",
        IF(
            OR(
                Data!$H$37=C694,
                MOD(C694,Data!$H$37)=0
            ),
            $D$8,
            G694*Data!$H$42
        ),
        ""
    )
)</f>
        <v>924910710.11129808</v>
      </c>
      <c r="H695" s="76">
        <f t="shared" si="183"/>
        <v>1.6288946267774416</v>
      </c>
      <c r="I695" s="73">
        <f t="shared" si="184"/>
        <v>0</v>
      </c>
      <c r="J695" s="73">
        <f t="shared" si="190"/>
        <v>21890.98169151834</v>
      </c>
      <c r="K695" s="73">
        <f t="shared" si="186"/>
        <v>0</v>
      </c>
      <c r="L695" s="74">
        <f t="shared" si="187"/>
        <v>1506582085.9492013</v>
      </c>
    </row>
    <row r="696" spans="3:12" x14ac:dyDescent="0.35">
      <c r="C696" s="69">
        <v>11</v>
      </c>
      <c r="D696" s="75">
        <v>0</v>
      </c>
      <c r="E696" s="126">
        <f t="shared" si="188"/>
        <v>10000</v>
      </c>
      <c r="F696" s="71">
        <f t="shared" si="189"/>
        <v>0</v>
      </c>
      <c r="G696" s="128">
        <f>IF(
    $H$6="Alkaline",
    IF(
        OR(
            Data!$C$37=C695,
            MOD(C695,Data!$C$37)=0
        ),
        $D$8,
        G695*Data!$C$42
    ),
    IF(
        $H$6="PEM",
        IF(
            OR(
                Data!$H$37=C695,
                MOD(C695,Data!$H$37)=0
            ),
            $D$8,
            G695*Data!$H$42
        ),
        ""
    )
)</f>
        <v>915661603.01018512</v>
      </c>
      <c r="H696" s="76">
        <f t="shared" si="183"/>
        <v>1.7103393581163138</v>
      </c>
      <c r="I696" s="73">
        <f t="shared" si="184"/>
        <v>0</v>
      </c>
      <c r="J696" s="73">
        <f t="shared" si="190"/>
        <v>23675.096699377085</v>
      </c>
      <c r="K696" s="73">
        <f t="shared" si="186"/>
        <v>0</v>
      </c>
      <c r="L696" s="74">
        <f t="shared" si="187"/>
        <v>1566092078.3441949</v>
      </c>
    </row>
    <row r="697" spans="3:12" x14ac:dyDescent="0.35">
      <c r="C697" s="69">
        <v>12</v>
      </c>
      <c r="D697" s="75">
        <v>0</v>
      </c>
      <c r="E697" s="126">
        <f t="shared" si="188"/>
        <v>10000</v>
      </c>
      <c r="F697" s="71">
        <f t="shared" si="189"/>
        <v>0</v>
      </c>
      <c r="G697" s="128">
        <f>IF(
    $H$6="Alkaline",
    IF(
        OR(
            Data!$C$37=C696,
            MOD(C696,Data!$C$37)=0
        ),
        $D$8,
        G696*Data!$C$42
    ),
    IF(
        $H$6="PEM",
        IF(
            OR(
                Data!$H$37=C696,
                MOD(C696,Data!$H$37)=0
            ),
            $D$8,
            G696*Data!$H$42
        ),
        ""
    )
)</f>
        <v>906504986.98008323</v>
      </c>
      <c r="H697" s="76">
        <f t="shared" si="183"/>
        <v>1.7958563260221292</v>
      </c>
      <c r="I697" s="73">
        <f t="shared" si="184"/>
        <v>0</v>
      </c>
      <c r="J697" s="73">
        <f t="shared" si="190"/>
        <v>25604.617080376313</v>
      </c>
      <c r="K697" s="73">
        <f t="shared" si="186"/>
        <v>0</v>
      </c>
      <c r="L697" s="74">
        <f t="shared" si="187"/>
        <v>1627952715.4387903</v>
      </c>
    </row>
    <row r="698" spans="3:12" x14ac:dyDescent="0.35">
      <c r="C698" s="69">
        <v>13</v>
      </c>
      <c r="D698" s="75">
        <v>0</v>
      </c>
      <c r="E698" s="126">
        <f t="shared" si="188"/>
        <v>10000</v>
      </c>
      <c r="F698" s="71">
        <f t="shared" si="189"/>
        <v>0</v>
      </c>
      <c r="G698" s="128">
        <f>IF(
    $H$6="Alkaline",
    IF(
        OR(
            Data!$C$37=C697,
            MOD(C697,Data!$C$37)=0
        ),
        $D$8,
        G697*Data!$C$42
    ),
    IF(
        $H$6="PEM",
        IF(
            OR(
                Data!$H$37=C697,
                MOD(C697,Data!$H$37)=0
            ),
            $D$8,
            G697*Data!$H$42
        ),
        ""
    )
)</f>
        <v>897439937.11028242</v>
      </c>
      <c r="H698" s="76">
        <f t="shared" si="183"/>
        <v>1.885649142323236</v>
      </c>
      <c r="I698" s="73">
        <f t="shared" si="184"/>
        <v>0</v>
      </c>
      <c r="J698" s="73">
        <f t="shared" si="190"/>
        <v>27691.393372426985</v>
      </c>
      <c r="K698" s="73">
        <f t="shared" si="186"/>
        <v>0</v>
      </c>
      <c r="L698" s="74">
        <f t="shared" si="187"/>
        <v>1692256847.6986229</v>
      </c>
    </row>
    <row r="699" spans="3:12" x14ac:dyDescent="0.35">
      <c r="C699" s="69">
        <v>14</v>
      </c>
      <c r="D699" s="75">
        <v>0</v>
      </c>
      <c r="E699" s="126">
        <f t="shared" si="188"/>
        <v>10000</v>
      </c>
      <c r="F699" s="71">
        <f t="shared" si="189"/>
        <v>0</v>
      </c>
      <c r="G699" s="128">
        <f>IF(
    $H$6="Alkaline",
    IF(
        OR(
            Data!$C$37=C698,
            MOD(C698,Data!$C$37)=0
        ),
        $D$8,
        G698*Data!$C$42
    ),
    IF(
        $H$6="PEM",
        IF(
            OR(
                Data!$H$37=C698,
                MOD(C698,Data!$H$37)=0
            ),
            $D$8,
            G698*Data!$H$42
        ),
        ""
    )
)</f>
        <v>888465537.73917961</v>
      </c>
      <c r="H699" s="76">
        <f t="shared" si="183"/>
        <v>1.9799315994393973</v>
      </c>
      <c r="I699" s="73">
        <f t="shared" si="184"/>
        <v>0</v>
      </c>
      <c r="J699" s="73">
        <f t="shared" si="190"/>
        <v>29948.241932279776</v>
      </c>
      <c r="K699" s="73">
        <f t="shared" si="186"/>
        <v>0</v>
      </c>
      <c r="L699" s="74">
        <f t="shared" si="187"/>
        <v>1759100993.182718</v>
      </c>
    </row>
    <row r="700" spans="3:12" x14ac:dyDescent="0.35">
      <c r="C700" s="69">
        <v>15</v>
      </c>
      <c r="D700" s="75">
        <v>0</v>
      </c>
      <c r="E700" s="126">
        <f t="shared" si="188"/>
        <v>10000</v>
      </c>
      <c r="F700" s="71">
        <f t="shared" si="189"/>
        <v>0</v>
      </c>
      <c r="G700" s="128">
        <f>IF(
    $H$6="Alkaline",
    IF(
        OR(
            Data!$C$37=C699,
            MOD(C699,Data!$C$37)=0
        ),
        $D$8,
        G699*Data!$C$42
    ),
    IF(
        $H$6="PEM",
        IF(
            OR(
                Data!$H$37=C699,
                MOD(C699,Data!$H$37)=0
            ),
            $D$8,
            G699*Data!$H$42
        ),
        ""
    )
)</f>
        <v>943690143.97642899</v>
      </c>
      <c r="H700" s="76">
        <f t="shared" si="183"/>
        <v>2.0789281794113679</v>
      </c>
      <c r="I700" s="73">
        <f t="shared" si="184"/>
        <v>0</v>
      </c>
      <c r="J700" s="73">
        <f t="shared" si="190"/>
        <v>32389.023649760591</v>
      </c>
      <c r="K700" s="73">
        <f t="shared" si="186"/>
        <v>0</v>
      </c>
      <c r="L700" s="74">
        <f t="shared" si="187"/>
        <v>1961864032.9453692</v>
      </c>
    </row>
    <row r="701" spans="3:12" x14ac:dyDescent="0.35">
      <c r="C701" s="69">
        <v>16</v>
      </c>
      <c r="D701" s="75">
        <v>0</v>
      </c>
      <c r="E701" s="126">
        <f t="shared" si="188"/>
        <v>10000</v>
      </c>
      <c r="F701" s="71">
        <f t="shared" si="189"/>
        <v>0</v>
      </c>
      <c r="G701" s="128">
        <f>IF(
    $H$6="Alkaline",
    IF(
        OR(
            Data!$C$37=C700,
            MOD(C700,Data!$C$37)=0
        ),
        $D$8,
        G700*Data!$C$42
    ),
    IF(
        $H$6="PEM",
        IF(
            OR(
                Data!$H$37=C700,
                MOD(C700,Data!$H$37)=0
            ),
            $D$8,
            G700*Data!$H$42
        ),
        ""
    )
)</f>
        <v>934253242.53666472</v>
      </c>
      <c r="H701" s="76">
        <f t="shared" si="183"/>
        <v>2.182874588381936</v>
      </c>
      <c r="I701" s="73">
        <f t="shared" si="184"/>
        <v>0</v>
      </c>
      <c r="J701" s="73">
        <f t="shared" si="190"/>
        <v>35028.72907721607</v>
      </c>
      <c r="K701" s="73">
        <f t="shared" si="186"/>
        <v>0</v>
      </c>
      <c r="L701" s="74">
        <f t="shared" si="187"/>
        <v>2039357662.246711</v>
      </c>
    </row>
    <row r="702" spans="3:12" x14ac:dyDescent="0.35">
      <c r="C702" s="69">
        <v>17</v>
      </c>
      <c r="D702" s="75">
        <v>0</v>
      </c>
      <c r="E702" s="126">
        <f t="shared" si="188"/>
        <v>10000</v>
      </c>
      <c r="F702" s="71">
        <f t="shared" si="189"/>
        <v>0</v>
      </c>
      <c r="G702" s="128">
        <f>IF(
    $H$6="Alkaline",
    IF(
        OR(
            Data!$C$37=C701,
            MOD(C701,Data!$C$37)=0
        ),
        $D$8,
        G701*Data!$C$42
    ),
    IF(
        $H$6="PEM",
        IF(
            OR(
                Data!$H$37=C701,
                MOD(C701,Data!$H$37)=0
            ),
            $D$8,
            G701*Data!$H$42
        ),
        ""
    )
)</f>
        <v>924910710.11129808</v>
      </c>
      <c r="H702" s="76">
        <f t="shared" si="183"/>
        <v>2.2920183178010332</v>
      </c>
      <c r="I702" s="73">
        <f t="shared" si="184"/>
        <v>0</v>
      </c>
      <c r="J702" s="73">
        <f t="shared" si="190"/>
        <v>37883.570497009183</v>
      </c>
      <c r="K702" s="73">
        <f t="shared" si="186"/>
        <v>0</v>
      </c>
      <c r="L702" s="74">
        <f t="shared" si="187"/>
        <v>2119912289.9054565</v>
      </c>
    </row>
    <row r="703" spans="3:12" x14ac:dyDescent="0.35">
      <c r="C703" s="69">
        <v>18</v>
      </c>
      <c r="D703" s="75">
        <v>0</v>
      </c>
      <c r="E703" s="126">
        <f t="shared" si="188"/>
        <v>10000</v>
      </c>
      <c r="F703" s="71">
        <f t="shared" si="189"/>
        <v>0</v>
      </c>
      <c r="G703" s="128">
        <f>IF(
    $H$6="Alkaline",
    IF(
        OR(
            Data!$C$37=C702,
            MOD(C702,Data!$C$37)=0
        ),
        $D$8,
        G702*Data!$C$42
    ),
    IF(
        $H$6="PEM",
        IF(
            OR(
                Data!$H$37=C702,
                MOD(C702,Data!$H$37)=0
            ),
            $D$8,
            G702*Data!$H$42
        ),
        ""
    )
)</f>
        <v>915661603.01018512</v>
      </c>
      <c r="H703" s="76">
        <f t="shared" si="183"/>
        <v>2.4066192336910848</v>
      </c>
      <c r="I703" s="73">
        <f t="shared" si="184"/>
        <v>0</v>
      </c>
      <c r="J703" s="73">
        <f t="shared" si="190"/>
        <v>40971.081492515434</v>
      </c>
      <c r="K703" s="73">
        <f t="shared" si="186"/>
        <v>0</v>
      </c>
      <c r="L703" s="74">
        <f t="shared" si="187"/>
        <v>2203648825.3567219</v>
      </c>
    </row>
    <row r="704" spans="3:12" x14ac:dyDescent="0.35">
      <c r="C704" s="69">
        <v>19</v>
      </c>
      <c r="D704" s="75">
        <v>0</v>
      </c>
      <c r="E704" s="126">
        <f t="shared" si="188"/>
        <v>10000</v>
      </c>
      <c r="F704" s="71">
        <f t="shared" si="189"/>
        <v>0</v>
      </c>
      <c r="G704" s="128">
        <f>IF(
    $H$6="Alkaline",
    IF(
        OR(
            Data!$C$37=C703,
            MOD(C703,Data!$C$37)=0
        ),
        $D$8,
        G703*Data!$C$42
    ),
    IF(
        $H$6="PEM",
        IF(
            OR(
                Data!$H$37=C703,
                MOD(C703,Data!$H$37)=0
            ),
            $D$8,
            G703*Data!$H$42
        ),
        ""
    )
)</f>
        <v>906504986.98008323</v>
      </c>
      <c r="H704" s="76">
        <f t="shared" si="183"/>
        <v>2.526950195375639</v>
      </c>
      <c r="I704" s="73">
        <f t="shared" si="184"/>
        <v>0</v>
      </c>
      <c r="J704" s="73">
        <f t="shared" si="190"/>
        <v>44310.224634155442</v>
      </c>
      <c r="K704" s="73">
        <f t="shared" si="186"/>
        <v>0</v>
      </c>
      <c r="L704" s="74">
        <f t="shared" si="187"/>
        <v>2290692953.9583125</v>
      </c>
    </row>
    <row r="705" spans="1:13" x14ac:dyDescent="0.35">
      <c r="C705" s="69">
        <v>20</v>
      </c>
      <c r="D705" s="75">
        <v>0</v>
      </c>
      <c r="E705" s="126">
        <f t="shared" si="188"/>
        <v>10000</v>
      </c>
      <c r="F705" s="71">
        <f t="shared" si="189"/>
        <v>0</v>
      </c>
      <c r="G705" s="128">
        <f>IF(
    $H$6="Alkaline",
    IF(
        OR(
            Data!$C$37=C704,
            MOD(C704,Data!$C$37)=0
        ),
        $D$8,
        G704*Data!$C$42
    ),
    IF(
        $H$6="PEM",
        IF(
            OR(
                Data!$H$37=C704,
                MOD(C704,Data!$H$37)=0
            ),
            $D$8,
            G704*Data!$H$42
        ),
        ""
    )
)</f>
        <v>897439937.11028242</v>
      </c>
      <c r="H705" s="76">
        <f t="shared" si="183"/>
        <v>2.6532977051444209</v>
      </c>
      <c r="I705" s="73">
        <f t="shared" si="184"/>
        <v>0</v>
      </c>
      <c r="J705" s="73">
        <f t="shared" si="190"/>
        <v>47921.507941839111</v>
      </c>
      <c r="K705" s="73">
        <f t="shared" si="186"/>
        <v>0</v>
      </c>
      <c r="L705" s="74">
        <f t="shared" si="187"/>
        <v>2381175325.6396656</v>
      </c>
    </row>
    <row r="706" spans="1:13" x14ac:dyDescent="0.35">
      <c r="C706" s="69">
        <v>21</v>
      </c>
      <c r="D706" s="75">
        <v>0</v>
      </c>
      <c r="E706" s="126">
        <f t="shared" si="188"/>
        <v>10000</v>
      </c>
      <c r="F706" s="71">
        <f t="shared" si="189"/>
        <v>0</v>
      </c>
      <c r="G706" s="128">
        <f>IF(
    $H$6="Alkaline",
    IF(
        OR(
            Data!$C$37=C705,
            MOD(C705,Data!$C$37)=0
        ),
        $D$8,
        G705*Data!$C$42
    ),
    IF(
        $H$6="PEM",
        IF(
            OR(
                Data!$H$37=C705,
                MOD(C705,Data!$H$37)=0
            ),
            $D$8,
            G705*Data!$H$42
        ),
        ""
    )
)</f>
        <v>888465537.73917961</v>
      </c>
      <c r="H706" s="76">
        <f t="shared" si="183"/>
        <v>2.7859625904016418</v>
      </c>
      <c r="I706" s="73">
        <f t="shared" si="184"/>
        <v>0</v>
      </c>
      <c r="J706" s="73">
        <f t="shared" si="190"/>
        <v>51827.11083909899</v>
      </c>
      <c r="K706" s="73">
        <f t="shared" si="186"/>
        <v>0</v>
      </c>
      <c r="L706" s="74">
        <f t="shared" si="187"/>
        <v>2475231751.0024323</v>
      </c>
    </row>
    <row r="707" spans="1:13" x14ac:dyDescent="0.35">
      <c r="C707" s="69">
        <v>22</v>
      </c>
      <c r="D707" s="75">
        <v>0</v>
      </c>
      <c r="E707" s="126">
        <f t="shared" si="188"/>
        <v>10000</v>
      </c>
      <c r="F707" s="71">
        <f t="shared" si="189"/>
        <v>0</v>
      </c>
      <c r="G707" s="128">
        <f>IF(
    $H$6="Alkaline",
    IF(
        OR(
            Data!$C$37=C706,
            MOD(C706,Data!$C$37)=0
        ),
        $D$8,
        G706*Data!$C$42
    ),
    IF(
        $H$6="PEM",
        IF(
            OR(
                Data!$H$37=C706,
                MOD(C706,Data!$H$37)=0
            ),
            $D$8,
            G706*Data!$H$42
        ),
        ""
    )
)</f>
        <v>943690143.97642899</v>
      </c>
      <c r="H707" s="76">
        <f t="shared" si="183"/>
        <v>2.9252607199217238</v>
      </c>
      <c r="I707" s="73">
        <f t="shared" si="184"/>
        <v>0</v>
      </c>
      <c r="J707" s="73">
        <f t="shared" si="190"/>
        <v>56051.020372485553</v>
      </c>
      <c r="K707" s="73">
        <f t="shared" si="186"/>
        <v>0</v>
      </c>
      <c r="L707" s="74">
        <f t="shared" si="187"/>
        <v>2760539709.9515238</v>
      </c>
    </row>
    <row r="708" spans="1:13" x14ac:dyDescent="0.35">
      <c r="C708" s="69">
        <v>23</v>
      </c>
      <c r="D708" s="75">
        <v>0</v>
      </c>
      <c r="E708" s="126">
        <f t="shared" si="188"/>
        <v>10000</v>
      </c>
      <c r="F708" s="71">
        <f t="shared" si="189"/>
        <v>0</v>
      </c>
      <c r="G708" s="128">
        <f>IF(
    $H$6="Alkaline",
    IF(
        OR(
            Data!$C$37=C707,
            MOD(C707,Data!$C$37)=0
        ),
        $D$8,
        G707*Data!$C$42
    ),
    IF(
        $H$6="PEM",
        IF(
            OR(
                Data!$H$37=C707,
                MOD(C707,Data!$H$37)=0
            ),
            $D$8,
            G707*Data!$H$42
        ),
        ""
    )
)</f>
        <v>934253242.53666472</v>
      </c>
      <c r="H708" s="76">
        <f t="shared" si="183"/>
        <v>3.0715237559178106</v>
      </c>
      <c r="I708" s="73">
        <f t="shared" si="184"/>
        <v>0</v>
      </c>
      <c r="J708" s="73">
        <f t="shared" si="190"/>
        <v>60619.178532843143</v>
      </c>
      <c r="K708" s="73">
        <f t="shared" si="186"/>
        <v>0</v>
      </c>
      <c r="L708" s="74">
        <f t="shared" si="187"/>
        <v>2869581028.4946098</v>
      </c>
    </row>
    <row r="709" spans="1:13" x14ac:dyDescent="0.35">
      <c r="C709" s="69">
        <v>24</v>
      </c>
      <c r="D709" s="75">
        <v>0</v>
      </c>
      <c r="E709" s="126">
        <f t="shared" si="188"/>
        <v>10000</v>
      </c>
      <c r="F709" s="71">
        <f t="shared" si="189"/>
        <v>0</v>
      </c>
      <c r="G709" s="128">
        <f>IF(
    $H$6="Alkaline",
    IF(
        OR(
            Data!$C$37=C708,
            MOD(C708,Data!$C$37)=0
        ),
        $D$8,
        G708*Data!$C$42
    ),
    IF(
        $H$6="PEM",
        IF(
            OR(
                Data!$H$37=C708,
                MOD(C708,Data!$H$37)=0
            ),
            $D$8,
            G708*Data!$H$42
        ),
        ""
    )
)</f>
        <v>924910710.11129808</v>
      </c>
      <c r="H709" s="76">
        <f t="shared" si="183"/>
        <v>3.2250999437137007</v>
      </c>
      <c r="I709" s="73">
        <f t="shared" si="184"/>
        <v>0</v>
      </c>
      <c r="J709" s="73">
        <f t="shared" si="190"/>
        <v>65559.64158326984</v>
      </c>
      <c r="K709" s="73">
        <f t="shared" si="186"/>
        <v>0</v>
      </c>
      <c r="L709" s="74">
        <f t="shared" si="187"/>
        <v>2982929479.1201463</v>
      </c>
    </row>
    <row r="710" spans="1:13" ht="15" thickBot="1" x14ac:dyDescent="0.4">
      <c r="C710" s="69">
        <v>25</v>
      </c>
      <c r="D710" s="75">
        <v>0</v>
      </c>
      <c r="E710" s="126">
        <f t="shared" si="188"/>
        <v>10000</v>
      </c>
      <c r="F710" s="71">
        <f t="shared" si="189"/>
        <v>0</v>
      </c>
      <c r="G710" s="128">
        <f>IF(
    $H$6="Alkaline",
    IF(
        OR(
            Data!$C$37=C709,
            MOD(C709,Data!$C$37)=0
        ),
        $D$8,
        G709*Data!$C$42
    ),
    IF(
        $H$6="PEM",
        IF(
            OR(
                Data!$H$37=C709,
                MOD(C709,Data!$H$37)=0
            ),
            $D$8,
            G709*Data!$H$42
        ),
        ""
    )
)</f>
        <v>915661603.01018512</v>
      </c>
      <c r="H710" s="76">
        <f t="shared" si="183"/>
        <v>3.3863549408993858</v>
      </c>
      <c r="I710" s="73">
        <f t="shared" si="184"/>
        <v>0</v>
      </c>
      <c r="J710" s="73">
        <f t="shared" si="190"/>
        <v>70902.752372306335</v>
      </c>
      <c r="K710" s="73">
        <f t="shared" si="186"/>
        <v>0</v>
      </c>
      <c r="L710" s="74">
        <f t="shared" si="187"/>
        <v>3100755193.5453925</v>
      </c>
    </row>
    <row r="711" spans="1:13" ht="15" thickBot="1" x14ac:dyDescent="0.4">
      <c r="C711" s="70" t="s">
        <v>26</v>
      </c>
      <c r="D711" s="77">
        <f>SUM(D685:D710)</f>
        <v>1000000</v>
      </c>
      <c r="E711" s="77">
        <f>SUM(E685:E710)</f>
        <v>250000</v>
      </c>
      <c r="F711" s="77">
        <f>SUM(F685:F710)</f>
        <v>0</v>
      </c>
      <c r="G711" s="149">
        <f>SUM(G685:G710)</f>
        <v>22951294184.026939</v>
      </c>
      <c r="H711" s="77">
        <f>SUM(H685:H710)</f>
        <v>51.113453758887083</v>
      </c>
      <c r="I711" s="77">
        <f t="shared" ref="I711:K711" si="191">SUM(I685:I710)</f>
        <v>1000000</v>
      </c>
      <c r="J711" s="77">
        <f t="shared" si="191"/>
        <v>808175.78761532891</v>
      </c>
      <c r="K711" s="77">
        <f t="shared" si="191"/>
        <v>0</v>
      </c>
      <c r="L711" s="77">
        <f>SUM(L685:L710)</f>
        <v>45995618724.782455</v>
      </c>
    </row>
    <row r="712" spans="1:13" x14ac:dyDescent="0.35">
      <c r="C712" s="49"/>
      <c r="D712" s="49"/>
      <c r="E712" s="49"/>
      <c r="F712" s="49"/>
      <c r="G712" s="150"/>
      <c r="H712" s="49"/>
      <c r="I712" s="49"/>
      <c r="J712" s="49"/>
      <c r="K712" s="49"/>
      <c r="L712" s="49"/>
    </row>
    <row r="713" spans="1:13" ht="15" thickBot="1" x14ac:dyDescent="0.4">
      <c r="A713">
        <v>20</v>
      </c>
      <c r="B713">
        <v>99</v>
      </c>
      <c r="C713" s="133" t="s">
        <v>238</v>
      </c>
    </row>
    <row r="714" spans="1:13" ht="19" thickBot="1" x14ac:dyDescent="0.5">
      <c r="C714" s="58" t="s">
        <v>15</v>
      </c>
      <c r="D714" s="58" t="s">
        <v>16</v>
      </c>
      <c r="E714" s="58" t="s">
        <v>17</v>
      </c>
      <c r="F714" s="58" t="s">
        <v>18</v>
      </c>
      <c r="G714" s="59" t="s">
        <v>19</v>
      </c>
      <c r="H714" s="58" t="s">
        <v>20</v>
      </c>
      <c r="I714" s="59" t="s">
        <v>21</v>
      </c>
      <c r="J714" s="58" t="s">
        <v>22</v>
      </c>
      <c r="K714" s="58" t="s">
        <v>23</v>
      </c>
      <c r="L714" s="58" t="s">
        <v>24</v>
      </c>
      <c r="M714" s="152" t="s">
        <v>253</v>
      </c>
    </row>
    <row r="715" spans="1:13" ht="18.5" x14ac:dyDescent="0.45">
      <c r="C715" s="68">
        <v>0</v>
      </c>
      <c r="D715" s="71">
        <f>$G$99</f>
        <v>3750000</v>
      </c>
      <c r="E715" s="71">
        <v>0</v>
      </c>
      <c r="F715" s="71">
        <v>0</v>
      </c>
      <c r="G715" s="127">
        <v>0</v>
      </c>
      <c r="H715" s="72">
        <f t="shared" ref="H715:H740" si="192">(1+$D$14)^$C715</f>
        <v>1</v>
      </c>
      <c r="I715" s="73">
        <f t="shared" ref="I715:I740" si="193">D715*$H715*(1+$D$15)^C715</f>
        <v>3750000</v>
      </c>
      <c r="J715" s="73">
        <f t="shared" ref="J715:J719" si="194">E715*$H715*(1+$D$15)^C715</f>
        <v>0</v>
      </c>
      <c r="K715" s="73">
        <f t="shared" ref="K715:K740" si="195">F715*$H715*(1+$D$15)^C715</f>
        <v>0</v>
      </c>
      <c r="L715" s="74">
        <f t="shared" ref="L715:L740" si="196">G715*$H715</f>
        <v>0</v>
      </c>
      <c r="M715" s="153">
        <f>(I741+J741+K741)/L741</f>
        <v>4.1098036164914805E-4</v>
      </c>
    </row>
    <row r="716" spans="1:13" x14ac:dyDescent="0.35">
      <c r="C716" s="69">
        <v>1</v>
      </c>
      <c r="D716" s="75">
        <v>0</v>
      </c>
      <c r="E716" s="126">
        <f>$K$99</f>
        <v>187500</v>
      </c>
      <c r="F716" s="71">
        <f>0</f>
        <v>0</v>
      </c>
      <c r="G716" s="128">
        <f>$D$8</f>
        <v>943690143.97642899</v>
      </c>
      <c r="H716" s="76">
        <f t="shared" si="192"/>
        <v>1.05</v>
      </c>
      <c r="I716" s="73">
        <f t="shared" si="193"/>
        <v>0</v>
      </c>
      <c r="J716" s="73">
        <f t="shared" si="194"/>
        <v>202781.25</v>
      </c>
      <c r="K716" s="73">
        <f t="shared" si="195"/>
        <v>0</v>
      </c>
      <c r="L716" s="97">
        <f t="shared" si="196"/>
        <v>990874651.17525053</v>
      </c>
    </row>
    <row r="717" spans="1:13" x14ac:dyDescent="0.35">
      <c r="C717" s="69">
        <v>2</v>
      </c>
      <c r="D717" s="75">
        <v>0</v>
      </c>
      <c r="E717" s="126">
        <f t="shared" ref="E717:E740" si="197">$K$99</f>
        <v>187500</v>
      </c>
      <c r="F717" s="71">
        <f>0</f>
        <v>0</v>
      </c>
      <c r="G717" s="128">
        <f>IF(
    $H$6="Alkaline",
    IF(
        OR(
            Data!$C$37=C716,
            MOD(C716,Data!$C$37)=0
        ),
        $D$8,
        G716*Data!$C$42
    ),
    IF(
        $H$6="PEM",
        IF(
            OR(
                Data!$H$37=C716,
                MOD(C716,Data!$H$37)=0
            ),
            $D$8,
            G716*Data!$H$42
        ),
        ""
    )
)</f>
        <v>934253242.53666472</v>
      </c>
      <c r="H717" s="76">
        <f t="shared" si="192"/>
        <v>1.1025</v>
      </c>
      <c r="I717" s="73">
        <f t="shared" si="193"/>
        <v>0</v>
      </c>
      <c r="J717" s="73">
        <f t="shared" si="194"/>
        <v>219307.921875</v>
      </c>
      <c r="K717" s="73">
        <f t="shared" si="195"/>
        <v>0</v>
      </c>
      <c r="L717" s="74">
        <f t="shared" si="196"/>
        <v>1030014199.8966728</v>
      </c>
    </row>
    <row r="718" spans="1:13" x14ac:dyDescent="0.35">
      <c r="C718" s="69">
        <v>3</v>
      </c>
      <c r="D718" s="75">
        <v>0</v>
      </c>
      <c r="E718" s="126">
        <f t="shared" si="197"/>
        <v>187500</v>
      </c>
      <c r="F718" s="71">
        <f>0</f>
        <v>0</v>
      </c>
      <c r="G718" s="128">
        <f>IF(
    $H$6="Alkaline",
    IF(
        OR(
            Data!$C$37=C717,
            MOD(C717,Data!$C$37)=0
        ),
        $D$8,
        G717*Data!$C$42
    ),
    IF(
        $H$6="PEM",
        IF(
            OR(
                Data!$H$37=C717,
                MOD(C717,Data!$H$37)=0
            ),
            $D$8,
            G717*Data!$H$42
        ),
        ""
    )
)</f>
        <v>924910710.11129808</v>
      </c>
      <c r="H718" s="76">
        <f>(1+$D$14)^$C718</f>
        <v>1.1576250000000001</v>
      </c>
      <c r="I718" s="73">
        <f t="shared" si="193"/>
        <v>0</v>
      </c>
      <c r="J718" s="73">
        <f t="shared" si="194"/>
        <v>237181.51750781253</v>
      </c>
      <c r="K718" s="73">
        <f t="shared" si="195"/>
        <v>0</v>
      </c>
      <c r="L718" s="74">
        <f t="shared" si="196"/>
        <v>1070699760.7925916</v>
      </c>
    </row>
    <row r="719" spans="1:13" x14ac:dyDescent="0.35">
      <c r="C719" s="69">
        <v>4</v>
      </c>
      <c r="D719" s="75">
        <v>0</v>
      </c>
      <c r="E719" s="126">
        <f t="shared" si="197"/>
        <v>187500</v>
      </c>
      <c r="F719" s="71">
        <f>0</f>
        <v>0</v>
      </c>
      <c r="G719" s="128">
        <f>IF(
    $H$6="Alkaline",
    IF(
        OR(
            Data!$C$37=C718,
            MOD(C718,Data!$C$37)=0
        ),
        $D$8,
        G718*Data!$C$42
    ),
    IF(
        $H$6="PEM",
        IF(
            OR(
                Data!$H$37=C718,
                MOD(C718,Data!$H$37)=0
            ),
            $D$8,
            G718*Data!$H$42
        ),
        ""
    )
)</f>
        <v>915661603.01018512</v>
      </c>
      <c r="H719" s="76">
        <f t="shared" si="192"/>
        <v>1.21550625</v>
      </c>
      <c r="I719" s="73">
        <f t="shared" si="193"/>
        <v>0</v>
      </c>
      <c r="J719" s="73">
        <f t="shared" si="194"/>
        <v>256511.81118469921</v>
      </c>
      <c r="K719" s="73">
        <f t="shared" si="195"/>
        <v>0</v>
      </c>
      <c r="L719" s="74">
        <f t="shared" si="196"/>
        <v>1112992401.3438988</v>
      </c>
    </row>
    <row r="720" spans="1:13" x14ac:dyDescent="0.35">
      <c r="C720" s="69">
        <v>5</v>
      </c>
      <c r="D720" s="75">
        <v>0</v>
      </c>
      <c r="E720" s="126">
        <f t="shared" si="197"/>
        <v>187500</v>
      </c>
      <c r="F720" s="71">
        <f>0</f>
        <v>0</v>
      </c>
      <c r="G720" s="128">
        <f>IF(
    $H$6="Alkaline",
    IF(
        OR(
            Data!$C$37=C719,
            MOD(C719,Data!$C$37)=0
        ),
        $D$8,
        G719*Data!$C$42
    ),
    IF(
        $H$6="PEM",
        IF(
            OR(
                Data!$H$37=C719,
                MOD(C719,Data!$H$37)=0
            ),
            $D$8,
            G719*Data!$H$42
        ),
        ""
    )
)</f>
        <v>906504986.98008323</v>
      </c>
      <c r="H720" s="76">
        <f t="shared" si="192"/>
        <v>1.2762815625000001</v>
      </c>
      <c r="I720" s="73">
        <f t="shared" si="193"/>
        <v>0</v>
      </c>
      <c r="J720" s="73">
        <f>E720*$H720*(1+$D$15)^C720</f>
        <v>277417.52379625221</v>
      </c>
      <c r="K720" s="73">
        <f t="shared" si="195"/>
        <v>0</v>
      </c>
      <c r="L720" s="74">
        <f t="shared" si="196"/>
        <v>1156955601.1969829</v>
      </c>
    </row>
    <row r="721" spans="3:12" x14ac:dyDescent="0.35">
      <c r="C721" s="69">
        <v>6</v>
      </c>
      <c r="D721" s="75">
        <v>0</v>
      </c>
      <c r="E721" s="126">
        <f t="shared" si="197"/>
        <v>187500</v>
      </c>
      <c r="F721" s="71">
        <f>0</f>
        <v>0</v>
      </c>
      <c r="G721" s="128">
        <f>IF(
    $H$6="Alkaline",
    IF(
        OR(
            Data!$C$37=C720,
            MOD(C720,Data!$C$37)=0
        ),
        $D$8,
        G720*Data!$C$42
    ),
    IF(
        $H$6="PEM",
        IF(
            OR(
                Data!$H$37=C720,
                MOD(C720,Data!$H$37)=0
            ),
            $D$8,
            G720*Data!$H$42
        ),
        ""
    )
)</f>
        <v>897439937.11028242</v>
      </c>
      <c r="H721" s="76">
        <f t="shared" si="192"/>
        <v>1.340095640625</v>
      </c>
      <c r="I721" s="73">
        <f t="shared" si="193"/>
        <v>0</v>
      </c>
      <c r="J721" s="73">
        <f t="shared" ref="J721:J740" si="198">E721*$H721*(1+$D$15)^C721</f>
        <v>300027.05198564671</v>
      </c>
      <c r="K721" s="73">
        <f t="shared" si="195"/>
        <v>0</v>
      </c>
      <c r="L721" s="74">
        <f t="shared" si="196"/>
        <v>1202655347.4442637</v>
      </c>
    </row>
    <row r="722" spans="3:12" x14ac:dyDescent="0.35">
      <c r="C722" s="69">
        <v>7</v>
      </c>
      <c r="D722" s="75">
        <v>0</v>
      </c>
      <c r="E722" s="126">
        <f t="shared" si="197"/>
        <v>187500</v>
      </c>
      <c r="F722" s="71">
        <f>0</f>
        <v>0</v>
      </c>
      <c r="G722" s="128">
        <f>IF(
    $H$6="Alkaline",
    IF(
        OR(
            Data!$C$37=C721,
            MOD(C721,Data!$C$37)=0
        ),
        $D$8,
        G721*Data!$C$42
    ),
    IF(
        $H$6="PEM",
        IF(
            OR(
                Data!$H$37=C721,
                MOD(C721,Data!$H$37)=0
            ),
            $D$8,
            G721*Data!$H$42
        ),
        ""
    )
)</f>
        <v>888465537.73917961</v>
      </c>
      <c r="H722" s="76">
        <f t="shared" si="192"/>
        <v>1.4071004226562502</v>
      </c>
      <c r="I722" s="73">
        <f t="shared" si="193"/>
        <v>0</v>
      </c>
      <c r="J722" s="73">
        <f t="shared" si="198"/>
        <v>324479.25672247703</v>
      </c>
      <c r="K722" s="73">
        <f t="shared" si="195"/>
        <v>0</v>
      </c>
      <c r="L722" s="74">
        <f t="shared" si="196"/>
        <v>1250160233.6683123</v>
      </c>
    </row>
    <row r="723" spans="3:12" x14ac:dyDescent="0.35">
      <c r="C723" s="69">
        <v>8</v>
      </c>
      <c r="D723" s="75">
        <v>0</v>
      </c>
      <c r="E723" s="126">
        <f t="shared" si="197"/>
        <v>187500</v>
      </c>
      <c r="F723" s="71">
        <f>0</f>
        <v>0</v>
      </c>
      <c r="G723" s="128">
        <f>IF(
    $H$6="Alkaline",
    IF(
        OR(
            Data!$C$37=C722,
            MOD(C722,Data!$C$37)=0
        ),
        $D$8,
        G722*Data!$C$42
    ),
    IF(
        $H$6="PEM",
        IF(
            OR(
                Data!$H$37=C722,
                MOD(C722,Data!$H$37)=0
            ),
            $D$8,
            G722*Data!$H$42
        ),
        ""
    )
)</f>
        <v>943690143.97642899</v>
      </c>
      <c r="H723" s="76">
        <f t="shared" si="192"/>
        <v>1.4774554437890626</v>
      </c>
      <c r="I723" s="73">
        <f t="shared" si="193"/>
        <v>0</v>
      </c>
      <c r="J723" s="73">
        <f t="shared" si="198"/>
        <v>350924.31614535884</v>
      </c>
      <c r="K723" s="73">
        <f t="shared" si="195"/>
        <v>0</v>
      </c>
      <c r="L723" s="74">
        <f t="shared" si="196"/>
        <v>1394260140.4680593</v>
      </c>
    </row>
    <row r="724" spans="3:12" x14ac:dyDescent="0.35">
      <c r="C724" s="69">
        <v>9</v>
      </c>
      <c r="D724" s="75">
        <v>0</v>
      </c>
      <c r="E724" s="126">
        <f t="shared" si="197"/>
        <v>187500</v>
      </c>
      <c r="F724" s="71">
        <f>0</f>
        <v>0</v>
      </c>
      <c r="G724" s="128">
        <f>IF(
    $H$6="Alkaline",
    IF(
        OR(
            Data!$C$37=C723,
            MOD(C723,Data!$C$37)=0
        ),
        $D$8,
        G723*Data!$C$42
    ),
    IF(
        $H$6="PEM",
        IF(
            OR(
                Data!$H$37=C723,
                MOD(C723,Data!$H$37)=0
            ),
            $D$8,
            G723*Data!$H$42
        ),
        ""
    )
)</f>
        <v>934253242.53666472</v>
      </c>
      <c r="H724" s="76">
        <f t="shared" si="192"/>
        <v>1.5513282159785158</v>
      </c>
      <c r="I724" s="73">
        <f t="shared" si="193"/>
        <v>0</v>
      </c>
      <c r="J724" s="73">
        <f t="shared" si="198"/>
        <v>379524.64791120554</v>
      </c>
      <c r="K724" s="73">
        <f t="shared" si="195"/>
        <v>0</v>
      </c>
      <c r="L724" s="74">
        <f t="shared" si="196"/>
        <v>1449333416.0165477</v>
      </c>
    </row>
    <row r="725" spans="3:12" x14ac:dyDescent="0.35">
      <c r="C725" s="69">
        <v>10</v>
      </c>
      <c r="D725" s="75">
        <v>0</v>
      </c>
      <c r="E725" s="126">
        <f t="shared" si="197"/>
        <v>187500</v>
      </c>
      <c r="F725" s="71">
        <f>0</f>
        <v>0</v>
      </c>
      <c r="G725" s="128">
        <f>IF(
    $H$6="Alkaline",
    IF(
        OR(
            Data!$C$37=C724,
            MOD(C724,Data!$C$37)=0
        ),
        $D$8,
        G724*Data!$C$42
    ),
    IF(
        $H$6="PEM",
        IF(
            OR(
                Data!$H$37=C724,
                MOD(C724,Data!$H$37)=0
            ),
            $D$8,
            G724*Data!$H$42
        ),
        ""
    )
)</f>
        <v>924910710.11129808</v>
      </c>
      <c r="H725" s="76">
        <f t="shared" si="192"/>
        <v>1.6288946267774416</v>
      </c>
      <c r="I725" s="73">
        <f t="shared" si="193"/>
        <v>0</v>
      </c>
      <c r="J725" s="73">
        <f t="shared" si="198"/>
        <v>410455.90671596886</v>
      </c>
      <c r="K725" s="73">
        <f t="shared" si="195"/>
        <v>0</v>
      </c>
      <c r="L725" s="74">
        <f t="shared" si="196"/>
        <v>1506582085.9492013</v>
      </c>
    </row>
    <row r="726" spans="3:12" x14ac:dyDescent="0.35">
      <c r="C726" s="69">
        <v>11</v>
      </c>
      <c r="D726" s="75">
        <v>0</v>
      </c>
      <c r="E726" s="126">
        <f t="shared" si="197"/>
        <v>187500</v>
      </c>
      <c r="F726" s="71">
        <f>0</f>
        <v>0</v>
      </c>
      <c r="G726" s="128">
        <f>IF(
    $H$6="Alkaline",
    IF(
        OR(
            Data!$C$37=C725,
            MOD(C725,Data!$C$37)=0
        ),
        $D$8,
        G725*Data!$C$42
    ),
    IF(
        $H$6="PEM",
        IF(
            OR(
                Data!$H$37=C725,
                MOD(C725,Data!$H$37)=0
            ),
            $D$8,
            G725*Data!$H$42
        ),
        ""
    )
)</f>
        <v>915661603.01018512</v>
      </c>
      <c r="H726" s="76">
        <f t="shared" si="192"/>
        <v>1.7103393581163138</v>
      </c>
      <c r="I726" s="73">
        <f t="shared" si="193"/>
        <v>0</v>
      </c>
      <c r="J726" s="73">
        <f t="shared" si="198"/>
        <v>443908.06311332039</v>
      </c>
      <c r="K726" s="73">
        <f t="shared" si="195"/>
        <v>0</v>
      </c>
      <c r="L726" s="74">
        <f t="shared" si="196"/>
        <v>1566092078.3441949</v>
      </c>
    </row>
    <row r="727" spans="3:12" x14ac:dyDescent="0.35">
      <c r="C727" s="69">
        <v>12</v>
      </c>
      <c r="D727" s="75">
        <v>0</v>
      </c>
      <c r="E727" s="126">
        <f t="shared" si="197"/>
        <v>187500</v>
      </c>
      <c r="F727" s="71">
        <f>0</f>
        <v>0</v>
      </c>
      <c r="G727" s="128">
        <f>IF(
    $H$6="Alkaline",
    IF(
        OR(
            Data!$C$37=C726,
            MOD(C726,Data!$C$37)=0
        ),
        $D$8,
        G726*Data!$C$42
    ),
    IF(
        $H$6="PEM",
        IF(
            OR(
                Data!$H$37=C726,
                MOD(C726,Data!$H$37)=0
            ),
            $D$8,
            G726*Data!$H$42
        ),
        ""
    )
)</f>
        <v>906504986.98008323</v>
      </c>
      <c r="H727" s="76">
        <f t="shared" si="192"/>
        <v>1.7958563260221292</v>
      </c>
      <c r="I727" s="73">
        <f t="shared" si="193"/>
        <v>0</v>
      </c>
      <c r="J727" s="73">
        <f t="shared" si="198"/>
        <v>480086.57025705581</v>
      </c>
      <c r="K727" s="73">
        <f t="shared" si="195"/>
        <v>0</v>
      </c>
      <c r="L727" s="74">
        <f t="shared" si="196"/>
        <v>1627952715.4387903</v>
      </c>
    </row>
    <row r="728" spans="3:12" x14ac:dyDescent="0.35">
      <c r="C728" s="69">
        <v>13</v>
      </c>
      <c r="D728" s="75">
        <v>0</v>
      </c>
      <c r="E728" s="126">
        <f t="shared" si="197"/>
        <v>187500</v>
      </c>
      <c r="F728" s="71">
        <f>0</f>
        <v>0</v>
      </c>
      <c r="G728" s="128">
        <f>IF(
    $H$6="Alkaline",
    IF(
        OR(
            Data!$C$37=C727,
            MOD(C727,Data!$C$37)=0
        ),
        $D$8,
        G727*Data!$C$42
    ),
    IF(
        $H$6="PEM",
        IF(
            OR(
                Data!$H$37=C727,
                MOD(C727,Data!$H$37)=0
            ),
            $D$8,
            G727*Data!$H$42
        ),
        ""
    )
)</f>
        <v>897439937.11028242</v>
      </c>
      <c r="H728" s="76">
        <f t="shared" si="192"/>
        <v>1.885649142323236</v>
      </c>
      <c r="I728" s="73">
        <f t="shared" si="193"/>
        <v>0</v>
      </c>
      <c r="J728" s="73">
        <f t="shared" si="198"/>
        <v>519213.62573300593</v>
      </c>
      <c r="K728" s="73">
        <f t="shared" si="195"/>
        <v>0</v>
      </c>
      <c r="L728" s="74">
        <f t="shared" si="196"/>
        <v>1692256847.6986229</v>
      </c>
    </row>
    <row r="729" spans="3:12" x14ac:dyDescent="0.35">
      <c r="C729" s="69">
        <v>14</v>
      </c>
      <c r="D729" s="75">
        <v>0</v>
      </c>
      <c r="E729" s="126">
        <f t="shared" si="197"/>
        <v>187500</v>
      </c>
      <c r="F729" s="71">
        <f>0</f>
        <v>0</v>
      </c>
      <c r="G729" s="128">
        <f>IF(
    $H$6="Alkaline",
    IF(
        OR(
            Data!$C$37=C728,
            MOD(C728,Data!$C$37)=0
        ),
        $D$8,
        G728*Data!$C$42
    ),
    IF(
        $H$6="PEM",
        IF(
            OR(
                Data!$H$37=C728,
                MOD(C728,Data!$H$37)=0
            ),
            $D$8,
            G728*Data!$H$42
        ),
        ""
    )
)</f>
        <v>888465537.73917961</v>
      </c>
      <c r="H729" s="76">
        <f t="shared" si="192"/>
        <v>1.9799315994393973</v>
      </c>
      <c r="I729" s="73">
        <f t="shared" si="193"/>
        <v>0</v>
      </c>
      <c r="J729" s="73">
        <f t="shared" si="198"/>
        <v>561529.53623024584</v>
      </c>
      <c r="K729" s="73">
        <f t="shared" si="195"/>
        <v>0</v>
      </c>
      <c r="L729" s="74">
        <f t="shared" si="196"/>
        <v>1759100993.182718</v>
      </c>
    </row>
    <row r="730" spans="3:12" x14ac:dyDescent="0.35">
      <c r="C730" s="69">
        <v>15</v>
      </c>
      <c r="D730" s="75">
        <v>0</v>
      </c>
      <c r="E730" s="126">
        <f t="shared" si="197"/>
        <v>187500</v>
      </c>
      <c r="F730" s="71">
        <f>0</f>
        <v>0</v>
      </c>
      <c r="G730" s="128">
        <f>IF(
    $H$6="Alkaline",
    IF(
        OR(
            Data!$C$37=C729,
            MOD(C729,Data!$C$37)=0
        ),
        $D$8,
        G729*Data!$C$42
    ),
    IF(
        $H$6="PEM",
        IF(
            OR(
                Data!$H$37=C729,
                MOD(C729,Data!$H$37)=0
            ),
            $D$8,
            G729*Data!$H$42
        ),
        ""
    )
)</f>
        <v>943690143.97642899</v>
      </c>
      <c r="H730" s="76">
        <f t="shared" si="192"/>
        <v>2.0789281794113679</v>
      </c>
      <c r="I730" s="73">
        <f t="shared" si="193"/>
        <v>0</v>
      </c>
      <c r="J730" s="73">
        <f t="shared" si="198"/>
        <v>607294.19343301107</v>
      </c>
      <c r="K730" s="73">
        <f t="shared" si="195"/>
        <v>0</v>
      </c>
      <c r="L730" s="74">
        <f t="shared" si="196"/>
        <v>1961864032.9453692</v>
      </c>
    </row>
    <row r="731" spans="3:12" x14ac:dyDescent="0.35">
      <c r="C731" s="69">
        <v>16</v>
      </c>
      <c r="D731" s="75">
        <v>0</v>
      </c>
      <c r="E731" s="126">
        <f t="shared" si="197"/>
        <v>187500</v>
      </c>
      <c r="F731" s="71">
        <f>0</f>
        <v>0</v>
      </c>
      <c r="G731" s="128">
        <f>IF(
    $H$6="Alkaline",
    IF(
        OR(
            Data!$C$37=C730,
            MOD(C730,Data!$C$37)=0
        ),
        $D$8,
        G730*Data!$C$42
    ),
    IF(
        $H$6="PEM",
        IF(
            OR(
                Data!$H$37=C730,
                MOD(C730,Data!$H$37)=0
            ),
            $D$8,
            G730*Data!$H$42
        ),
        ""
    )
)</f>
        <v>934253242.53666472</v>
      </c>
      <c r="H731" s="76">
        <f t="shared" si="192"/>
        <v>2.182874588381936</v>
      </c>
      <c r="I731" s="73">
        <f t="shared" si="193"/>
        <v>0</v>
      </c>
      <c r="J731" s="73">
        <f t="shared" si="198"/>
        <v>656788.67019780143</v>
      </c>
      <c r="K731" s="73">
        <f t="shared" si="195"/>
        <v>0</v>
      </c>
      <c r="L731" s="74">
        <f t="shared" si="196"/>
        <v>2039357662.246711</v>
      </c>
    </row>
    <row r="732" spans="3:12" x14ac:dyDescent="0.35">
      <c r="C732" s="69">
        <v>17</v>
      </c>
      <c r="D732" s="75">
        <v>0</v>
      </c>
      <c r="E732" s="126">
        <f t="shared" si="197"/>
        <v>187500</v>
      </c>
      <c r="F732" s="71">
        <f>0</f>
        <v>0</v>
      </c>
      <c r="G732" s="128">
        <f>IF(
    $H$6="Alkaline",
    IF(
        OR(
            Data!$C$37=C731,
            MOD(C731,Data!$C$37)=0
        ),
        $D$8,
        G731*Data!$C$42
    ),
    IF(
        $H$6="PEM",
        IF(
            OR(
                Data!$H$37=C731,
                MOD(C731,Data!$H$37)=0
            ),
            $D$8,
            G731*Data!$H$42
        ),
        ""
    )
)</f>
        <v>924910710.11129808</v>
      </c>
      <c r="H732" s="76">
        <f t="shared" si="192"/>
        <v>2.2920183178010332</v>
      </c>
      <c r="I732" s="73">
        <f t="shared" si="193"/>
        <v>0</v>
      </c>
      <c r="J732" s="73">
        <f t="shared" si="198"/>
        <v>710316.9468189223</v>
      </c>
      <c r="K732" s="73">
        <f t="shared" si="195"/>
        <v>0</v>
      </c>
      <c r="L732" s="74">
        <f t="shared" si="196"/>
        <v>2119912289.9054565</v>
      </c>
    </row>
    <row r="733" spans="3:12" x14ac:dyDescent="0.35">
      <c r="C733" s="69">
        <v>18</v>
      </c>
      <c r="D733" s="75">
        <v>0</v>
      </c>
      <c r="E733" s="126">
        <f t="shared" si="197"/>
        <v>187500</v>
      </c>
      <c r="F733" s="71">
        <f>0</f>
        <v>0</v>
      </c>
      <c r="G733" s="128">
        <f>IF(
    $H$6="Alkaline",
    IF(
        OR(
            Data!$C$37=C732,
            MOD(C732,Data!$C$37)=0
        ),
        $D$8,
        G732*Data!$C$42
    ),
    IF(
        $H$6="PEM",
        IF(
            OR(
                Data!$H$37=C732,
                MOD(C732,Data!$H$37)=0
            ),
            $D$8,
            G732*Data!$H$42
        ),
        ""
    )
)</f>
        <v>915661603.01018512</v>
      </c>
      <c r="H733" s="76">
        <f t="shared" si="192"/>
        <v>2.4066192336910848</v>
      </c>
      <c r="I733" s="73">
        <f t="shared" si="193"/>
        <v>0</v>
      </c>
      <c r="J733" s="73">
        <f t="shared" si="198"/>
        <v>768207.77798466443</v>
      </c>
      <c r="K733" s="73">
        <f t="shared" si="195"/>
        <v>0</v>
      </c>
      <c r="L733" s="74">
        <f t="shared" si="196"/>
        <v>2203648825.3567219</v>
      </c>
    </row>
    <row r="734" spans="3:12" x14ac:dyDescent="0.35">
      <c r="C734" s="69">
        <v>19</v>
      </c>
      <c r="D734" s="75">
        <v>0</v>
      </c>
      <c r="E734" s="126">
        <f t="shared" si="197"/>
        <v>187500</v>
      </c>
      <c r="F734" s="71">
        <f>0</f>
        <v>0</v>
      </c>
      <c r="G734" s="128">
        <f>IF(
    $H$6="Alkaline",
    IF(
        OR(
            Data!$C$37=C733,
            MOD(C733,Data!$C$37)=0
        ),
        $D$8,
        G733*Data!$C$42
    ),
    IF(
        $H$6="PEM",
        IF(
            OR(
                Data!$H$37=C733,
                MOD(C733,Data!$H$37)=0
            ),
            $D$8,
            G733*Data!$H$42
        ),
        ""
    )
)</f>
        <v>906504986.98008323</v>
      </c>
      <c r="H734" s="76">
        <f t="shared" si="192"/>
        <v>2.526950195375639</v>
      </c>
      <c r="I734" s="73">
        <f t="shared" si="193"/>
        <v>0</v>
      </c>
      <c r="J734" s="73">
        <f t="shared" si="198"/>
        <v>830816.71189041459</v>
      </c>
      <c r="K734" s="73">
        <f t="shared" si="195"/>
        <v>0</v>
      </c>
      <c r="L734" s="74">
        <f t="shared" si="196"/>
        <v>2290692953.9583125</v>
      </c>
    </row>
    <row r="735" spans="3:12" x14ac:dyDescent="0.35">
      <c r="C735" s="69">
        <v>20</v>
      </c>
      <c r="D735" s="75">
        <v>0</v>
      </c>
      <c r="E735" s="126">
        <f t="shared" si="197"/>
        <v>187500</v>
      </c>
      <c r="F735" s="71">
        <f>0</f>
        <v>0</v>
      </c>
      <c r="G735" s="128">
        <f>IF(
    $H$6="Alkaline",
    IF(
        OR(
            Data!$C$37=C734,
            MOD(C734,Data!$C$37)=0
        ),
        $D$8,
        G734*Data!$C$42
    ),
    IF(
        $H$6="PEM",
        IF(
            OR(
                Data!$H$37=C734,
                MOD(C734,Data!$H$37)=0
            ),
            $D$8,
            G734*Data!$H$42
        ),
        ""
    )
)</f>
        <v>897439937.11028242</v>
      </c>
      <c r="H735" s="76">
        <f t="shared" si="192"/>
        <v>2.6532977051444209</v>
      </c>
      <c r="I735" s="73">
        <f t="shared" si="193"/>
        <v>0</v>
      </c>
      <c r="J735" s="73">
        <f t="shared" si="198"/>
        <v>898528.27390948322</v>
      </c>
      <c r="K735" s="73">
        <f t="shared" si="195"/>
        <v>0</v>
      </c>
      <c r="L735" s="74">
        <f t="shared" si="196"/>
        <v>2381175325.6396656</v>
      </c>
    </row>
    <row r="736" spans="3:12" x14ac:dyDescent="0.35">
      <c r="C736" s="69">
        <v>21</v>
      </c>
      <c r="D736" s="75">
        <v>0</v>
      </c>
      <c r="E736" s="126">
        <f t="shared" si="197"/>
        <v>187500</v>
      </c>
      <c r="F736" s="71">
        <f>0</f>
        <v>0</v>
      </c>
      <c r="G736" s="128">
        <f>IF(
    $H$6="Alkaline",
    IF(
        OR(
            Data!$C$37=C735,
            MOD(C735,Data!$C$37)=0
        ),
        $D$8,
        G735*Data!$C$42
    ),
    IF(
        $H$6="PEM",
        IF(
            OR(
                Data!$H$37=C735,
                MOD(C735,Data!$H$37)=0
            ),
            $D$8,
            G735*Data!$H$42
        ),
        ""
    )
)</f>
        <v>888465537.73917961</v>
      </c>
      <c r="H736" s="76">
        <f t="shared" si="192"/>
        <v>2.7859625904016418</v>
      </c>
      <c r="I736" s="73">
        <f t="shared" si="193"/>
        <v>0</v>
      </c>
      <c r="J736" s="73">
        <f t="shared" si="198"/>
        <v>971758.32823310595</v>
      </c>
      <c r="K736" s="73">
        <f t="shared" si="195"/>
        <v>0</v>
      </c>
      <c r="L736" s="74">
        <f t="shared" si="196"/>
        <v>2475231751.0024323</v>
      </c>
    </row>
    <row r="737" spans="1:13" x14ac:dyDescent="0.35">
      <c r="C737" s="69">
        <v>22</v>
      </c>
      <c r="D737" s="75">
        <v>0</v>
      </c>
      <c r="E737" s="126">
        <f t="shared" si="197"/>
        <v>187500</v>
      </c>
      <c r="F737" s="71">
        <f>0</f>
        <v>0</v>
      </c>
      <c r="G737" s="128">
        <f>IF(
    $H$6="Alkaline",
    IF(
        OR(
            Data!$C$37=C736,
            MOD(C736,Data!$C$37)=0
        ),
        $D$8,
        G736*Data!$C$42
    ),
    IF(
        $H$6="PEM",
        IF(
            OR(
                Data!$H$37=C736,
                MOD(C736,Data!$H$37)=0
            ),
            $D$8,
            G736*Data!$H$42
        ),
        ""
    )
)</f>
        <v>943690143.97642899</v>
      </c>
      <c r="H737" s="76">
        <f t="shared" si="192"/>
        <v>2.9252607199217238</v>
      </c>
      <c r="I737" s="73">
        <f t="shared" si="193"/>
        <v>0</v>
      </c>
      <c r="J737" s="73">
        <f t="shared" si="198"/>
        <v>1050956.6319841042</v>
      </c>
      <c r="K737" s="73">
        <f t="shared" si="195"/>
        <v>0</v>
      </c>
      <c r="L737" s="74">
        <f t="shared" si="196"/>
        <v>2760539709.9515238</v>
      </c>
    </row>
    <row r="738" spans="1:13" x14ac:dyDescent="0.35">
      <c r="C738" s="69">
        <v>23</v>
      </c>
      <c r="D738" s="75">
        <v>0</v>
      </c>
      <c r="E738" s="126">
        <f t="shared" si="197"/>
        <v>187500</v>
      </c>
      <c r="F738" s="71">
        <f>0</f>
        <v>0</v>
      </c>
      <c r="G738" s="128">
        <f>IF(
    $H$6="Alkaline",
    IF(
        OR(
            Data!$C$37=C737,
            MOD(C737,Data!$C$37)=0
        ),
        $D$8,
        G737*Data!$C$42
    ),
    IF(
        $H$6="PEM",
        IF(
            OR(
                Data!$H$37=C737,
                MOD(C737,Data!$H$37)=0
            ),
            $D$8,
            G737*Data!$H$42
        ),
        ""
    )
)</f>
        <v>934253242.53666472</v>
      </c>
      <c r="H738" s="76">
        <f t="shared" si="192"/>
        <v>3.0715237559178106</v>
      </c>
      <c r="I738" s="73">
        <f t="shared" si="193"/>
        <v>0</v>
      </c>
      <c r="J738" s="73">
        <f t="shared" si="198"/>
        <v>1136609.5974908089</v>
      </c>
      <c r="K738" s="73">
        <f t="shared" si="195"/>
        <v>0</v>
      </c>
      <c r="L738" s="74">
        <f t="shared" si="196"/>
        <v>2869581028.4946098</v>
      </c>
    </row>
    <row r="739" spans="1:13" x14ac:dyDescent="0.35">
      <c r="C739" s="69">
        <v>24</v>
      </c>
      <c r="D739" s="75">
        <v>0</v>
      </c>
      <c r="E739" s="126">
        <f t="shared" si="197"/>
        <v>187500</v>
      </c>
      <c r="F739" s="71">
        <f>0</f>
        <v>0</v>
      </c>
      <c r="G739" s="128">
        <f>IF(
    $H$6="Alkaline",
    IF(
        OR(
            Data!$C$37=C738,
            MOD(C738,Data!$C$37)=0
        ),
        $D$8,
        G738*Data!$C$42
    ),
    IF(
        $H$6="PEM",
        IF(
            OR(
                Data!$H$37=C738,
                MOD(C738,Data!$H$37)=0
            ),
            $D$8,
            G738*Data!$H$42
        ),
        ""
    )
)</f>
        <v>924910710.11129808</v>
      </c>
      <c r="H739" s="76">
        <f t="shared" si="192"/>
        <v>3.2250999437137007</v>
      </c>
      <c r="I739" s="73">
        <f t="shared" si="193"/>
        <v>0</v>
      </c>
      <c r="J739" s="73">
        <f t="shared" si="198"/>
        <v>1229243.2796863094</v>
      </c>
      <c r="K739" s="73">
        <f t="shared" si="195"/>
        <v>0</v>
      </c>
      <c r="L739" s="74">
        <f t="shared" si="196"/>
        <v>2982929479.1201463</v>
      </c>
    </row>
    <row r="740" spans="1:13" ht="15" thickBot="1" x14ac:dyDescent="0.4">
      <c r="C740" s="69">
        <v>25</v>
      </c>
      <c r="D740" s="75">
        <v>0</v>
      </c>
      <c r="E740" s="126">
        <f t="shared" si="197"/>
        <v>187500</v>
      </c>
      <c r="F740" s="71">
        <f>0</f>
        <v>0</v>
      </c>
      <c r="G740" s="128">
        <f>IF(
    $H$6="Alkaline",
    IF(
        OR(
            Data!$C$37=C739,
            MOD(C739,Data!$C$37)=0
        ),
        $D$8,
        G739*Data!$C$42
    ),
    IF(
        $H$6="PEM",
        IF(
            OR(
                Data!$H$37=C739,
                MOD(C739,Data!$H$37)=0
            ),
            $D$8,
            G739*Data!$H$42
        ),
        ""
    )
)</f>
        <v>915661603.01018512</v>
      </c>
      <c r="H740" s="76">
        <f t="shared" si="192"/>
        <v>3.3863549408993858</v>
      </c>
      <c r="I740" s="73">
        <f t="shared" si="193"/>
        <v>0</v>
      </c>
      <c r="J740" s="73">
        <f t="shared" si="198"/>
        <v>1329426.6069807438</v>
      </c>
      <c r="K740" s="73">
        <f t="shared" si="195"/>
        <v>0</v>
      </c>
      <c r="L740" s="74">
        <f t="shared" si="196"/>
        <v>3100755193.5453925</v>
      </c>
    </row>
    <row r="741" spans="1:13" ht="15" thickBot="1" x14ac:dyDescent="0.4">
      <c r="C741" s="70" t="s">
        <v>26</v>
      </c>
      <c r="D741" s="77">
        <f>SUM(D715:D740)</f>
        <v>3750000</v>
      </c>
      <c r="E741" s="77">
        <f>SUM(E715:E740)</f>
        <v>4687500</v>
      </c>
      <c r="F741" s="77">
        <f>SUM(F715:F740)</f>
        <v>0</v>
      </c>
      <c r="G741" s="149">
        <f>SUM(G715:G740)</f>
        <v>22951294184.026939</v>
      </c>
      <c r="H741" s="77">
        <f>SUM(H715:H740)</f>
        <v>51.113453758887083</v>
      </c>
      <c r="I741" s="77">
        <f t="shared" ref="I741:K741" si="199">SUM(I715:I740)</f>
        <v>3750000</v>
      </c>
      <c r="J741" s="77">
        <f t="shared" si="199"/>
        <v>15153296.017787419</v>
      </c>
      <c r="K741" s="77">
        <f t="shared" si="199"/>
        <v>0</v>
      </c>
      <c r="L741" s="77">
        <f>SUM(L715:L740)</f>
        <v>45995618724.782455</v>
      </c>
    </row>
    <row r="742" spans="1:13" x14ac:dyDescent="0.35">
      <c r="C742" s="49"/>
      <c r="D742" s="49"/>
      <c r="E742" s="49"/>
      <c r="F742" s="49"/>
      <c r="G742" s="150"/>
      <c r="H742" s="49"/>
      <c r="I742" s="49"/>
      <c r="J742" s="49"/>
      <c r="K742" s="49"/>
      <c r="L742" s="49"/>
    </row>
    <row r="743" spans="1:13" ht="15" thickBot="1" x14ac:dyDescent="0.4">
      <c r="A743">
        <v>21</v>
      </c>
      <c r="B743">
        <v>103</v>
      </c>
      <c r="C743" s="133" t="s">
        <v>237</v>
      </c>
    </row>
    <row r="744" spans="1:13" ht="19" thickBot="1" x14ac:dyDescent="0.5">
      <c r="C744" s="58" t="s">
        <v>15</v>
      </c>
      <c r="D744" s="58" t="s">
        <v>16</v>
      </c>
      <c r="E744" s="58" t="s">
        <v>17</v>
      </c>
      <c r="F744" s="58" t="s">
        <v>18</v>
      </c>
      <c r="G744" s="59" t="s">
        <v>19</v>
      </c>
      <c r="H744" s="58" t="s">
        <v>20</v>
      </c>
      <c r="I744" s="59" t="s">
        <v>21</v>
      </c>
      <c r="J744" s="58" t="s">
        <v>22</v>
      </c>
      <c r="K744" s="58" t="s">
        <v>23</v>
      </c>
      <c r="L744" s="58" t="s">
        <v>24</v>
      </c>
      <c r="M744" s="152" t="s">
        <v>253</v>
      </c>
    </row>
    <row r="745" spans="1:13" ht="18.5" x14ac:dyDescent="0.45">
      <c r="C745" s="68">
        <v>0</v>
      </c>
      <c r="D745" s="71">
        <f>$G$103</f>
        <v>6788113169.8691835</v>
      </c>
      <c r="E745" s="71">
        <v>0</v>
      </c>
      <c r="F745" s="71">
        <v>0</v>
      </c>
      <c r="G745" s="127">
        <v>0</v>
      </c>
      <c r="H745" s="72">
        <f t="shared" ref="H745:H770" si="200">(1+$D$14)^$C745</f>
        <v>1</v>
      </c>
      <c r="I745" s="73">
        <f t="shared" ref="I745:I770" si="201">D745*$H745*(1+$D$15)^C745</f>
        <v>6788113169.8691835</v>
      </c>
      <c r="J745" s="73">
        <f t="shared" ref="J745:J749" si="202">E745*$H745*(1+$D$15)^C745</f>
        <v>0</v>
      </c>
      <c r="K745" s="73">
        <f t="shared" ref="K745:K770" si="203">F745*$H745*(1+$D$15)^C745</f>
        <v>0</v>
      </c>
      <c r="L745" s="74">
        <f t="shared" ref="L745:L770" si="204">G745*$H745</f>
        <v>0</v>
      </c>
      <c r="M745" s="153">
        <f>(I771+J771+K771)/L771</f>
        <v>0.38612570234351629</v>
      </c>
    </row>
    <row r="746" spans="1:13" x14ac:dyDescent="0.35">
      <c r="C746" s="69">
        <v>1</v>
      </c>
      <c r="D746" s="75">
        <v>0</v>
      </c>
      <c r="E746" s="126">
        <f>$K$103</f>
        <v>135762263.39738366</v>
      </c>
      <c r="F746" s="71">
        <v>0</v>
      </c>
      <c r="G746" s="128">
        <f>$D$8</f>
        <v>943690143.97642899</v>
      </c>
      <c r="H746" s="76">
        <f>(1+$D$14)^$C746</f>
        <v>1.05</v>
      </c>
      <c r="I746" s="73">
        <f t="shared" si="201"/>
        <v>0</v>
      </c>
      <c r="J746" s="73">
        <f t="shared" si="202"/>
        <v>146826887.86427042</v>
      </c>
      <c r="K746" s="73">
        <f t="shared" si="203"/>
        <v>0</v>
      </c>
      <c r="L746" s="97">
        <f t="shared" si="204"/>
        <v>990874651.17525053</v>
      </c>
    </row>
    <row r="747" spans="1:13" x14ac:dyDescent="0.35">
      <c r="C747" s="69">
        <v>2</v>
      </c>
      <c r="D747" s="75">
        <v>0</v>
      </c>
      <c r="E747" s="126">
        <f t="shared" ref="E747:E770" si="205">$K$103</f>
        <v>135762263.39738366</v>
      </c>
      <c r="F747" s="71">
        <v>0</v>
      </c>
      <c r="G747" s="128">
        <f>IF(
    $H$6="Alkaline",
    IF(
        OR(
            Data!$C$37=C746,
            MOD(C746,Data!$C$37)=0
        ),
        $D$8,
        G746*Data!$C$42
    ),
    IF(
        $H$6="PEM",
        IF(
            OR(
                Data!$H$37=C746,
                MOD(C746,Data!$H$37)=0
            ),
            $D$8,
            G746*Data!$H$42
        ),
        ""
    )
)</f>
        <v>934253242.53666472</v>
      </c>
      <c r="H747" s="76">
        <f t="shared" si="200"/>
        <v>1.1025</v>
      </c>
      <c r="I747" s="73">
        <f t="shared" si="201"/>
        <v>0</v>
      </c>
      <c r="J747" s="73">
        <f t="shared" si="202"/>
        <v>158793279.22520846</v>
      </c>
      <c r="K747" s="73">
        <f t="shared" si="203"/>
        <v>0</v>
      </c>
      <c r="L747" s="74">
        <f t="shared" si="204"/>
        <v>1030014199.8966728</v>
      </c>
    </row>
    <row r="748" spans="1:13" x14ac:dyDescent="0.35">
      <c r="C748" s="69">
        <v>3</v>
      </c>
      <c r="D748" s="75">
        <v>0</v>
      </c>
      <c r="E748" s="126">
        <f t="shared" si="205"/>
        <v>135762263.39738366</v>
      </c>
      <c r="F748" s="71">
        <v>0</v>
      </c>
      <c r="G748" s="128">
        <f>IF(
    $H$6="Alkaline",
    IF(
        OR(
            Data!$C$37=C747,
            MOD(C747,Data!$C$37)=0
        ),
        $D$8,
        G747*Data!$C$42
    ),
    IF(
        $H$6="PEM",
        IF(
            OR(
                Data!$H$37=C747,
                MOD(C747,Data!$H$37)=0
            ),
            $D$8,
            G747*Data!$H$42
        ),
        ""
    )
)</f>
        <v>924910710.11129808</v>
      </c>
      <c r="H748" s="76">
        <f>(1+$D$14)^$C748</f>
        <v>1.1576250000000001</v>
      </c>
      <c r="I748" s="73">
        <f t="shared" si="201"/>
        <v>0</v>
      </c>
      <c r="J748" s="73">
        <f t="shared" si="202"/>
        <v>171734931.48206297</v>
      </c>
      <c r="K748" s="73">
        <f t="shared" si="203"/>
        <v>0</v>
      </c>
      <c r="L748" s="74">
        <f t="shared" si="204"/>
        <v>1070699760.7925916</v>
      </c>
    </row>
    <row r="749" spans="1:13" x14ac:dyDescent="0.35">
      <c r="C749" s="69">
        <v>4</v>
      </c>
      <c r="D749" s="75">
        <v>0</v>
      </c>
      <c r="E749" s="126">
        <f t="shared" si="205"/>
        <v>135762263.39738366</v>
      </c>
      <c r="F749" s="71">
        <v>0</v>
      </c>
      <c r="G749" s="128">
        <f>IF(
    $H$6="Alkaline",
    IF(
        OR(
            Data!$C$37=C748,
            MOD(C748,Data!$C$37)=0
        ),
        $D$8,
        G748*Data!$C$42
    ),
    IF(
        $H$6="PEM",
        IF(
            OR(
                Data!$H$37=C748,
                MOD(C748,Data!$H$37)=0
            ),
            $D$8,
            G748*Data!$H$42
        ),
        ""
    )
)</f>
        <v>915661603.01018512</v>
      </c>
      <c r="H749" s="76">
        <f t="shared" si="200"/>
        <v>1.21550625</v>
      </c>
      <c r="I749" s="73">
        <f t="shared" si="201"/>
        <v>0</v>
      </c>
      <c r="J749" s="73">
        <f t="shared" si="202"/>
        <v>185731328.39785105</v>
      </c>
      <c r="K749" s="73">
        <f t="shared" si="203"/>
        <v>0</v>
      </c>
      <c r="L749" s="74">
        <f t="shared" si="204"/>
        <v>1112992401.3438988</v>
      </c>
    </row>
    <row r="750" spans="1:13" x14ac:dyDescent="0.35">
      <c r="C750" s="69">
        <v>5</v>
      </c>
      <c r="D750" s="75">
        <v>0</v>
      </c>
      <c r="E750" s="126">
        <f t="shared" si="205"/>
        <v>135762263.39738366</v>
      </c>
      <c r="F750" s="71">
        <v>0</v>
      </c>
      <c r="G750" s="128">
        <f>IF(
    $H$6="Alkaline",
    IF(
        OR(
            Data!$C$37=C749,
            MOD(C749,Data!$C$37)=0
        ),
        $D$8,
        G749*Data!$C$42
    ),
    IF(
        $H$6="PEM",
        IF(
            OR(
                Data!$H$37=C749,
                MOD(C749,Data!$H$37)=0
            ),
            $D$8,
            G749*Data!$H$42
        ),
        ""
    )
)</f>
        <v>906504986.98008323</v>
      </c>
      <c r="H750" s="76">
        <f t="shared" si="200"/>
        <v>1.2762815625000001</v>
      </c>
      <c r="I750" s="73">
        <f t="shared" si="201"/>
        <v>0</v>
      </c>
      <c r="J750" s="73">
        <f>E750*$H750*(1+$D$15)^C750</f>
        <v>200868431.66227597</v>
      </c>
      <c r="K750" s="73">
        <f t="shared" si="203"/>
        <v>0</v>
      </c>
      <c r="L750" s="74">
        <f t="shared" si="204"/>
        <v>1156955601.1969829</v>
      </c>
    </row>
    <row r="751" spans="1:13" x14ac:dyDescent="0.35">
      <c r="C751" s="69">
        <v>6</v>
      </c>
      <c r="D751" s="75">
        <v>0</v>
      </c>
      <c r="E751" s="126">
        <f t="shared" si="205"/>
        <v>135762263.39738366</v>
      </c>
      <c r="F751" s="71">
        <v>0</v>
      </c>
      <c r="G751" s="128">
        <f>IF(
    $H$6="Alkaline",
    IF(
        OR(
            Data!$C$37=C750,
            MOD(C750,Data!$C$37)=0
        ),
        $D$8,
        G750*Data!$C$42
    ),
    IF(
        $H$6="PEM",
        IF(
            OR(
                Data!$H$37=C750,
                MOD(C750,Data!$H$37)=0
            ),
            $D$8,
            G750*Data!$H$42
        ),
        ""
    )
)</f>
        <v>897439937.11028242</v>
      </c>
      <c r="H751" s="76">
        <f t="shared" si="200"/>
        <v>1.340095640625</v>
      </c>
      <c r="I751" s="73">
        <f t="shared" si="201"/>
        <v>0</v>
      </c>
      <c r="J751" s="73">
        <f t="shared" ref="J751:J770" si="206">E751*$H751*(1+$D$15)^C751</f>
        <v>217239208.84275141</v>
      </c>
      <c r="K751" s="73">
        <f t="shared" si="203"/>
        <v>0</v>
      </c>
      <c r="L751" s="74">
        <f t="shared" si="204"/>
        <v>1202655347.4442637</v>
      </c>
    </row>
    <row r="752" spans="1:13" x14ac:dyDescent="0.35">
      <c r="C752" s="69">
        <v>7</v>
      </c>
      <c r="D752" s="75">
        <v>0</v>
      </c>
      <c r="E752" s="126">
        <f t="shared" si="205"/>
        <v>135762263.39738366</v>
      </c>
      <c r="F752" s="71">
        <v>0</v>
      </c>
      <c r="G752" s="128">
        <f>IF(
    $H$6="Alkaline",
    IF(
        OR(
            Data!$C$37=C751,
            MOD(C751,Data!$C$37)=0
        ),
        $D$8,
        G751*Data!$C$42
    ),
    IF(
        $H$6="PEM",
        IF(
            OR(
                Data!$H$37=C751,
                MOD(C751,Data!$H$37)=0
            ),
            $D$8,
            G751*Data!$H$42
        ),
        ""
    )
)</f>
        <v>888465537.73917961</v>
      </c>
      <c r="H752" s="76">
        <f t="shared" si="200"/>
        <v>1.4071004226562502</v>
      </c>
      <c r="I752" s="73">
        <f t="shared" si="201"/>
        <v>0</v>
      </c>
      <c r="J752" s="73">
        <f t="shared" si="206"/>
        <v>234944204.36343572</v>
      </c>
      <c r="K752" s="73">
        <f t="shared" si="203"/>
        <v>0</v>
      </c>
      <c r="L752" s="74">
        <f t="shared" si="204"/>
        <v>1250160233.6683123</v>
      </c>
    </row>
    <row r="753" spans="3:12" x14ac:dyDescent="0.35">
      <c r="C753" s="69">
        <v>8</v>
      </c>
      <c r="D753" s="75">
        <v>0</v>
      </c>
      <c r="E753" s="126">
        <f t="shared" si="205"/>
        <v>135762263.39738366</v>
      </c>
      <c r="F753" s="71">
        <v>0</v>
      </c>
      <c r="G753" s="128">
        <f>IF(
    $H$6="Alkaline",
    IF(
        OR(
            Data!$C$37=C752,
            MOD(C752,Data!$C$37)=0
        ),
        $D$8,
        G752*Data!$C$42
    ),
    IF(
        $H$6="PEM",
        IF(
            OR(
                Data!$H$37=C752,
                MOD(C752,Data!$H$37)=0
            ),
            $D$8,
            G752*Data!$H$42
        ),
        ""
    )
)</f>
        <v>943690143.97642899</v>
      </c>
      <c r="H753" s="76">
        <f t="shared" si="200"/>
        <v>1.4774554437890626</v>
      </c>
      <c r="I753" s="73">
        <f t="shared" si="201"/>
        <v>0</v>
      </c>
      <c r="J753" s="73">
        <f t="shared" si="206"/>
        <v>254092157.01905569</v>
      </c>
      <c r="K753" s="73">
        <f t="shared" si="203"/>
        <v>0</v>
      </c>
      <c r="L753" s="74">
        <f t="shared" si="204"/>
        <v>1394260140.4680593</v>
      </c>
    </row>
    <row r="754" spans="3:12" x14ac:dyDescent="0.35">
      <c r="C754" s="69">
        <v>9</v>
      </c>
      <c r="D754" s="75">
        <v>0</v>
      </c>
      <c r="E754" s="126">
        <f t="shared" si="205"/>
        <v>135762263.39738366</v>
      </c>
      <c r="F754" s="71">
        <v>0</v>
      </c>
      <c r="G754" s="128">
        <f>IF(
    $H$6="Alkaline",
    IF(
        OR(
            Data!$C$37=C753,
            MOD(C753,Data!$C$37)=0
        ),
        $D$8,
        G753*Data!$C$42
    ),
    IF(
        $H$6="PEM",
        IF(
            OR(
                Data!$H$37=C753,
                MOD(C753,Data!$H$37)=0
            ),
            $D$8,
            G753*Data!$H$42
        ),
        ""
    )
)</f>
        <v>934253242.53666472</v>
      </c>
      <c r="H754" s="76">
        <f t="shared" si="200"/>
        <v>1.5513282159785158</v>
      </c>
      <c r="I754" s="73">
        <f t="shared" si="201"/>
        <v>0</v>
      </c>
      <c r="J754" s="73">
        <f>E754*$H754*(1+$D$15)^C754</f>
        <v>274800667.81610876</v>
      </c>
      <c r="K754" s="73">
        <f t="shared" si="203"/>
        <v>0</v>
      </c>
      <c r="L754" s="74">
        <f t="shared" si="204"/>
        <v>1449333416.0165477</v>
      </c>
    </row>
    <row r="755" spans="3:12" x14ac:dyDescent="0.35">
      <c r="C755" s="69">
        <v>10</v>
      </c>
      <c r="D755" s="75">
        <v>0</v>
      </c>
      <c r="E755" s="126">
        <f t="shared" si="205"/>
        <v>135762263.39738366</v>
      </c>
      <c r="F755" s="71">
        <v>0</v>
      </c>
      <c r="G755" s="128">
        <f>IF(
    $H$6="Alkaline",
    IF(
        OR(
            Data!$C$37=C754,
            MOD(C754,Data!$C$37)=0
        ),
        $D$8,
        G754*Data!$C$42
    ),
    IF(
        $H$6="PEM",
        IF(
            OR(
                Data!$H$37=C754,
                MOD(C754,Data!$H$37)=0
            ),
            $D$8,
            G754*Data!$H$42
        ),
        ""
    )
)</f>
        <v>924910710.11129808</v>
      </c>
      <c r="H755" s="76">
        <f t="shared" si="200"/>
        <v>1.6288946267774416</v>
      </c>
      <c r="I755" s="73">
        <f t="shared" si="201"/>
        <v>0</v>
      </c>
      <c r="J755" s="73">
        <f t="shared" si="206"/>
        <v>297196922.24312156</v>
      </c>
      <c r="K755" s="73">
        <f t="shared" si="203"/>
        <v>0</v>
      </c>
      <c r="L755" s="74">
        <f t="shared" si="204"/>
        <v>1506582085.9492013</v>
      </c>
    </row>
    <row r="756" spans="3:12" x14ac:dyDescent="0.35">
      <c r="C756" s="69">
        <v>11</v>
      </c>
      <c r="D756" s="75">
        <v>0</v>
      </c>
      <c r="E756" s="126">
        <f t="shared" si="205"/>
        <v>135762263.39738366</v>
      </c>
      <c r="F756" s="71">
        <v>0</v>
      </c>
      <c r="G756" s="128">
        <f>IF(
    $H$6="Alkaline",
    IF(
        OR(
            Data!$C$37=C755,
            MOD(C755,Data!$C$37)=0
        ),
        $D$8,
        G755*Data!$C$42
    ),
    IF(
        $H$6="PEM",
        IF(
            OR(
                Data!$H$37=C755,
                MOD(C755,Data!$H$37)=0
            ),
            $D$8,
            G755*Data!$H$42
        ),
        ""
    )
)</f>
        <v>915661603.01018512</v>
      </c>
      <c r="H756" s="76">
        <f t="shared" si="200"/>
        <v>1.7103393581163138</v>
      </c>
      <c r="I756" s="73">
        <f t="shared" si="201"/>
        <v>0</v>
      </c>
      <c r="J756" s="73">
        <f t="shared" si="206"/>
        <v>321418471.40593606</v>
      </c>
      <c r="K756" s="73">
        <f t="shared" si="203"/>
        <v>0</v>
      </c>
      <c r="L756" s="74">
        <f t="shared" si="204"/>
        <v>1566092078.3441949</v>
      </c>
    </row>
    <row r="757" spans="3:12" x14ac:dyDescent="0.35">
      <c r="C757" s="69">
        <v>12</v>
      </c>
      <c r="D757" s="75">
        <v>0</v>
      </c>
      <c r="E757" s="126">
        <f t="shared" si="205"/>
        <v>135762263.39738366</v>
      </c>
      <c r="F757" s="71">
        <v>0</v>
      </c>
      <c r="G757" s="128">
        <f>IF(
    $H$6="Alkaline",
    IF(
        OR(
            Data!$C$37=C756,
            MOD(C756,Data!$C$37)=0
        ),
        $D$8,
        G756*Data!$C$42
    ),
    IF(
        $H$6="PEM",
        IF(
            OR(
                Data!$H$37=C756,
                MOD(C756,Data!$H$37)=0
            ),
            $D$8,
            G756*Data!$H$42
        ),
        ""
    )
)</f>
        <v>906504986.98008323</v>
      </c>
      <c r="H757" s="76">
        <f t="shared" si="200"/>
        <v>1.7958563260221292</v>
      </c>
      <c r="I757" s="73">
        <f t="shared" si="201"/>
        <v>0</v>
      </c>
      <c r="J757" s="73">
        <f t="shared" si="206"/>
        <v>347614076.82551974</v>
      </c>
      <c r="K757" s="73">
        <f t="shared" si="203"/>
        <v>0</v>
      </c>
      <c r="L757" s="74">
        <f t="shared" si="204"/>
        <v>1627952715.4387903</v>
      </c>
    </row>
    <row r="758" spans="3:12" x14ac:dyDescent="0.35">
      <c r="C758" s="69">
        <v>13</v>
      </c>
      <c r="D758" s="75">
        <v>0</v>
      </c>
      <c r="E758" s="126">
        <f t="shared" si="205"/>
        <v>135762263.39738366</v>
      </c>
      <c r="F758" s="71">
        <v>0</v>
      </c>
      <c r="G758" s="128">
        <f>IF(
    $H$6="Alkaline",
    IF(
        OR(
            Data!$C$37=C757,
            MOD(C757,Data!$C$37)=0
        ),
        $D$8,
        G757*Data!$C$42
    ),
    IF(
        $H$6="PEM",
        IF(
            OR(
                Data!$H$37=C757,
                MOD(C757,Data!$H$37)=0
            ),
            $D$8,
            G757*Data!$H$42
        ),
        ""
    )
)</f>
        <v>897439937.11028242</v>
      </c>
      <c r="H758" s="76">
        <f t="shared" si="200"/>
        <v>1.885649142323236</v>
      </c>
      <c r="I758" s="73">
        <f t="shared" si="201"/>
        <v>0</v>
      </c>
      <c r="J758" s="73">
        <f t="shared" si="206"/>
        <v>375944624.08679962</v>
      </c>
      <c r="K758" s="73">
        <f t="shared" si="203"/>
        <v>0</v>
      </c>
      <c r="L758" s="74">
        <f t="shared" si="204"/>
        <v>1692256847.6986229</v>
      </c>
    </row>
    <row r="759" spans="3:12" x14ac:dyDescent="0.35">
      <c r="C759" s="69">
        <v>14</v>
      </c>
      <c r="D759" s="75">
        <v>0</v>
      </c>
      <c r="E759" s="126">
        <f t="shared" si="205"/>
        <v>135762263.39738366</v>
      </c>
      <c r="F759" s="71">
        <v>0</v>
      </c>
      <c r="G759" s="128">
        <f>IF(
    $H$6="Alkaline",
    IF(
        OR(
            Data!$C$37=C758,
            MOD(C758,Data!$C$37)=0
        ),
        $D$8,
        G758*Data!$C$42
    ),
    IF(
        $H$6="PEM",
        IF(
            OR(
                Data!$H$37=C758,
                MOD(C758,Data!$H$37)=0
            ),
            $D$8,
            G758*Data!$H$42
        ),
        ""
    )
)</f>
        <v>888465537.73917961</v>
      </c>
      <c r="H759" s="76">
        <f t="shared" si="200"/>
        <v>1.9799315994393973</v>
      </c>
      <c r="I759" s="73">
        <f t="shared" si="201"/>
        <v>0</v>
      </c>
      <c r="J759" s="73">
        <f t="shared" si="206"/>
        <v>406584110.94987375</v>
      </c>
      <c r="K759" s="73">
        <f t="shared" si="203"/>
        <v>0</v>
      </c>
      <c r="L759" s="74">
        <f t="shared" si="204"/>
        <v>1759100993.182718</v>
      </c>
    </row>
    <row r="760" spans="3:12" x14ac:dyDescent="0.35">
      <c r="C760" s="69">
        <v>15</v>
      </c>
      <c r="D760" s="75">
        <v>0</v>
      </c>
      <c r="E760" s="126">
        <f t="shared" si="205"/>
        <v>135762263.39738366</v>
      </c>
      <c r="F760" s="71">
        <v>0</v>
      </c>
      <c r="G760" s="128">
        <f>IF(
    $H$6="Alkaline",
    IF(
        OR(
            Data!$C$37=C759,
            MOD(C759,Data!$C$37)=0
        ),
        $D$8,
        G759*Data!$C$42
    ),
    IF(
        $H$6="PEM",
        IF(
            OR(
                Data!$H$37=C759,
                MOD(C759,Data!$H$37)=0
            ),
            $D$8,
            G759*Data!$H$42
        ),
        ""
    )
)</f>
        <v>943690143.97642899</v>
      </c>
      <c r="H760" s="76">
        <f t="shared" si="200"/>
        <v>2.0789281794113679</v>
      </c>
      <c r="I760" s="73">
        <f t="shared" si="201"/>
        <v>0</v>
      </c>
      <c r="J760" s="73">
        <f t="shared" si="206"/>
        <v>439720715.99228859</v>
      </c>
      <c r="K760" s="73">
        <f t="shared" si="203"/>
        <v>0</v>
      </c>
      <c r="L760" s="74">
        <f t="shared" si="204"/>
        <v>1961864032.9453692</v>
      </c>
    </row>
    <row r="761" spans="3:12" x14ac:dyDescent="0.35">
      <c r="C761" s="69">
        <v>16</v>
      </c>
      <c r="D761" s="75">
        <v>0</v>
      </c>
      <c r="E761" s="126">
        <f t="shared" si="205"/>
        <v>135762263.39738366</v>
      </c>
      <c r="F761" s="71">
        <v>0</v>
      </c>
      <c r="G761" s="128">
        <f>IF(
    $H$6="Alkaline",
    IF(
        OR(
            Data!$C$37=C760,
            MOD(C760,Data!$C$37)=0
        ),
        $D$8,
        G760*Data!$C$42
    ),
    IF(
        $H$6="PEM",
        IF(
            OR(
                Data!$H$37=C760,
                MOD(C760,Data!$H$37)=0
            ),
            $D$8,
            G760*Data!$H$42
        ),
        ""
    )
)</f>
        <v>934253242.53666472</v>
      </c>
      <c r="H761" s="76">
        <f t="shared" si="200"/>
        <v>2.182874588381936</v>
      </c>
      <c r="I761" s="73">
        <f t="shared" si="201"/>
        <v>0</v>
      </c>
      <c r="J761" s="73">
        <f t="shared" si="206"/>
        <v>475557954.34566003</v>
      </c>
      <c r="K761" s="73">
        <f t="shared" si="203"/>
        <v>0</v>
      </c>
      <c r="L761" s="74">
        <f t="shared" si="204"/>
        <v>2039357662.246711</v>
      </c>
    </row>
    <row r="762" spans="3:12" x14ac:dyDescent="0.35">
      <c r="C762" s="69">
        <v>17</v>
      </c>
      <c r="D762" s="75">
        <v>0</v>
      </c>
      <c r="E762" s="126">
        <f t="shared" si="205"/>
        <v>135762263.39738366</v>
      </c>
      <c r="F762" s="71">
        <v>0</v>
      </c>
      <c r="G762" s="128">
        <f>IF(
    $H$6="Alkaline",
    IF(
        OR(
            Data!$C$37=C761,
            MOD(C761,Data!$C$37)=0
        ),
        $D$8,
        G761*Data!$C$42
    ),
    IF(
        $H$6="PEM",
        IF(
            OR(
                Data!$H$37=C761,
                MOD(C761,Data!$H$37)=0
            ),
            $D$8,
            G761*Data!$H$42
        ),
        ""
    )
)</f>
        <v>924910710.11129808</v>
      </c>
      <c r="H762" s="76">
        <f t="shared" si="200"/>
        <v>2.2920183178010332</v>
      </c>
      <c r="I762" s="73">
        <f t="shared" si="201"/>
        <v>0</v>
      </c>
      <c r="J762" s="73">
        <f t="shared" si="206"/>
        <v>514315927.62483138</v>
      </c>
      <c r="K762" s="73">
        <f t="shared" si="203"/>
        <v>0</v>
      </c>
      <c r="L762" s="74">
        <f t="shared" si="204"/>
        <v>2119912289.9054565</v>
      </c>
    </row>
    <row r="763" spans="3:12" x14ac:dyDescent="0.35">
      <c r="C763" s="69">
        <v>18</v>
      </c>
      <c r="D763" s="75">
        <v>0</v>
      </c>
      <c r="E763" s="126">
        <f t="shared" si="205"/>
        <v>135762263.39738366</v>
      </c>
      <c r="F763" s="71">
        <v>0</v>
      </c>
      <c r="G763" s="128">
        <f>IF(
    $H$6="Alkaline",
    IF(
        OR(
            Data!$C$37=C762,
            MOD(C762,Data!$C$37)=0
        ),
        $D$8,
        G762*Data!$C$42
    ),
    IF(
        $H$6="PEM",
        IF(
            OR(
                Data!$H$37=C762,
                MOD(C762,Data!$H$37)=0
            ),
            $D$8,
            G762*Data!$H$42
        ),
        ""
    )
)</f>
        <v>915661603.01018512</v>
      </c>
      <c r="H763" s="76">
        <f t="shared" si="200"/>
        <v>2.4066192336910848</v>
      </c>
      <c r="I763" s="73">
        <f t="shared" si="201"/>
        <v>0</v>
      </c>
      <c r="J763" s="73">
        <f t="shared" si="206"/>
        <v>556232675.72625506</v>
      </c>
      <c r="K763" s="73">
        <f t="shared" si="203"/>
        <v>0</v>
      </c>
      <c r="L763" s="74">
        <f t="shared" si="204"/>
        <v>2203648825.3567219</v>
      </c>
    </row>
    <row r="764" spans="3:12" x14ac:dyDescent="0.35">
      <c r="C764" s="69">
        <v>19</v>
      </c>
      <c r="D764" s="75">
        <v>0</v>
      </c>
      <c r="E764" s="126">
        <f t="shared" si="205"/>
        <v>135762263.39738366</v>
      </c>
      <c r="F764" s="71">
        <v>0</v>
      </c>
      <c r="G764" s="128">
        <f>IF(
    $H$6="Alkaline",
    IF(
        OR(
            Data!$C$37=C763,
            MOD(C763,Data!$C$37)=0
        ),
        $D$8,
        G763*Data!$C$42
    ),
    IF(
        $H$6="PEM",
        IF(
            OR(
                Data!$H$37=C763,
                MOD(C763,Data!$H$37)=0
            ),
            $D$8,
            G763*Data!$H$42
        ),
        ""
    )
)</f>
        <v>906504986.98008323</v>
      </c>
      <c r="H764" s="76">
        <f t="shared" si="200"/>
        <v>2.526950195375639</v>
      </c>
      <c r="I764" s="73">
        <f t="shared" si="201"/>
        <v>0</v>
      </c>
      <c r="J764" s="73">
        <f t="shared" si="206"/>
        <v>601565638.7979449</v>
      </c>
      <c r="K764" s="73">
        <f t="shared" si="203"/>
        <v>0</v>
      </c>
      <c r="L764" s="74">
        <f t="shared" si="204"/>
        <v>2290692953.9583125</v>
      </c>
    </row>
    <row r="765" spans="3:12" x14ac:dyDescent="0.35">
      <c r="C765" s="69">
        <v>20</v>
      </c>
      <c r="D765" s="75">
        <v>0</v>
      </c>
      <c r="E765" s="126">
        <f t="shared" si="205"/>
        <v>135762263.39738366</v>
      </c>
      <c r="F765" s="71">
        <v>0</v>
      </c>
      <c r="G765" s="128">
        <f>IF(
    $H$6="Alkaline",
    IF(
        OR(
            Data!$C$37=C764,
            MOD(C764,Data!$C$37)=0
        ),
        $D$8,
        G764*Data!$C$42
    ),
    IF(
        $H$6="PEM",
        IF(
            OR(
                Data!$H$37=C764,
                MOD(C764,Data!$H$37)=0
            ),
            $D$8,
            G764*Data!$H$42
        ),
        ""
    )
)</f>
        <v>897439937.11028242</v>
      </c>
      <c r="H765" s="76">
        <f t="shared" si="200"/>
        <v>2.6532977051444209</v>
      </c>
      <c r="I765" s="73">
        <f t="shared" si="201"/>
        <v>0</v>
      </c>
      <c r="J765" s="73">
        <f t="shared" si="206"/>
        <v>650593238.35997736</v>
      </c>
      <c r="K765" s="73">
        <f t="shared" si="203"/>
        <v>0</v>
      </c>
      <c r="L765" s="74">
        <f t="shared" si="204"/>
        <v>2381175325.6396656</v>
      </c>
    </row>
    <row r="766" spans="3:12" x14ac:dyDescent="0.35">
      <c r="C766" s="69">
        <v>21</v>
      </c>
      <c r="D766" s="75">
        <v>0</v>
      </c>
      <c r="E766" s="126">
        <f t="shared" si="205"/>
        <v>135762263.39738366</v>
      </c>
      <c r="F766" s="71">
        <v>0</v>
      </c>
      <c r="G766" s="128">
        <f>IF(
    $H$6="Alkaline",
    IF(
        OR(
            Data!$C$37=C765,
            MOD(C765,Data!$C$37)=0
        ),
        $D$8,
        G765*Data!$C$42
    ),
    IF(
        $H$6="PEM",
        IF(
            OR(
                Data!$H$37=C765,
                MOD(C765,Data!$H$37)=0
            ),
            $D$8,
            G765*Data!$H$42
        ),
        ""
    )
)</f>
        <v>888465537.73917961</v>
      </c>
      <c r="H766" s="76">
        <f t="shared" si="200"/>
        <v>2.7859625904016418</v>
      </c>
      <c r="I766" s="73">
        <f t="shared" si="201"/>
        <v>0</v>
      </c>
      <c r="J766" s="73">
        <f t="shared" si="206"/>
        <v>703616587.28631544</v>
      </c>
      <c r="K766" s="73">
        <f t="shared" si="203"/>
        <v>0</v>
      </c>
      <c r="L766" s="74">
        <f t="shared" si="204"/>
        <v>2475231751.0024323</v>
      </c>
    </row>
    <row r="767" spans="3:12" x14ac:dyDescent="0.35">
      <c r="C767" s="69">
        <v>22</v>
      </c>
      <c r="D767" s="75">
        <v>0</v>
      </c>
      <c r="E767" s="126">
        <f t="shared" si="205"/>
        <v>135762263.39738366</v>
      </c>
      <c r="F767" s="71">
        <v>0</v>
      </c>
      <c r="G767" s="128">
        <f>IF(
    $H$6="Alkaline",
    IF(
        OR(
            Data!$C$37=C766,
            MOD(C766,Data!$C$37)=0
        ),
        $D$8,
        G766*Data!$C$42
    ),
    IF(
        $H$6="PEM",
        IF(
            OR(
                Data!$H$37=C766,
                MOD(C766,Data!$H$37)=0
            ),
            $D$8,
            G766*Data!$H$42
        ),
        ""
    )
)</f>
        <v>943690143.97642899</v>
      </c>
      <c r="H767" s="76">
        <f t="shared" si="200"/>
        <v>2.9252607199217238</v>
      </c>
      <c r="I767" s="73">
        <f t="shared" si="201"/>
        <v>0</v>
      </c>
      <c r="J767" s="73">
        <f t="shared" si="206"/>
        <v>760961339.15015018</v>
      </c>
      <c r="K767" s="73">
        <f t="shared" si="203"/>
        <v>0</v>
      </c>
      <c r="L767" s="74">
        <f t="shared" si="204"/>
        <v>2760539709.9515238</v>
      </c>
    </row>
    <row r="768" spans="3:12" x14ac:dyDescent="0.35">
      <c r="C768" s="69">
        <v>23</v>
      </c>
      <c r="D768" s="75">
        <v>0</v>
      </c>
      <c r="E768" s="126">
        <f t="shared" si="205"/>
        <v>135762263.39738366</v>
      </c>
      <c r="F768" s="71">
        <v>0</v>
      </c>
      <c r="G768" s="128">
        <f>IF(
    $H$6="Alkaline",
    IF(
        OR(
            Data!$C$37=C767,
            MOD(C767,Data!$C$37)=0
        ),
        $D$8,
        G767*Data!$C$42
    ),
    IF(
        $H$6="PEM",
        IF(
            OR(
                Data!$H$37=C767,
                MOD(C767,Data!$H$37)=0
            ),
            $D$8,
            G767*Data!$H$42
        ),
        ""
    )
)</f>
        <v>934253242.53666472</v>
      </c>
      <c r="H768" s="76">
        <f t="shared" si="200"/>
        <v>3.0715237559178106</v>
      </c>
      <c r="I768" s="73">
        <f t="shared" si="201"/>
        <v>0</v>
      </c>
      <c r="J768" s="73">
        <f t="shared" si="206"/>
        <v>822979688.29088759</v>
      </c>
      <c r="K768" s="73">
        <f t="shared" si="203"/>
        <v>0</v>
      </c>
      <c r="L768" s="74">
        <f t="shared" si="204"/>
        <v>2869581028.4946098</v>
      </c>
    </row>
    <row r="769" spans="1:13" x14ac:dyDescent="0.35">
      <c r="C769" s="69">
        <v>24</v>
      </c>
      <c r="D769" s="75">
        <v>0</v>
      </c>
      <c r="E769" s="126">
        <f t="shared" si="205"/>
        <v>135762263.39738366</v>
      </c>
      <c r="F769" s="71">
        <v>0</v>
      </c>
      <c r="G769" s="128">
        <f>IF(
    $H$6="Alkaline",
    IF(
        OR(
            Data!$C$37=C768,
            MOD(C768,Data!$C$37)=0
        ),
        $D$8,
        G768*Data!$C$42
    ),
    IF(
        $H$6="PEM",
        IF(
            OR(
                Data!$H$37=C768,
                MOD(C768,Data!$H$37)=0
            ),
            $D$8,
            G768*Data!$H$42
        ),
        ""
    )
)</f>
        <v>924910710.11129808</v>
      </c>
      <c r="H769" s="76">
        <f t="shared" si="200"/>
        <v>3.2250999437137007</v>
      </c>
      <c r="I769" s="73">
        <f t="shared" si="201"/>
        <v>0</v>
      </c>
      <c r="J769" s="73">
        <f t="shared" si="206"/>
        <v>890052532.88659477</v>
      </c>
      <c r="K769" s="73">
        <f t="shared" si="203"/>
        <v>0</v>
      </c>
      <c r="L769" s="74">
        <f t="shared" si="204"/>
        <v>2982929479.1201463</v>
      </c>
    </row>
    <row r="770" spans="1:13" ht="15" thickBot="1" x14ac:dyDescent="0.4">
      <c r="C770" s="69">
        <v>25</v>
      </c>
      <c r="D770" s="75">
        <v>0</v>
      </c>
      <c r="E770" s="126">
        <f t="shared" si="205"/>
        <v>135762263.39738366</v>
      </c>
      <c r="F770" s="71">
        <v>0</v>
      </c>
      <c r="G770" s="128">
        <f>IF(
    $H$6="Alkaline",
    IF(
        OR(
            Data!$C$37=C769,
            MOD(C769,Data!$C$37)=0
        ),
        $D$8,
        G769*Data!$C$42
    ),
    IF(
        $H$6="PEM",
        IF(
            OR(
                Data!$H$37=C769,
                MOD(C769,Data!$H$37)=0
            ),
            $D$8,
            G769*Data!$H$42
        ),
        ""
    )
)</f>
        <v>915661603.01018512</v>
      </c>
      <c r="H770" s="76">
        <f t="shared" si="200"/>
        <v>3.3863549408993858</v>
      </c>
      <c r="I770" s="73">
        <f t="shared" si="201"/>
        <v>0</v>
      </c>
      <c r="J770" s="73">
        <f t="shared" si="206"/>
        <v>962591814.31685221</v>
      </c>
      <c r="K770" s="73">
        <f t="shared" si="203"/>
        <v>0</v>
      </c>
      <c r="L770" s="74">
        <f t="shared" si="204"/>
        <v>3100755193.5453925</v>
      </c>
    </row>
    <row r="771" spans="1:13" ht="15" thickBot="1" x14ac:dyDescent="0.4">
      <c r="C771" s="70" t="s">
        <v>26</v>
      </c>
      <c r="D771" s="77">
        <f>SUM(D745:D770)</f>
        <v>6788113169.8691835</v>
      </c>
      <c r="E771" s="77">
        <f>SUM(E745:E770)</f>
        <v>3394056584.9345918</v>
      </c>
      <c r="F771" s="77">
        <f>SUM(F745:F770)</f>
        <v>0</v>
      </c>
      <c r="G771" s="149">
        <f>SUM(G745:G770)</f>
        <v>22951294184.026939</v>
      </c>
      <c r="H771" s="77">
        <f>SUM(H745:H770)</f>
        <v>51.113453758887083</v>
      </c>
      <c r="I771" s="77">
        <f t="shared" ref="I771:K771" si="207">SUM(I745:I770)</f>
        <v>6788113169.8691835</v>
      </c>
      <c r="J771" s="77">
        <f t="shared" si="207"/>
        <v>10971977414.96203</v>
      </c>
      <c r="K771" s="77">
        <f t="shared" si="207"/>
        <v>0</v>
      </c>
      <c r="L771" s="77">
        <f>SUM(L745:L770)</f>
        <v>45995618724.782455</v>
      </c>
    </row>
    <row r="773" spans="1:13" ht="15" thickBot="1" x14ac:dyDescent="0.4">
      <c r="A773">
        <v>22</v>
      </c>
      <c r="B773">
        <v>107</v>
      </c>
      <c r="C773" s="133" t="s">
        <v>111</v>
      </c>
    </row>
    <row r="774" spans="1:13" ht="19" thickBot="1" x14ac:dyDescent="0.5">
      <c r="C774" s="58" t="s">
        <v>15</v>
      </c>
      <c r="D774" s="58" t="s">
        <v>16</v>
      </c>
      <c r="E774" s="58" t="s">
        <v>17</v>
      </c>
      <c r="F774" s="58" t="s">
        <v>18</v>
      </c>
      <c r="G774" s="59" t="s">
        <v>19</v>
      </c>
      <c r="H774" s="58" t="s">
        <v>20</v>
      </c>
      <c r="I774" s="59" t="s">
        <v>21</v>
      </c>
      <c r="J774" s="58" t="s">
        <v>22</v>
      </c>
      <c r="K774" s="58" t="s">
        <v>23</v>
      </c>
      <c r="L774" s="58" t="s">
        <v>24</v>
      </c>
      <c r="M774" s="152" t="s">
        <v>253</v>
      </c>
    </row>
    <row r="775" spans="1:13" ht="18.5" x14ac:dyDescent="0.45">
      <c r="C775" s="68">
        <v>0</v>
      </c>
      <c r="D775" s="71">
        <f>$G$107</f>
        <v>4072867901.9215107</v>
      </c>
      <c r="E775" s="71">
        <v>0</v>
      </c>
      <c r="F775" s="71">
        <v>0</v>
      </c>
      <c r="G775" s="127">
        <v>0</v>
      </c>
      <c r="H775" s="72">
        <f t="shared" ref="H775:H800" si="208">(1+$D$14)^$C775</f>
        <v>1</v>
      </c>
      <c r="I775" s="73">
        <f t="shared" ref="I775:I800" si="209">D775*$H775*(1+$D$15)^C775</f>
        <v>4072867901.9215107</v>
      </c>
      <c r="J775" s="73">
        <f t="shared" ref="J775:J800" si="210">E775*$H775*(1+$D$15)^C775</f>
        <v>0</v>
      </c>
      <c r="K775" s="73">
        <f t="shared" ref="K775:K800" si="211">F775*$H775*(1+$D$15)^C775</f>
        <v>0</v>
      </c>
      <c r="L775" s="74">
        <f t="shared" ref="L775:L800" si="212">G775*$H775</f>
        <v>0</v>
      </c>
      <c r="M775" s="153">
        <f>(I801+J801+K801)/L801</f>
        <v>8.8549040426910225E-2</v>
      </c>
    </row>
    <row r="776" spans="1:13" x14ac:dyDescent="0.35">
      <c r="C776" s="69">
        <v>1</v>
      </c>
      <c r="D776" s="75">
        <v>0</v>
      </c>
      <c r="E776" s="126">
        <f>$K$107</f>
        <v>0</v>
      </c>
      <c r="F776" s="71">
        <f>0</f>
        <v>0</v>
      </c>
      <c r="G776" s="128">
        <f>$D$8</f>
        <v>943690143.97642899</v>
      </c>
      <c r="H776" s="76">
        <f t="shared" si="208"/>
        <v>1.05</v>
      </c>
      <c r="I776" s="73">
        <f t="shared" si="209"/>
        <v>0</v>
      </c>
      <c r="J776" s="73">
        <f t="shared" si="210"/>
        <v>0</v>
      </c>
      <c r="K776" s="73">
        <f t="shared" si="211"/>
        <v>0</v>
      </c>
      <c r="L776" s="97">
        <f t="shared" si="212"/>
        <v>990874651.17525053</v>
      </c>
    </row>
    <row r="777" spans="1:13" x14ac:dyDescent="0.35">
      <c r="C777" s="69">
        <v>2</v>
      </c>
      <c r="D777" s="75">
        <v>0</v>
      </c>
      <c r="E777" s="126">
        <f t="shared" ref="E777:E800" si="213">$K$107</f>
        <v>0</v>
      </c>
      <c r="F777" s="71">
        <f>0</f>
        <v>0</v>
      </c>
      <c r="G777" s="128">
        <f>IF(
    $H$6="Alkaline",
    IF(
        OR(
            Data!$C$37=C776,
            MOD(C776,Data!$C$37)=0
        ),
        $D$8,
        G776*Data!$C$42
    ),
    IF(
        $H$6="PEM",
        IF(
            OR(
                Data!$H$37=C776,
                MOD(C776,Data!$H$37)=0
            ),
            $D$8,
            G776*Data!$H$42
        ),
        ""
    )
)</f>
        <v>934253242.53666472</v>
      </c>
      <c r="H777" s="76">
        <f t="shared" si="208"/>
        <v>1.1025</v>
      </c>
      <c r="I777" s="73">
        <f t="shared" si="209"/>
        <v>0</v>
      </c>
      <c r="J777" s="73">
        <f t="shared" si="210"/>
        <v>0</v>
      </c>
      <c r="K777" s="73">
        <f t="shared" si="211"/>
        <v>0</v>
      </c>
      <c r="L777" s="74">
        <f t="shared" si="212"/>
        <v>1030014199.8966728</v>
      </c>
    </row>
    <row r="778" spans="1:13" x14ac:dyDescent="0.35">
      <c r="C778" s="69">
        <v>3</v>
      </c>
      <c r="D778" s="75">
        <v>0</v>
      </c>
      <c r="E778" s="126">
        <f t="shared" si="213"/>
        <v>0</v>
      </c>
      <c r="F778" s="71">
        <f>0</f>
        <v>0</v>
      </c>
      <c r="G778" s="128">
        <f>IF(
    $H$6="Alkaline",
    IF(
        OR(
            Data!$C$37=C777,
            MOD(C777,Data!$C$37)=0
        ),
        $D$8,
        G777*Data!$C$42
    ),
    IF(
        $H$6="PEM",
        IF(
            OR(
                Data!$H$37=C777,
                MOD(C777,Data!$H$37)=0
            ),
            $D$8,
            G777*Data!$H$42
        ),
        ""
    )
)</f>
        <v>924910710.11129808</v>
      </c>
      <c r="H778" s="76">
        <f t="shared" si="208"/>
        <v>1.1576250000000001</v>
      </c>
      <c r="I778" s="73">
        <f t="shared" si="209"/>
        <v>0</v>
      </c>
      <c r="J778" s="73">
        <f t="shared" si="210"/>
        <v>0</v>
      </c>
      <c r="K778" s="73">
        <f t="shared" si="211"/>
        <v>0</v>
      </c>
      <c r="L778" s="74">
        <f t="shared" si="212"/>
        <v>1070699760.7925916</v>
      </c>
    </row>
    <row r="779" spans="1:13" x14ac:dyDescent="0.35">
      <c r="C779" s="69">
        <v>4</v>
      </c>
      <c r="D779" s="75">
        <v>0</v>
      </c>
      <c r="E779" s="126">
        <f t="shared" si="213"/>
        <v>0</v>
      </c>
      <c r="F779" s="71">
        <f>0</f>
        <v>0</v>
      </c>
      <c r="G779" s="128">
        <f>IF(
    $H$6="Alkaline",
    IF(
        OR(
            Data!$C$37=C778,
            MOD(C778,Data!$C$37)=0
        ),
        $D$8,
        G778*Data!$C$42
    ),
    IF(
        $H$6="PEM",
        IF(
            OR(
                Data!$H$37=C778,
                MOD(C778,Data!$H$37)=0
            ),
            $D$8,
            G778*Data!$H$42
        ),
        ""
    )
)</f>
        <v>915661603.01018512</v>
      </c>
      <c r="H779" s="76">
        <f t="shared" si="208"/>
        <v>1.21550625</v>
      </c>
      <c r="I779" s="73">
        <f t="shared" si="209"/>
        <v>0</v>
      </c>
      <c r="J779" s="73">
        <f t="shared" si="210"/>
        <v>0</v>
      </c>
      <c r="K779" s="73">
        <f t="shared" si="211"/>
        <v>0</v>
      </c>
      <c r="L779" s="74">
        <f t="shared" si="212"/>
        <v>1112992401.3438988</v>
      </c>
    </row>
    <row r="780" spans="1:13" x14ac:dyDescent="0.35">
      <c r="C780" s="69">
        <v>5</v>
      </c>
      <c r="D780" s="75">
        <v>0</v>
      </c>
      <c r="E780" s="126">
        <f t="shared" si="213"/>
        <v>0</v>
      </c>
      <c r="F780" s="71">
        <f>0</f>
        <v>0</v>
      </c>
      <c r="G780" s="128">
        <f>IF(
    $H$6="Alkaline",
    IF(
        OR(
            Data!$C$37=C779,
            MOD(C779,Data!$C$37)=0
        ),
        $D$8,
        G779*Data!$C$42
    ),
    IF(
        $H$6="PEM",
        IF(
            OR(
                Data!$H$37=C779,
                MOD(C779,Data!$H$37)=0
            ),
            $D$8,
            G779*Data!$H$42
        ),
        ""
    )
)</f>
        <v>906504986.98008323</v>
      </c>
      <c r="H780" s="76">
        <f t="shared" si="208"/>
        <v>1.2762815625000001</v>
      </c>
      <c r="I780" s="73">
        <f t="shared" si="209"/>
        <v>0</v>
      </c>
      <c r="J780" s="73">
        <f t="shared" si="210"/>
        <v>0</v>
      </c>
      <c r="K780" s="73">
        <f t="shared" si="211"/>
        <v>0</v>
      </c>
      <c r="L780" s="74">
        <f t="shared" si="212"/>
        <v>1156955601.1969829</v>
      </c>
    </row>
    <row r="781" spans="1:13" x14ac:dyDescent="0.35">
      <c r="C781" s="69">
        <v>6</v>
      </c>
      <c r="D781" s="75">
        <v>0</v>
      </c>
      <c r="E781" s="126">
        <f t="shared" si="213"/>
        <v>0</v>
      </c>
      <c r="F781" s="71">
        <f>0</f>
        <v>0</v>
      </c>
      <c r="G781" s="128">
        <f>IF(
    $H$6="Alkaline",
    IF(
        OR(
            Data!$C$37=C780,
            MOD(C780,Data!$C$37)=0
        ),
        $D$8,
        G780*Data!$C$42
    ),
    IF(
        $H$6="PEM",
        IF(
            OR(
                Data!$H$37=C780,
                MOD(C780,Data!$H$37)=0
            ),
            $D$8,
            G780*Data!$H$42
        ),
        ""
    )
)</f>
        <v>897439937.11028242</v>
      </c>
      <c r="H781" s="76">
        <f t="shared" si="208"/>
        <v>1.340095640625</v>
      </c>
      <c r="I781" s="73">
        <f t="shared" si="209"/>
        <v>0</v>
      </c>
      <c r="J781" s="73">
        <f t="shared" si="210"/>
        <v>0</v>
      </c>
      <c r="K781" s="73">
        <f t="shared" si="211"/>
        <v>0</v>
      </c>
      <c r="L781" s="74">
        <f t="shared" si="212"/>
        <v>1202655347.4442637</v>
      </c>
    </row>
    <row r="782" spans="1:13" x14ac:dyDescent="0.35">
      <c r="C782" s="69">
        <v>7</v>
      </c>
      <c r="D782" s="75">
        <v>0</v>
      </c>
      <c r="E782" s="126">
        <f t="shared" si="213"/>
        <v>0</v>
      </c>
      <c r="F782" s="71">
        <f>0</f>
        <v>0</v>
      </c>
      <c r="G782" s="128">
        <f>IF(
    $H$6="Alkaline",
    IF(
        OR(
            Data!$C$37=C781,
            MOD(C781,Data!$C$37)=0
        ),
        $D$8,
        G781*Data!$C$42
    ),
    IF(
        $H$6="PEM",
        IF(
            OR(
                Data!$H$37=C781,
                MOD(C781,Data!$H$37)=0
            ),
            $D$8,
            G781*Data!$H$42
        ),
        ""
    )
)</f>
        <v>888465537.73917961</v>
      </c>
      <c r="H782" s="76">
        <f t="shared" si="208"/>
        <v>1.4071004226562502</v>
      </c>
      <c r="I782" s="73">
        <f t="shared" si="209"/>
        <v>0</v>
      </c>
      <c r="J782" s="73">
        <f t="shared" si="210"/>
        <v>0</v>
      </c>
      <c r="K782" s="73">
        <f t="shared" si="211"/>
        <v>0</v>
      </c>
      <c r="L782" s="74">
        <f t="shared" si="212"/>
        <v>1250160233.6683123</v>
      </c>
    </row>
    <row r="783" spans="1:13" x14ac:dyDescent="0.35">
      <c r="C783" s="69">
        <v>8</v>
      </c>
      <c r="D783" s="75">
        <v>0</v>
      </c>
      <c r="E783" s="126">
        <f t="shared" si="213"/>
        <v>0</v>
      </c>
      <c r="F783" s="71">
        <f>0</f>
        <v>0</v>
      </c>
      <c r="G783" s="128">
        <f>IF(
    $H$6="Alkaline",
    IF(
        OR(
            Data!$C$37=C782,
            MOD(C782,Data!$C$37)=0
        ),
        $D$8,
        G782*Data!$C$42
    ),
    IF(
        $H$6="PEM",
        IF(
            OR(
                Data!$H$37=C782,
                MOD(C782,Data!$H$37)=0
            ),
            $D$8,
            G782*Data!$H$42
        ),
        ""
    )
)</f>
        <v>943690143.97642899</v>
      </c>
      <c r="H783" s="76">
        <f t="shared" si="208"/>
        <v>1.4774554437890626</v>
      </c>
      <c r="I783" s="73">
        <f t="shared" si="209"/>
        <v>0</v>
      </c>
      <c r="J783" s="73">
        <f t="shared" si="210"/>
        <v>0</v>
      </c>
      <c r="K783" s="73">
        <f t="shared" si="211"/>
        <v>0</v>
      </c>
      <c r="L783" s="74">
        <f t="shared" si="212"/>
        <v>1394260140.4680593</v>
      </c>
    </row>
    <row r="784" spans="1:13" x14ac:dyDescent="0.35">
      <c r="C784" s="69">
        <v>9</v>
      </c>
      <c r="D784" s="75">
        <v>0</v>
      </c>
      <c r="E784" s="126">
        <f t="shared" si="213"/>
        <v>0</v>
      </c>
      <c r="F784" s="71">
        <f>0</f>
        <v>0</v>
      </c>
      <c r="G784" s="128">
        <f>IF(
    $H$6="Alkaline",
    IF(
        OR(
            Data!$C$37=C783,
            MOD(C783,Data!$C$37)=0
        ),
        $D$8,
        G783*Data!$C$42
    ),
    IF(
        $H$6="PEM",
        IF(
            OR(
                Data!$H$37=C783,
                MOD(C783,Data!$H$37)=0
            ),
            $D$8,
            G783*Data!$H$42
        ),
        ""
    )
)</f>
        <v>934253242.53666472</v>
      </c>
      <c r="H784" s="76">
        <f t="shared" si="208"/>
        <v>1.5513282159785158</v>
      </c>
      <c r="I784" s="73">
        <f t="shared" si="209"/>
        <v>0</v>
      </c>
      <c r="J784" s="73">
        <f t="shared" si="210"/>
        <v>0</v>
      </c>
      <c r="K784" s="73">
        <f t="shared" si="211"/>
        <v>0</v>
      </c>
      <c r="L784" s="74">
        <f t="shared" si="212"/>
        <v>1449333416.0165477</v>
      </c>
      <c r="M784" s="151"/>
    </row>
    <row r="785" spans="3:12" x14ac:dyDescent="0.35">
      <c r="C785" s="69">
        <v>10</v>
      </c>
      <c r="D785" s="75">
        <v>0</v>
      </c>
      <c r="E785" s="126">
        <f t="shared" si="213"/>
        <v>0</v>
      </c>
      <c r="F785" s="71">
        <f>0</f>
        <v>0</v>
      </c>
      <c r="G785" s="128">
        <f>IF(
    $H$6="Alkaline",
    IF(
        OR(
            Data!$C$37=C784,
            MOD(C784,Data!$C$37)=0
        ),
        $D$8,
        G784*Data!$C$42
    ),
    IF(
        $H$6="PEM",
        IF(
            OR(
                Data!$H$37=C784,
                MOD(C784,Data!$H$37)=0
            ),
            $D$8,
            G784*Data!$H$42
        ),
        ""
    )
)</f>
        <v>924910710.11129808</v>
      </c>
      <c r="H785" s="76">
        <f t="shared" si="208"/>
        <v>1.6288946267774416</v>
      </c>
      <c r="I785" s="73">
        <f t="shared" si="209"/>
        <v>0</v>
      </c>
      <c r="J785" s="73">
        <f t="shared" si="210"/>
        <v>0</v>
      </c>
      <c r="K785" s="73">
        <f t="shared" si="211"/>
        <v>0</v>
      </c>
      <c r="L785" s="74">
        <f t="shared" si="212"/>
        <v>1506582085.9492013</v>
      </c>
    </row>
    <row r="786" spans="3:12" x14ac:dyDescent="0.35">
      <c r="C786" s="69">
        <v>11</v>
      </c>
      <c r="D786" s="75">
        <v>0</v>
      </c>
      <c r="E786" s="126">
        <f t="shared" si="213"/>
        <v>0</v>
      </c>
      <c r="F786" s="71">
        <f>0</f>
        <v>0</v>
      </c>
      <c r="G786" s="128">
        <f>IF(
    $H$6="Alkaline",
    IF(
        OR(
            Data!$C$37=C785,
            MOD(C785,Data!$C$37)=0
        ),
        $D$8,
        G785*Data!$C$42
    ),
    IF(
        $H$6="PEM",
        IF(
            OR(
                Data!$H$37=C785,
                MOD(C785,Data!$H$37)=0
            ),
            $D$8,
            G785*Data!$H$42
        ),
        ""
    )
)</f>
        <v>915661603.01018512</v>
      </c>
      <c r="H786" s="76">
        <f t="shared" si="208"/>
        <v>1.7103393581163138</v>
      </c>
      <c r="I786" s="73">
        <f t="shared" si="209"/>
        <v>0</v>
      </c>
      <c r="J786" s="73">
        <f t="shared" si="210"/>
        <v>0</v>
      </c>
      <c r="K786" s="73">
        <f t="shared" si="211"/>
        <v>0</v>
      </c>
      <c r="L786" s="74">
        <f t="shared" si="212"/>
        <v>1566092078.3441949</v>
      </c>
    </row>
    <row r="787" spans="3:12" x14ac:dyDescent="0.35">
      <c r="C787" s="69">
        <v>12</v>
      </c>
      <c r="D787" s="75">
        <v>0</v>
      </c>
      <c r="E787" s="126">
        <f t="shared" si="213"/>
        <v>0</v>
      </c>
      <c r="F787" s="71">
        <f>0</f>
        <v>0</v>
      </c>
      <c r="G787" s="128">
        <f>IF(
    $H$6="Alkaline",
    IF(
        OR(
            Data!$C$37=C786,
            MOD(C786,Data!$C$37)=0
        ),
        $D$8,
        G786*Data!$C$42
    ),
    IF(
        $H$6="PEM",
        IF(
            OR(
                Data!$H$37=C786,
                MOD(C786,Data!$H$37)=0
            ),
            $D$8,
            G786*Data!$H$42
        ),
        ""
    )
)</f>
        <v>906504986.98008323</v>
      </c>
      <c r="H787" s="76">
        <f t="shared" si="208"/>
        <v>1.7958563260221292</v>
      </c>
      <c r="I787" s="73">
        <f t="shared" si="209"/>
        <v>0</v>
      </c>
      <c r="J787" s="73">
        <f t="shared" si="210"/>
        <v>0</v>
      </c>
      <c r="K787" s="73">
        <f t="shared" si="211"/>
        <v>0</v>
      </c>
      <c r="L787" s="74">
        <f t="shared" si="212"/>
        <v>1627952715.4387903</v>
      </c>
    </row>
    <row r="788" spans="3:12" x14ac:dyDescent="0.35">
      <c r="C788" s="69">
        <v>13</v>
      </c>
      <c r="D788" s="75">
        <v>0</v>
      </c>
      <c r="E788" s="126">
        <f t="shared" si="213"/>
        <v>0</v>
      </c>
      <c r="F788" s="71">
        <f>0</f>
        <v>0</v>
      </c>
      <c r="G788" s="128">
        <f>IF(
    $H$6="Alkaline",
    IF(
        OR(
            Data!$C$37=C787,
            MOD(C787,Data!$C$37)=0
        ),
        $D$8,
        G787*Data!$C$42
    ),
    IF(
        $H$6="PEM",
        IF(
            OR(
                Data!$H$37=C787,
                MOD(C787,Data!$H$37)=0
            ),
            $D$8,
            G787*Data!$H$42
        ),
        ""
    )
)</f>
        <v>897439937.11028242</v>
      </c>
      <c r="H788" s="76">
        <f t="shared" si="208"/>
        <v>1.885649142323236</v>
      </c>
      <c r="I788" s="73">
        <f t="shared" si="209"/>
        <v>0</v>
      </c>
      <c r="J788" s="73">
        <f t="shared" si="210"/>
        <v>0</v>
      </c>
      <c r="K788" s="73">
        <f t="shared" si="211"/>
        <v>0</v>
      </c>
      <c r="L788" s="74">
        <f t="shared" si="212"/>
        <v>1692256847.6986229</v>
      </c>
    </row>
    <row r="789" spans="3:12" x14ac:dyDescent="0.35">
      <c r="C789" s="69">
        <v>14</v>
      </c>
      <c r="D789" s="75">
        <v>0</v>
      </c>
      <c r="E789" s="126">
        <f t="shared" si="213"/>
        <v>0</v>
      </c>
      <c r="F789" s="71">
        <f>0</f>
        <v>0</v>
      </c>
      <c r="G789" s="128">
        <f>IF(
    $H$6="Alkaline",
    IF(
        OR(
            Data!$C$37=C788,
            MOD(C788,Data!$C$37)=0
        ),
        $D$8,
        G788*Data!$C$42
    ),
    IF(
        $H$6="PEM",
        IF(
            OR(
                Data!$H$37=C788,
                MOD(C788,Data!$H$37)=0
            ),
            $D$8,
            G788*Data!$H$42
        ),
        ""
    )
)</f>
        <v>888465537.73917961</v>
      </c>
      <c r="H789" s="76">
        <f t="shared" si="208"/>
        <v>1.9799315994393973</v>
      </c>
      <c r="I789" s="73">
        <f t="shared" si="209"/>
        <v>0</v>
      </c>
      <c r="J789" s="73">
        <f t="shared" si="210"/>
        <v>0</v>
      </c>
      <c r="K789" s="73">
        <f t="shared" si="211"/>
        <v>0</v>
      </c>
      <c r="L789" s="74">
        <f t="shared" si="212"/>
        <v>1759100993.182718</v>
      </c>
    </row>
    <row r="790" spans="3:12" x14ac:dyDescent="0.35">
      <c r="C790" s="69">
        <v>15</v>
      </c>
      <c r="D790" s="75">
        <v>0</v>
      </c>
      <c r="E790" s="126">
        <f t="shared" si="213"/>
        <v>0</v>
      </c>
      <c r="F790" s="71">
        <f>0</f>
        <v>0</v>
      </c>
      <c r="G790" s="128">
        <f>IF(
    $H$6="Alkaline",
    IF(
        OR(
            Data!$C$37=C789,
            MOD(C789,Data!$C$37)=0
        ),
        $D$8,
        G789*Data!$C$42
    ),
    IF(
        $H$6="PEM",
        IF(
            OR(
                Data!$H$37=C789,
                MOD(C789,Data!$H$37)=0
            ),
            $D$8,
            G789*Data!$H$42
        ),
        ""
    )
)</f>
        <v>943690143.97642899</v>
      </c>
      <c r="H790" s="76">
        <f t="shared" si="208"/>
        <v>2.0789281794113679</v>
      </c>
      <c r="I790" s="73">
        <f t="shared" si="209"/>
        <v>0</v>
      </c>
      <c r="J790" s="73">
        <f t="shared" si="210"/>
        <v>0</v>
      </c>
      <c r="K790" s="73">
        <f t="shared" si="211"/>
        <v>0</v>
      </c>
      <c r="L790" s="74">
        <f t="shared" si="212"/>
        <v>1961864032.9453692</v>
      </c>
    </row>
    <row r="791" spans="3:12" x14ac:dyDescent="0.35">
      <c r="C791" s="69">
        <v>16</v>
      </c>
      <c r="D791" s="75">
        <v>0</v>
      </c>
      <c r="E791" s="126">
        <f t="shared" si="213"/>
        <v>0</v>
      </c>
      <c r="F791" s="71">
        <f>0</f>
        <v>0</v>
      </c>
      <c r="G791" s="128">
        <f>IF(
    $H$6="Alkaline",
    IF(
        OR(
            Data!$C$37=C790,
            MOD(C790,Data!$C$37)=0
        ),
        $D$8,
        G790*Data!$C$42
    ),
    IF(
        $H$6="PEM",
        IF(
            OR(
                Data!$H$37=C790,
                MOD(C790,Data!$H$37)=0
            ),
            $D$8,
            G790*Data!$H$42
        ),
        ""
    )
)</f>
        <v>934253242.53666472</v>
      </c>
      <c r="H791" s="76">
        <f t="shared" si="208"/>
        <v>2.182874588381936</v>
      </c>
      <c r="I791" s="73">
        <f t="shared" si="209"/>
        <v>0</v>
      </c>
      <c r="J791" s="73">
        <f t="shared" si="210"/>
        <v>0</v>
      </c>
      <c r="K791" s="73">
        <f t="shared" si="211"/>
        <v>0</v>
      </c>
      <c r="L791" s="74">
        <f t="shared" si="212"/>
        <v>2039357662.246711</v>
      </c>
    </row>
    <row r="792" spans="3:12" x14ac:dyDescent="0.35">
      <c r="C792" s="69">
        <v>17</v>
      </c>
      <c r="D792" s="75">
        <v>0</v>
      </c>
      <c r="E792" s="126">
        <f t="shared" si="213"/>
        <v>0</v>
      </c>
      <c r="F792" s="71">
        <f>0</f>
        <v>0</v>
      </c>
      <c r="G792" s="128">
        <f>IF(
    $H$6="Alkaline",
    IF(
        OR(
            Data!$C$37=C791,
            MOD(C791,Data!$C$37)=0
        ),
        $D$8,
        G791*Data!$C$42
    ),
    IF(
        $H$6="PEM",
        IF(
            OR(
                Data!$H$37=C791,
                MOD(C791,Data!$H$37)=0
            ),
            $D$8,
            G791*Data!$H$42
        ),
        ""
    )
)</f>
        <v>924910710.11129808</v>
      </c>
      <c r="H792" s="76">
        <f t="shared" si="208"/>
        <v>2.2920183178010332</v>
      </c>
      <c r="I792" s="73">
        <f t="shared" si="209"/>
        <v>0</v>
      </c>
      <c r="J792" s="73">
        <f t="shared" si="210"/>
        <v>0</v>
      </c>
      <c r="K792" s="73">
        <f t="shared" si="211"/>
        <v>0</v>
      </c>
      <c r="L792" s="74">
        <f t="shared" si="212"/>
        <v>2119912289.9054565</v>
      </c>
    </row>
    <row r="793" spans="3:12" x14ac:dyDescent="0.35">
      <c r="C793" s="69">
        <v>18</v>
      </c>
      <c r="D793" s="75">
        <v>0</v>
      </c>
      <c r="E793" s="126">
        <f t="shared" si="213"/>
        <v>0</v>
      </c>
      <c r="F793" s="71">
        <f>0</f>
        <v>0</v>
      </c>
      <c r="G793" s="128">
        <f>IF(
    $H$6="Alkaline",
    IF(
        OR(
            Data!$C$37=C792,
            MOD(C792,Data!$C$37)=0
        ),
        $D$8,
        G792*Data!$C$42
    ),
    IF(
        $H$6="PEM",
        IF(
            OR(
                Data!$H$37=C792,
                MOD(C792,Data!$H$37)=0
            ),
            $D$8,
            G792*Data!$H$42
        ),
        ""
    )
)</f>
        <v>915661603.01018512</v>
      </c>
      <c r="H793" s="76">
        <f t="shared" si="208"/>
        <v>2.4066192336910848</v>
      </c>
      <c r="I793" s="73">
        <f t="shared" si="209"/>
        <v>0</v>
      </c>
      <c r="J793" s="73">
        <f t="shared" si="210"/>
        <v>0</v>
      </c>
      <c r="K793" s="73">
        <f t="shared" si="211"/>
        <v>0</v>
      </c>
      <c r="L793" s="74">
        <f t="shared" si="212"/>
        <v>2203648825.3567219</v>
      </c>
    </row>
    <row r="794" spans="3:12" x14ac:dyDescent="0.35">
      <c r="C794" s="69">
        <v>19</v>
      </c>
      <c r="D794" s="75">
        <v>0</v>
      </c>
      <c r="E794" s="126">
        <f t="shared" si="213"/>
        <v>0</v>
      </c>
      <c r="F794" s="71">
        <f>0</f>
        <v>0</v>
      </c>
      <c r="G794" s="128">
        <f>IF(
    $H$6="Alkaline",
    IF(
        OR(
            Data!$C$37=C793,
            MOD(C793,Data!$C$37)=0
        ),
        $D$8,
        G793*Data!$C$42
    ),
    IF(
        $H$6="PEM",
        IF(
            OR(
                Data!$H$37=C793,
                MOD(C793,Data!$H$37)=0
            ),
            $D$8,
            G793*Data!$H$42
        ),
        ""
    )
)</f>
        <v>906504986.98008323</v>
      </c>
      <c r="H794" s="76">
        <f t="shared" si="208"/>
        <v>2.526950195375639</v>
      </c>
      <c r="I794" s="73">
        <f t="shared" si="209"/>
        <v>0</v>
      </c>
      <c r="J794" s="73">
        <f t="shared" si="210"/>
        <v>0</v>
      </c>
      <c r="K794" s="73">
        <f t="shared" si="211"/>
        <v>0</v>
      </c>
      <c r="L794" s="74">
        <f t="shared" si="212"/>
        <v>2290692953.9583125</v>
      </c>
    </row>
    <row r="795" spans="3:12" x14ac:dyDescent="0.35">
      <c r="C795" s="69">
        <v>20</v>
      </c>
      <c r="D795" s="75">
        <v>0</v>
      </c>
      <c r="E795" s="126">
        <f t="shared" si="213"/>
        <v>0</v>
      </c>
      <c r="F795" s="71">
        <f>0</f>
        <v>0</v>
      </c>
      <c r="G795" s="128">
        <f>IF(
    $H$6="Alkaline",
    IF(
        OR(
            Data!$C$37=C794,
            MOD(C794,Data!$C$37)=0
        ),
        $D$8,
        G794*Data!$C$42
    ),
    IF(
        $H$6="PEM",
        IF(
            OR(
                Data!$H$37=C794,
                MOD(C794,Data!$H$37)=0
            ),
            $D$8,
            G794*Data!$H$42
        ),
        ""
    )
)</f>
        <v>897439937.11028242</v>
      </c>
      <c r="H795" s="76">
        <f t="shared" si="208"/>
        <v>2.6532977051444209</v>
      </c>
      <c r="I795" s="73">
        <f t="shared" si="209"/>
        <v>0</v>
      </c>
      <c r="J795" s="73">
        <f t="shared" si="210"/>
        <v>0</v>
      </c>
      <c r="K795" s="73">
        <f t="shared" si="211"/>
        <v>0</v>
      </c>
      <c r="L795" s="74">
        <f t="shared" si="212"/>
        <v>2381175325.6396656</v>
      </c>
    </row>
    <row r="796" spans="3:12" x14ac:dyDescent="0.35">
      <c r="C796" s="69">
        <v>21</v>
      </c>
      <c r="D796" s="75">
        <v>0</v>
      </c>
      <c r="E796" s="126">
        <f t="shared" si="213"/>
        <v>0</v>
      </c>
      <c r="F796" s="71">
        <f>0</f>
        <v>0</v>
      </c>
      <c r="G796" s="128">
        <f>IF(
    $H$6="Alkaline",
    IF(
        OR(
            Data!$C$37=C795,
            MOD(C795,Data!$C$37)=0
        ),
        $D$8,
        G795*Data!$C$42
    ),
    IF(
        $H$6="PEM",
        IF(
            OR(
                Data!$H$37=C795,
                MOD(C795,Data!$H$37)=0
            ),
            $D$8,
            G795*Data!$H$42
        ),
        ""
    )
)</f>
        <v>888465537.73917961</v>
      </c>
      <c r="H796" s="76">
        <f t="shared" si="208"/>
        <v>2.7859625904016418</v>
      </c>
      <c r="I796" s="73">
        <f t="shared" si="209"/>
        <v>0</v>
      </c>
      <c r="J796" s="73">
        <f t="shared" si="210"/>
        <v>0</v>
      </c>
      <c r="K796" s="73">
        <f t="shared" si="211"/>
        <v>0</v>
      </c>
      <c r="L796" s="74">
        <f t="shared" si="212"/>
        <v>2475231751.0024323</v>
      </c>
    </row>
    <row r="797" spans="3:12" x14ac:dyDescent="0.35">
      <c r="C797" s="69">
        <v>22</v>
      </c>
      <c r="D797" s="75">
        <v>0</v>
      </c>
      <c r="E797" s="126">
        <f t="shared" si="213"/>
        <v>0</v>
      </c>
      <c r="F797" s="71">
        <f>0</f>
        <v>0</v>
      </c>
      <c r="G797" s="128">
        <f>IF(
    $H$6="Alkaline",
    IF(
        OR(
            Data!$C$37=C796,
            MOD(C796,Data!$C$37)=0
        ),
        $D$8,
        G796*Data!$C$42
    ),
    IF(
        $H$6="PEM",
        IF(
            OR(
                Data!$H$37=C796,
                MOD(C796,Data!$H$37)=0
            ),
            $D$8,
            G796*Data!$H$42
        ),
        ""
    )
)</f>
        <v>943690143.97642899</v>
      </c>
      <c r="H797" s="76">
        <f t="shared" si="208"/>
        <v>2.9252607199217238</v>
      </c>
      <c r="I797" s="73">
        <f t="shared" si="209"/>
        <v>0</v>
      </c>
      <c r="J797" s="73">
        <f t="shared" si="210"/>
        <v>0</v>
      </c>
      <c r="K797" s="73">
        <f t="shared" si="211"/>
        <v>0</v>
      </c>
      <c r="L797" s="74">
        <f t="shared" si="212"/>
        <v>2760539709.9515238</v>
      </c>
    </row>
    <row r="798" spans="3:12" x14ac:dyDescent="0.35">
      <c r="C798" s="69">
        <v>23</v>
      </c>
      <c r="D798" s="75">
        <v>0</v>
      </c>
      <c r="E798" s="126">
        <f t="shared" si="213"/>
        <v>0</v>
      </c>
      <c r="F798" s="71">
        <f>0</f>
        <v>0</v>
      </c>
      <c r="G798" s="128">
        <f>IF(
    $H$6="Alkaline",
    IF(
        OR(
            Data!$C$37=C797,
            MOD(C797,Data!$C$37)=0
        ),
        $D$8,
        G797*Data!$C$42
    ),
    IF(
        $H$6="PEM",
        IF(
            OR(
                Data!$H$37=C797,
                MOD(C797,Data!$H$37)=0
            ),
            $D$8,
            G797*Data!$H$42
        ),
        ""
    )
)</f>
        <v>934253242.53666472</v>
      </c>
      <c r="H798" s="76">
        <f t="shared" si="208"/>
        <v>3.0715237559178106</v>
      </c>
      <c r="I798" s="73">
        <f t="shared" si="209"/>
        <v>0</v>
      </c>
      <c r="J798" s="73">
        <f t="shared" si="210"/>
        <v>0</v>
      </c>
      <c r="K798" s="73">
        <f t="shared" si="211"/>
        <v>0</v>
      </c>
      <c r="L798" s="74">
        <f t="shared" si="212"/>
        <v>2869581028.4946098</v>
      </c>
    </row>
    <row r="799" spans="3:12" x14ac:dyDescent="0.35">
      <c r="C799" s="69">
        <v>24</v>
      </c>
      <c r="D799" s="75">
        <v>0</v>
      </c>
      <c r="E799" s="126">
        <f t="shared" si="213"/>
        <v>0</v>
      </c>
      <c r="F799" s="71">
        <f>0</f>
        <v>0</v>
      </c>
      <c r="G799" s="128">
        <f>IF(
    $H$6="Alkaline",
    IF(
        OR(
            Data!$C$37=C798,
            MOD(C798,Data!$C$37)=0
        ),
        $D$8,
        G798*Data!$C$42
    ),
    IF(
        $H$6="PEM",
        IF(
            OR(
                Data!$H$37=C798,
                MOD(C798,Data!$H$37)=0
            ),
            $D$8,
            G798*Data!$H$42
        ),
        ""
    )
)</f>
        <v>924910710.11129808</v>
      </c>
      <c r="H799" s="76">
        <f t="shared" si="208"/>
        <v>3.2250999437137007</v>
      </c>
      <c r="I799" s="73">
        <f t="shared" si="209"/>
        <v>0</v>
      </c>
      <c r="J799" s="73">
        <f t="shared" si="210"/>
        <v>0</v>
      </c>
      <c r="K799" s="73">
        <f t="shared" si="211"/>
        <v>0</v>
      </c>
      <c r="L799" s="74">
        <f t="shared" si="212"/>
        <v>2982929479.1201463</v>
      </c>
    </row>
    <row r="800" spans="3:12" ht="15" thickBot="1" x14ac:dyDescent="0.4">
      <c r="C800" s="69">
        <v>25</v>
      </c>
      <c r="D800" s="75">
        <v>0</v>
      </c>
      <c r="E800" s="126">
        <f t="shared" si="213"/>
        <v>0</v>
      </c>
      <c r="F800" s="71">
        <f>0</f>
        <v>0</v>
      </c>
      <c r="G800" s="128">
        <f>IF(
    $H$6="Alkaline",
    IF(
        OR(
            Data!$C$37=C799,
            MOD(C799,Data!$C$37)=0
        ),
        $D$8,
        G799*Data!$C$42
    ),
    IF(
        $H$6="PEM",
        IF(
            OR(
                Data!$H$37=C799,
                MOD(C799,Data!$H$37)=0
            ),
            $D$8,
            G799*Data!$H$42
        ),
        ""
    )
)</f>
        <v>915661603.01018512</v>
      </c>
      <c r="H800" s="76">
        <f t="shared" si="208"/>
        <v>3.3863549408993858</v>
      </c>
      <c r="I800" s="73">
        <f t="shared" si="209"/>
        <v>0</v>
      </c>
      <c r="J800" s="73">
        <f t="shared" si="210"/>
        <v>0</v>
      </c>
      <c r="K800" s="73">
        <f t="shared" si="211"/>
        <v>0</v>
      </c>
      <c r="L800" s="74">
        <f t="shared" si="212"/>
        <v>3100755193.5453925</v>
      </c>
    </row>
    <row r="801" spans="3:13" ht="15" thickBot="1" x14ac:dyDescent="0.4">
      <c r="C801" s="70" t="s">
        <v>26</v>
      </c>
      <c r="D801" s="77">
        <f>SUM(D775:D800)</f>
        <v>4072867901.9215107</v>
      </c>
      <c r="E801" s="77">
        <f>SUM(E775:E800)</f>
        <v>0</v>
      </c>
      <c r="F801" s="77">
        <f>SUM(F775:F800)</f>
        <v>0</v>
      </c>
      <c r="G801" s="149">
        <f>SUM(G775:G800)</f>
        <v>22951294184.026939</v>
      </c>
      <c r="H801" s="77">
        <f>SUM(H775:H800)</f>
        <v>51.113453758887083</v>
      </c>
      <c r="I801" s="77">
        <f t="shared" ref="I801:K801" si="214">SUM(I775:I800)</f>
        <v>4072867901.9215107</v>
      </c>
      <c r="J801" s="77">
        <f t="shared" si="214"/>
        <v>0</v>
      </c>
      <c r="K801" s="77">
        <f t="shared" si="214"/>
        <v>0</v>
      </c>
      <c r="L801" s="77">
        <f>SUM(L775:L800)</f>
        <v>45995618724.782455</v>
      </c>
    </row>
    <row r="804" spans="3:13" x14ac:dyDescent="0.35">
      <c r="M804" t="s">
        <v>251</v>
      </c>
    </row>
    <row r="805" spans="3:13" x14ac:dyDescent="0.35">
      <c r="M805" s="151" t="e">
        <f>SUM(M145:M775)</f>
        <v>#DIV/0!</v>
      </c>
    </row>
  </sheetData>
  <mergeCells count="4">
    <mergeCell ref="C3:Z3"/>
    <mergeCell ref="C5:E5"/>
    <mergeCell ref="C13:E13"/>
    <mergeCell ref="C21:K2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186A3B-2345-4AB9-8DAD-89E7FB156232}">
          <x14:formula1>
            <xm:f>Variables!$B$48:$D$48</xm:f>
          </x14:formula1>
          <xm:sqref>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0516-3CD7-48EA-8363-3CB456B40459}">
  <dimension ref="A1:R108"/>
  <sheetViews>
    <sheetView topLeftCell="A22" zoomScale="80" zoomScaleNormal="80" workbookViewId="0">
      <selection activeCell="L44" sqref="L44"/>
    </sheetView>
  </sheetViews>
  <sheetFormatPr defaultRowHeight="14.5" x14ac:dyDescent="0.35"/>
  <cols>
    <col min="2" max="2" width="30.90625" bestFit="1" customWidth="1"/>
    <col min="3" max="3" width="19.6328125" bestFit="1" customWidth="1"/>
    <col min="4" max="4" width="15.6328125" bestFit="1" customWidth="1"/>
    <col min="5" max="5" width="11.7265625" bestFit="1" customWidth="1"/>
    <col min="6" max="6" width="27.54296875" bestFit="1" customWidth="1"/>
    <col min="7" max="7" width="21.08984375" bestFit="1" customWidth="1"/>
    <col min="8" max="8" width="24.36328125" bestFit="1" customWidth="1"/>
    <col min="9" max="9" width="11.81640625" bestFit="1" customWidth="1"/>
    <col min="10" max="10" width="10.6328125" bestFit="1" customWidth="1"/>
    <col min="11" max="11" width="7.6328125" bestFit="1" customWidth="1"/>
    <col min="12" max="12" width="8.81640625" bestFit="1" customWidth="1"/>
    <col min="13" max="13" width="7.81640625" bestFit="1" customWidth="1"/>
    <col min="14" max="14" width="18.7265625" customWidth="1"/>
    <col min="15" max="15" width="7.6328125" bestFit="1" customWidth="1"/>
  </cols>
  <sheetData>
    <row r="1" spans="1:18" x14ac:dyDescent="0.35">
      <c r="A1" s="220" t="s">
        <v>126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</row>
    <row r="3" spans="1:18" ht="15" thickBot="1" x14ac:dyDescent="0.4">
      <c r="B3" s="221" t="s">
        <v>79</v>
      </c>
      <c r="C3" s="222"/>
      <c r="D3" s="222"/>
      <c r="E3" s="222"/>
      <c r="F3" s="222"/>
      <c r="G3" s="222"/>
      <c r="H3" s="222"/>
      <c r="I3" s="223"/>
    </row>
    <row r="4" spans="1:18" x14ac:dyDescent="0.35">
      <c r="B4" s="213" t="s">
        <v>132</v>
      </c>
      <c r="C4" s="214"/>
      <c r="D4" s="215"/>
      <c r="G4" s="213" t="s">
        <v>174</v>
      </c>
      <c r="H4" s="214"/>
      <c r="I4" s="215"/>
    </row>
    <row r="5" spans="1:18" x14ac:dyDescent="0.35">
      <c r="B5" s="102" t="s">
        <v>56</v>
      </c>
      <c r="C5" s="102" t="s">
        <v>136</v>
      </c>
      <c r="D5" s="103" t="s">
        <v>137</v>
      </c>
      <c r="E5" s="103" t="s">
        <v>117</v>
      </c>
      <c r="G5" s="102" t="s">
        <v>56</v>
      </c>
      <c r="H5" s="102" t="s">
        <v>136</v>
      </c>
      <c r="I5" s="103" t="s">
        <v>137</v>
      </c>
      <c r="J5" s="103" t="s">
        <v>117</v>
      </c>
      <c r="K5" s="103" t="s">
        <v>140</v>
      </c>
    </row>
    <row r="6" spans="1:18" x14ac:dyDescent="0.35">
      <c r="B6" s="50" t="s">
        <v>138</v>
      </c>
      <c r="C6" s="50">
        <v>25</v>
      </c>
      <c r="D6" s="48" t="s">
        <v>82</v>
      </c>
      <c r="E6" s="98" t="s">
        <v>135</v>
      </c>
      <c r="G6" s="50"/>
      <c r="H6" s="50"/>
      <c r="I6" s="48"/>
      <c r="J6" s="98"/>
    </row>
    <row r="7" spans="1:18" x14ac:dyDescent="0.35">
      <c r="B7" s="50" t="s">
        <v>85</v>
      </c>
      <c r="C7" s="82">
        <v>1</v>
      </c>
      <c r="D7" s="48" t="s">
        <v>50</v>
      </c>
      <c r="E7" s="98" t="s">
        <v>147</v>
      </c>
      <c r="G7" s="50" t="s">
        <v>85</v>
      </c>
      <c r="H7" s="82">
        <f>100%/Variables!B35</f>
        <v>1</v>
      </c>
      <c r="I7" s="48" t="s">
        <v>50</v>
      </c>
      <c r="J7" s="98" t="s">
        <v>147</v>
      </c>
    </row>
    <row r="8" spans="1:18" x14ac:dyDescent="0.35">
      <c r="B8" s="99" t="s">
        <v>231</v>
      </c>
      <c r="C8" s="101">
        <f>Variables!B24</f>
        <v>7550000</v>
      </c>
      <c r="D8" s="48" t="s">
        <v>124</v>
      </c>
      <c r="E8" s="98" t="s">
        <v>263</v>
      </c>
    </row>
    <row r="9" spans="1:18" x14ac:dyDescent="0.35">
      <c r="B9" s="50" t="s">
        <v>112</v>
      </c>
      <c r="C9" s="50">
        <f>Variables!B23</f>
        <v>12000000</v>
      </c>
      <c r="D9" s="48" t="s">
        <v>124</v>
      </c>
      <c r="E9" s="98" t="s">
        <v>276</v>
      </c>
    </row>
    <row r="10" spans="1:18" x14ac:dyDescent="0.35">
      <c r="B10" s="99" t="s">
        <v>235</v>
      </c>
      <c r="C10" s="50">
        <v>9000000</v>
      </c>
      <c r="D10" s="48" t="s">
        <v>124</v>
      </c>
      <c r="E10" s="139" t="s">
        <v>139</v>
      </c>
    </row>
    <row r="11" spans="1:18" x14ac:dyDescent="0.35">
      <c r="B11" s="99" t="s">
        <v>234</v>
      </c>
      <c r="C11" s="79">
        <f>SUM(C8:C10)</f>
        <v>28550000</v>
      </c>
      <c r="D11" s="48" t="s">
        <v>124</v>
      </c>
    </row>
    <row r="12" spans="1:18" x14ac:dyDescent="0.35">
      <c r="B12" s="50" t="s">
        <v>104</v>
      </c>
      <c r="C12" s="62">
        <v>1</v>
      </c>
      <c r="D12" s="48" t="s">
        <v>113</v>
      </c>
      <c r="E12" s="98" t="s">
        <v>135</v>
      </c>
    </row>
    <row r="13" spans="1:18" x14ac:dyDescent="0.35">
      <c r="B13" s="50" t="s">
        <v>13</v>
      </c>
      <c r="C13" s="61">
        <v>0.02</v>
      </c>
      <c r="D13" s="48" t="s">
        <v>93</v>
      </c>
      <c r="E13" s="98" t="s">
        <v>123</v>
      </c>
    </row>
    <row r="16" spans="1:18" x14ac:dyDescent="0.35">
      <c r="B16" s="221" t="s">
        <v>144</v>
      </c>
      <c r="C16" s="222"/>
      <c r="D16" s="222"/>
      <c r="E16" s="222"/>
      <c r="F16" s="222"/>
      <c r="G16" s="222"/>
      <c r="H16" s="222"/>
      <c r="I16" s="223"/>
    </row>
    <row r="17" spans="2:11" x14ac:dyDescent="0.35">
      <c r="B17" s="211" t="s">
        <v>245</v>
      </c>
      <c r="C17" s="212"/>
      <c r="D17" s="212"/>
      <c r="E17" s="212"/>
      <c r="G17" s="211" t="s">
        <v>246</v>
      </c>
      <c r="H17" s="212"/>
      <c r="I17" s="212"/>
      <c r="J17" s="212"/>
      <c r="K17" s="212"/>
    </row>
    <row r="18" spans="2:11" x14ac:dyDescent="0.35">
      <c r="B18" s="102" t="s">
        <v>56</v>
      </c>
      <c r="C18" s="102" t="s">
        <v>136</v>
      </c>
      <c r="D18" s="103" t="s">
        <v>137</v>
      </c>
      <c r="E18" s="103" t="s">
        <v>117</v>
      </c>
      <c r="G18" s="102" t="s">
        <v>56</v>
      </c>
      <c r="H18" s="102" t="s">
        <v>136</v>
      </c>
      <c r="I18" s="103" t="s">
        <v>137</v>
      </c>
      <c r="J18" s="103" t="s">
        <v>117</v>
      </c>
    </row>
    <row r="19" spans="2:11" x14ac:dyDescent="0.35">
      <c r="B19" s="50" t="s">
        <v>12</v>
      </c>
      <c r="C19" s="50">
        <v>40</v>
      </c>
      <c r="D19" s="48" t="s">
        <v>82</v>
      </c>
      <c r="E19" s="48" t="s">
        <v>150</v>
      </c>
      <c r="G19" s="50" t="s">
        <v>12</v>
      </c>
      <c r="H19" s="50">
        <v>50</v>
      </c>
      <c r="I19" s="48" t="s">
        <v>82</v>
      </c>
      <c r="J19" s="50" t="s">
        <v>157</v>
      </c>
    </row>
    <row r="20" spans="2:11" x14ac:dyDescent="0.35">
      <c r="B20" s="50" t="s">
        <v>85</v>
      </c>
      <c r="C20" s="61">
        <f>(1-0.05)*Variables!B27</f>
        <v>0.95</v>
      </c>
      <c r="D20" s="48" t="s">
        <v>50</v>
      </c>
      <c r="E20" s="48" t="s">
        <v>271</v>
      </c>
      <c r="G20" s="50" t="s">
        <v>85</v>
      </c>
      <c r="H20" s="82">
        <v>0.97</v>
      </c>
      <c r="I20" s="48" t="s">
        <v>50</v>
      </c>
      <c r="J20" s="62" t="s">
        <v>264</v>
      </c>
    </row>
    <row r="21" spans="2:11" x14ac:dyDescent="0.35">
      <c r="B21" s="50" t="s">
        <v>73</v>
      </c>
      <c r="C21" s="81">
        <f>235000*Variables!B28</f>
        <v>235000</v>
      </c>
      <c r="D21" s="48" t="s">
        <v>156</v>
      </c>
      <c r="E21" s="48" t="s">
        <v>181</v>
      </c>
      <c r="G21" s="50" t="s">
        <v>73</v>
      </c>
      <c r="H21" s="50">
        <f>Variables!B33</f>
        <v>235000</v>
      </c>
      <c r="I21" s="48" t="s">
        <v>156</v>
      </c>
      <c r="J21" s="50" t="s">
        <v>158</v>
      </c>
    </row>
    <row r="22" spans="2:11" x14ac:dyDescent="0.35">
      <c r="B22" s="50" t="s">
        <v>94</v>
      </c>
      <c r="C22" s="62">
        <v>0.01</v>
      </c>
      <c r="D22" s="48" t="s">
        <v>93</v>
      </c>
      <c r="E22" s="48" t="s">
        <v>150</v>
      </c>
      <c r="G22" s="50" t="s">
        <v>74</v>
      </c>
      <c r="H22" s="62">
        <v>0.01</v>
      </c>
      <c r="I22" s="48" t="s">
        <v>93</v>
      </c>
      <c r="J22" s="50"/>
    </row>
    <row r="23" spans="2:11" x14ac:dyDescent="0.35">
      <c r="B23" s="50" t="s">
        <v>152</v>
      </c>
      <c r="C23" s="81">
        <v>300</v>
      </c>
      <c r="D23" s="48" t="s">
        <v>151</v>
      </c>
      <c r="E23" s="48" t="s">
        <v>150</v>
      </c>
      <c r="G23" s="50" t="s">
        <v>25</v>
      </c>
      <c r="H23" s="50">
        <v>300</v>
      </c>
      <c r="I23" s="48" t="s">
        <v>151</v>
      </c>
      <c r="J23" s="62"/>
    </row>
    <row r="24" spans="2:11" x14ac:dyDescent="0.35">
      <c r="B24" s="50" t="s">
        <v>104</v>
      </c>
      <c r="C24" s="62">
        <v>1</v>
      </c>
      <c r="D24" s="48" t="s">
        <v>113</v>
      </c>
      <c r="E24" s="48" t="s">
        <v>135</v>
      </c>
      <c r="G24" s="50" t="s">
        <v>104</v>
      </c>
      <c r="H24" s="62">
        <v>1</v>
      </c>
      <c r="I24" s="48" t="s">
        <v>113</v>
      </c>
      <c r="J24" s="50" t="s">
        <v>135</v>
      </c>
    </row>
    <row r="26" spans="2:11" x14ac:dyDescent="0.35">
      <c r="B26" s="211" t="s">
        <v>145</v>
      </c>
      <c r="C26" s="212"/>
      <c r="D26" s="212"/>
      <c r="E26" s="212"/>
    </row>
    <row r="27" spans="2:11" x14ac:dyDescent="0.35">
      <c r="B27" s="102" t="s">
        <v>56</v>
      </c>
      <c r="C27" s="102" t="s">
        <v>136</v>
      </c>
      <c r="D27" s="103" t="s">
        <v>137</v>
      </c>
      <c r="E27" s="103" t="s">
        <v>117</v>
      </c>
    </row>
    <row r="28" spans="2:11" x14ac:dyDescent="0.35">
      <c r="B28" s="50" t="s">
        <v>12</v>
      </c>
      <c r="C28" s="50">
        <v>40</v>
      </c>
      <c r="D28" s="48" t="s">
        <v>82</v>
      </c>
      <c r="E28" t="s">
        <v>155</v>
      </c>
    </row>
    <row r="29" spans="2:11" x14ac:dyDescent="0.35">
      <c r="B29" s="50" t="s">
        <v>85</v>
      </c>
      <c r="C29" s="61">
        <f>0.9935*Variables!B27</f>
        <v>0.99350000000000005</v>
      </c>
      <c r="D29" s="48" t="s">
        <v>50</v>
      </c>
      <c r="E29" t="s">
        <v>153</v>
      </c>
    </row>
    <row r="30" spans="2:11" x14ac:dyDescent="0.35">
      <c r="B30" s="50" t="s">
        <v>73</v>
      </c>
      <c r="C30" s="81">
        <f>100000*Variables!B28</f>
        <v>100000</v>
      </c>
      <c r="D30" s="48" t="s">
        <v>71</v>
      </c>
      <c r="E30" s="35" t="s">
        <v>260</v>
      </c>
    </row>
    <row r="31" spans="2:11" x14ac:dyDescent="0.35">
      <c r="B31" s="50" t="s">
        <v>74</v>
      </c>
      <c r="C31" s="81">
        <v>2</v>
      </c>
      <c r="D31" s="48" t="s">
        <v>154</v>
      </c>
      <c r="E31" s="35" t="s">
        <v>122</v>
      </c>
    </row>
    <row r="32" spans="2:11" x14ac:dyDescent="0.35">
      <c r="B32" s="50" t="s">
        <v>104</v>
      </c>
      <c r="C32" s="62">
        <v>1</v>
      </c>
      <c r="D32" s="48" t="s">
        <v>113</v>
      </c>
      <c r="E32" s="98" t="s">
        <v>135</v>
      </c>
    </row>
    <row r="34" spans="2:10" x14ac:dyDescent="0.35">
      <c r="B34" s="216" t="s">
        <v>133</v>
      </c>
      <c r="C34" s="217"/>
      <c r="D34" s="217"/>
      <c r="E34" s="217"/>
      <c r="F34" s="217"/>
      <c r="G34" s="217"/>
      <c r="H34" s="217"/>
      <c r="I34" s="217"/>
      <c r="J34" s="217"/>
    </row>
    <row r="35" spans="2:10" x14ac:dyDescent="0.35">
      <c r="B35" s="211" t="s">
        <v>80</v>
      </c>
      <c r="C35" s="212"/>
      <c r="D35" s="212"/>
      <c r="E35" s="212"/>
      <c r="G35" s="218" t="s">
        <v>141</v>
      </c>
      <c r="H35" s="219"/>
      <c r="I35" s="219"/>
      <c r="J35" s="219"/>
    </row>
    <row r="36" spans="2:10" x14ac:dyDescent="0.35">
      <c r="B36" s="102" t="s">
        <v>56</v>
      </c>
      <c r="C36" s="102" t="s">
        <v>136</v>
      </c>
      <c r="D36" s="103" t="s">
        <v>137</v>
      </c>
      <c r="E36" s="161" t="s">
        <v>117</v>
      </c>
      <c r="F36" s="165"/>
      <c r="G36" s="163" t="s">
        <v>56</v>
      </c>
      <c r="H36" s="102" t="s">
        <v>136</v>
      </c>
      <c r="I36" s="103" t="s">
        <v>137</v>
      </c>
      <c r="J36" s="103" t="s">
        <v>117</v>
      </c>
    </row>
    <row r="37" spans="2:10" x14ac:dyDescent="0.35">
      <c r="B37" s="50" t="s">
        <v>12</v>
      </c>
      <c r="C37" s="50">
        <v>10</v>
      </c>
      <c r="D37" s="48" t="s">
        <v>82</v>
      </c>
      <c r="E37" t="s">
        <v>162</v>
      </c>
      <c r="G37" s="164" t="s">
        <v>12</v>
      </c>
      <c r="H37" s="50">
        <v>7</v>
      </c>
      <c r="I37" s="48" t="s">
        <v>82</v>
      </c>
      <c r="J37" s="48" t="s">
        <v>162</v>
      </c>
    </row>
    <row r="38" spans="2:10" x14ac:dyDescent="0.35">
      <c r="B38" s="50" t="s">
        <v>85</v>
      </c>
      <c r="C38" s="107">
        <f>Variables!B17</f>
        <v>0.84</v>
      </c>
      <c r="D38" s="48" t="s">
        <v>50</v>
      </c>
      <c r="E38" t="s">
        <v>265</v>
      </c>
      <c r="F38" s="49"/>
      <c r="G38" s="164" t="s">
        <v>85</v>
      </c>
      <c r="H38" s="62">
        <f>Variables!B19</f>
        <v>0.84</v>
      </c>
      <c r="I38" s="48" t="s">
        <v>50</v>
      </c>
      <c r="J38" s="48" t="s">
        <v>265</v>
      </c>
    </row>
    <row r="39" spans="2:10" x14ac:dyDescent="0.35">
      <c r="B39" s="50" t="s">
        <v>73</v>
      </c>
      <c r="C39" s="50">
        <f>Variables!B10</f>
        <v>52000</v>
      </c>
      <c r="D39" s="48" t="s">
        <v>71</v>
      </c>
      <c r="E39" t="s">
        <v>163</v>
      </c>
      <c r="F39" s="166"/>
      <c r="G39" s="164" t="s">
        <v>73</v>
      </c>
      <c r="H39" s="50">
        <f>Variables!B12</f>
        <v>63000</v>
      </c>
      <c r="I39" s="48" t="s">
        <v>71</v>
      </c>
      <c r="J39" s="48" t="s">
        <v>161</v>
      </c>
    </row>
    <row r="40" spans="2:10" x14ac:dyDescent="0.35">
      <c r="B40" s="50" t="s">
        <v>104</v>
      </c>
      <c r="C40" s="62">
        <v>0.5</v>
      </c>
      <c r="D40" s="48" t="s">
        <v>105</v>
      </c>
      <c r="E40" t="s">
        <v>159</v>
      </c>
      <c r="F40" s="49"/>
      <c r="G40" s="164" t="s">
        <v>104</v>
      </c>
      <c r="H40" s="62">
        <v>0.5</v>
      </c>
      <c r="I40" s="48" t="s">
        <v>105</v>
      </c>
      <c r="J40" s="48" t="s">
        <v>159</v>
      </c>
    </row>
    <row r="41" spans="2:10" x14ac:dyDescent="0.35">
      <c r="B41" s="50" t="s">
        <v>13</v>
      </c>
      <c r="C41" s="61">
        <v>0.03</v>
      </c>
      <c r="D41" s="48" t="s">
        <v>50</v>
      </c>
      <c r="E41" t="s">
        <v>160</v>
      </c>
      <c r="F41" s="49"/>
      <c r="G41" s="164" t="s">
        <v>13</v>
      </c>
      <c r="H41" s="61">
        <v>0.03</v>
      </c>
      <c r="I41" s="48" t="s">
        <v>50</v>
      </c>
      <c r="J41" s="48" t="s">
        <v>160</v>
      </c>
    </row>
    <row r="42" spans="2:10" x14ac:dyDescent="0.35">
      <c r="B42" s="50" t="s">
        <v>92</v>
      </c>
      <c r="C42" s="61">
        <v>0.99</v>
      </c>
      <c r="D42" s="48" t="s">
        <v>93</v>
      </c>
      <c r="E42" s="162" t="s">
        <v>160</v>
      </c>
      <c r="F42" s="49"/>
      <c r="G42" s="164" t="s">
        <v>92</v>
      </c>
      <c r="H42" s="61">
        <v>0.99</v>
      </c>
      <c r="I42" s="48" t="s">
        <v>93</v>
      </c>
      <c r="J42" s="48" t="s">
        <v>160</v>
      </c>
    </row>
    <row r="43" spans="2:10" x14ac:dyDescent="0.35">
      <c r="F43" s="49"/>
    </row>
    <row r="44" spans="2:10" x14ac:dyDescent="0.35">
      <c r="B44" s="211" t="s">
        <v>115</v>
      </c>
      <c r="C44" s="212"/>
      <c r="D44" s="212"/>
      <c r="E44" s="212"/>
      <c r="F44" s="49"/>
      <c r="G44" s="211" t="s">
        <v>142</v>
      </c>
      <c r="H44" s="212"/>
      <c r="I44" s="212"/>
      <c r="J44" s="212"/>
    </row>
    <row r="45" spans="2:10" x14ac:dyDescent="0.35">
      <c r="B45" s="102" t="s">
        <v>56</v>
      </c>
      <c r="C45" s="102" t="s">
        <v>136</v>
      </c>
      <c r="D45" s="103" t="s">
        <v>137</v>
      </c>
      <c r="E45" s="103" t="s">
        <v>117</v>
      </c>
      <c r="F45" s="49"/>
      <c r="G45" s="102" t="s">
        <v>56</v>
      </c>
      <c r="H45" s="102" t="s">
        <v>136</v>
      </c>
      <c r="I45" s="103" t="s">
        <v>137</v>
      </c>
      <c r="J45" s="103" t="s">
        <v>117</v>
      </c>
    </row>
    <row r="46" spans="2:10" x14ac:dyDescent="0.35">
      <c r="B46" s="50" t="s">
        <v>12</v>
      </c>
      <c r="C46" s="50">
        <v>20</v>
      </c>
      <c r="D46" s="48" t="s">
        <v>82</v>
      </c>
      <c r="E46" s="48" t="s">
        <v>162</v>
      </c>
      <c r="G46" s="50" t="s">
        <v>12</v>
      </c>
      <c r="H46" s="50">
        <v>20</v>
      </c>
      <c r="I46" s="48" t="s">
        <v>82</v>
      </c>
      <c r="J46" s="48" t="s">
        <v>162</v>
      </c>
    </row>
    <row r="47" spans="2:10" x14ac:dyDescent="0.35">
      <c r="B47" s="50" t="s">
        <v>85</v>
      </c>
      <c r="C47" s="62">
        <f>Variables!B18</f>
        <v>0.94</v>
      </c>
      <c r="D47" s="48" t="s">
        <v>50</v>
      </c>
      <c r="E47" s="48" t="s">
        <v>162</v>
      </c>
      <c r="G47" s="50" t="s">
        <v>85</v>
      </c>
      <c r="H47" s="62">
        <f>Variables!B20</f>
        <v>0.96</v>
      </c>
      <c r="I47" s="48" t="s">
        <v>50</v>
      </c>
      <c r="J47" s="48" t="s">
        <v>162</v>
      </c>
    </row>
    <row r="48" spans="2:10" x14ac:dyDescent="0.35">
      <c r="B48" s="202" t="s">
        <v>199</v>
      </c>
      <c r="C48" s="50">
        <f>Variables!B11</f>
        <v>121333.33333333333</v>
      </c>
      <c r="D48" s="48" t="s">
        <v>71</v>
      </c>
      <c r="E48" s="48" t="s">
        <v>119</v>
      </c>
      <c r="G48" s="202" t="s">
        <v>199</v>
      </c>
      <c r="H48" s="79">
        <f>Variables!B13</f>
        <v>147000</v>
      </c>
      <c r="I48" s="48" t="s">
        <v>71</v>
      </c>
      <c r="J48" s="48" t="s">
        <v>162</v>
      </c>
    </row>
    <row r="49" spans="1:18" x14ac:dyDescent="0.35">
      <c r="B49" s="50" t="s">
        <v>104</v>
      </c>
      <c r="C49" s="62">
        <v>1</v>
      </c>
      <c r="D49" s="48" t="s">
        <v>113</v>
      </c>
      <c r="E49" s="48" t="s">
        <v>155</v>
      </c>
      <c r="G49" s="50" t="s">
        <v>104</v>
      </c>
      <c r="H49" s="62">
        <v>1</v>
      </c>
      <c r="I49" s="48" t="s">
        <v>113</v>
      </c>
      <c r="J49" s="48" t="s">
        <v>155</v>
      </c>
    </row>
    <row r="50" spans="1:18" x14ac:dyDescent="0.35">
      <c r="B50" s="50" t="s">
        <v>13</v>
      </c>
      <c r="C50" s="61">
        <v>0.03</v>
      </c>
      <c r="D50" s="48" t="s">
        <v>50</v>
      </c>
      <c r="E50" s="48" t="s">
        <v>165</v>
      </c>
      <c r="G50" s="50" t="s">
        <v>13</v>
      </c>
      <c r="H50" s="61">
        <v>0.03</v>
      </c>
      <c r="I50" s="48" t="s">
        <v>50</v>
      </c>
      <c r="J50" s="48" t="s">
        <v>164</v>
      </c>
    </row>
    <row r="51" spans="1:18" x14ac:dyDescent="0.35">
      <c r="B51" s="50" t="s">
        <v>195</v>
      </c>
      <c r="C51" s="108">
        <v>10</v>
      </c>
      <c r="D51" s="48" t="s">
        <v>241</v>
      </c>
      <c r="E51" s="48" t="s">
        <v>119</v>
      </c>
      <c r="G51" s="50" t="s">
        <v>195</v>
      </c>
      <c r="H51" s="108">
        <v>7.5</v>
      </c>
      <c r="I51" s="48" t="s">
        <v>241</v>
      </c>
      <c r="J51" s="48" t="s">
        <v>119</v>
      </c>
    </row>
    <row r="52" spans="1:18" x14ac:dyDescent="0.35">
      <c r="B52" s="49"/>
      <c r="C52" s="129"/>
      <c r="G52" s="49"/>
      <c r="H52" s="129"/>
    </row>
    <row r="54" spans="1:18" x14ac:dyDescent="0.35">
      <c r="B54" s="216" t="s">
        <v>127</v>
      </c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</row>
    <row r="55" spans="1:18" x14ac:dyDescent="0.35">
      <c r="B55" s="211" t="s">
        <v>176</v>
      </c>
      <c r="C55" s="212"/>
      <c r="D55" s="212"/>
      <c r="E55" s="212"/>
      <c r="H55" s="211" t="s">
        <v>278</v>
      </c>
      <c r="I55" s="212"/>
      <c r="J55" s="212"/>
      <c r="K55" s="212"/>
      <c r="N55" s="211" t="s">
        <v>217</v>
      </c>
      <c r="O55" s="212"/>
      <c r="P55" s="212"/>
      <c r="Q55" s="212"/>
    </row>
    <row r="56" spans="1:18" x14ac:dyDescent="0.35">
      <c r="B56" s="102" t="s">
        <v>56</v>
      </c>
      <c r="C56" s="102" t="s">
        <v>136</v>
      </c>
      <c r="D56" s="103" t="s">
        <v>137</v>
      </c>
      <c r="E56" s="103" t="s">
        <v>117</v>
      </c>
      <c r="H56" s="102" t="s">
        <v>56</v>
      </c>
      <c r="I56" s="102" t="s">
        <v>136</v>
      </c>
      <c r="J56" s="103" t="s">
        <v>137</v>
      </c>
      <c r="K56" s="103" t="s">
        <v>117</v>
      </c>
      <c r="N56" s="102" t="s">
        <v>56</v>
      </c>
      <c r="O56" s="102" t="s">
        <v>136</v>
      </c>
      <c r="P56" s="103" t="s">
        <v>137</v>
      </c>
      <c r="Q56" s="103" t="s">
        <v>117</v>
      </c>
    </row>
    <row r="57" spans="1:18" x14ac:dyDescent="0.35">
      <c r="B57" s="50" t="s">
        <v>12</v>
      </c>
      <c r="C57" s="50">
        <v>50</v>
      </c>
      <c r="D57" s="48" t="s">
        <v>82</v>
      </c>
      <c r="E57" s="48" t="s">
        <v>157</v>
      </c>
      <c r="H57" s="50" t="s">
        <v>12</v>
      </c>
      <c r="I57" s="50">
        <v>50</v>
      </c>
      <c r="J57" s="48" t="s">
        <v>82</v>
      </c>
      <c r="K57" s="48" t="s">
        <v>135</v>
      </c>
      <c r="N57" s="50" t="s">
        <v>12</v>
      </c>
      <c r="O57" s="50">
        <v>50</v>
      </c>
      <c r="P57" s="48" t="s">
        <v>82</v>
      </c>
      <c r="Q57" s="48" t="s">
        <v>135</v>
      </c>
      <c r="R57" s="100"/>
    </row>
    <row r="58" spans="1:18" x14ac:dyDescent="0.35">
      <c r="A58" s="100"/>
      <c r="B58" s="50" t="s">
        <v>85</v>
      </c>
      <c r="C58" s="159">
        <v>0.99999970000000005</v>
      </c>
      <c r="D58" s="48" t="s">
        <v>272</v>
      </c>
      <c r="E58" s="48" t="s">
        <v>122</v>
      </c>
      <c r="H58" s="50" t="s">
        <v>85</v>
      </c>
      <c r="I58" s="62">
        <v>1</v>
      </c>
      <c r="J58" s="48"/>
      <c r="K58" s="48" t="s">
        <v>135</v>
      </c>
      <c r="N58" s="50" t="s">
        <v>85</v>
      </c>
      <c r="O58" s="62">
        <v>1</v>
      </c>
      <c r="P58" s="48"/>
      <c r="Q58" s="48" t="s">
        <v>135</v>
      </c>
    </row>
    <row r="59" spans="1:18" x14ac:dyDescent="0.35">
      <c r="B59" s="50" t="s">
        <v>177</v>
      </c>
      <c r="C59" s="50">
        <f>Variables!B31</f>
        <v>840000</v>
      </c>
      <c r="D59" s="48" t="s">
        <v>156</v>
      </c>
      <c r="E59" s="48" t="s">
        <v>157</v>
      </c>
      <c r="H59" s="50" t="s">
        <v>73</v>
      </c>
      <c r="I59" s="50">
        <v>1000000</v>
      </c>
      <c r="J59" s="48" t="s">
        <v>168</v>
      </c>
      <c r="K59" s="48" t="s">
        <v>135</v>
      </c>
      <c r="N59" s="50" t="s">
        <v>73</v>
      </c>
      <c r="O59" s="50">
        <f>Variables!B40</f>
        <v>88000</v>
      </c>
      <c r="P59" s="48" t="s">
        <v>71</v>
      </c>
      <c r="Q59" s="48" t="s">
        <v>269</v>
      </c>
      <c r="R59" t="s">
        <v>194</v>
      </c>
    </row>
    <row r="60" spans="1:18" x14ac:dyDescent="0.35">
      <c r="B60" s="50"/>
      <c r="C60" s="50"/>
      <c r="D60" s="48"/>
      <c r="E60" s="48"/>
      <c r="H60" s="50" t="s">
        <v>74</v>
      </c>
      <c r="I60" s="62">
        <v>0.01</v>
      </c>
      <c r="J60" s="48" t="s">
        <v>93</v>
      </c>
      <c r="K60" s="48" t="s">
        <v>135</v>
      </c>
      <c r="N60" s="50" t="s">
        <v>74</v>
      </c>
      <c r="O60" s="62">
        <v>0.03</v>
      </c>
      <c r="P60" s="48" t="s">
        <v>93</v>
      </c>
      <c r="Q60" s="48" t="s">
        <v>269</v>
      </c>
    </row>
    <row r="61" spans="1:18" x14ac:dyDescent="0.35">
      <c r="B61" s="50" t="s">
        <v>74</v>
      </c>
      <c r="C61" s="62">
        <v>0.01</v>
      </c>
      <c r="D61" s="48" t="s">
        <v>93</v>
      </c>
      <c r="E61" s="48" t="s">
        <v>157</v>
      </c>
      <c r="H61" s="50" t="s">
        <v>104</v>
      </c>
      <c r="I61" s="62">
        <v>1</v>
      </c>
      <c r="J61" s="48" t="s">
        <v>113</v>
      </c>
      <c r="K61" s="48" t="s">
        <v>155</v>
      </c>
      <c r="N61" s="50" t="s">
        <v>104</v>
      </c>
      <c r="O61" s="62">
        <v>1</v>
      </c>
      <c r="P61" s="48" t="s">
        <v>113</v>
      </c>
      <c r="Q61" s="48" t="s">
        <v>155</v>
      </c>
    </row>
    <row r="62" spans="1:18" x14ac:dyDescent="0.35">
      <c r="B62" s="50" t="s">
        <v>104</v>
      </c>
      <c r="C62" s="62">
        <v>1</v>
      </c>
      <c r="D62" s="48" t="s">
        <v>113</v>
      </c>
      <c r="E62" s="48" t="s">
        <v>155</v>
      </c>
    </row>
    <row r="63" spans="1:18" x14ac:dyDescent="0.35">
      <c r="H63" s="211" t="s">
        <v>128</v>
      </c>
      <c r="I63" s="212"/>
      <c r="J63" s="212"/>
      <c r="K63" s="212"/>
      <c r="O63" s="100"/>
    </row>
    <row r="64" spans="1:18" x14ac:dyDescent="0.35">
      <c r="B64" s="211" t="s">
        <v>120</v>
      </c>
      <c r="C64" s="212"/>
      <c r="D64" s="212"/>
      <c r="E64" s="212"/>
      <c r="H64" s="102" t="s">
        <v>56</v>
      </c>
      <c r="I64" s="102" t="s">
        <v>136</v>
      </c>
      <c r="J64" s="103" t="s">
        <v>137</v>
      </c>
      <c r="K64" s="103" t="s">
        <v>117</v>
      </c>
    </row>
    <row r="65" spans="2:11" x14ac:dyDescent="0.35">
      <c r="B65" s="102" t="s">
        <v>56</v>
      </c>
      <c r="C65" s="102" t="s">
        <v>136</v>
      </c>
      <c r="D65" s="103" t="s">
        <v>137</v>
      </c>
      <c r="E65" s="103" t="s">
        <v>117</v>
      </c>
      <c r="H65" s="50" t="s">
        <v>12</v>
      </c>
      <c r="I65" s="50">
        <v>40</v>
      </c>
      <c r="J65" s="48" t="s">
        <v>82</v>
      </c>
      <c r="K65" s="48" t="s">
        <v>135</v>
      </c>
    </row>
    <row r="66" spans="2:11" x14ac:dyDescent="0.35">
      <c r="B66" s="50" t="s">
        <v>12</v>
      </c>
      <c r="C66" s="50">
        <v>40</v>
      </c>
      <c r="D66" s="48" t="s">
        <v>82</v>
      </c>
      <c r="E66" s="48" t="s">
        <v>155</v>
      </c>
      <c r="H66" s="50" t="s">
        <v>85</v>
      </c>
      <c r="I66" s="104">
        <f>99.997%*Variables!B27</f>
        <v>0.99997000000000003</v>
      </c>
      <c r="J66" s="48" t="s">
        <v>166</v>
      </c>
      <c r="K66" s="48" t="s">
        <v>122</v>
      </c>
    </row>
    <row r="67" spans="2:11" x14ac:dyDescent="0.35">
      <c r="B67" s="50" t="s">
        <v>85</v>
      </c>
      <c r="C67" s="61">
        <f>0.9997*Variables!B27</f>
        <v>0.99970000000000003</v>
      </c>
      <c r="D67" s="48" t="s">
        <v>166</v>
      </c>
      <c r="E67" s="48" t="s">
        <v>153</v>
      </c>
      <c r="F67" s="105"/>
      <c r="H67" s="50" t="s">
        <v>73</v>
      </c>
      <c r="I67" s="81">
        <f>Variables!B29*Variables!B28</f>
        <v>2500000</v>
      </c>
      <c r="J67" s="48" t="s">
        <v>118</v>
      </c>
      <c r="K67" s="48" t="s">
        <v>262</v>
      </c>
    </row>
    <row r="68" spans="2:11" x14ac:dyDescent="0.35">
      <c r="B68" s="50" t="s">
        <v>73</v>
      </c>
      <c r="C68" s="81">
        <f>600000*Variables!B28</f>
        <v>600000</v>
      </c>
      <c r="D68" s="48" t="s">
        <v>118</v>
      </c>
      <c r="E68" s="48" t="s">
        <v>273</v>
      </c>
      <c r="H68" s="50" t="s">
        <v>94</v>
      </c>
      <c r="I68" s="62">
        <v>0.01</v>
      </c>
      <c r="J68" s="48" t="s">
        <v>93</v>
      </c>
      <c r="K68" s="48" t="s">
        <v>122</v>
      </c>
    </row>
    <row r="69" spans="2:11" x14ac:dyDescent="0.35">
      <c r="B69" s="50" t="s">
        <v>94</v>
      </c>
      <c r="C69" s="82">
        <v>5.0000000000000001E-3</v>
      </c>
      <c r="D69" s="48" t="s">
        <v>93</v>
      </c>
      <c r="E69" s="48" t="s">
        <v>167</v>
      </c>
      <c r="H69" s="50" t="s">
        <v>104</v>
      </c>
      <c r="I69" s="62">
        <v>1</v>
      </c>
      <c r="J69" s="48" t="s">
        <v>113</v>
      </c>
      <c r="K69" s="48" t="s">
        <v>155</v>
      </c>
    </row>
    <row r="70" spans="2:11" x14ac:dyDescent="0.35">
      <c r="B70" s="50" t="s">
        <v>104</v>
      </c>
      <c r="C70" s="62">
        <v>1</v>
      </c>
      <c r="D70" s="48" t="s">
        <v>113</v>
      </c>
      <c r="E70" s="48" t="s">
        <v>155</v>
      </c>
    </row>
    <row r="72" spans="2:11" x14ac:dyDescent="0.35">
      <c r="B72" s="211" t="s">
        <v>149</v>
      </c>
      <c r="C72" s="212"/>
      <c r="D72" s="212"/>
      <c r="E72" s="212"/>
      <c r="H72" s="211" t="s">
        <v>148</v>
      </c>
      <c r="I72" s="212"/>
      <c r="J72" s="212"/>
      <c r="K72" s="212"/>
    </row>
    <row r="73" spans="2:11" x14ac:dyDescent="0.35">
      <c r="B73" s="102" t="s">
        <v>56</v>
      </c>
      <c r="C73" s="102" t="s">
        <v>136</v>
      </c>
      <c r="D73" s="103" t="s">
        <v>137</v>
      </c>
      <c r="E73" s="103" t="s">
        <v>117</v>
      </c>
      <c r="H73" s="102" t="s">
        <v>56</v>
      </c>
      <c r="I73" s="102" t="s">
        <v>136</v>
      </c>
      <c r="J73" s="103" t="s">
        <v>137</v>
      </c>
      <c r="K73" s="103" t="s">
        <v>117</v>
      </c>
    </row>
    <row r="74" spans="2:11" x14ac:dyDescent="0.35">
      <c r="B74" s="50" t="s">
        <v>12</v>
      </c>
      <c r="C74" s="50">
        <v>40</v>
      </c>
      <c r="D74" s="48" t="s">
        <v>82</v>
      </c>
      <c r="E74" s="48" t="s">
        <v>155</v>
      </c>
      <c r="H74" s="50" t="s">
        <v>12</v>
      </c>
      <c r="I74" s="50">
        <v>50</v>
      </c>
      <c r="J74" s="48" t="s">
        <v>82</v>
      </c>
      <c r="K74" s="48" t="s">
        <v>155</v>
      </c>
    </row>
    <row r="75" spans="2:11" x14ac:dyDescent="0.35">
      <c r="B75" s="50" t="s">
        <v>70</v>
      </c>
      <c r="C75" s="81">
        <f>(150000*1.2)*Variables!B28</f>
        <v>180000</v>
      </c>
      <c r="D75" s="48" t="s">
        <v>71</v>
      </c>
      <c r="E75" s="35" t="s">
        <v>259</v>
      </c>
      <c r="H75" s="50" t="s">
        <v>70</v>
      </c>
      <c r="I75" s="81">
        <f>110000*Variables!B28</f>
        <v>110000</v>
      </c>
      <c r="J75" s="48" t="s">
        <v>71</v>
      </c>
      <c r="K75" s="48" t="s">
        <v>261</v>
      </c>
    </row>
    <row r="76" spans="2:11" x14ac:dyDescent="0.35">
      <c r="B76" s="50" t="s">
        <v>85</v>
      </c>
      <c r="C76" s="82">
        <f>99.5%*Variables!B27</f>
        <v>0.995</v>
      </c>
      <c r="D76" s="48" t="s">
        <v>50</v>
      </c>
      <c r="E76" s="48" t="s">
        <v>122</v>
      </c>
      <c r="H76" s="50" t="s">
        <v>85</v>
      </c>
      <c r="I76" s="62">
        <f>99%*Variables!B27</f>
        <v>0.99</v>
      </c>
      <c r="J76" s="48" t="s">
        <v>50</v>
      </c>
      <c r="K76" s="48" t="s">
        <v>123</v>
      </c>
    </row>
    <row r="77" spans="2:11" x14ac:dyDescent="0.35">
      <c r="B77" s="50" t="s">
        <v>94</v>
      </c>
      <c r="C77" s="82">
        <v>2.5000000000000001E-2</v>
      </c>
      <c r="D77" s="48" t="s">
        <v>93</v>
      </c>
      <c r="E77" s="48" t="s">
        <v>122</v>
      </c>
      <c r="H77" s="50" t="s">
        <v>94</v>
      </c>
      <c r="I77" s="82">
        <v>2.5000000000000001E-2</v>
      </c>
      <c r="J77" s="48" t="s">
        <v>93</v>
      </c>
      <c r="K77" s="48" t="s">
        <v>122</v>
      </c>
    </row>
    <row r="78" spans="2:11" x14ac:dyDescent="0.35">
      <c r="B78" s="50" t="s">
        <v>104</v>
      </c>
      <c r="C78" s="62">
        <v>1</v>
      </c>
      <c r="D78" s="48" t="s">
        <v>113</v>
      </c>
      <c r="E78" s="48" t="s">
        <v>155</v>
      </c>
      <c r="H78" s="50" t="s">
        <v>104</v>
      </c>
      <c r="I78" s="62">
        <v>1</v>
      </c>
      <c r="J78" s="48" t="s">
        <v>113</v>
      </c>
      <c r="K78" s="48" t="s">
        <v>155</v>
      </c>
    </row>
    <row r="80" spans="2:11" x14ac:dyDescent="0.35">
      <c r="B80" s="216" t="s">
        <v>134</v>
      </c>
      <c r="C80" s="217"/>
      <c r="D80" s="217"/>
      <c r="E80" s="217"/>
      <c r="F80" s="217"/>
      <c r="G80" s="217"/>
      <c r="H80" s="217"/>
      <c r="I80" s="217"/>
      <c r="J80" s="217"/>
    </row>
    <row r="81" spans="2:10" x14ac:dyDescent="0.35">
      <c r="B81" s="211" t="s">
        <v>205</v>
      </c>
      <c r="C81" s="212"/>
      <c r="D81" s="212"/>
      <c r="E81" s="212"/>
      <c r="G81" s="211" t="s">
        <v>114</v>
      </c>
      <c r="H81" s="212"/>
      <c r="I81" s="212"/>
      <c r="J81" s="212"/>
    </row>
    <row r="82" spans="2:10" x14ac:dyDescent="0.35">
      <c r="B82" s="102" t="s">
        <v>56</v>
      </c>
      <c r="C82" s="102" t="s">
        <v>136</v>
      </c>
      <c r="D82" s="103" t="s">
        <v>137</v>
      </c>
      <c r="E82" s="103" t="s">
        <v>117</v>
      </c>
      <c r="G82" s="102" t="s">
        <v>56</v>
      </c>
      <c r="H82" s="102" t="s">
        <v>136</v>
      </c>
      <c r="I82" s="103" t="s">
        <v>137</v>
      </c>
      <c r="J82" s="103" t="s">
        <v>117</v>
      </c>
    </row>
    <row r="83" spans="2:10" x14ac:dyDescent="0.35">
      <c r="B83" s="50" t="s">
        <v>73</v>
      </c>
      <c r="C83" s="50">
        <v>3000000</v>
      </c>
      <c r="D83" s="48" t="s">
        <v>71</v>
      </c>
      <c r="E83" t="s">
        <v>209</v>
      </c>
      <c r="G83" s="50" t="s">
        <v>73</v>
      </c>
      <c r="H83" s="106">
        <f>0.03</f>
        <v>0.03</v>
      </c>
      <c r="I83" s="48" t="s">
        <v>172</v>
      </c>
      <c r="J83" s="98" t="s">
        <v>277</v>
      </c>
    </row>
    <row r="84" spans="2:10" x14ac:dyDescent="0.35">
      <c r="B84" s="50" t="s">
        <v>203</v>
      </c>
      <c r="C84" s="50">
        <v>4.0000000000000002E-4</v>
      </c>
      <c r="D84" s="48" t="s">
        <v>86</v>
      </c>
      <c r="E84" t="s">
        <v>208</v>
      </c>
      <c r="G84" s="50" t="s">
        <v>12</v>
      </c>
      <c r="H84" s="50">
        <v>25</v>
      </c>
      <c r="I84" s="48" t="s">
        <v>82</v>
      </c>
      <c r="J84" s="48" t="s">
        <v>135</v>
      </c>
    </row>
    <row r="85" spans="2:10" x14ac:dyDescent="0.35">
      <c r="B85" s="50" t="s">
        <v>206</v>
      </c>
      <c r="C85" s="82">
        <v>0.98</v>
      </c>
      <c r="D85" s="48" t="s">
        <v>50</v>
      </c>
      <c r="E85" t="s">
        <v>200</v>
      </c>
      <c r="F85" t="s">
        <v>169</v>
      </c>
      <c r="G85" s="50" t="s">
        <v>85</v>
      </c>
      <c r="H85" s="62">
        <v>0.99</v>
      </c>
      <c r="I85" s="48"/>
      <c r="J85" s="48" t="s">
        <v>135</v>
      </c>
    </row>
    <row r="86" spans="2:10" x14ac:dyDescent="0.35">
      <c r="B86" s="50" t="s">
        <v>12</v>
      </c>
      <c r="C86" s="50">
        <v>25</v>
      </c>
      <c r="D86" s="48" t="s">
        <v>82</v>
      </c>
      <c r="E86" t="s">
        <v>170</v>
      </c>
      <c r="G86" s="50" t="s">
        <v>94</v>
      </c>
      <c r="H86" s="62">
        <v>2.5000000000000001E-2</v>
      </c>
      <c r="I86" s="48" t="s">
        <v>116</v>
      </c>
      <c r="J86" s="48" t="s">
        <v>173</v>
      </c>
    </row>
    <row r="87" spans="2:10" x14ac:dyDescent="0.35">
      <c r="B87" s="50" t="s">
        <v>91</v>
      </c>
      <c r="C87" s="62">
        <v>1</v>
      </c>
      <c r="D87" s="48"/>
      <c r="E87" t="s">
        <v>155</v>
      </c>
      <c r="G87" s="50" t="s">
        <v>104</v>
      </c>
      <c r="H87" s="62">
        <v>1</v>
      </c>
      <c r="I87" s="48" t="s">
        <v>113</v>
      </c>
      <c r="J87" s="48" t="s">
        <v>155</v>
      </c>
    </row>
    <row r="88" spans="2:10" x14ac:dyDescent="0.35">
      <c r="B88" s="50" t="s">
        <v>13</v>
      </c>
      <c r="C88" s="61">
        <v>0.03</v>
      </c>
      <c r="D88" s="48" t="s">
        <v>93</v>
      </c>
      <c r="E88" t="s">
        <v>171</v>
      </c>
    </row>
    <row r="90" spans="2:10" x14ac:dyDescent="0.35">
      <c r="B90" s="211" t="s">
        <v>237</v>
      </c>
      <c r="C90" s="212"/>
      <c r="D90" s="212"/>
      <c r="E90" s="212"/>
      <c r="G90" s="211" t="s">
        <v>111</v>
      </c>
      <c r="H90" s="212"/>
      <c r="I90" s="212"/>
      <c r="J90" s="212"/>
    </row>
    <row r="91" spans="2:10" x14ac:dyDescent="0.35">
      <c r="B91" s="102" t="s">
        <v>56</v>
      </c>
      <c r="C91" s="102" t="s">
        <v>136</v>
      </c>
      <c r="D91" s="103" t="s">
        <v>137</v>
      </c>
      <c r="E91" s="103" t="s">
        <v>117</v>
      </c>
      <c r="G91" s="102" t="s">
        <v>56</v>
      </c>
      <c r="H91" s="102" t="s">
        <v>136</v>
      </c>
      <c r="I91" s="103" t="s">
        <v>137</v>
      </c>
      <c r="J91" s="103" t="s">
        <v>117</v>
      </c>
    </row>
    <row r="92" spans="2:10" x14ac:dyDescent="0.35">
      <c r="B92" s="50" t="s">
        <v>73</v>
      </c>
      <c r="C92" s="112">
        <v>0.2</v>
      </c>
      <c r="D92" s="48" t="s">
        <v>180</v>
      </c>
      <c r="E92" s="48" t="s">
        <v>155</v>
      </c>
      <c r="G92" s="50" t="s">
        <v>73</v>
      </c>
      <c r="H92" s="113">
        <f>0.1</f>
        <v>0.1</v>
      </c>
      <c r="I92" s="48" t="s">
        <v>180</v>
      </c>
      <c r="J92" s="48"/>
    </row>
    <row r="93" spans="2:10" x14ac:dyDescent="0.35">
      <c r="B93" s="50" t="s">
        <v>94</v>
      </c>
      <c r="C93" s="62">
        <v>0.02</v>
      </c>
      <c r="D93" s="48" t="s">
        <v>103</v>
      </c>
      <c r="E93" s="48" t="s">
        <v>155</v>
      </c>
    </row>
    <row r="96" spans="2:10" ht="15" thickBot="1" x14ac:dyDescent="0.4"/>
    <row r="97" spans="2:10" x14ac:dyDescent="0.35">
      <c r="B97" s="211" t="s">
        <v>143</v>
      </c>
      <c r="C97" s="212"/>
      <c r="D97" s="212"/>
      <c r="E97" s="212"/>
      <c r="H97" s="213" t="s">
        <v>238</v>
      </c>
      <c r="I97" s="214"/>
      <c r="J97" s="215"/>
    </row>
    <row r="98" spans="2:10" x14ac:dyDescent="0.35">
      <c r="B98" s="102" t="s">
        <v>56</v>
      </c>
      <c r="C98" s="102" t="s">
        <v>136</v>
      </c>
      <c r="D98" s="103" t="s">
        <v>137</v>
      </c>
      <c r="E98" s="103"/>
      <c r="H98" s="102" t="s">
        <v>56</v>
      </c>
      <c r="I98" s="102" t="s">
        <v>136</v>
      </c>
      <c r="J98" s="103" t="s">
        <v>137</v>
      </c>
    </row>
    <row r="99" spans="2:10" x14ac:dyDescent="0.35">
      <c r="B99" s="50" t="s">
        <v>196</v>
      </c>
      <c r="C99" s="108">
        <f>Variables!B21</f>
        <v>2</v>
      </c>
      <c r="D99" s="48" t="s">
        <v>197</v>
      </c>
      <c r="E99" s="48" t="s">
        <v>135</v>
      </c>
      <c r="H99" s="50" t="s">
        <v>239</v>
      </c>
      <c r="I99" s="140">
        <f>Variables!B16</f>
        <v>500000</v>
      </c>
      <c r="J99" s="48" t="s">
        <v>240</v>
      </c>
    </row>
    <row r="100" spans="2:10" x14ac:dyDescent="0.35">
      <c r="B100" s="50" t="s">
        <v>198</v>
      </c>
      <c r="C100" s="50">
        <f>Variables!B22</f>
        <v>1.5</v>
      </c>
      <c r="D100" s="48" t="s">
        <v>197</v>
      </c>
      <c r="E100" s="48" t="s">
        <v>135</v>
      </c>
      <c r="H100" s="50" t="s">
        <v>74</v>
      </c>
      <c r="I100" s="62">
        <v>0.05</v>
      </c>
      <c r="J100" s="48" t="s">
        <v>50</v>
      </c>
    </row>
    <row r="102" spans="2:10" x14ac:dyDescent="0.35">
      <c r="B102" s="211" t="s">
        <v>207</v>
      </c>
      <c r="C102" s="212"/>
      <c r="D102" s="212"/>
      <c r="E102" s="212"/>
    </row>
    <row r="103" spans="2:10" x14ac:dyDescent="0.35">
      <c r="B103" s="102" t="s">
        <v>56</v>
      </c>
      <c r="C103" s="102" t="s">
        <v>136</v>
      </c>
      <c r="D103" s="103" t="s">
        <v>137</v>
      </c>
      <c r="E103" s="103" t="s">
        <v>117</v>
      </c>
    </row>
    <row r="104" spans="2:10" x14ac:dyDescent="0.35">
      <c r="B104" s="50" t="s">
        <v>202</v>
      </c>
      <c r="C104" s="50">
        <v>1060</v>
      </c>
      <c r="D104" s="48" t="s">
        <v>201</v>
      </c>
      <c r="E104" s="48" t="s">
        <v>158</v>
      </c>
    </row>
    <row r="105" spans="2:10" x14ac:dyDescent="0.35">
      <c r="B105" s="50" t="s">
        <v>110</v>
      </c>
      <c r="C105" s="82">
        <v>0.97</v>
      </c>
      <c r="D105" s="48" t="s">
        <v>50</v>
      </c>
      <c r="E105" s="48" t="s">
        <v>200</v>
      </c>
    </row>
    <row r="106" spans="2:10" x14ac:dyDescent="0.35">
      <c r="B106" s="50" t="s">
        <v>12</v>
      </c>
      <c r="C106" s="50">
        <v>25</v>
      </c>
      <c r="D106" s="48" t="s">
        <v>82</v>
      </c>
      <c r="E106" s="48" t="s">
        <v>170</v>
      </c>
    </row>
    <row r="107" spans="2:10" x14ac:dyDescent="0.35">
      <c r="B107" s="50" t="s">
        <v>91</v>
      </c>
      <c r="C107" s="62">
        <v>1</v>
      </c>
      <c r="D107" s="48"/>
      <c r="E107" s="48" t="s">
        <v>155</v>
      </c>
    </row>
    <row r="108" spans="2:10" x14ac:dyDescent="0.35">
      <c r="B108" s="50" t="s">
        <v>13</v>
      </c>
      <c r="C108" s="61">
        <v>0.03</v>
      </c>
      <c r="D108" s="48" t="s">
        <v>93</v>
      </c>
      <c r="E108" s="48" t="s">
        <v>171</v>
      </c>
    </row>
  </sheetData>
  <mergeCells count="29">
    <mergeCell ref="G17:K17"/>
    <mergeCell ref="B17:E17"/>
    <mergeCell ref="B26:E26"/>
    <mergeCell ref="A1:R1"/>
    <mergeCell ref="B3:I3"/>
    <mergeCell ref="B16:I16"/>
    <mergeCell ref="G4:I4"/>
    <mergeCell ref="B4:D4"/>
    <mergeCell ref="B35:E35"/>
    <mergeCell ref="G35:J35"/>
    <mergeCell ref="B44:E44"/>
    <mergeCell ref="G44:J44"/>
    <mergeCell ref="B34:J34"/>
    <mergeCell ref="B97:E97"/>
    <mergeCell ref="H97:J97"/>
    <mergeCell ref="B102:E102"/>
    <mergeCell ref="B54:Q54"/>
    <mergeCell ref="B80:J80"/>
    <mergeCell ref="B72:E72"/>
    <mergeCell ref="H72:K72"/>
    <mergeCell ref="G81:J81"/>
    <mergeCell ref="B81:E81"/>
    <mergeCell ref="G90:J90"/>
    <mergeCell ref="B90:E90"/>
    <mergeCell ref="N55:Q55"/>
    <mergeCell ref="H55:K55"/>
    <mergeCell ref="B55:E55"/>
    <mergeCell ref="B64:E64"/>
    <mergeCell ref="H63:K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1F43-1049-411F-BDB6-021F164985F5}">
  <dimension ref="A1:K51"/>
  <sheetViews>
    <sheetView topLeftCell="D1" zoomScale="85" zoomScaleNormal="85" workbookViewId="0">
      <selection activeCell="J3" sqref="J3"/>
    </sheetView>
  </sheetViews>
  <sheetFormatPr defaultColWidth="9.1796875" defaultRowHeight="14.5" x14ac:dyDescent="0.35"/>
  <cols>
    <col min="1" max="1" width="21" style="5" bestFit="1" customWidth="1"/>
    <col min="2" max="2" width="12.54296875" style="5" bestFit="1" customWidth="1"/>
    <col min="3" max="3" width="8" style="5" bestFit="1" customWidth="1"/>
    <col min="4" max="4" width="26.54296875" style="5" bestFit="1" customWidth="1"/>
    <col min="5" max="6" width="40.1796875" style="5" bestFit="1" customWidth="1"/>
    <col min="7" max="7" width="9.1796875" style="5"/>
    <col min="8" max="8" width="27.1796875" style="5" bestFit="1" customWidth="1"/>
    <col min="9" max="12" width="9.1796875" style="5"/>
    <col min="13" max="13" width="18.81640625" style="5" bestFit="1" customWidth="1"/>
    <col min="14" max="16384" width="9.1796875" style="5"/>
  </cols>
  <sheetData>
    <row r="1" spans="1:11" ht="15" thickBot="1" x14ac:dyDescent="0.4">
      <c r="A1" s="34" t="s">
        <v>31</v>
      </c>
      <c r="B1" s="33" t="s">
        <v>32</v>
      </c>
      <c r="C1" s="33" t="s">
        <v>33</v>
      </c>
      <c r="D1" s="32" t="s">
        <v>34</v>
      </c>
      <c r="E1" s="31" t="s">
        <v>35</v>
      </c>
      <c r="F1" s="31" t="s">
        <v>36</v>
      </c>
      <c r="H1" s="224" t="s">
        <v>37</v>
      </c>
      <c r="I1" s="225"/>
      <c r="J1" s="225"/>
      <c r="K1" s="226"/>
    </row>
    <row r="2" spans="1:11" x14ac:dyDescent="0.35">
      <c r="A2" s="30">
        <v>0</v>
      </c>
      <c r="B2" s="29">
        <f t="shared" ref="B2:B27" si="0">_xlfn.WEIBULL.DIST(A2,$J$2,$J$4,)</f>
        <v>0</v>
      </c>
      <c r="C2" s="29">
        <f t="shared" ref="C2:C27" si="1">8760*B2</f>
        <v>0</v>
      </c>
      <c r="D2" s="15">
        <f t="shared" ref="D2:D27" si="2">0.5*1.225*A2^3*B2</f>
        <v>0</v>
      </c>
      <c r="E2" s="14">
        <f>wind_source!C2*'IEA 15 MW RWT '!B2*wind_source!$J$7</f>
        <v>0</v>
      </c>
      <c r="F2" s="14">
        <f>E2*(1-$J$5)</f>
        <v>0</v>
      </c>
      <c r="H2" s="28" t="s">
        <v>38</v>
      </c>
      <c r="I2" s="27" t="s">
        <v>39</v>
      </c>
      <c r="J2" s="23">
        <v>3</v>
      </c>
      <c r="K2" s="26" t="s">
        <v>9</v>
      </c>
    </row>
    <row r="3" spans="1:11" x14ac:dyDescent="0.35">
      <c r="A3" s="17">
        <v>1</v>
      </c>
      <c r="B3" s="16">
        <f t="shared" si="0"/>
        <v>2.1346982258931449E-3</v>
      </c>
      <c r="C3" s="16">
        <f t="shared" si="1"/>
        <v>18.699956458823948</v>
      </c>
      <c r="D3" s="15">
        <f t="shared" si="2"/>
        <v>1.3075026633595514E-3</v>
      </c>
      <c r="E3" s="14">
        <f>wind_source!C3*'IEA 15 MW RWT '!B3*wind_source!$J$7</f>
        <v>0</v>
      </c>
      <c r="F3" s="14">
        <f t="shared" ref="F3:F27" si="3">E3*(1-$J$5)</f>
        <v>0</v>
      </c>
      <c r="H3" s="24" t="s">
        <v>40</v>
      </c>
      <c r="I3" s="6" t="s">
        <v>41</v>
      </c>
      <c r="J3" s="23">
        <f>IF(VALUE(Variables!B2)=50, 9.5, IF(VALUE(Variables!B2)=150, 10, IF(VALUE(Variables!B2)=250, 10, 0)))</f>
        <v>10</v>
      </c>
      <c r="K3" s="22" t="s">
        <v>42</v>
      </c>
    </row>
    <row r="4" spans="1:11" x14ac:dyDescent="0.35">
      <c r="A4" s="17">
        <v>2</v>
      </c>
      <c r="B4" s="16">
        <f t="shared" si="0"/>
        <v>8.4963370984512815E-3</v>
      </c>
      <c r="C4" s="16">
        <f t="shared" si="1"/>
        <v>74.427912982433227</v>
      </c>
      <c r="D4" s="15">
        <f t="shared" si="2"/>
        <v>4.1632051782411285E-2</v>
      </c>
      <c r="E4" s="14">
        <f>wind_source!C4*'IEA 15 MW RWT '!B4*wind_source!$J$7</f>
        <v>0</v>
      </c>
      <c r="F4" s="14">
        <f t="shared" si="3"/>
        <v>0</v>
      </c>
      <c r="H4" s="24" t="s">
        <v>43</v>
      </c>
      <c r="I4" s="6" t="s">
        <v>44</v>
      </c>
      <c r="J4" s="25">
        <f>J3/(EXP(GAMMALN(1+1/J2)))</f>
        <v>11.198465217221857</v>
      </c>
      <c r="K4" s="22" t="s">
        <v>42</v>
      </c>
    </row>
    <row r="5" spans="1:11" x14ac:dyDescent="0.35">
      <c r="A5" s="17">
        <v>3</v>
      </c>
      <c r="B5" s="16">
        <f t="shared" si="0"/>
        <v>1.8859862211708281E-2</v>
      </c>
      <c r="C5" s="16">
        <f t="shared" si="1"/>
        <v>165.21239297456455</v>
      </c>
      <c r="D5" s="15">
        <f t="shared" si="2"/>
        <v>0.3118949713261257</v>
      </c>
      <c r="E5" s="14">
        <f>wind_source!C5*'IEA 15 MW RWT '!B5*wind_source!$J$7</f>
        <v>0</v>
      </c>
      <c r="F5" s="14">
        <f t="shared" si="3"/>
        <v>0</v>
      </c>
      <c r="H5" s="24" t="s">
        <v>45</v>
      </c>
      <c r="I5" s="6"/>
      <c r="J5" s="23">
        <v>0.1</v>
      </c>
      <c r="K5" s="22" t="s">
        <v>9</v>
      </c>
    </row>
    <row r="6" spans="1:11" x14ac:dyDescent="0.35">
      <c r="A6" s="17">
        <v>4</v>
      </c>
      <c r="B6" s="16">
        <f t="shared" si="0"/>
        <v>3.2656810247449534E-2</v>
      </c>
      <c r="C6" s="16">
        <f t="shared" si="1"/>
        <v>286.07365776765795</v>
      </c>
      <c r="D6" s="15">
        <f t="shared" si="2"/>
        <v>1.2801469617000218</v>
      </c>
      <c r="E6" s="14">
        <f>wind_source!C6*'IEA 15 MW RWT '!B6*wind_source!$J$7</f>
        <v>114486.67783861671</v>
      </c>
      <c r="F6" s="14">
        <f>E6*(1-$J$5)</f>
        <v>103038.01005475504</v>
      </c>
      <c r="H6" s="24" t="s">
        <v>46</v>
      </c>
      <c r="I6" s="6"/>
      <c r="J6" s="23">
        <v>10005</v>
      </c>
      <c r="K6" s="22" t="s">
        <v>47</v>
      </c>
    </row>
    <row r="7" spans="1:11" ht="15" thickBot="1" x14ac:dyDescent="0.4">
      <c r="A7" s="17">
        <v>5</v>
      </c>
      <c r="B7" s="16">
        <f t="shared" si="0"/>
        <v>4.885731300106623E-2</v>
      </c>
      <c r="C7" s="16">
        <f t="shared" si="1"/>
        <v>427.99006188934015</v>
      </c>
      <c r="D7" s="15">
        <f t="shared" si="2"/>
        <v>3.7406380266441333</v>
      </c>
      <c r="E7" s="14">
        <f>wind_source!C7*'IEA 15 MW RWT '!B7*wind_source!$J$7</f>
        <v>399657.11979226582</v>
      </c>
      <c r="F7" s="14">
        <f t="shared" si="3"/>
        <v>359691.40781303926</v>
      </c>
      <c r="H7" s="21" t="s">
        <v>48</v>
      </c>
      <c r="I7" s="20"/>
      <c r="J7" s="19">
        <f>J6/'IEA 15 MW RWT '!F3</f>
        <v>667</v>
      </c>
      <c r="K7" s="18"/>
    </row>
    <row r="8" spans="1:11" x14ac:dyDescent="0.35">
      <c r="A8" s="17">
        <v>6</v>
      </c>
      <c r="B8" s="16">
        <f t="shared" si="0"/>
        <v>6.5940218172006168E-2</v>
      </c>
      <c r="C8" s="16">
        <f t="shared" si="1"/>
        <v>577.63631118677404</v>
      </c>
      <c r="D8" s="15">
        <f t="shared" si="2"/>
        <v>8.7238908641564166</v>
      </c>
      <c r="E8" s="14">
        <f>wind_source!C8*'IEA 15 MW RWT '!B8*wind_source!$J$7</f>
        <v>1021001.0618381824</v>
      </c>
      <c r="F8" s="14">
        <f t="shared" si="3"/>
        <v>918900.9556543642</v>
      </c>
    </row>
    <row r="9" spans="1:11" x14ac:dyDescent="0.35">
      <c r="A9" s="17">
        <v>7</v>
      </c>
      <c r="B9" s="16">
        <f t="shared" si="0"/>
        <v>8.1991586817625042E-2</v>
      </c>
      <c r="C9" s="16">
        <f t="shared" si="1"/>
        <v>718.24630052239536</v>
      </c>
      <c r="D9" s="15">
        <f t="shared" si="2"/>
        <v>17.225407495547802</v>
      </c>
      <c r="E9" s="14">
        <f>wind_source!C9*'IEA 15 MW RWT '!B9*wind_source!$J$7</f>
        <v>2012095.1862834385</v>
      </c>
      <c r="F9" s="14">
        <f t="shared" si="3"/>
        <v>1810885.6676550948</v>
      </c>
    </row>
    <row r="10" spans="1:11" x14ac:dyDescent="0.35">
      <c r="A10" s="17">
        <v>8</v>
      </c>
      <c r="B10" s="16">
        <f t="shared" si="0"/>
        <v>9.4948923547681155E-2</v>
      </c>
      <c r="C10" s="16">
        <f t="shared" si="1"/>
        <v>831.75257027768691</v>
      </c>
      <c r="D10" s="15">
        <f t="shared" si="2"/>
        <v>29.775982424552812</v>
      </c>
      <c r="E10" s="14">
        <f>wind_source!C10*'IEA 15 MW RWT '!B10*wind_source!$J$7</f>
        <v>3550585.37200139</v>
      </c>
      <c r="F10" s="14">
        <f t="shared" si="3"/>
        <v>3195526.8348012511</v>
      </c>
    </row>
    <row r="11" spans="1:11" x14ac:dyDescent="0.35">
      <c r="A11" s="17">
        <v>9</v>
      </c>
      <c r="B11" s="16">
        <f t="shared" si="0"/>
        <v>0.10296461061203684</v>
      </c>
      <c r="C11" s="16">
        <f t="shared" si="1"/>
        <v>901.96998896144271</v>
      </c>
      <c r="D11" s="15">
        <f t="shared" si="2"/>
        <v>45.974985695907101</v>
      </c>
      <c r="E11" s="14">
        <f>wind_source!C11*'IEA 15 MW RWT '!B11*wind_source!$J$7</f>
        <v>5474687.2419992676</v>
      </c>
      <c r="F11" s="14">
        <f t="shared" si="3"/>
        <v>4927218.5177993411</v>
      </c>
    </row>
    <row r="12" spans="1:11" x14ac:dyDescent="0.35">
      <c r="A12" s="17">
        <v>10</v>
      </c>
      <c r="B12" s="16">
        <f t="shared" si="0"/>
        <v>0.10480847183568115</v>
      </c>
      <c r="C12" s="16">
        <f t="shared" si="1"/>
        <v>918.12221328056683</v>
      </c>
      <c r="D12" s="15">
        <f t="shared" si="2"/>
        <v>64.195188999354698</v>
      </c>
      <c r="E12" s="14">
        <f>wind_source!C12*'IEA 15 MW RWT '!B12*wind_source!$J$7</f>
        <v>7471127.698349284</v>
      </c>
      <c r="F12" s="14">
        <f t="shared" si="3"/>
        <v>6724014.9285143558</v>
      </c>
    </row>
    <row r="13" spans="1:11" x14ac:dyDescent="0.35">
      <c r="A13" s="17">
        <v>11</v>
      </c>
      <c r="B13" s="16">
        <f t="shared" si="0"/>
        <v>0.10018904209339485</v>
      </c>
      <c r="C13" s="16">
        <f t="shared" si="1"/>
        <v>877.65600873813889</v>
      </c>
      <c r="D13" s="15">
        <f t="shared" si="2"/>
        <v>81.677864203613993</v>
      </c>
      <c r="E13" s="14">
        <f>wind_source!C13*'IEA 15 MW RWT '!B13*wind_source!$J$7</f>
        <v>8780948.3674250804</v>
      </c>
      <c r="F13" s="14">
        <f t="shared" si="3"/>
        <v>7902853.5306825722</v>
      </c>
    </row>
    <row r="14" spans="1:11" x14ac:dyDescent="0.35">
      <c r="A14" s="17">
        <v>12</v>
      </c>
      <c r="B14" s="16">
        <f t="shared" si="0"/>
        <v>8.9872196124903186E-2</v>
      </c>
      <c r="C14" s="16">
        <f t="shared" si="1"/>
        <v>787.28043805415189</v>
      </c>
      <c r="D14" s="15">
        <f t="shared" si="2"/>
        <v>95.120732378597538</v>
      </c>
      <c r="E14" s="14">
        <f>wind_source!C14*'IEA 15 MW RWT '!B14*wind_source!$J$7</f>
        <v>7876740.7827317901</v>
      </c>
      <c r="F14" s="14">
        <f t="shared" si="3"/>
        <v>7089066.7044586111</v>
      </c>
    </row>
    <row r="15" spans="1:11" x14ac:dyDescent="0.35">
      <c r="A15" s="17">
        <v>13</v>
      </c>
      <c r="B15" s="16">
        <f t="shared" si="0"/>
        <v>7.5528632538531107E-2</v>
      </c>
      <c r="C15" s="16">
        <f t="shared" si="1"/>
        <v>661.63082103753254</v>
      </c>
      <c r="D15" s="15">
        <f t="shared" si="2"/>
        <v>101.63604848338113</v>
      </c>
      <c r="E15" s="14">
        <f>wind_source!C15*'IEA 15 MW RWT '!B15*wind_source!$J$7</f>
        <v>6619616.3644805131</v>
      </c>
      <c r="F15" s="14">
        <f t="shared" si="3"/>
        <v>5957654.7280324623</v>
      </c>
    </row>
    <row r="16" spans="1:11" x14ac:dyDescent="0.35">
      <c r="A16" s="17">
        <v>14</v>
      </c>
      <c r="B16" s="16">
        <f t="shared" si="0"/>
        <v>5.9336454723502921E-2</v>
      </c>
      <c r="C16" s="16">
        <f t="shared" si="1"/>
        <v>519.78734337788558</v>
      </c>
      <c r="D16" s="15">
        <f t="shared" si="2"/>
        <v>99.726779453791366</v>
      </c>
      <c r="E16" s="14">
        <f>wind_source!C16*'IEA 15 MW RWT '!B16*wind_source!$J$7</f>
        <v>5200472.370495745</v>
      </c>
      <c r="F16" s="14">
        <f t="shared" si="3"/>
        <v>4680425.1334461709</v>
      </c>
    </row>
    <row r="17" spans="1:7" x14ac:dyDescent="0.35">
      <c r="A17" s="17">
        <v>15</v>
      </c>
      <c r="B17" s="16">
        <f t="shared" si="0"/>
        <v>4.3462199533608907E-2</v>
      </c>
      <c r="C17" s="16">
        <f t="shared" si="1"/>
        <v>380.72886791441402</v>
      </c>
      <c r="D17" s="15">
        <f t="shared" si="2"/>
        <v>89.844515598382159</v>
      </c>
      <c r="E17" s="14">
        <f>wind_source!C17*'IEA 15 MW RWT '!B17*wind_source!$J$7</f>
        <v>3809192.3234837125</v>
      </c>
      <c r="F17" s="14">
        <f>E17*(1-$J$5)</f>
        <v>3428273.0911353412</v>
      </c>
    </row>
    <row r="18" spans="1:7" x14ac:dyDescent="0.35">
      <c r="A18" s="17">
        <v>16</v>
      </c>
      <c r="B18" s="16">
        <f t="shared" si="0"/>
        <v>2.9593774985636586E-2</v>
      </c>
      <c r="C18" s="16">
        <f t="shared" si="1"/>
        <v>259.24146887417652</v>
      </c>
      <c r="D18" s="15">
        <f t="shared" si="2"/>
        <v>74.244862683965067</v>
      </c>
      <c r="E18" s="14">
        <f>wind_source!C18*'IEA 15 MW RWT '!B18*wind_source!$J$7</f>
        <v>2593710.8960861359</v>
      </c>
      <c r="F18" s="14">
        <f t="shared" si="3"/>
        <v>2334339.8064775225</v>
      </c>
    </row>
    <row r="19" spans="1:7" x14ac:dyDescent="0.35">
      <c r="A19" s="17">
        <v>17</v>
      </c>
      <c r="B19" s="16">
        <f t="shared" si="0"/>
        <v>1.8672459497163854E-2</v>
      </c>
      <c r="C19" s="16">
        <f t="shared" si="1"/>
        <v>163.57074519515535</v>
      </c>
      <c r="D19" s="15">
        <f t="shared" si="2"/>
        <v>56.189398524609189</v>
      </c>
      <c r="E19" s="14">
        <f>wind_source!C19*'IEA 15 MW RWT '!B19*wind_source!$J$7</f>
        <v>1636525.3056775294</v>
      </c>
      <c r="F19" s="14">
        <f>E19*(1-$J$5)</f>
        <v>1472872.7751097765</v>
      </c>
    </row>
    <row r="20" spans="1:7" x14ac:dyDescent="0.35">
      <c r="A20" s="17">
        <v>18</v>
      </c>
      <c r="B20" s="16">
        <f t="shared" si="0"/>
        <v>1.0880492179366328E-2</v>
      </c>
      <c r="C20" s="16">
        <f t="shared" si="1"/>
        <v>95.313111491249032</v>
      </c>
      <c r="D20" s="15">
        <f t="shared" si="2"/>
        <v>38.866206113914465</v>
      </c>
      <c r="E20" s="14">
        <f>wind_source!C20*'IEA 15 MW RWT '!B20*wind_source!$J$7</f>
        <v>953607.68046994659</v>
      </c>
      <c r="F20" s="14">
        <f t="shared" si="3"/>
        <v>858246.91242295189</v>
      </c>
    </row>
    <row r="21" spans="1:7" x14ac:dyDescent="0.35">
      <c r="A21" s="17">
        <v>19</v>
      </c>
      <c r="B21" s="16">
        <f t="shared" si="0"/>
        <v>5.8346075635810398E-3</v>
      </c>
      <c r="C21" s="16">
        <f t="shared" si="1"/>
        <v>51.111162256969912</v>
      </c>
      <c r="D21" s="15">
        <f t="shared" si="2"/>
        <v>24.511988633143943</v>
      </c>
      <c r="E21" s="14">
        <f>wind_source!C21*'IEA 15 MW RWT '!B21*wind_source!$J$7</f>
        <v>511367.17838098394</v>
      </c>
      <c r="F21" s="14">
        <f t="shared" si="3"/>
        <v>460230.46054288553</v>
      </c>
    </row>
    <row r="22" spans="1:7" x14ac:dyDescent="0.35">
      <c r="A22" s="17">
        <v>20</v>
      </c>
      <c r="B22" s="16">
        <f t="shared" si="0"/>
        <v>2.8688704160665266E-3</v>
      </c>
      <c r="C22" s="16">
        <f t="shared" si="1"/>
        <v>25.131304844742772</v>
      </c>
      <c r="D22" s="15">
        <f t="shared" si="2"/>
        <v>14.057465038725981</v>
      </c>
      <c r="E22" s="14">
        <f>wind_source!C22*'IEA 15 MW RWT '!B22*wind_source!$J$7</f>
        <v>251438.70497165143</v>
      </c>
      <c r="F22" s="14">
        <f t="shared" si="3"/>
        <v>226294.8344744863</v>
      </c>
    </row>
    <row r="23" spans="1:7" x14ac:dyDescent="0.35">
      <c r="A23" s="17">
        <v>21</v>
      </c>
      <c r="B23" s="16">
        <f t="shared" si="0"/>
        <v>1.2886236575359088E-3</v>
      </c>
      <c r="C23" s="16">
        <f t="shared" si="1"/>
        <v>11.28834324001456</v>
      </c>
      <c r="D23" s="15">
        <f t="shared" si="2"/>
        <v>7.3095405116195318</v>
      </c>
      <c r="E23" s="14">
        <f>wind_source!C23*'IEA 15 MW RWT '!B23*wind_source!$J$7</f>
        <v>112939.87411634567</v>
      </c>
      <c r="F23" s="14">
        <f t="shared" si="3"/>
        <v>101645.88670471111</v>
      </c>
    </row>
    <row r="24" spans="1:7" x14ac:dyDescent="0.35">
      <c r="A24" s="17">
        <v>22</v>
      </c>
      <c r="B24" s="16">
        <f t="shared" si="0"/>
        <v>5.2674936932890467E-4</v>
      </c>
      <c r="C24" s="16">
        <f t="shared" si="1"/>
        <v>4.6143244753212045</v>
      </c>
      <c r="D24" s="15">
        <f t="shared" si="2"/>
        <v>3.4354067118261837</v>
      </c>
      <c r="E24" s="14">
        <f>wind_source!C24*'IEA 15 MW RWT '!B24*wind_source!$J$7</f>
        <v>46166.316375588649</v>
      </c>
      <c r="F24" s="14">
        <f t="shared" si="3"/>
        <v>41549.684738029784</v>
      </c>
    </row>
    <row r="25" spans="1:7" x14ac:dyDescent="0.35">
      <c r="A25" s="17">
        <v>23</v>
      </c>
      <c r="B25" s="16">
        <f t="shared" si="0"/>
        <v>1.9519314989139793E-4</v>
      </c>
      <c r="C25" s="16">
        <f t="shared" si="1"/>
        <v>1.7098919930486458</v>
      </c>
      <c r="D25" s="15">
        <f t="shared" si="2"/>
        <v>1.4546354710212912</v>
      </c>
      <c r="E25" s="14">
        <f>wind_source!C25*'IEA 15 MW RWT '!B25*wind_source!$J$7</f>
        <v>17107.469390451701</v>
      </c>
      <c r="F25" s="14">
        <f t="shared" si="3"/>
        <v>15396.722451406531</v>
      </c>
    </row>
    <row r="26" spans="1:7" x14ac:dyDescent="0.35">
      <c r="A26" s="17">
        <v>24</v>
      </c>
      <c r="B26" s="16">
        <f t="shared" si="0"/>
        <v>6.5313839000766204E-5</v>
      </c>
      <c r="C26" s="16">
        <f t="shared" si="1"/>
        <v>0.572149229646712</v>
      </c>
      <c r="D26" s="15">
        <f t="shared" si="2"/>
        <v>0.55302533758728767</v>
      </c>
      <c r="E26" s="14">
        <f>wind_source!C26*'IEA 15 MW RWT '!B26*wind_source!$J$7</f>
        <v>5724.3530426153538</v>
      </c>
      <c r="F26" s="14">
        <f t="shared" si="3"/>
        <v>5151.917738353819</v>
      </c>
    </row>
    <row r="27" spans="1:7" ht="15" thickBot="1" x14ac:dyDescent="0.4">
      <c r="A27" s="13">
        <v>25</v>
      </c>
      <c r="B27" s="12">
        <f t="shared" si="0"/>
        <v>1.9656431010394641E-5</v>
      </c>
      <c r="C27" s="12">
        <f t="shared" si="1"/>
        <v>0.17219033565105707</v>
      </c>
      <c r="D27" s="11">
        <f t="shared" si="2"/>
        <v>0.18811818740416747</v>
      </c>
      <c r="E27" s="10">
        <f>wind_source!C27*'IEA 15 MW RWT '!B27*wind_source!$J$7</f>
        <v>1722.7643081888259</v>
      </c>
      <c r="F27" s="10">
        <f t="shared" si="3"/>
        <v>1550.4878773699434</v>
      </c>
    </row>
    <row r="28" spans="1:7" x14ac:dyDescent="0.35">
      <c r="A28" s="9" t="s">
        <v>49</v>
      </c>
      <c r="B28" s="8">
        <f>SUM(B2:B27)</f>
        <v>0.99999309787212143</v>
      </c>
      <c r="C28" s="8">
        <f>SUM(C2:C27)</f>
        <v>8759.9395373597836</v>
      </c>
      <c r="D28" s="8">
        <f>SUM(D2:D27)</f>
        <v>860.08766232521816</v>
      </c>
      <c r="E28" s="8">
        <f>SUM(E2:E27)</f>
        <v>58460921.109538727</v>
      </c>
      <c r="F28" s="7">
        <f>SUM(F2:F27)</f>
        <v>52614828.998584859</v>
      </c>
    </row>
    <row r="29" spans="1:7" x14ac:dyDescent="0.35">
      <c r="B29" s="5" t="s">
        <v>50</v>
      </c>
      <c r="C29" s="5" t="s">
        <v>51</v>
      </c>
      <c r="D29" s="5" t="s">
        <v>52</v>
      </c>
      <c r="E29" s="5" t="s">
        <v>53</v>
      </c>
      <c r="F29" s="5" t="s">
        <v>53</v>
      </c>
    </row>
    <row r="31" spans="1:7" x14ac:dyDescent="0.35">
      <c r="F31" s="85">
        <f>F28/C28/100</f>
        <v>60.063004743572456</v>
      </c>
      <c r="G31" s="85" t="s">
        <v>99</v>
      </c>
    </row>
    <row r="34" spans="1:4" x14ac:dyDescent="0.35">
      <c r="A34" s="4"/>
      <c r="B34" t="s">
        <v>27</v>
      </c>
    </row>
    <row r="35" spans="1:4" x14ac:dyDescent="0.35">
      <c r="A35" s="3"/>
      <c r="B35" t="s">
        <v>28</v>
      </c>
      <c r="D35" s="6"/>
    </row>
    <row r="36" spans="1:4" x14ac:dyDescent="0.35">
      <c r="A36" s="2"/>
      <c r="B36" t="s">
        <v>29</v>
      </c>
    </row>
    <row r="37" spans="1:4" x14ac:dyDescent="0.35">
      <c r="A37" s="1"/>
      <c r="B37" t="s">
        <v>30</v>
      </c>
    </row>
    <row r="38" spans="1:4" x14ac:dyDescent="0.35">
      <c r="A38" s="35"/>
      <c r="B38" s="35"/>
      <c r="C38" s="35"/>
    </row>
    <row r="39" spans="1:4" x14ac:dyDescent="0.35">
      <c r="A39" s="35"/>
      <c r="B39" s="35"/>
      <c r="C39" s="35"/>
    </row>
    <row r="40" spans="1:4" x14ac:dyDescent="0.35">
      <c r="A40" s="35"/>
      <c r="B40" s="35"/>
      <c r="C40" s="35"/>
    </row>
    <row r="41" spans="1:4" x14ac:dyDescent="0.35">
      <c r="A41" s="35"/>
      <c r="B41" s="35"/>
      <c r="C41" s="35"/>
    </row>
    <row r="42" spans="1:4" x14ac:dyDescent="0.35">
      <c r="A42" s="35"/>
      <c r="B42" s="35"/>
      <c r="C42" s="35"/>
    </row>
    <row r="43" spans="1:4" x14ac:dyDescent="0.35">
      <c r="A43" s="35"/>
      <c r="B43" s="35"/>
      <c r="C43" s="35"/>
    </row>
    <row r="44" spans="1:4" x14ac:dyDescent="0.35">
      <c r="A44" s="35"/>
      <c r="B44" s="35"/>
      <c r="C44" s="35"/>
    </row>
    <row r="45" spans="1:4" x14ac:dyDescent="0.35">
      <c r="A45" s="35"/>
      <c r="B45" s="35"/>
      <c r="C45" s="35"/>
    </row>
    <row r="46" spans="1:4" x14ac:dyDescent="0.35">
      <c r="A46" s="35"/>
      <c r="B46" s="35"/>
      <c r="C46" s="35"/>
    </row>
    <row r="47" spans="1:4" x14ac:dyDescent="0.35">
      <c r="A47" s="35"/>
      <c r="B47" s="35"/>
      <c r="C47" s="35"/>
    </row>
    <row r="48" spans="1:4" x14ac:dyDescent="0.35">
      <c r="A48" s="35"/>
      <c r="B48" s="35"/>
      <c r="C48" s="35"/>
    </row>
    <row r="49" spans="1:3" x14ac:dyDescent="0.35">
      <c r="A49" s="35"/>
      <c r="B49" s="35"/>
      <c r="C49" s="35"/>
    </row>
    <row r="50" spans="1:3" x14ac:dyDescent="0.35">
      <c r="A50" s="35"/>
      <c r="B50" s="35"/>
      <c r="C50" s="35"/>
    </row>
    <row r="51" spans="1:3" x14ac:dyDescent="0.35">
      <c r="A51" s="35"/>
      <c r="B51" s="35"/>
      <c r="C51" s="35"/>
    </row>
  </sheetData>
  <mergeCells count="1">
    <mergeCell ref="H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50C6-4AE6-4F3C-B7FE-7A65279B5CDC}">
  <dimension ref="A1:F27"/>
  <sheetViews>
    <sheetView zoomScale="55" zoomScaleNormal="55" workbookViewId="0">
      <selection activeCell="C51" sqref="C51"/>
    </sheetView>
  </sheetViews>
  <sheetFormatPr defaultColWidth="9.1796875" defaultRowHeight="14.5" x14ac:dyDescent="0.35"/>
  <cols>
    <col min="1" max="1" width="21" style="35" bestFit="1" customWidth="1"/>
    <col min="2" max="2" width="23.1796875" style="35" bestFit="1" customWidth="1"/>
    <col min="3" max="4" width="9.1796875" style="35"/>
    <col min="5" max="5" width="31.26953125" style="35" bestFit="1" customWidth="1"/>
    <col min="6" max="6" width="31.81640625" style="35" bestFit="1" customWidth="1"/>
    <col min="7" max="16384" width="9.1796875" style="35"/>
  </cols>
  <sheetData>
    <row r="1" spans="1:6" ht="15" thickBot="1" x14ac:dyDescent="0.4">
      <c r="A1" s="47" t="s">
        <v>31</v>
      </c>
      <c r="B1" s="46" t="s">
        <v>54</v>
      </c>
      <c r="E1" s="227" t="s">
        <v>55</v>
      </c>
      <c r="F1" s="228"/>
    </row>
    <row r="2" spans="1:6" x14ac:dyDescent="0.35">
      <c r="A2" s="45">
        <v>0</v>
      </c>
      <c r="B2" s="38">
        <v>0</v>
      </c>
      <c r="E2" s="44" t="s">
        <v>56</v>
      </c>
      <c r="F2" s="42" t="s">
        <v>57</v>
      </c>
    </row>
    <row r="3" spans="1:6" x14ac:dyDescent="0.35">
      <c r="A3" s="39">
        <v>1</v>
      </c>
      <c r="B3" s="38">
        <v>0</v>
      </c>
      <c r="E3" s="43" t="s">
        <v>58</v>
      </c>
      <c r="F3" s="42">
        <v>15</v>
      </c>
    </row>
    <row r="4" spans="1:6" x14ac:dyDescent="0.35">
      <c r="A4" s="39">
        <v>2</v>
      </c>
      <c r="B4" s="38">
        <v>0</v>
      </c>
      <c r="E4" s="43" t="s">
        <v>59</v>
      </c>
      <c r="F4" s="42" t="s">
        <v>60</v>
      </c>
    </row>
    <row r="5" spans="1:6" x14ac:dyDescent="0.35">
      <c r="A5" s="39">
        <v>3</v>
      </c>
      <c r="B5" s="38">
        <v>0</v>
      </c>
      <c r="E5" s="43" t="s">
        <v>61</v>
      </c>
      <c r="F5" s="42">
        <v>242.23775649999999</v>
      </c>
    </row>
    <row r="6" spans="1:6" x14ac:dyDescent="0.35">
      <c r="A6" s="39">
        <v>4</v>
      </c>
      <c r="B6" s="38">
        <v>0.6</v>
      </c>
      <c r="E6" s="43" t="s">
        <v>62</v>
      </c>
      <c r="F6" s="42" t="s">
        <v>63</v>
      </c>
    </row>
    <row r="7" spans="1:6" x14ac:dyDescent="0.35">
      <c r="A7" s="39">
        <v>5</v>
      </c>
      <c r="B7" s="38">
        <v>1.4</v>
      </c>
      <c r="E7" s="43" t="s">
        <v>64</v>
      </c>
      <c r="F7" s="42">
        <v>3</v>
      </c>
    </row>
    <row r="8" spans="1:6" x14ac:dyDescent="0.35">
      <c r="A8" s="39">
        <v>6</v>
      </c>
      <c r="B8" s="38">
        <v>2.65</v>
      </c>
      <c r="E8" s="43" t="s">
        <v>65</v>
      </c>
      <c r="F8" s="42">
        <v>3</v>
      </c>
    </row>
    <row r="9" spans="1:6" x14ac:dyDescent="0.35">
      <c r="A9" s="39">
        <v>7</v>
      </c>
      <c r="B9" s="38">
        <v>4.2</v>
      </c>
      <c r="E9" s="43" t="s">
        <v>66</v>
      </c>
      <c r="F9" s="42">
        <v>10.86770694</v>
      </c>
    </row>
    <row r="10" spans="1:6" x14ac:dyDescent="0.35">
      <c r="A10" s="39">
        <v>8</v>
      </c>
      <c r="B10" s="38">
        <v>6.4</v>
      </c>
      <c r="E10" s="43" t="s">
        <v>67</v>
      </c>
      <c r="F10" s="42">
        <v>25</v>
      </c>
    </row>
    <row r="11" spans="1:6" x14ac:dyDescent="0.35">
      <c r="A11" s="39">
        <v>9</v>
      </c>
      <c r="B11" s="38">
        <v>9.1</v>
      </c>
      <c r="E11" s="43" t="s">
        <v>68</v>
      </c>
      <c r="F11" s="42">
        <v>150</v>
      </c>
    </row>
    <row r="12" spans="1:6" ht="15" thickBot="1" x14ac:dyDescent="0.4">
      <c r="A12" s="39">
        <v>10</v>
      </c>
      <c r="B12" s="38">
        <v>12.2</v>
      </c>
      <c r="E12" s="41" t="s">
        <v>69</v>
      </c>
      <c r="F12" s="40">
        <v>9</v>
      </c>
    </row>
    <row r="13" spans="1:6" x14ac:dyDescent="0.35">
      <c r="A13" s="39">
        <v>11</v>
      </c>
      <c r="B13" s="38">
        <v>15</v>
      </c>
    </row>
    <row r="14" spans="1:6" x14ac:dyDescent="0.35">
      <c r="A14" s="39">
        <v>12</v>
      </c>
      <c r="B14" s="38">
        <v>15</v>
      </c>
    </row>
    <row r="15" spans="1:6" x14ac:dyDescent="0.35">
      <c r="A15" s="39">
        <v>13</v>
      </c>
      <c r="B15" s="38">
        <v>15</v>
      </c>
    </row>
    <row r="16" spans="1:6" x14ac:dyDescent="0.35">
      <c r="A16" s="39">
        <v>14</v>
      </c>
      <c r="B16" s="38">
        <v>15</v>
      </c>
    </row>
    <row r="17" spans="1:2" x14ac:dyDescent="0.35">
      <c r="A17" s="39">
        <v>15</v>
      </c>
      <c r="B17" s="38">
        <v>15</v>
      </c>
    </row>
    <row r="18" spans="1:2" x14ac:dyDescent="0.35">
      <c r="A18" s="39">
        <v>16</v>
      </c>
      <c r="B18" s="38">
        <v>15</v>
      </c>
    </row>
    <row r="19" spans="1:2" x14ac:dyDescent="0.35">
      <c r="A19" s="39">
        <v>17</v>
      </c>
      <c r="B19" s="38">
        <v>15</v>
      </c>
    </row>
    <row r="20" spans="1:2" x14ac:dyDescent="0.35">
      <c r="A20" s="39">
        <v>18</v>
      </c>
      <c r="B20" s="38">
        <v>15</v>
      </c>
    </row>
    <row r="21" spans="1:2" x14ac:dyDescent="0.35">
      <c r="A21" s="39">
        <v>19</v>
      </c>
      <c r="B21" s="38">
        <v>15</v>
      </c>
    </row>
    <row r="22" spans="1:2" x14ac:dyDescent="0.35">
      <c r="A22" s="39">
        <v>20</v>
      </c>
      <c r="B22" s="38">
        <v>15</v>
      </c>
    </row>
    <row r="23" spans="1:2" x14ac:dyDescent="0.35">
      <c r="A23" s="39">
        <v>21</v>
      </c>
      <c r="B23" s="38">
        <v>15</v>
      </c>
    </row>
    <row r="24" spans="1:2" x14ac:dyDescent="0.35">
      <c r="A24" s="39">
        <v>22</v>
      </c>
      <c r="B24" s="38">
        <v>15</v>
      </c>
    </row>
    <row r="25" spans="1:2" x14ac:dyDescent="0.35">
      <c r="A25" s="39">
        <v>23</v>
      </c>
      <c r="B25" s="38">
        <v>15</v>
      </c>
    </row>
    <row r="26" spans="1:2" x14ac:dyDescent="0.35">
      <c r="A26" s="39">
        <v>24</v>
      </c>
      <c r="B26" s="38">
        <v>15</v>
      </c>
    </row>
    <row r="27" spans="1:2" ht="15" thickBot="1" x14ac:dyDescent="0.4">
      <c r="A27" s="37">
        <v>25</v>
      </c>
      <c r="B27" s="36">
        <v>15</v>
      </c>
    </row>
  </sheetData>
  <mergeCells count="1"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Variables</vt:lpstr>
      <vt:lpstr>Modelling</vt:lpstr>
      <vt:lpstr>Data</vt:lpstr>
      <vt:lpstr>wind_source</vt:lpstr>
      <vt:lpstr>IEA 15 MW RWT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Laurens Frowijn</dc:creator>
  <cp:keywords/>
  <dc:description/>
  <cp:lastModifiedBy>Laurens Frowijn</cp:lastModifiedBy>
  <cp:revision/>
  <dcterms:created xsi:type="dcterms:W3CDTF">2024-03-14T12:44:49Z</dcterms:created>
  <dcterms:modified xsi:type="dcterms:W3CDTF">2024-06-18T11:42:40Z</dcterms:modified>
  <cp:category/>
  <cp:contentStatus/>
</cp:coreProperties>
</file>