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épertoire" sheetId="1" r:id="rId3"/>
    <sheet state="visible" name="Table dynamique_Répertoire_1" sheetId="2" r:id="rId4"/>
  </sheets>
  <definedNames>
    <definedName hidden="1" localSheetId="0" name="_xlnm._FilterDatabase">'Répertoire'!$A$1:$S$206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<sst xmlns="http://schemas.openxmlformats.org/spreadsheetml/2006/main" count="1681" uniqueCount="579">
  <si>
    <t>Country</t>
  </si>
  <si>
    <t>Authority name in English</t>
  </si>
  <si>
    <t>Authority name in local language(s)</t>
  </si>
  <si>
    <t>Website</t>
  </si>
  <si>
    <t>Data webpage</t>
  </si>
  <si>
    <t>Statistics ?</t>
  </si>
  <si>
    <t>Format</t>
  </si>
  <si>
    <t>Start date</t>
  </si>
  <si>
    <t>End date</t>
  </si>
  <si>
    <t>Destination</t>
  </si>
  <si>
    <t>Origin</t>
  </si>
  <si>
    <t>Company</t>
  </si>
  <si>
    <t>Back/forth</t>
  </si>
  <si>
    <t>Month</t>
  </si>
  <si>
    <t>Update frequency</t>
  </si>
  <si>
    <t>Update delay</t>
  </si>
  <si>
    <t>Sample file</t>
  </si>
  <si>
    <t>Complete ?</t>
  </si>
  <si>
    <t>Useable ?</t>
  </si>
  <si>
    <t> Afghanistan</t>
  </si>
  <si>
    <t>Ministry of Transport and Civil Aviation</t>
  </si>
  <si>
    <t>د افغانستان اسلامی جمهوریت، د ترانسپورت او ملکي هوايي چلند وزارت</t>
  </si>
  <si>
    <t>No</t>
  </si>
  <si>
    <t> Albania</t>
  </si>
  <si>
    <t>Albanian Civil Aviation Authority</t>
  </si>
  <si>
    <t>Autoriteti i Aviacionit Civil të Shqipërisë</t>
  </si>
  <si>
    <t> Algeria</t>
  </si>
  <si>
    <t>Directorate of Civil Aviation and Meteorology</t>
  </si>
  <si>
    <t>Direction de l'Aviation Civile et de la Météorologie</t>
  </si>
  <si>
    <t>Yes</t>
  </si>
  <si>
    <t>PDF</t>
  </si>
  <si>
    <t>Grouped</t>
  </si>
  <si>
    <t>Annually</t>
  </si>
  <si>
    <t>?</t>
  </si>
  <si>
    <t xml:space="preserve"> Andorra</t>
  </si>
  <si>
    <t>Andorra Aviation Academy</t>
  </si>
  <si>
    <t> Angola</t>
  </si>
  <si>
    <t>National Civil Aviation Institute</t>
  </si>
  <si>
    <t>Instituto Nacional de Aviação Civil</t>
  </si>
  <si>
    <t xml:space="preserve"> Antigua and Barbuda</t>
  </si>
  <si>
    <t>Eastern Caribbean Civil Aviation Authority</t>
  </si>
  <si>
    <t> Argentina</t>
  </si>
  <si>
    <t>National Civil Aviation Administration</t>
  </si>
  <si>
    <t>Administración Nacional de Aviación Civil</t>
  </si>
  <si>
    <t>XLS</t>
  </si>
  <si>
    <t>n/d</t>
  </si>
  <si>
    <t>Airport name</t>
  </si>
  <si>
    <t>Monthly</t>
  </si>
  <si>
    <t>M+3</t>
  </si>
  <si>
    <t> Armenia</t>
  </si>
  <si>
    <t>General Department of Civil Aviation of Armenia</t>
  </si>
  <si>
    <t>Քաղաքացիական Ավիացիայի Գլխավոր Վարչություն</t>
  </si>
  <si>
    <t>Webpage</t>
  </si>
  <si>
    <t>Y+1</t>
  </si>
  <si>
    <t> Aruba</t>
  </si>
  <si>
    <t>Department of Civil Aviation of Aruba</t>
  </si>
  <si>
    <t> Australia</t>
  </si>
  <si>
    <t>Civil Aviation Safety Authority</t>
  </si>
  <si>
    <t>City name</t>
  </si>
  <si>
    <t>Distinguished</t>
  </si>
  <si>
    <t>M+4</t>
  </si>
  <si>
    <t> Austria</t>
  </si>
  <si>
    <t>Federal Ministry for Transport, Innovation and Technology</t>
  </si>
  <si>
    <t>Bundesministerium für Verkehr, Innovation und Technologie</t>
  </si>
  <si>
    <t xml:space="preserve"> Azerbaidjan</t>
  </si>
  <si>
    <t>State Civil Aviation Administration of the Republic of Azerbaijan</t>
  </si>
  <si>
    <t>Azərbaycan Respublikasının Dövlət Mülki Aviasiya Administrasiyası</t>
  </si>
  <si>
    <t> Bahamas</t>
  </si>
  <si>
    <t>Department of Civil Aviation of Bahamas</t>
  </si>
  <si>
    <t> Bahrain</t>
  </si>
  <si>
    <t>Department of Civil Aviation Affairs</t>
  </si>
  <si>
    <t>شئون الطيران المدني</t>
  </si>
  <si>
    <t>M+7</t>
  </si>
  <si>
    <t> Bangladesh</t>
  </si>
  <si>
    <t>Civil Aviation Authority, Bangladesh</t>
  </si>
  <si>
    <t>বেসামরিক বিমান চলাচল কর্তৃপক্ষ</t>
  </si>
  <si>
    <t> Barbados</t>
  </si>
  <si>
    <t>Civil Aviation Department of Barbados</t>
  </si>
  <si>
    <t> Belarus</t>
  </si>
  <si>
    <t>Aviation Department of Belarus</t>
  </si>
  <si>
    <t>Департамент по авиации</t>
  </si>
  <si>
    <t> Belgium</t>
  </si>
  <si>
    <t>Federal Public Service Mobility and Transport</t>
  </si>
  <si>
    <t>Service public fédéral Mobilité et Transports
Federale overheidsdienst Mobiliteit en Vervoer</t>
  </si>
  <si>
    <t>www.mobilit.fgov.be/fr/
www.mobilit.fgov.be/nl/</t>
  </si>
  <si>
    <t>XLSX</t>
  </si>
  <si>
    <t xml:space="preserve"> Belize</t>
  </si>
  <si>
    <t>Belize Department of Civil Aviation</t>
  </si>
  <si>
    <t> Benin</t>
  </si>
  <si>
    <t>National Civil Aviation Agency</t>
  </si>
  <si>
    <t>Agence Nationale de l'Aviation Civile du Bénin</t>
  </si>
  <si>
    <t>Company name</t>
  </si>
  <si>
    <t> Bermuda</t>
  </si>
  <si>
    <t>Bermuda Department of Civil Aviation</t>
  </si>
  <si>
    <t> Bhutan</t>
  </si>
  <si>
    <t>Bhutan Civil Aviation Authority</t>
  </si>
  <si>
    <t> Bolivia</t>
  </si>
  <si>
    <t>General Directorate of Civil Aviation of Bolivia</t>
  </si>
  <si>
    <t>Dirección General de Aeronáutica Civil</t>
  </si>
  <si>
    <t> Bosnia and Herzegovina</t>
  </si>
  <si>
    <t>Bosnia and Herzegovina Directorate of Civil Aviation</t>
  </si>
  <si>
    <t>Bosna i Hercegovina Direkcija za civilno zrakoplovstvo</t>
  </si>
  <si>
    <t> Botswana</t>
  </si>
  <si>
    <t>Department of Civil Aviation of Botswana</t>
  </si>
  <si>
    <t>n/a</t>
  </si>
  <si>
    <t> Brazil</t>
  </si>
  <si>
    <t>National Civil Aviation Agency of Brazil</t>
  </si>
  <si>
    <t>Agência Nacional de Aviação Civil</t>
  </si>
  <si>
    <t>XLSB</t>
  </si>
  <si>
    <t>ICAO</t>
  </si>
  <si>
    <t>M+2</t>
  </si>
  <si>
    <t> Brunei</t>
  </si>
  <si>
    <t>Department of Civil Aviation of Brunei</t>
  </si>
  <si>
    <t>Jabatan Penerbangan Awam</t>
  </si>
  <si>
    <t> Bulgaria</t>
  </si>
  <si>
    <t>Directorate General Civil Aviation Administration</t>
  </si>
  <si>
    <t>Главна дирекция "Гражданска въздухоплавателна администрация"</t>
  </si>
  <si>
    <t xml:space="preserve"> Burkina Faso</t>
  </si>
  <si>
    <t>Agence Nationale de l'Aviation Civile (ANAC)</t>
  </si>
  <si>
    <t xml:space="preserve"> Burundi</t>
  </si>
  <si>
    <t xml:space="preserve">Civil Aviation Authority of Burundi </t>
  </si>
  <si>
    <t>Autorité de l'aviation civile du Burundi (AACB)</t>
  </si>
  <si>
    <t> Cambodia</t>
  </si>
  <si>
    <t>Secretariat of State for Civil Aviation</t>
  </si>
  <si>
    <t>រដ្ឋលេខាធិការដ្ឋានអាកាសចរស៊ីវិល</t>
  </si>
  <si>
    <t> Cameroon</t>
  </si>
  <si>
    <t>Cameroon Civil Aviation Authority</t>
  </si>
  <si>
    <t> Canada</t>
  </si>
  <si>
    <t>Transport Canada Civil Aviation Directorate (Transport Canada Civil Aviation)</t>
  </si>
  <si>
    <t>Transports Canada Direction générale de l’aviation civile</t>
  </si>
  <si>
    <r>
      <rPr>
        <rFont val="Arial"/>
        <color rgb="FF0000FF"/>
        <sz val="10.0"/>
      </rPr>
      <t>www.tc.gc.ca/eng/civilaviation/menu.htm</t>
    </r>
    <r>
      <rPr>
        <rFont val="Arial"/>
        <sz val="10.0"/>
      </rPr>
      <t xml:space="preserve"> - English
</t>
    </r>
    <r>
      <rPr>
        <rFont val="Arial"/>
        <color rgb="FF0000FF"/>
        <sz val="10.0"/>
      </rPr>
      <t>www.tc.gc.ca/fra/civilaviation/menu.htm</t>
    </r>
    <r>
      <rPr>
        <rFont val="Arial"/>
        <sz val="10.0"/>
      </rPr>
      <t> - French</t>
    </r>
  </si>
  <si>
    <t>CSV</t>
  </si>
  <si>
    <t>Y+2</t>
  </si>
  <si>
    <t xml:space="preserve"> Cape Verde</t>
  </si>
  <si>
    <t>Civil Aviation Agency</t>
  </si>
  <si>
    <t>Agência de Aviação Civil</t>
  </si>
  <si>
    <t> Cayman Islands</t>
  </si>
  <si>
    <t>Civil Aviation Authority of the Cayman Islands</t>
  </si>
  <si>
    <t xml:space="preserve"> Central African Republic</t>
  </si>
  <si>
    <t>Civil Aviation Authority</t>
  </si>
  <si>
    <t>Autorité de l'Aviation Civile</t>
  </si>
  <si>
    <t xml:space="preserve"> Chad</t>
  </si>
  <si>
    <t>Autorité de l'Aviation civile du Tchad (ADAC)</t>
  </si>
  <si>
    <t> Chile</t>
  </si>
  <si>
    <t>Directorate General of Civil Aviation</t>
  </si>
  <si>
    <t> China</t>
  </si>
  <si>
    <t>Civil Aviation Administration of China</t>
  </si>
  <si>
    <t>中国民用航空总局</t>
  </si>
  <si>
    <t> Colombia</t>
  </si>
  <si>
    <t>Special Administrative Unit of Civil Aeronautics</t>
  </si>
  <si>
    <t>Unidad Administrativa Especial de Aeronáutica Civil</t>
  </si>
  <si>
    <t>IATA</t>
  </si>
  <si>
    <t xml:space="preserve"> Comoros</t>
  </si>
  <si>
    <t>Civil Aviation and Meteorological Authority</t>
  </si>
  <si>
    <t>Agence Nationale de l'Aviation Civile et de la Météorologie</t>
  </si>
  <si>
    <t xml:space="preserve"> Congo</t>
  </si>
  <si>
    <t> Cook Islands</t>
  </si>
  <si>
    <t>Pacific Aviation Safety Office</t>
  </si>
  <si>
    <t> Costa Rica</t>
  </si>
  <si>
    <t>Directorate General of Civil Aviation of Costa Rica</t>
  </si>
  <si>
    <t>Dirección General de Aviación Civil de Costa Rica</t>
  </si>
  <si>
    <t>Semestrially</t>
  </si>
  <si>
    <t>M+6</t>
  </si>
  <si>
    <t> Croatia</t>
  </si>
  <si>
    <t>Croatian Civil Aviation Agency</t>
  </si>
  <si>
    <t>Hrvatska agencija za civilno zrakoplovstvo</t>
  </si>
  <si>
    <t> Cuba</t>
  </si>
  <si>
    <t>Institute of Civil Aeronautics of Cuba</t>
  </si>
  <si>
    <t>Instituto de Aeronáutica Civil de Cuba</t>
  </si>
  <si>
    <t> Cyprus</t>
  </si>
  <si>
    <t>Department of Civil Aviation of Cyprus</t>
  </si>
  <si>
    <t>Τμήμα Πολιτικής Αεροπορίας</t>
  </si>
  <si>
    <t> Czech Republic</t>
  </si>
  <si>
    <t>Civil Aviation Authority of the Czech Republic</t>
  </si>
  <si>
    <t>Úřad pro civilní letectví Česká republika</t>
  </si>
  <si>
    <t> Democratic People's Republic of Korea</t>
  </si>
  <si>
    <t>Civil Aviation Administration of Korea</t>
  </si>
  <si>
    <t>조선민항</t>
  </si>
  <si>
    <t xml:space="preserve"> Democratic Republic of Congo</t>
  </si>
  <si>
    <t>Civil Aviation Authority of RDC</t>
  </si>
  <si>
    <t>Autorité de l’Aviation Civile de la République Démocratique du Congo</t>
  </si>
  <si>
    <t> Denmark</t>
  </si>
  <si>
    <t>Danish Transport Authority</t>
  </si>
  <si>
    <t>Trafikstyrelsen</t>
  </si>
  <si>
    <t xml:space="preserve"> Djibouti</t>
  </si>
  <si>
    <t>Autorité de l’aviation civile</t>
  </si>
  <si>
    <t> Dominican Republic</t>
  </si>
  <si>
    <t>Dominican Institute of Civil Aviation</t>
  </si>
  <si>
    <t>Instituto Dominicano de Aviación Civil</t>
  </si>
  <si>
    <t> Ecuador</t>
  </si>
  <si>
    <t>Directorate General of Civil Aviation of Ecuador</t>
  </si>
  <si>
    <t>Dirección General de Aviación Civil</t>
  </si>
  <si>
    <t> Egypt</t>
  </si>
  <si>
    <t>Ministry of Civil Aviation of Egypt</t>
  </si>
  <si>
    <t>وزارة الطيران المدني</t>
  </si>
  <si>
    <t> El Salvador</t>
  </si>
  <si>
    <t>Civil Aviation Authority of El Salvador</t>
  </si>
  <si>
    <t>Autoridad de Aviación Civil</t>
  </si>
  <si>
    <t xml:space="preserve"> Equatorial Guinea</t>
  </si>
  <si>
    <t>Equatorial Guinea Civil Aviation Authority</t>
  </si>
  <si>
    <t xml:space="preserve"> Eritrea</t>
  </si>
  <si>
    <t>Eritrean Civil Aviation Authority</t>
  </si>
  <si>
    <t> Estonia</t>
  </si>
  <si>
    <t>Estonian Civil Aviation Administration</t>
  </si>
  <si>
    <t>Lennuamet</t>
  </si>
  <si>
    <t xml:space="preserve"> Ethiopia</t>
  </si>
  <si>
    <t>Ethiopian Civil Aviation Authority (ECAA)</t>
  </si>
  <si>
    <t> European Union</t>
  </si>
  <si>
    <t>European Aviation Safety Agency</t>
  </si>
  <si>
    <t>TSV</t>
  </si>
  <si>
    <t> Fiji</t>
  </si>
  <si>
    <t>Civil Aviation Authority of Fiji</t>
  </si>
  <si>
    <t> Finland</t>
  </si>
  <si>
    <t>Finnish Transport Safety Agency</t>
  </si>
  <si>
    <t> France</t>
  </si>
  <si>
    <t>Directorate General for Civil Aviation</t>
  </si>
  <si>
    <t>Direction Générale de l'Aviation Civile</t>
  </si>
  <si>
    <t> Gabon</t>
  </si>
  <si>
    <t> Gambia</t>
  </si>
  <si>
    <t>Gambia Civil Aviation Authority</t>
  </si>
  <si>
    <t> Georgia</t>
  </si>
  <si>
    <t>Georgian Civil Aviation Agency</t>
  </si>
  <si>
    <t>საქართველოს სამოქალაქო ავიაციის სააგენტო</t>
  </si>
  <si>
    <t> Germany</t>
  </si>
  <si>
    <t>Federal Office for Civil Aviation of Germany</t>
  </si>
  <si>
    <t>Luftfahrt-Bundesamt (LBA)</t>
  </si>
  <si>
    <t> Ghana</t>
  </si>
  <si>
    <t>Ghana Civil Aviation Authority</t>
  </si>
  <si>
    <t> Greece</t>
  </si>
  <si>
    <t>Hellenic Civil Aviation Authority</t>
  </si>
  <si>
    <t>Υπηρεσία Πολιτικής Αεροπορίας (ΥΠΑ)</t>
  </si>
  <si>
    <t>M + 10</t>
  </si>
  <si>
    <t xml:space="preserve"> Granada</t>
  </si>
  <si>
    <t>Grenada Airports Authority</t>
  </si>
  <si>
    <t> Guatemala</t>
  </si>
  <si>
    <t>Directorate General of Civil Aviation of Guatemala</t>
  </si>
  <si>
    <t xml:space="preserve"> Guinea</t>
  </si>
  <si>
    <t>Guinea National Civil Aviation Direction</t>
  </si>
  <si>
    <t>Direction Nationale de l'Aviation Civile Guinée (DNAC)</t>
  </si>
  <si>
    <t xml:space="preserve"> Guinea-Bissau</t>
  </si>
  <si>
    <t>Agência da Aviação Civil da Guiné-Bissau</t>
  </si>
  <si>
    <t> Guyana</t>
  </si>
  <si>
    <t>Guyana Civil Aviation Authority</t>
  </si>
  <si>
    <t xml:space="preserve"> Haiti</t>
  </si>
  <si>
    <t>National Airport Authority</t>
  </si>
  <si>
    <t>Autorité Aéroportuaire Nationale</t>
  </si>
  <si>
    <t xml:space="preserve"> Honduras</t>
  </si>
  <si>
    <t>Hondurean Civil Aeronautical Agency</t>
  </si>
  <si>
    <t>Agencia Hondurena de Aeronautica Civil (AHAC)</t>
  </si>
  <si>
    <t xml:space="preserve"> Hungary</t>
  </si>
  <si>
    <t>National Transport Authority</t>
  </si>
  <si>
    <t>Nemzeti Közlekedési Hatóság</t>
  </si>
  <si>
    <t> Hong Kong</t>
  </si>
  <si>
    <t>Civil Aviation Department</t>
  </si>
  <si>
    <t>民航處</t>
  </si>
  <si>
    <t> Iceland</t>
  </si>
  <si>
    <t>Icelandic Transport Authority</t>
  </si>
  <si>
    <t>Samgöngustofa</t>
  </si>
  <si>
    <t> India</t>
  </si>
  <si>
    <t>महानिदेशक नागर विमानन</t>
  </si>
  <si>
    <t> Indonesia</t>
  </si>
  <si>
    <t>Direktorat Jenderal Perhubungan Udara</t>
  </si>
  <si>
    <t> Iran</t>
  </si>
  <si>
    <t>Civil Aviation Organisation of Iran</t>
  </si>
  <si>
    <t>سازمان هواپيمايي كشوري</t>
  </si>
  <si>
    <t> Iraq</t>
  </si>
  <si>
    <t>Directorate General of Civil Aviation of Iraq</t>
  </si>
  <si>
    <t>المنشأة العامة للطيران المدني</t>
  </si>
  <si>
    <t> Ireland</t>
  </si>
  <si>
    <t>Irish Aviation Authority</t>
  </si>
  <si>
    <t>Údarás Eitlíochta na hÉireann</t>
  </si>
  <si>
    <t> Isle of Man</t>
  </si>
  <si>
    <t>Isle of Man Aircraft Registry</t>
  </si>
  <si>
    <t> Israel</t>
  </si>
  <si>
    <t>רשות התעופה האזרחית</t>
  </si>
  <si>
    <t> Italy</t>
  </si>
  <si>
    <t>Italian Civil Aviation Authority</t>
  </si>
  <si>
    <t>Ente nazionale per l'aviazione civile</t>
  </si>
  <si>
    <t xml:space="preserve"> Ivory Coast</t>
  </si>
  <si>
    <t>Ivory Coast National Civil Aviation Authority</t>
  </si>
  <si>
    <t>Autorité Nationale de l’Aviation Civile de Cote d’Ivoire</t>
  </si>
  <si>
    <t> Jamaica</t>
  </si>
  <si>
    <t>Jamaica Civil Aviation Authority</t>
  </si>
  <si>
    <t> Japan</t>
  </si>
  <si>
    <t>Japan Civil Aviation Bureau</t>
  </si>
  <si>
    <t>航空局</t>
  </si>
  <si>
    <t> Jordan</t>
  </si>
  <si>
    <t>Civil Aviation Regulatory Commission of Jordan</t>
  </si>
  <si>
    <t xml:space="preserve"> Kazakhstan</t>
  </si>
  <si>
    <t>Civil Aviation Committee</t>
  </si>
  <si>
    <t xml:space="preserve">Азаматтық авиация комитеті </t>
  </si>
  <si>
    <t> Kenya</t>
  </si>
  <si>
    <t>Kenya Civil Aviation Authority</t>
  </si>
  <si>
    <t> Kiribati</t>
  </si>
  <si>
    <t> Kosovo</t>
  </si>
  <si>
    <t>Civil Aviation Authority of Kosovo</t>
  </si>
  <si>
    <t>Autoriteti i Aviacionit Civil të Kosovës</t>
  </si>
  <si>
    <t> Kuwait</t>
  </si>
  <si>
    <t>الإدارة العامة للطيران المدني</t>
  </si>
  <si>
    <t> Kyrgyzstan</t>
  </si>
  <si>
    <t>Civil Aviation Agency of Kyrgyz Republic (Kyrgyzstan)</t>
  </si>
  <si>
    <t>Агентство Гражданской Авиации Кыргызской Республики</t>
  </si>
  <si>
    <t> Laos</t>
  </si>
  <si>
    <t>Department of Civil Aviation of Laos</t>
  </si>
  <si>
    <t> Latvia</t>
  </si>
  <si>
    <t>Civil Aviation Agency of Latvia</t>
  </si>
  <si>
    <t>Civilās aviācijas aģentūra</t>
  </si>
  <si>
    <t> Lebanon</t>
  </si>
  <si>
    <t>Lebanese Civil Aviation Authority</t>
  </si>
  <si>
    <t>مصلحة الطيران المدني اللبناني</t>
  </si>
  <si>
    <t> Lesotho</t>
  </si>
  <si>
    <t>Department of Civil Aviation of Lesotho</t>
  </si>
  <si>
    <t xml:space="preserve"> Liberia</t>
  </si>
  <si>
    <t>Liberia Civil Aviation Authority</t>
  </si>
  <si>
    <t> Libya</t>
  </si>
  <si>
    <t>Libyan Civil Aviation Authority</t>
  </si>
  <si>
    <t>مصلحة الطيران المدني</t>
  </si>
  <si>
    <t> Liechtenstein</t>
  </si>
  <si>
    <t>Office of Civil Aviation of Liechtenstein</t>
  </si>
  <si>
    <t> Lithuania</t>
  </si>
  <si>
    <t>Civil Aviation Administration of Lithuania</t>
  </si>
  <si>
    <t>Civilinės aviacijos administracija</t>
  </si>
  <si>
    <t> Luxembourg</t>
  </si>
  <si>
    <t>Directorate of Civil Aviation of Luxembourg</t>
  </si>
  <si>
    <t>Direction de l’Aviation Civile</t>
  </si>
  <si>
    <t> Macau</t>
  </si>
  <si>
    <r>
      <rPr>
        <rFont val="Noto Sans CJK SC Regular"/>
        <sz val="10.0"/>
      </rPr>
      <t xml:space="preserve">民航局
</t>
    </r>
    <r>
      <rPr>
        <rFont val="Arial"/>
        <sz val="10.0"/>
      </rPr>
      <t>Autoridade de Aviação Civil</t>
    </r>
  </si>
  <si>
    <t> Macedonia</t>
  </si>
  <si>
    <t>Civil Aviation Agency of Macedonia</t>
  </si>
  <si>
    <t>Агенција за цивилно воздухопловство</t>
  </si>
  <si>
    <t xml:space="preserve">Total pour </t>
  </si>
  <si>
    <t>Total pour ?</t>
  </si>
  <si>
    <t>Total pour M + 10</t>
  </si>
  <si>
    <t>Total pour M+2</t>
  </si>
  <si>
    <t>Total pour M+3</t>
  </si>
  <si>
    <t>Total pour M+4</t>
  </si>
  <si>
    <t>Total pour M+6</t>
  </si>
  <si>
    <t>Total pour M+7</t>
  </si>
  <si>
    <t>Q+1</t>
  </si>
  <si>
    <t>Total pour Q+1</t>
  </si>
  <si>
    <t>Q+2</t>
  </si>
  <si>
    <t>Total pour Q+2</t>
  </si>
  <si>
    <t>Q+3</t>
  </si>
  <si>
    <t>Total pour Q+3</t>
  </si>
  <si>
    <t>Total pour Y+1</t>
  </si>
  <si>
    <t>Total pour Y+2</t>
  </si>
  <si>
    <t>Total général</t>
  </si>
  <si>
    <t xml:space="preserve"> Madagascar</t>
  </si>
  <si>
    <t>Madagascar Civil Aviation</t>
  </si>
  <si>
    <t>Aviation Civile de Madagascar</t>
  </si>
  <si>
    <t> Malawi</t>
  </si>
  <si>
    <t>Department of Civil Aviation of Malawi</t>
  </si>
  <si>
    <t> Malaysia</t>
  </si>
  <si>
    <t>Department of Civil Aviation of Malaysia</t>
  </si>
  <si>
    <t>Jabatan Penerbangan Awam Malaysia</t>
  </si>
  <si>
    <t> Maldives</t>
  </si>
  <si>
    <t>Civil Aviation Department of the Maldives</t>
  </si>
  <si>
    <t> Malta</t>
  </si>
  <si>
    <t>Civil Aviation Directorate of Malta</t>
  </si>
  <si>
    <t>Direttorat tal-Avjazzjoni Ċivili</t>
  </si>
  <si>
    <t> Marshall Islands</t>
  </si>
  <si>
    <t>Directorate of Civil Aviation of the Marshall Islands</t>
  </si>
  <si>
    <t xml:space="preserve"> Mauritania</t>
  </si>
  <si>
    <t>Agence Nationale de l'Aviation Civile</t>
  </si>
  <si>
    <t> Mauritius</t>
  </si>
  <si>
    <t>Department of Civil Aviation of Mauritius</t>
  </si>
  <si>
    <t>Department of Civil Aviation (DCA) of Mauritius</t>
  </si>
  <si>
    <t> Mexico</t>
  </si>
  <si>
    <t>Directorate General of Civil Aviation of Mexico</t>
  </si>
  <si>
    <t xml:space="preserve"> Micronesia</t>
  </si>
  <si>
    <t>Division of Civil Aviation</t>
  </si>
  <si>
    <t> Moldova</t>
  </si>
  <si>
    <t>Civil Aviation Administration of Moldova</t>
  </si>
  <si>
    <t>Administraţia de Stat a Aviaţiei Civile a Republicii Moldova</t>
  </si>
  <si>
    <t> Monaco</t>
  </si>
  <si>
    <t>Monaco Civil Aviation Authority</t>
  </si>
  <si>
    <t>Service de l'Aviation Civile du Principauté de Monaco</t>
  </si>
  <si>
    <t> Mongolia</t>
  </si>
  <si>
    <t>Civil Aviation Authority of Mongolia</t>
  </si>
  <si>
    <t>Иргэний Нисэхийн Ерөнхий Газар</t>
  </si>
  <si>
    <t> Montenegro</t>
  </si>
  <si>
    <t>Civil Aviation Agency of Montenegro</t>
  </si>
  <si>
    <t>Agencija za civilno vazduhoplovstvo</t>
  </si>
  <si>
    <t xml:space="preserve"> Morocco</t>
  </si>
  <si>
    <t xml:space="preserve">Direction Générale de l’Aviation Civile  </t>
  </si>
  <si>
    <t>Quarterly</t>
  </si>
  <si>
    <t> Mozambique</t>
  </si>
  <si>
    <t>Civil Aviation Institute of Mozambique</t>
  </si>
  <si>
    <t>Instituto de Aviação Civil de Moçambique</t>
  </si>
  <si>
    <t> Myanmar</t>
  </si>
  <si>
    <t>Department of Civil Aviation of Myanmar</t>
  </si>
  <si>
    <t>ေလေၾကာင္းပို႔ေဆာင္ေရးၫႊန္ၾကားမႈဦးစီးဌာန</t>
  </si>
  <si>
    <t> Namibia</t>
  </si>
  <si>
    <t>Directorate of Civil Aviation[1]</t>
  </si>
  <si>
    <t> Nauru</t>
  </si>
  <si>
    <t> Nepal</t>
  </si>
  <si>
    <t>Civil Aviation Authority of Nepal</t>
  </si>
  <si>
    <t>नेपाल नागरिक उड्डयन प्राधिकरण</t>
  </si>
  <si>
    <t> Netherlands</t>
  </si>
  <si>
    <t>Human Environment and Transport Inspectorate</t>
  </si>
  <si>
    <t>Inspectie Leefomgeving en Transport (ILT)</t>
  </si>
  <si>
    <t> New Zealand</t>
  </si>
  <si>
    <t>Civil Aviation Authority of New Zealand</t>
  </si>
  <si>
    <t> Nicaragua</t>
  </si>
  <si>
    <t>Nicaraguan Institute of Civil Aviation</t>
  </si>
  <si>
    <t>Instituto Nicaragüense de Aeronáutica Civil</t>
  </si>
  <si>
    <t xml:space="preserve"> Niger</t>
  </si>
  <si>
    <t>Agence Nationale de l'Avation Civile</t>
  </si>
  <si>
    <t> Nigeria</t>
  </si>
  <si>
    <t>Nigerian Civil Aviation Authority</t>
  </si>
  <si>
    <t> Niue</t>
  </si>
  <si>
    <t> Norway</t>
  </si>
  <si>
    <t>Civil Aviation Authority of Norway</t>
  </si>
  <si>
    <t>Luftfartstilsynet</t>
  </si>
  <si>
    <t> Oman</t>
  </si>
  <si>
    <t>Directorate General of Civil Aviation and Meteorology</t>
  </si>
  <si>
    <t>المديريه العامه للطيران المدني والأرصاد الجويه</t>
  </si>
  <si>
    <t> Pakistan</t>
  </si>
  <si>
    <t>Pakistan Civil Aviation Authority</t>
  </si>
  <si>
    <t>مقتدرۂ شہری طیران پاکستان</t>
  </si>
  <si>
    <t xml:space="preserve"> Palau</t>
  </si>
  <si>
    <t>Bureau of Aviation</t>
  </si>
  <si>
    <t> Panama</t>
  </si>
  <si>
    <t>Civil Aviation Authority of Panama</t>
  </si>
  <si>
    <t>Autoridad Aeronáutica Civil</t>
  </si>
  <si>
    <t> Papua New Guinea</t>
  </si>
  <si>
    <t>Civil Aviation Authority of Papua New Guinea</t>
  </si>
  <si>
    <t> Paraguay</t>
  </si>
  <si>
    <t>National Directorate of Civil Aviation of Paraguay</t>
  </si>
  <si>
    <t>Dirección Nacional de Aeronáutica Civil</t>
  </si>
  <si>
    <t> Peru</t>
  </si>
  <si>
    <t> Philippines</t>
  </si>
  <si>
    <t> Poland</t>
  </si>
  <si>
    <t>Directorate General of Civil Aviation of Peru</t>
  </si>
  <si>
    <t> Portugal</t>
  </si>
  <si>
    <t> Qatar</t>
  </si>
  <si>
    <t> Romania</t>
  </si>
  <si>
    <t> Russia</t>
  </si>
  <si>
    <t> Rwanda</t>
  </si>
  <si>
    <t xml:space="preserve"> Saint Kitts and Nevis</t>
  </si>
  <si>
    <t>Civil Aviation Authority of the Philippines</t>
  </si>
  <si>
    <t>Pangasiwaan ng Abyasyon Sibil ng Pilipinas</t>
  </si>
  <si>
    <t xml:space="preserve"> Saint Lucia</t>
  </si>
  <si>
    <t xml:space="preserve"> Saint Vincent and the Grenadines</t>
  </si>
  <si>
    <t> Samoa</t>
  </si>
  <si>
    <t> San Marino</t>
  </si>
  <si>
    <t xml:space="preserve"> Sao Tome and Principe</t>
  </si>
  <si>
    <t> Saudi Arabia</t>
  </si>
  <si>
    <t> Senegal</t>
  </si>
  <si>
    <t> Serbia</t>
  </si>
  <si>
    <t>Civil Aviation Office</t>
  </si>
  <si>
    <t> Seychelles</t>
  </si>
  <si>
    <t>Urząd Lotnictwa Cywilnego</t>
  </si>
  <si>
    <t xml:space="preserve"> Sierra Leone</t>
  </si>
  <si>
    <t> Singapore</t>
  </si>
  <si>
    <t> Slovakia</t>
  </si>
  <si>
    <t> Slovenia</t>
  </si>
  <si>
    <t> Solomon Islands</t>
  </si>
  <si>
    <t> Somalia</t>
  </si>
  <si>
    <t> South Africa</t>
  </si>
  <si>
    <t>National Institute of Civil Aviation of Portugal</t>
  </si>
  <si>
    <t>Autoridade Nacional de Aviação Civil (ANAC)</t>
  </si>
  <si>
    <t> South Korea</t>
  </si>
  <si>
    <t xml:space="preserve"> South Sudan</t>
  </si>
  <si>
    <t> Spain</t>
  </si>
  <si>
    <t> Sri Lanka</t>
  </si>
  <si>
    <t> Sudan</t>
  </si>
  <si>
    <t> Suriname</t>
  </si>
  <si>
    <t xml:space="preserve"> Swaziland</t>
  </si>
  <si>
    <t> Sweden</t>
  </si>
  <si>
    <t> Switzerland</t>
  </si>
  <si>
    <t> Syria</t>
  </si>
  <si>
    <t>Civil Aviation Authority of Qatar</t>
  </si>
  <si>
    <t>للهيئة العامة للطيران المدني</t>
  </si>
  <si>
    <t> Taiwan</t>
  </si>
  <si>
    <t xml:space="preserve"> Tajikistan</t>
  </si>
  <si>
    <t> Tanzania</t>
  </si>
  <si>
    <t> Thailand</t>
  </si>
  <si>
    <t> Timor-Leste</t>
  </si>
  <si>
    <t> Togo</t>
  </si>
  <si>
    <t> Tonga</t>
  </si>
  <si>
    <t>Romanian Civil Aeronautical Authority</t>
  </si>
  <si>
    <t>Autoritatea Aeronautică Civilă Română</t>
  </si>
  <si>
    <t> Trinidad and Tobago</t>
  </si>
  <si>
    <t> Tunisia</t>
  </si>
  <si>
    <t> Turkey</t>
  </si>
  <si>
    <t>Federal Air Transport Agency</t>
  </si>
  <si>
    <t>Федеральное агентство воздушного транспорта</t>
  </si>
  <si>
    <t xml:space="preserve"> Turkmenistan</t>
  </si>
  <si>
    <t> Turks and Caicos Islands</t>
  </si>
  <si>
    <t> Tuvalu</t>
  </si>
  <si>
    <t> Uganda</t>
  </si>
  <si>
    <t> Ukraine</t>
  </si>
  <si>
    <t>Rwanda Civil Aviation Authority</t>
  </si>
  <si>
    <t> United Arab Emirates</t>
  </si>
  <si>
    <t> United Kingdom</t>
  </si>
  <si>
    <t> United Nations</t>
  </si>
  <si>
    <t> United States</t>
  </si>
  <si>
    <t xml:space="preserve"> Uruguay</t>
  </si>
  <si>
    <t>Ministry of External Affairs, Internation Trade and Civil Aviation</t>
  </si>
  <si>
    <t xml:space="preserve"> Uzbekistan</t>
  </si>
  <si>
    <t> Vanuatu</t>
  </si>
  <si>
    <t xml:space="preserve"> Vatican</t>
  </si>
  <si>
    <t> Venezuela</t>
  </si>
  <si>
    <t> Vietnam</t>
  </si>
  <si>
    <t> Yemen</t>
  </si>
  <si>
    <t>San Marino Civil Aviation and Maritime Authority</t>
  </si>
  <si>
    <t>Autorità per l'Aviazione Civile e la Navigazione Marittima</t>
  </si>
  <si>
    <t>Instituto Nacional de Aviação Civil (INAC)</t>
  </si>
  <si>
    <t>General Authority of Civil Aviation</t>
  </si>
  <si>
    <t>National Civil Aviation Agency of Senegal</t>
  </si>
  <si>
    <t>Agence Nationale de l'Aviation Civile du Sénégal</t>
  </si>
  <si>
    <t>Civil Aviation Directorate of Serbia</t>
  </si>
  <si>
    <t>Директорат Цивилног Ваздухопловства</t>
  </si>
  <si>
    <t> Zambia</t>
  </si>
  <si>
    <t>Seychelles Civil Aviation Authority</t>
  </si>
  <si>
    <t>Sierra Leone Civil Aviation Authority (SLCAA)</t>
  </si>
  <si>
    <t>Civil Aviation Authority of Singapore</t>
  </si>
  <si>
    <t>Civil Aviation Authority of the Slovak Republic</t>
  </si>
  <si>
    <t>Letecký úrad Slovenskej republiky</t>
  </si>
  <si>
    <t xml:space="preserve"> Zimbabwe</t>
  </si>
  <si>
    <t>Civil Aviation Directorate of Slovenia</t>
  </si>
  <si>
    <t>Direktorat za civilno letalstvo</t>
  </si>
  <si>
    <t>Somali Civil Aviation and Meteorology Authority</t>
  </si>
  <si>
    <t>Hay'adda Duulista Rayidka &amp; Saadaasha Hawada Soomaaliyeed</t>
  </si>
  <si>
    <t>South African Civil Aviation Authority</t>
  </si>
  <si>
    <t>Korea Office of Civil Aviation</t>
  </si>
  <si>
    <t>대한민국 국토해양부 항공정책실</t>
  </si>
  <si>
    <t>General Directorate of Civil Aviation of Spain</t>
  </si>
  <si>
    <t>Civil Aviation Authority of Sri Lanka</t>
  </si>
  <si>
    <t>ශ්රී ලංකා සිවිල් ගුවන් සේවා අධිකාරිය</t>
  </si>
  <si>
    <t>Civil Aviation Authority of Sudan</t>
  </si>
  <si>
    <t>Ministry of Transport</t>
  </si>
  <si>
    <t>Civil Aviation Department of Suriname</t>
  </si>
  <si>
    <t>The Swaziland Civil Aviation Authority (SWACAA)</t>
  </si>
  <si>
    <t>Swedish Transport Agency</t>
  </si>
  <si>
    <t>Transportstyrelsen</t>
  </si>
  <si>
    <t>Federal Office for Civil Aviation</t>
  </si>
  <si>
    <t>French: Office fédéral de l'aviation civile (OFAC)
German: Bundesamt für Zivilluftfahrt (BAZL)
Italian: Ufficio federale dell'aviazione civile (UFAC)</t>
  </si>
  <si>
    <t>Syrian Civil Aviation Authority</t>
  </si>
  <si>
    <t>المؤسسة العامة للطيران المدني</t>
  </si>
  <si>
    <t>Civil Aeronautics Administration</t>
  </si>
  <si>
    <t>交通部民用航空局</t>
  </si>
  <si>
    <t>State Service for the Republic of Tatarstan in the field of transportation regulation and supervision</t>
  </si>
  <si>
    <t>Государственная служба по надзору и регулированию в области транспорта РТ</t>
  </si>
  <si>
    <t>Tanzania Civil Aviation Authority</t>
  </si>
  <si>
    <t>Mamlaka ya Usafiri wa Anga Tanzania</t>
  </si>
  <si>
    <t>The Civil Aviation Authority of Thailand</t>
  </si>
  <si>
    <t>สำนักงานการบินพลเรือนแห่งประเทศไทย</t>
  </si>
  <si>
    <t>Civil Aviation Division of Timor-Leste</t>
  </si>
  <si>
    <t>Civil Aviation Agency of Togo</t>
  </si>
  <si>
    <t>Agence Nationale de l'Aviation Civile du Togo (ANAC-TOGO)</t>
  </si>
  <si>
    <t>Trinidad and Tobago Civil Aviation Authority</t>
  </si>
  <si>
    <t>Office of Civil Aviation and Airports</t>
  </si>
  <si>
    <t>Office de l'aviation civile et des aéroports</t>
  </si>
  <si>
    <t>Directorate General of Civil Aviation of Turkey</t>
  </si>
  <si>
    <t>Sivil Havacılık Genel Müdürlüğü</t>
  </si>
  <si>
    <t>Turks and Caicos Islands Civil Aviation Authority</t>
  </si>
  <si>
    <t>Civil Aviation Authority of Uganda</t>
  </si>
  <si>
    <t>Ekitongole kya Uganda ekikola ku by'ennyonyi</t>
  </si>
  <si>
    <t>State Aviation Administration of Ukraine</t>
  </si>
  <si>
    <t>Державна авіаційна служба України (Державіаслужба)</t>
  </si>
  <si>
    <t>General Civil Aviation Authority</t>
  </si>
  <si>
    <t>International Civil Aviation Organization</t>
  </si>
  <si>
    <t>Organisation de l'aviation civile internationale</t>
  </si>
  <si>
    <t>Federal Aviation Administration</t>
  </si>
  <si>
    <t>FAA/IATA</t>
  </si>
  <si>
    <t>National Civil Aviation and Aeronautical Infrastructure Direction</t>
  </si>
  <si>
    <t>Dirección Nacional de Aviación Civil e Infraestructura Aeronáutica</t>
  </si>
  <si>
    <t>DOCX</t>
  </si>
  <si>
    <t>State Inspection of the Republic of Uzbekistan</t>
  </si>
  <si>
    <t>O‘zbekiston Respublikasi parvozlar xavfsizligini</t>
  </si>
  <si>
    <t>International Association of Civil Aviation Chaplains</t>
  </si>
  <si>
    <t>National Institute of Civil Aviation of Venezuela</t>
  </si>
  <si>
    <t>Instituto Nacional de Aviación Civil</t>
  </si>
  <si>
    <t>Civil Aviation Administration of Vietnam</t>
  </si>
  <si>
    <t>Cục Hàng không Dân dụng Việt Nam</t>
  </si>
  <si>
    <t>Civil Aviation and Meteorological Authority of Yemen</t>
  </si>
  <si>
    <t>Department of Civil Aviation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</si>
</sst>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name val="Arial"/>
    </font>
    <font>
      <sz val="10.0"/>
      <name val="Freesans"/>
    </font>
    <font>
      <b/>
      <sz val="10.0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FF"/>
      <name val="Arial"/>
    </font>
    <font>
      <sz val="10.0"/>
      <name val="Noto sans cjk sc regular"/>
    </font>
  </fonts>
  <fills count="2">
    <fill>
      <patternFill patternType="none"/>
    </fill>
    <fill>
      <patternFill patternType="lightGray"/>
    </fill>
  </fills>
  <borders count="3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0" fillId="0" fontId="1" numFmtId="0" xfId="0" applyFont="1"/>
    <xf borderId="2" fillId="0" fontId="1" numFmtId="0" xfId="0" applyBorder="1" applyFont="1"/>
    <xf borderId="3" fillId="0" fontId="1" numFmtId="0" xfId="0" applyBorder="1" applyFont="1"/>
    <xf borderId="0" fillId="0" fontId="2" numFmtId="0" xfId="0" applyAlignment="1" applyFont="1">
      <alignment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3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10" fillId="0" fontId="3" numFmtId="0" xfId="0" applyAlignment="1" applyBorder="1" applyFont="1">
      <alignment horizontal="left"/>
    </xf>
    <xf borderId="11" fillId="0" fontId="1" numFmtId="0" xfId="0" applyBorder="1" applyFont="1"/>
    <xf borderId="12" fillId="0" fontId="3" numFmtId="0" xfId="0" applyAlignment="1" applyBorder="1" applyFont="1">
      <alignment horizontal="left"/>
    </xf>
    <xf borderId="0" fillId="0" fontId="4" numFmtId="0" xfId="0" applyFont="1"/>
    <xf borderId="13" fillId="0" fontId="1" numFmtId="0" xfId="0" applyAlignment="1" applyBorder="1" applyFont="1">
      <alignment horizontal="left"/>
    </xf>
    <xf borderId="0" fillId="0" fontId="5" numFmtId="0" xfId="0" applyFont="1"/>
    <xf borderId="14" fillId="0" fontId="3" numFmtId="0" xfId="0" applyAlignment="1" applyBorder="1" applyFont="1">
      <alignment horizontal="left"/>
    </xf>
    <xf borderId="0" fillId="0" fontId="1" numFmtId="0" xfId="0" applyAlignment="1" applyFont="1">
      <alignment/>
    </xf>
    <xf borderId="0" fillId="0" fontId="2" numFmtId="0" xfId="0" applyFont="1"/>
    <xf borderId="0" fillId="0" fontId="1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7" numFmtId="0" xfId="0" applyFont="1"/>
    <xf borderId="0" fillId="0" fontId="7" numFmtId="0" xfId="0" applyAlignment="1" applyFont="1">
      <alignment wrapText="1"/>
    </xf>
    <xf borderId="15" fillId="0" fontId="1" numFmtId="0" xfId="0" applyAlignment="1" applyBorder="1" applyFont="1">
      <alignment horizontal="left"/>
    </xf>
    <xf borderId="16" fillId="0" fontId="1" numFmtId="0" xfId="0" applyBorder="1" applyFont="1"/>
    <xf borderId="17" fillId="0" fontId="1" numFmtId="0" xfId="0" applyBorder="1" applyFont="1"/>
    <xf borderId="0" fillId="0" fontId="3" numFmtId="0" xfId="0" applyFont="1"/>
    <xf borderId="9" fillId="0" fontId="1" numFmtId="0" xfId="0" applyBorder="1" applyFont="1"/>
    <xf borderId="18" fillId="0" fontId="1" numFmtId="0" xfId="0" applyBorder="1" applyFont="1"/>
    <xf borderId="10" fillId="0" fontId="3" numFmtId="0" xfId="0" applyBorder="1" applyFont="1"/>
    <xf borderId="6" fillId="0" fontId="1" numFmtId="0" xfId="0" applyAlignment="1" applyBorder="1" applyFont="1">
      <alignment horizontal="left"/>
    </xf>
    <xf borderId="19" fillId="0" fontId="1" numFmtId="0" xfId="0" applyBorder="1" applyFont="1"/>
    <xf borderId="20" fillId="0" fontId="1" numFmtId="0" xfId="0" applyBorder="1" applyFont="1"/>
    <xf borderId="21" fillId="0" fontId="1" numFmtId="0" xfId="0" applyBorder="1" applyFont="1"/>
    <xf borderId="22" fillId="0" fontId="3" numFmtId="0" xfId="0" applyBorder="1" applyFont="1"/>
    <xf borderId="23" fillId="0" fontId="1" numFmtId="0" xfId="0" applyBorder="1" applyFont="1"/>
    <xf borderId="24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3" numFmtId="0" xfId="0" applyBorder="1" applyFont="1"/>
    <xf borderId="25" fillId="0" fontId="3" numFmtId="0" xfId="0" applyAlignment="1" applyBorder="1" applyFont="1">
      <alignment horizontal="left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S206" sheet="Répertoire"/>
  </cacheSource>
  <cacheFields>
    <cacheField name="Country" numFmtId="0">
      <sharedItems>
        <s v=" Afghanistan"/>
        <s v=" Albania"/>
        <s v=" Algeria"/>
        <s v=" Andorra"/>
        <s v=" Angola"/>
        <s v=" Antigua and Barbuda"/>
        <s v=" Argentina"/>
        <s v=" Armenia"/>
        <s v=" Aruba"/>
        <s v=" Australia"/>
        <s v=" Austria"/>
        <s v=" Azerbaidjan"/>
        <s v=" Bahamas"/>
        <s v=" Bahrain"/>
        <s v=" Bangladesh"/>
        <s v=" Barbados"/>
        <s v=" Belarus"/>
        <s v=" Belgium"/>
        <s v=" Belize"/>
        <s v=" Benin"/>
        <s v=" Bermuda"/>
        <s v=" Bhutan"/>
        <s v=" Bolivia"/>
        <s v=" Bosnia and Herzegovina"/>
        <s v=" Botswana"/>
        <s v=" Brazil"/>
        <s v=" Brunei"/>
        <s v=" Bulgaria"/>
        <s v=" Burkina Faso"/>
        <s v=" Burundi"/>
        <s v=" Cambodia"/>
        <s v=" Cameroon"/>
        <s v=" Canada"/>
        <s v=" Cape Verde"/>
        <s v=" Cayman Islands"/>
        <s v=" Central African Republic"/>
        <s v=" Chad"/>
        <s v=" Chile"/>
        <s v=" China"/>
        <s v=" Colombia"/>
        <s v=" Comoros"/>
        <s v=" Congo"/>
        <s v=" Cook Islands"/>
        <s v=" Costa Rica"/>
        <s v=" Croatia"/>
        <s v=" Cuba"/>
        <s v=" Cyprus"/>
        <s v=" Czech Republic"/>
        <s v=" Democratic People's Republic of Korea"/>
        <s v=" Democratic Republic of Congo"/>
        <s v=" Denmark"/>
        <s v=" Djibouti"/>
        <s v=" Dominican Republic"/>
        <s v=" Ecuador"/>
        <s v=" Egypt"/>
        <s v=" El Salvador"/>
        <s v=" Equatorial Guinea"/>
        <s v=" Eritrea"/>
        <s v=" Estonia"/>
        <s v=" Ethiopia"/>
        <s v=" European Union"/>
        <s v=" Fiji"/>
        <s v=" Finland"/>
        <s v=" France"/>
        <s v=" Gabon"/>
        <s v=" Gambia"/>
        <s v=" Georgia"/>
        <s v=" Germany"/>
        <s v=" Ghana"/>
        <s v=" Greece"/>
        <s v=" Granada"/>
        <s v=" Guatemala"/>
        <s v=" Guinea"/>
        <s v=" Guinea-Bissau"/>
        <s v=" Guyana"/>
        <s v=" Haiti"/>
        <s v=" Honduras"/>
        <s v=" Hungary"/>
        <s v=" Hong Kong"/>
        <s v=" Iceland"/>
        <s v=" India"/>
        <s v=" Indonesia"/>
        <s v=" Iran"/>
        <s v=" Iraq"/>
        <s v=" Ireland"/>
        <s v=" Isle of Man"/>
        <s v=" Israel"/>
        <s v=" Italy"/>
        <s v=" Ivory Coast"/>
        <s v=" Jamaica"/>
        <s v=" Japan"/>
        <s v=" Jordan"/>
        <s v=" Kazakhstan"/>
        <s v=" Kenya"/>
        <s v=" Kiribati"/>
        <s v=" Kosovo"/>
        <s v=" Kuwait"/>
        <s v=" Kyrgyzstan"/>
        <s v=" Laos"/>
        <s v=" Latvia"/>
        <s v=" Lebanon"/>
        <s v=" Lesotho"/>
        <s v=" Liberia"/>
        <s v=" Libya"/>
        <s v=" Liechtenstein"/>
        <s v=" Lithuania"/>
        <s v=" Luxembourg"/>
        <s v=" Macau"/>
        <s v=" Macedonia"/>
        <s v=" Madagascar"/>
        <s v=" Malawi"/>
        <s v=" Malaysia"/>
        <s v=" Maldives"/>
        <s v=" Malta"/>
        <s v=" Marshall Islands"/>
        <s v=" Mauritania"/>
        <s v=" Mauritius"/>
        <s v=" Mexico"/>
        <s v=" Micronesia"/>
        <s v=" Moldova"/>
        <s v=" Monaco"/>
        <s v=" Mongolia"/>
        <s v=" Montenegro"/>
        <s v=" Morocco"/>
        <s v=" Mozambique"/>
        <s v=" Myanmar"/>
        <s v=" Namibia"/>
        <s v=" Nauru"/>
        <s v=" Nepal"/>
        <s v=" Netherlands"/>
        <s v=" New Zealand"/>
        <s v=" Nicaragua"/>
        <s v=" Niger"/>
        <s v=" Nigeria"/>
        <s v=" Niue"/>
        <s v=" Norway"/>
        <s v=" Oman"/>
        <s v=" Pakistan"/>
        <s v=" Palau"/>
        <s v=" Panama"/>
        <s v=" Papua New Guinea"/>
        <s v=" Paraguay"/>
        <s v=" Peru"/>
        <s v=" Philippines"/>
        <s v=" Poland"/>
        <s v=" Portugal"/>
        <s v=" Qatar"/>
        <s v=" Romania"/>
        <s v=" Russia"/>
        <s v=" Rwanda"/>
        <s v=" Saint Kitts and Nevis"/>
        <s v=" Saint Lucia"/>
        <s v=" Saint Vincent and the Grenadines"/>
        <s v=" Samoa"/>
        <s v=" San Marino"/>
        <s v=" Sao Tome and Principe"/>
        <s v=" Saudi Arabia"/>
        <s v=" Senegal"/>
        <s v=" Serbia"/>
        <s v=" Seychelles"/>
        <s v=" Sierra Leone"/>
        <s v=" Singapore"/>
        <s v=" Slovakia"/>
        <s v=" Slovenia"/>
        <s v=" Solomon Islands"/>
        <s v=" Somalia"/>
        <s v=" South Africa"/>
        <s v=" South Korea"/>
        <s v=" Spain"/>
        <s v=" Sri Lanka"/>
        <s v=" Sudan"/>
        <s v=" South Sudan"/>
        <s v=" Suriname"/>
        <s v=" Swaziland"/>
        <s v=" Sweden"/>
        <s v=" Switzerland"/>
        <s v=" Syria"/>
        <s v=" Taiwan"/>
        <s v=" Tajikistan"/>
        <s v=" Tanzania"/>
        <s v=" Thailand"/>
        <s v=" Timor-Leste"/>
        <s v=" Togo"/>
        <s v=" Tonga"/>
        <s v=" Trinidad and Tobago"/>
        <s v=" Tunisia"/>
        <s v=" Turkey"/>
        <s v=" Turkmenistan"/>
        <s v=" Turks and Caicos Islands"/>
        <s v=" Tuvalu"/>
        <s v=" Uganda"/>
        <s v=" Ukraine"/>
        <s v=" United Arab Emirates"/>
        <s v=" United Kingdom"/>
        <s v=" United Nations"/>
        <s v=" United States"/>
        <s v=" Uruguay"/>
        <s v=" Uzbekistan"/>
        <s v=" Vanuatu"/>
        <s v=" Vatican"/>
        <s v=" Venezuela"/>
        <s v=" Vietnam"/>
        <s v=" Yemen"/>
        <s v=" Zambia"/>
        <s v=" Zimbabwe"/>
      </sharedItems>
    </cacheField>
    <cacheField name="Authority name in English" numFmtId="0">
      <sharedItems containsBlank="1">
        <s v="Ministry of Transport and Civil Aviation"/>
        <s v="Albanian Civil Aviation Authority"/>
        <s v="Directorate of Civil Aviation and Meteorology"/>
        <s v="Andorra Aviation Academy"/>
        <s v="National Civil Aviation Institute"/>
        <s v="Eastern Caribbean Civil Aviation Authority"/>
        <s v="National Civil Aviation Administration"/>
        <s v="General Department of Civil Aviation of Armenia"/>
        <s v="Department of Civil Aviation of Aruba"/>
        <s v="Civil Aviation Safety Authority"/>
        <s v="Federal Ministry for Transport, Innovation and Technology"/>
        <s v="State Civil Aviation Administration of the Republic of Azerbaijan"/>
        <s v="Department of Civil Aviation of Bahamas"/>
        <s v="Department of Civil Aviation Affairs"/>
        <s v="Civil Aviation Authority, Bangladesh"/>
        <s v="Civil Aviation Department of Barbados"/>
        <s v="Aviation Department of Belarus"/>
        <s v="Federal Public Service Mobility and Transport"/>
        <s v="Belize Department of Civil Aviation"/>
        <s v="National Civil Aviation Agency"/>
        <s v="Bermuda Department of Civil Aviation"/>
        <s v="Bhutan Civil Aviation Authority"/>
        <s v="General Directorate of Civil Aviation of Bolivia"/>
        <s v="Bosnia and Herzegovina Directorate of Civil Aviation"/>
        <s v="Department of Civil Aviation of Botswana"/>
        <s v="National Civil Aviation Agency of Brazil"/>
        <s v="Department of Civil Aviation of Brunei"/>
        <s v="Directorate General Civil Aviation Administration"/>
        <s v="Civil Aviation Authority of Burundi "/>
        <s v="Secretariat of State for Civil Aviation"/>
        <s v="Cameroon Civil Aviation Authority"/>
        <s v="Transport Canada Civil Aviation Directorate (Transport Canada Civil Aviation)"/>
        <s v="Civil Aviation Agency"/>
        <s v="Civil Aviation Authority of the Cayman Islands"/>
        <s v="Civil Aviation Authority"/>
        <s v="Directorate General of Civil Aviation"/>
        <s v="Civil Aviation Administration of China"/>
        <s v="Special Administrative Unit of Civil Aeronautics"/>
        <s v="Civil Aviation and Meteorological Authority"/>
        <s v="Pacific Aviation Safety Office"/>
        <s v="Directorate General of Civil Aviation of Costa Rica"/>
        <s v="Croatian Civil Aviation Agency"/>
        <s v="Institute of Civil Aeronautics of Cuba"/>
        <s v="Department of Civil Aviation of Cyprus"/>
        <s v="Civil Aviation Authority of the Czech Republic"/>
        <s v="Civil Aviation Administration of Korea"/>
        <s v="Civil Aviation Authority of RDC"/>
        <s v="Danish Transport Authority"/>
        <s v="Dominican Institute of Civil Aviation"/>
        <s v="Directorate General of Civil Aviation of Ecuador"/>
        <s v="Ministry of Civil Aviation of Egypt"/>
        <s v="Civil Aviation Authority of El Salvador"/>
        <s v="Equatorial Guinea Civil Aviation Authority"/>
        <s v="Eritrean Civil Aviation Authority"/>
        <s v="Estonian Civil Aviation Administration"/>
        <s v="Ethiopian Civil Aviation Authority (ECAA)"/>
        <s v="European Aviation Safety Agency"/>
        <s v="Civil Aviation Authority of Fiji"/>
        <s v="Finnish Transport Safety Agency"/>
        <s v="Directorate General for Civil Aviation"/>
        <s v="Gambia Civil Aviation Authority"/>
        <s v="Georgian Civil Aviation Agency"/>
        <s v="Federal Office for Civil Aviation of Germany"/>
        <s v="Ghana Civil Aviation Authority"/>
        <s v="Hellenic Civil Aviation Authority"/>
        <s v="Grenada Airports Authority"/>
        <s v="Directorate General of Civil Aviation of Guatemala"/>
        <s v="Guinea National Civil Aviation Direction"/>
        <s v="Guyana Civil Aviation Authority"/>
        <s v="National Airport Authority"/>
        <s v="Hondurean Civil Aeronautical Agency"/>
        <s v="National Transport Authority"/>
        <s v="Civil Aviation Department"/>
        <s v="Icelandic Transport Authority"/>
        <s v="Civil Aviation Organisation of Iran"/>
        <s v="Directorate General of Civil Aviation of Iraq"/>
        <s v="Irish Aviation Authority"/>
        <s v="Isle of Man Aircraft Registry"/>
        <s v="Italian Civil Aviation Authority"/>
        <s v="Ivory Coast National Civil Aviation Authority"/>
        <s v="Jamaica Civil Aviation Authority"/>
        <s v="Japan Civil Aviation Bureau"/>
        <s v="Civil Aviation Regulatory Commission of Jordan"/>
        <s v="Civil Aviation Committee"/>
        <s v="Kenya Civil Aviation Authority"/>
        <s v="Civil Aviation Authority of Kosovo"/>
        <s v="Civil Aviation Agency of Kyrgyz Republic (Kyrgyzstan)"/>
        <s v="Department of Civil Aviation of Laos"/>
        <s v="Civil Aviation Agency of Latvia"/>
        <s v="Lebanese Civil Aviation Authority"/>
        <s v="Department of Civil Aviation of Lesotho"/>
        <s v="Liberia Civil Aviation Authority"/>
        <s v="Libyan Civil Aviation Authority"/>
        <s v="Office of Civil Aviation of Liechtenstein"/>
        <s v="Civil Aviation Administration of Lithuania"/>
        <s v="Directorate of Civil Aviation of Luxembourg"/>
        <s v="Civil Aviation Agency of Macedonia"/>
        <s v="Madagascar Civil Aviation"/>
        <s v="Department of Civil Aviation of Malawi"/>
        <s v="Department of Civil Aviation of Malaysia"/>
        <s v="Civil Aviation Department of the Maldives"/>
        <s v="Civil Aviation Directorate of Malta"/>
        <s v="Directorate of Civil Aviation of the Marshall Islands"/>
        <s v="Department of Civil Aviation of Mauritius"/>
        <s v="Directorate General of Civil Aviation of Mexico"/>
        <s v="Division of Civil Aviation"/>
        <s v="Civil Aviation Administration of Moldova"/>
        <s v="Monaco Civil Aviation Authority"/>
        <s v="Civil Aviation Authority of Mongolia"/>
        <s v="Civil Aviation Agency of Montenegro"/>
        <m/>
        <s v="Civil Aviation Institute of Mozambique"/>
        <s v="Department of Civil Aviation of Myanmar"/>
        <s v="Directorate of Civil Aviation[1]"/>
        <s v="Civil Aviation Authority of Nepal"/>
        <s v="Human Environment and Transport Inspectorate"/>
        <s v="Civil Aviation Authority of New Zealand"/>
        <s v="Nicaraguan Institute of Civil Aviation"/>
        <s v="Nigerian Civil Aviation Authority"/>
        <s v="Civil Aviation Authority of Norway"/>
        <s v="Directorate General of Civil Aviation and Meteorology"/>
        <s v="Pakistan Civil Aviation Authority"/>
        <s v="Bureau of Aviation"/>
        <s v="Civil Aviation Authority of Panama"/>
        <s v="Civil Aviation Authority of Papua New Guinea"/>
        <s v="National Directorate of Civil Aviation of Paraguay"/>
        <s v="Directorate General of Civil Aviation of Peru"/>
        <s v="Civil Aviation Authority of the Philippines"/>
        <s v="Civil Aviation Office"/>
        <s v="National Institute of Civil Aviation of Portugal"/>
        <s v="Civil Aviation Authority of Qatar"/>
        <s v="Romanian Civil Aeronautical Authority"/>
        <s v="Federal Air Transport Agency"/>
        <s v="Rwanda Civil Aviation Authority"/>
        <s v="Ministry of External Affairs, Internation Trade and Civil Aviation"/>
        <s v="San Marino Civil Aviation and Maritime Authority"/>
        <s v="General Authority of Civil Aviation"/>
        <s v="National Civil Aviation Agency of Senegal"/>
        <s v="Civil Aviation Directorate of Serbia"/>
        <s v="Seychelles Civil Aviation Authority"/>
        <s v="Sierra Leone Civil Aviation Authority (SLCAA)"/>
        <s v="Civil Aviation Authority of Singapore"/>
        <s v="Civil Aviation Authority of the Slovak Republic"/>
        <s v="Civil Aviation Directorate of Slovenia"/>
        <s v="Somali Civil Aviation and Meteorology Authority"/>
        <s v="South African Civil Aviation Authority"/>
        <s v="Korea Office of Civil Aviation"/>
        <s v="General Directorate of Civil Aviation of Spain"/>
        <s v="Civil Aviation Authority of Sri Lanka"/>
        <s v="Civil Aviation Authority of Sudan"/>
        <s v="Ministry of Transport"/>
        <s v="Civil Aviation Department of Suriname"/>
        <s v="The Swaziland Civil Aviation Authority (SWACAA)"/>
        <s v="Swedish Transport Agency"/>
        <s v="Federal Office for Civil Aviation"/>
        <s v="Syrian Civil Aviation Authority"/>
        <s v="Civil Aeronautics Administration"/>
        <s v="State Service for the Republic of Tatarstan in the field of transportation regulation and supervision"/>
        <s v="Tanzania Civil Aviation Authority"/>
        <s v="The Civil Aviation Authority of Thailand"/>
        <s v="Civil Aviation Division of Timor-Leste"/>
        <s v="Civil Aviation Agency of Togo"/>
        <s v="Trinidad and Tobago Civil Aviation Authority"/>
        <s v="Office of Civil Aviation and Airports"/>
        <s v="Directorate General of Civil Aviation of Turkey"/>
        <s v="Turks and Caicos Islands Civil Aviation Authority"/>
        <s v="Civil Aviation Authority of Uganda"/>
        <s v="State Aviation Administration of Ukraine"/>
        <s v="General Civil Aviation Authority"/>
        <s v="International Civil Aviation Organization"/>
        <s v="Federal Aviation Administration"/>
        <s v="National Civil Aviation and Aeronautical Infrastructure Direction"/>
        <s v="State Inspection of the Republic of Uzbekistan"/>
        <s v="International Association of Civil Aviation Chaplains"/>
        <s v="National Institute of Civil Aviation of Venezuela"/>
        <s v="Civil Aviation Administration of Vietnam"/>
        <s v="Civil Aviation and Meteorological Authority of Yemen"/>
        <s v="Department of Civil Aviation"/>
      </sharedItems>
    </cacheField>
    <cacheField name="Authority name in local language(s)" numFmtId="0">
      <sharedItems containsBlank="1">
        <s v="د افغانستان اسلامی جمهوریت، د ترانسپورت او ملکي هوايي چلند وزارت"/>
        <s v="Autoriteti i Aviacionit Civil të Shqipërisë"/>
        <s v="Direction de l'Aviation Civile et de la Météorologie"/>
        <m/>
        <s v="Instituto Nacional de Aviação Civil"/>
        <s v="Administración Nacional de Aviación Civil"/>
        <s v="Քաղաքացիական Ավիացիայի Գլխավոր Վարչություն"/>
        <s v="Bundesministerium für Verkehr, Innovation und Technologie"/>
        <s v="Azərbaycan Respublikasının Dövlət Mülki Aviasiya Administrasiyası"/>
        <s v="شئون الطيران المدني"/>
        <s v="বেসামরিক বিমান চলাচল কর্তৃপক্ষ"/>
        <s v="Департамент по авиации"/>
        <s v="Service public fédéral Mobilité et Transports Federale overheidsdienst Mobiliteit en Vervoer"/>
        <s v="Agence Nationale de l'Aviation Civile du Bénin"/>
        <s v="Dirección General de Aeronáutica Civil"/>
        <s v="Bosna i Hercegovina Direkcija za civilno zrakoplovstvo"/>
        <s v="n/a"/>
        <s v="Agência Nacional de Aviação Civil"/>
        <s v="Jabatan Penerbangan Awam"/>
        <s v="Главна дирекция &quot;Гражданска въздухоплавателна администрация&quot;"/>
        <s v="Agence Nationale de l'Aviation Civile (ANAC)"/>
        <s v="Autorité de l'aviation civile du Burundi (AACB)"/>
        <s v="រដ្ឋលេខាធិការដ្ឋានអាកាសចរស៊ីវិល"/>
        <s v="Transports Canada Direction générale de l’aviation civile"/>
        <s v="Agência de Aviação Civil"/>
        <s v="Autorité de l'Aviation Civile"/>
        <s v="Autorité de l'Aviation civile du Tchad (ADAC)"/>
        <s v="中国民用航空总局"/>
        <s v="Unidad Administrativa Especial de Aeronáutica Civil"/>
        <s v="Agence Nationale de l'Aviation Civile et de la Météorologie"/>
        <s v="Dirección General de Aviación Civil de Costa Rica"/>
        <s v="Hrvatska agencija za civilno zrakoplovstvo"/>
        <s v="Instituto de Aeronáutica Civil de Cuba"/>
        <s v="Τμήμα Πολιτικής Αεροπορίας"/>
        <s v="Úřad pro civilní letectví Česká republika"/>
        <s v="조선민항"/>
        <s v="Autorité de l’Aviation Civile de la République Démocratique du Congo"/>
        <s v="Trafikstyrelsen"/>
        <s v="Autorité de l’aviation civile"/>
        <s v="Instituto Dominicano de Aviación Civil"/>
        <s v="Dirección General de Aviación Civil"/>
        <s v="وزارة الطيران المدني"/>
        <s v="Autoridad de Aviación Civil"/>
        <s v="Lennuamet"/>
        <s v="Direction Générale de l'Aviation Civile"/>
        <s v="საქართველოს სამოქალაქო ავიაციის სააგენტო"/>
        <s v="Luftfahrt-Bundesamt (LBA)"/>
        <s v="Υπηρεσία Πολιτικής Αεροπορίας (ΥΠΑ)"/>
        <s v="Direction Nationale de l'Aviation Civile Guinée (DNAC)"/>
        <s v="Agência da Aviação Civil da Guiné-Bissau"/>
        <s v="Autorité Aéroportuaire Nationale"/>
        <s v="Agencia Hondurena de Aeronautica Civil (AHAC)"/>
        <s v="Nemzeti Közlekedési Hatóság"/>
        <s v="民航處"/>
        <s v="Samgöngustofa"/>
        <s v="महानिदेशक नागर विमानन"/>
        <s v="Direktorat Jenderal Perhubungan Udara"/>
        <s v="سازمان هواپيمايي كشوري"/>
        <s v="المنشأة العامة للطيران المدني"/>
        <s v="Údarás Eitlíochta na hÉireann"/>
        <s v="רשות התעופה האזרחית"/>
        <s v="Ente nazionale per l'aviazione civile"/>
        <s v="Autorité Nationale de l’Aviation Civile de Cote d’Ivoire"/>
        <s v="航空局"/>
        <s v="Азаматтық авиация комитеті "/>
        <s v="Autoriteti i Aviacionit Civil të Kosovës"/>
        <s v="الإدارة العامة للطيران المدني"/>
        <s v="Агентство Гражданской Авиации Кыргызской Республики"/>
        <s v="Civilās aviācijas aģentūra"/>
        <s v="مصلحة الطيران المدني اللبناني"/>
        <s v="مصلحة الطيران المدني"/>
        <s v="Civilinės aviacijos administracija"/>
        <s v="Direction de l’Aviation Civile"/>
        <s v="民航局 Autoridade de Aviação Civil"/>
        <s v="Агенција за цивилно воздухопловство"/>
        <s v="Aviation Civile de Madagascar"/>
        <s v="Jabatan Penerbangan Awam Malaysia"/>
        <s v="Direttorat tal-Avjazzjoni Ċivili"/>
        <s v="Agence Nationale de l'Aviation Civile"/>
        <s v="Department of Civil Aviation (DCA) of Mauritius"/>
        <s v="Administraţia de Stat a Aviaţiei Civile a Republicii Moldova"/>
        <s v="Service de l'Aviation Civile du Principauté de Monaco"/>
        <s v="Иргэний Нисэхийн Ерөнхий Газар"/>
        <s v="Agencija za civilno vazduhoplovstvo"/>
        <s v="Direction Générale de l’Aviation Civile  "/>
        <s v="Instituto de Aviação Civil de Moçambique"/>
        <s v="ေလေၾကာင္းပို႔ေဆာင္ေရးၫႊန္ၾကားမႈဦးစီးဌာန"/>
        <s v="नेपाल नागरिक उड्डयन प्राधिकरण"/>
        <s v="Inspectie Leefomgeving en Transport (ILT)"/>
        <s v="Instituto Nicaragüense de Aeronáutica Civil"/>
        <s v="Agence Nationale de l'Avation Civile"/>
        <s v="Luftfartstilsynet"/>
        <s v="المديريه العامه للطيران المدني والأرصاد الجويه"/>
        <s v="مقتدرۂ شہری طیران پاکستان"/>
        <s v="Autoridad Aeronáutica Civil"/>
        <s v="Dirección Nacional de Aeronáutica Civil"/>
        <s v="Pangasiwaan ng Abyasyon Sibil ng Pilipinas"/>
        <s v="Urząd Lotnictwa Cywilnego"/>
        <s v="Autoridade Nacional de Aviação Civil (ANAC)"/>
        <s v="للهيئة العامة للطيران المدني"/>
        <s v="Autoritatea Aeronautică Civilă Română"/>
        <s v="Федеральное агентство воздушного транспорта"/>
        <s v="Autorità per l'Aviazione Civile e la Navigazione Marittima"/>
        <s v="Instituto Nacional de Aviação Civil (INAC)"/>
        <s v="Agence Nationale de l'Aviation Civile du Sénégal"/>
        <s v="Директорат Цивилног Ваздухопловства"/>
        <s v="Letecký úrad Slovenskej republiky"/>
        <s v="Direktorat za civilno letalstvo"/>
        <s v="Hay'adda Duulista Rayidka &amp; Saadaasha Hawada Soomaaliyeed"/>
        <s v="대한민국 국토해양부 항공정책실"/>
        <s v="ශ්රී ලංකා සිවිල් ගුවන් සේවා අධිකාරිය"/>
        <s v="Transportstyrelsen"/>
        <s v="French: Office fédéral de l'aviation civile (OFAC) German: Bundesamt für Zivilluftfahrt (BAZL) Italian: Ufficio federale dell'aviazione civile (UFAC)"/>
        <s v="المؤسسة العامة للطيران المدني"/>
        <s v="交通部民用航空局"/>
        <s v="Государственная служба по надзору и регулированию в области транспорта РТ"/>
        <s v="Mamlaka ya Usafiri wa Anga Tanzania"/>
        <s v="สำนักงานการบินพลเรือนแห่งประเทศไทย"/>
        <s v="Agence Nationale de l'Aviation Civile du Togo (ANAC-TOGO)"/>
        <s v="Office de l'aviation civile et des aéroports"/>
        <s v="Sivil Havacılık Genel Müdürlüğü"/>
        <s v="Ekitongole kya Uganda ekikola ku by'ennyonyi"/>
        <s v="Державна авіаційна служба України (Державіаслужба)"/>
        <s v="Organisation de l'aviation civile internationale"/>
        <s v="Dirección Nacional de Aviación Civil e Infraestructura Aeronáutica"/>
        <s v="O‘zbekiston Respublikasi parvozlar xavfsizligini"/>
        <s v="Instituto Nacional de Aviación Civil"/>
        <s v="Cục Hàng không Dân dụng Việt Nam"/>
      </sharedItems>
    </cacheField>
    <cacheField name="Website" numFmtId="0">
      <sharedItems containsBlank="1">
        <s v="www.motca.gov.af"/>
        <s v="www.aac.gov.al"/>
        <s v="www.ministere-transports.gov.dz"/>
        <s v="http://www.andorra-aviation.com/"/>
        <s v="www.inavic.gv.ao"/>
        <s v="http://eccaa.aero/"/>
        <s v="www.anac.gov.ar"/>
        <s v="www.aviation.am"/>
        <s v="www.dca.gov.aw"/>
        <s v="www.casa.gov.au"/>
        <s v="www.bmvit.gv.at"/>
        <s v="http://www.caa.gov.az/"/>
        <s v="www.bahamas.gov.bs"/>
        <s v="www.caa.gov.bh"/>
        <s v="www.caab.gov.bd"/>
        <s v="www.bcad.gov.bb"/>
        <s v="www.avia.by"/>
        <s v="www.mobilit.fgov.be/fr/ www.mobilit.fgov.be/nl/"/>
        <s v="http://www.civilaviation.gov.bz/"/>
        <s v="www.anac.bj"/>
        <s v="www.dca.gov.bm"/>
        <s v="www.bcaa.gov.bt"/>
        <s v="www.dgac.gob.bo"/>
        <s v="www.bhdca.gov.ba"/>
        <s v="www.dca.gov.bw"/>
        <s v="www.anac.gov.br"/>
        <s v="http://www.mincom.gov.bn/dca"/>
        <s v="www.caa.bg"/>
        <s v="http://www.anacburkina.org/"/>
        <s v="http://www.aacb.bi/"/>
        <s v="www.civilaviation.gov.kh"/>
        <s v="www.ccaa.aero"/>
        <s v="www.tc.gc.ca/eng/civilaviation/menu.htm - English www.tc.gc.ca/fra/civilaviation/menu.htm - French"/>
        <s v="www.aac.cv"/>
        <s v="www.caacayman.com"/>
        <s v="www.aacrdc.org"/>
        <s v="www.adac-tchad.org"/>
        <s v="www.dgac.gob.cl"/>
        <s v="www.caac.gov.cn"/>
        <s v="www.aerocivil.gov.co"/>
        <s v="www.anacm-comores.com"/>
        <s v="http://www.anaccongo.org/"/>
        <s v="www.paso.aero"/>
        <s v="www.dgac.go.cr"/>
        <s v="www.ccaa.hr"/>
        <s v="www.cubagob.cu"/>
        <s v="www.mcw.gov.cy"/>
        <s v="www.caa.cz"/>
        <m/>
        <s v="www.trafikstyrelsen.dk"/>
        <s v="www.idac.gov.do"/>
        <s v="www.aviacioncivil.gob.ec"/>
        <s v="www.civilaviation.gov.eg"/>
        <s v="www.aac.gob.sv"/>
        <s v="http://caage.org/"/>
        <s v="www.ecaa.ee"/>
        <s v="http://www.ecaa.gov.et/"/>
        <s v="easa.europa.eu"/>
        <s v="www.caafi.org.fj"/>
        <s v="www.trafi.fi"/>
        <s v="www.dgac.fr"/>
        <s v="www.anacgabon.org"/>
        <s v="http://www.gcaa.aero/"/>
        <s v="www.gcaa.ge"/>
        <s v="http://www.lba.de/EN/"/>
        <s v="www.gcaa.com.gh"/>
        <s v="www.hcaa.gr"/>
        <s v="http://www.mbiagrenada.com/"/>
        <s v="www.dgacguate.com"/>
        <s v="http://www.caacl.org/index.html"/>
        <s v="www.gcaa-gy.org"/>
        <s v="http://www.aan.gouv.ht/"/>
        <s v="http://www.ahac.gob.hn/"/>
        <s v="https://www.nkh.gov.hu"/>
        <s v="www.cad.gov.hk"/>
        <s v="www.icetra.is"/>
        <s v="dgca.nic.in"/>
        <s v="hubud.dephub.go.id"/>
        <s v="www.cao.ir"/>
        <s v="www.iraqcaa.com"/>
        <s v="www.iaa.ie"/>
        <s v="www.gov.im/ded/aircraft/"/>
        <s v="caa.gov.il"/>
        <s v="www.enac-italia.it"/>
        <s v="http://www.anac.ci/anac/web/"/>
        <s v="www.jcaa.gov.jm"/>
        <s v="www.mlit.go.jp"/>
        <s v="www.carc.jo"/>
        <s v="http://aviation.mid.gov.kz/en"/>
        <s v="www.kcaa.or.ke"/>
        <s v="www.caa-ks.org"/>
        <s v="www.dgca.gov.kw"/>
        <s v="www.caa.kg"/>
        <s v="www.caa.lv"/>
        <s v="www.dgca.gov.lb"/>
        <s v="http://www.civilair.org.ls/index.php"/>
        <s v="http://www.liberiacaa.com/"/>
        <s v="http://caa.gov.ly/en/"/>
        <s v="http://www.caa.lt"/>
        <s v="www.dac.public.lu"/>
        <s v="http://www.aacm.gov.mo/"/>
        <s v="http://www.caa.gov.mk/en"/>
        <s v="www.acm.mg"/>
        <s v="http://www.motpwh.gov.mw/"/>
        <s v="www.dca.gov.my"/>
        <s v="www.aviainfo.gov.mv"/>
        <s v="www.transport.gov.mt/aviation/civil-aviation-directorate"/>
        <s v="rmipa.com/airports/"/>
        <s v="w3.anac.mr"/>
        <s v="civil-aviation.govmu.org"/>
        <s v="sct.gob.mx/transporte-y-medicina-preventiva/aeronautica-civil/"/>
        <s v="http://www.ict.fm/civilaviation/index.html"/>
        <s v="en.caa.md"/>
        <s v="en.gouv.mc/Civil-Aviation-Authority"/>
        <s v="http://www.mcaa.gov.mn/"/>
        <s v="www.caa.me"/>
        <s v="http://www.dac-maroc.gov.ma/"/>
        <s v="www.iacm.gov.mz"/>
        <s v="www.mot.gov.mm"/>
        <s v="www.dca.com.na"/>
        <s v="www.caanepal.org.np"/>
        <s v="www.ilent.nl/onderwerpen/transport/luchtvaart/"/>
        <s v="www.caa.govt.nz"/>
        <s v="www.inac.gob.ni"/>
        <s v="http://www.anacniger.org/"/>
        <s v="www.ncaa.gov.ng"/>
        <s v="luftfartstilsynet.no/caa_no/"/>
        <s v="www.paca.gov.om"/>
        <s v="www.caapakistan.com.pk"/>
        <s v="http://palaugov.pw/executive-branch/ministries/public-infrastructure/bureau-of-aviation/"/>
        <s v="www.aeronautica.gob.pa"/>
        <s v="www.casapng.gov.pg"/>
        <s v="www.dinac.gov.py"/>
        <s v="www.mtc.gob.pe"/>
        <s v="www.caap.gov.ph"/>
        <s v="www.ulc.gov.pl"/>
        <s v="www.anac.pt"/>
        <s v="www.caa.gov.qa"/>
        <s v="www.caa.ro"/>
        <s v="www.favt.ru"/>
        <s v="www.caa.gov.rw"/>
        <s v="http://externalaffairs.govt.lc/"/>
        <s v="www.caa-mna.sm"/>
        <s v="http://www.inac.st/"/>
        <s v="www.gaca.gov.sa"/>
        <s v="www.anacim.sn"/>
        <s v="www.cad.gov.rs"/>
        <s v="www.scaa.sc"/>
        <s v="www.slcaa.net/"/>
        <s v="www.caas.gov.sg"/>
        <s v="http://nsat.sk/"/>
        <s v="www.mzp.gov.si"/>
        <s v="www.scama.so"/>
        <s v="www.caa.co.za"/>
        <s v="koca.go.kr"/>
        <s v="www.fomento.es"/>
        <s v="www.caa.lk"/>
        <s v="www.caa-sudan.net"/>
        <s v="http://www.goss.org/index.php/ministries/transport"/>
        <s v="www.cadsur.sr"/>
        <s v="http://www.swacaa.co.sz/"/>
        <s v="www.transportstyrelsen.se"/>
        <s v="https://www.bazl.admin.ch/bazl/fr/home.html"/>
        <s v="scaa.sy"/>
        <s v="www.caa.gov.tw"/>
        <s v="https://transcontrol.tj/"/>
        <s v="www.tcaa.go.tz"/>
        <s v="http://www.caat.or.th/"/>
        <s v="gov.east-timor.org/CAA/"/>
        <s v="www.anac-togo.tg"/>
        <s v="www.caa.gov.tt"/>
        <s v="www.oaca.nat.tn"/>
        <s v="www.shgm.gov.tr"/>
        <s v="tcicaa.org"/>
        <s v="www.caa.co.ug"/>
        <s v="www.avia.gov.ua"/>
        <s v="www.gcaa.ae"/>
        <s v="www.caa.co.uk"/>
        <s v="www.icao.int"/>
        <s v="www.faa.gov"/>
        <s v="www.dinacia.gub.uy/"/>
        <s v="http://uzcaa.uz/uz/"/>
        <s v="http://iacac.info/index.php/iacac/about-iacac"/>
        <s v="http://www.inac.gob.ve/home.php"/>
        <s v="www.caa.gov.vn"/>
        <s v="www.cama.gov.ye"/>
        <s v="http://www.caa.co.zm/"/>
        <s v="www.caaz.co.zw"/>
      </sharedItems>
    </cacheField>
    <cacheField name="Data webpage" numFmtId="0">
      <sharedItems containsBlank="1">
        <m/>
        <s v="http://www.aac.gov.al/publikime/statistika/"/>
        <s v="http://www.ons.dz/-Transports-non-routiers-.html"/>
        <s v="https://www.estadisticaciudad.gob.ar/eyc/?cat=374"/>
        <s v="http://www.aviation.am/index.php/en/statistics"/>
        <s v="http://bitre.gov.au/publications/ongoing/international_airline_activity-time_series.aspx"/>
        <s v="http://www.caa.gov.bh/content/statistics-2"/>
        <s v="http://mobilit.belgium.be/fr/transport_aerien/aeroports_et_aerodromes/statistiques"/>
        <s v="http://anac.bj/node/92"/>
        <s v="http://www.bhdca.gov.ba/index.php/en/68-english/general-information/1107-the-data-traffic-at-bh-airports-for-september-2016"/>
        <s v="http://www.caab.co.bw/caab-content.php?cid=268"/>
        <s v="http://www.anac.gov.br/assuntos/dados-e-estatisticas/dados-estatisticos/dados-estatisticos"/>
        <s v="http://www.caa.bg/page.php?category=27"/>
        <s v="http://www.ccaa.aero/index.php/fr/organisation-2/34-bulletin-statistique-de-la-ccaa-n-3"/>
        <s v="http://open.canada.ca/data/en/dataset/41761513-640e-4f2b-82b4-620f2459c176"/>
        <s v="http://adac-tchad.org/statistique-des-aeroports"/>
        <s v="http://www.jac.gob.cl/estadisticas-ano-2016/"/>
        <s v="http://www.caac.gov.cn/en/HYYJ/SJ/"/>
        <s v="http://www.aerocivil.gov.co/atencion/estadisticas-de-las-actividades-aeronauticas/Paginas/transporte-aereo.aspx"/>
        <s v="http://www.dgac.go.cr/acercadgac/transparencia/plani/estadisticas.html"/>
        <s v="http://tac.idac.gob.do/index.php/transparencia/estadisticas-institucionales/volumen-de-operaciones-y-pasajeros-internacionales-regulares-y-charter"/>
        <s v="http://ec.europa.eu/eurostat/estat-navtree-portlet-prod/BulkDownloadListing?sort=1&amp;dir=data"/>
        <s v="https://www.finavia.fi/en/finavia-corporation/statistics/"/>
        <s v="http://www.gcaa.ge/eng/regular.php"/>
        <s v="http://adv.aero/service/downloadbibliothek/"/>
        <s v="http://www.gcaa.com.gh/extweb/index.php/article1/item/312-aviation-statistics"/>
        <s v="http://www.hcaa.gr/en/profile/statistics/yearstatistics/"/>
        <s v="http://dgac.gob.gt/index.php/la-aurora/2015"/>
        <s v="http://www.cad.gov.hk/english/statistics.html"/>
        <s v="http://px.hagstofa.is/pxen/pxweb/en/Atvinnuvegir/Atvinnuvegir__samgongur__flug/SAM04201.px"/>
        <s v="http://dgca.nic.in/pub/pub-ind.htm"/>
        <s v="http://hubud.dephub.go.id/?en/llu/index/filter:airport,222"/>
        <s v="https://translate.googleusercontent.com/translate_c?act=url&amp;depth=1&amp;hl=fr&amp;ie=UTF8&amp;prev=_t&amp;rurl=translate.google.com&amp;sl=auto&amp;tl=fr&amp;u=http://www.cao.ir/statistics-and-reports&amp;usg=ALkJrhhWwT_qA8jIJmN4a7SHXkUntD2w1g"/>
        <s v="http://www.cso.ie/px/pxeirestat/statire/SelectVarVal/Define.asp?Maintable=CTM01&amp;PLanguage=0"/>
        <s v="http://caa.gov.il/index.php/he/2015-11-18-10-40-27/2009-12-23-09-45-18/2012-04-24-05-29-48/2012-04-24-06-53-01?option=com_content&amp;view=article&amp;id=678&amp;Itemid=374&amp;lang=he"/>
        <s v="http://www.assaeroporti.com/statistiche/"/>
        <s v="http://www.jcaa.gov.jm/er/Stats_Analysis.html"/>
        <s v="http://www.mlit.go.jp/k-toukei/syousaikensaku.html"/>
        <s v="http://www.dgca.gov.kw/en/civil-aviation/media-and-info/statistics"/>
        <s v="http://www.civilair.org.ls/index.php?option=com_content&amp;view=article&amp;id=9&amp;Itemid=117"/>
        <s v="http://www.liberiacaa.com/DataAndResearch/AviationDataAndStatistics"/>
        <s v="http://www.caa.lt/index.php?137331322"/>
        <s v="http://www.caa.gov.mk/184/Passengers_Statistics.html"/>
        <s v="http://www.acm.mg/spip.php?rubrique13"/>
        <s v="http://www.mot.gov.my/en/resources/yearly-statistic"/>
        <s v="http://statsmauritius.govmu.org/English/StatsbySubj/Pages/INTERNATIONAL-TRAVEL-and-TOURISM.aspx"/>
        <s v="http://www.sct.gob.mx/transporte-y-medicina-preventiva/aeronautica-civil/5-estadisticas/53-estadistica-operacional-de-aerolineas-air-carrier-operational-statistics/"/>
        <s v="http://www.caa.md/eng/statistics/"/>
        <s v="http://www.onda.ma/Je-suis-Professionnel/Compagnies/Statistiques"/>
        <s v="http://www.dca.gov.mm/air-transport/statistical-data"/>
        <s v="http://statline.cbs.nl/statweb/publication/?vw=t&amp;dm=slen&amp;pa=37478eng&amp;d1=0-2,11,42,45,48,73&amp;d2=a&amp;d3=l&amp;hd=090515-1520&amp;la=en&amp;hdr=g2,t&amp;stb=g1"/>
        <s v="http://www.stats.govt.nz/infoshare/ViewTable.aspx?pxID=062c2a61-2e87-4a8a-aed6-9eb58de27f5b"/>
        <s v="http://www.inac.gob.ni/seccion/biblioteca-virtual/boletines-estadisticos/"/>
        <s v="http://nigerianstat.gov.ng/library"/>
        <s v="https://avinor.no/en/corporate/about-us/statistics/traffic-statistics"/>
        <s v="http://www.paca.gov.om/statistics"/>
        <s v="http://www.caapakistan.com.pk/AT/AT-EO-Stats.aspx"/>
        <s v="http://www.aeronautica.gob.pa/recursos/index.php?c=transparencia"/>
        <s v="http://www.dinac.gov.py/v2/index.php?option=com_k2&amp;view=item&amp;id=122:datos-estad%C3%ADsticos-de-movimiento&amp;Itemid=122"/>
        <s v="http://www.corpac.gob.pe/Main.asp?T=5274"/>
        <s v="http://www.caap.gov.ph/index.php/downloads/category/65-statistics"/>
        <s v="http://www.ulc.gov.pl/en/publications/statictics-and-analysis-of-air-transport-market"/>
        <s v="http://www.anac.pt/vPT/Generico/PublicacoesINAC/BoletinsEstatisticosTrimestrais/Paginas/BoletinsEstatisticosTrimestrais.aspx"/>
        <s v="http://www.mdps.gov.qa/en/statistics1/pages/topicslisting.aspx?parent=General&amp;child=QMS"/>
        <s v="http://www.favt.ru/opendata/"/>
        <s v="https://gaca.gov.sa/web/en-gb/content/open-data-library"/>
        <s v="http://www.tablebuilder.singstat.gov.sg/publicfacing/createDataTable.action?refId=2050"/>
        <s v="http://www.aena.es/csee/Satellite?c=Page&amp;cid=1113582476715&amp;pagename=Estadisticas%2FEstadisticas"/>
        <s v="http://scaa-ais.sd/en/"/>
        <s v="http://www.trafa.se/luftfart/"/>
        <s v="https://www.bfs.admin.ch/bfs/fr/home/statistiques/mobilite-transports/themes-transversaux/aviation-civile/trafic-lignes-charter.assetdetail.1345943.html"/>
        <s v="http://www.caa.gov.tw/en/content/index.asp?sno=362"/>
        <s v="http://www.tcaa.go.tz/documents.php?c=Air%20Traffic%20Statistics&amp;m=Economic%20Regulation&amp;t=Air%20Traffic%20Statistics"/>
        <s v="https://www.caat.or.th/th/archives/20252"/>
        <s v="http://www.anac-togo.tg/transport-aerien/statistiques-evolution-du-transport-aerien/"/>
        <s v="http://www.dhmi.gov.tr/istatistik.aspx"/>
        <s v="http://www.caa.co.uk/Data-and-analysis/UK-aviation-market/Airports/Datasets/UK-Airport-data/Airport-data-2016-10/"/>
        <s v="http://www.transtats.bts.gov/DL_SelectFields.asp?Table_ID=292"/>
        <s v="http://www.dinacia.gub.uy/ciudadania/estadisticas.html"/>
      </sharedItems>
    </cacheField>
    <cacheField name="Statistics ?" numFmtId="0">
      <sharedItems>
        <s v="No"/>
        <s v="Yes"/>
      </sharedItems>
    </cacheField>
    <cacheField name="Format" numFmtId="0">
      <sharedItems containsBlank="1">
        <m/>
        <s v="PDF"/>
        <s v="XLS"/>
        <s v="Webpage"/>
        <s v="XLSX"/>
        <s v="XLSB"/>
        <s v="CSV"/>
        <s v="TSV"/>
        <s v="DOCX"/>
      </sharedItems>
    </cacheField>
    <cacheField name="Start date">
      <sharedItems containsBlank="1" containsMixedTypes="1" containsNumber="1" containsInteger="1">
        <m/>
        <n v="2008.0"/>
        <n v="2015.0"/>
        <n v="2009.0"/>
        <n v="2007.0"/>
        <n v="2013.0"/>
        <n v="2014.0"/>
        <n v="2000.0"/>
        <n v="2001.0"/>
        <n v="2011.0"/>
        <n v="2010.0"/>
        <n v="1992.0"/>
        <n v="2003.0"/>
        <n v="2002.0"/>
        <n v="1998.0"/>
        <s v="?"/>
        <n v="2006.0"/>
        <n v="2004.0"/>
        <n v="1999.0"/>
        <n v="2012.0"/>
        <n v="1980.0"/>
        <n v="1962.0"/>
        <n v="1987.0"/>
        <n v="1991.0"/>
        <n v="1983.0"/>
        <n v="1990.0"/>
      </sharedItems>
    </cacheField>
    <cacheField name="End date">
      <sharedItems containsBlank="1" containsMixedTypes="1" containsNumber="1" containsInteger="1">
        <m/>
        <n v="2011.0"/>
        <s v="n/d"/>
        <n v="2014.0"/>
        <n v="2013.0"/>
        <n v="2015.0"/>
        <s v="?"/>
        <n v="2010.0"/>
        <n v="2005.0"/>
        <n v="2017.0"/>
        <n v="2012.0"/>
      </sharedItems>
    </cacheField>
    <cacheField name="Destination" numFmtId="0">
      <sharedItems containsBlank="1">
        <m/>
        <s v="No"/>
        <s v="Airport name"/>
        <s v="City name"/>
        <s v="ICAO"/>
        <s v="IATA"/>
        <s v="FAA/IATA"/>
      </sharedItems>
    </cacheField>
    <cacheField name="Origin" numFmtId="0">
      <sharedItems containsBlank="1">
        <m/>
        <s v="No"/>
        <s v="City name"/>
        <s v="ICAO"/>
        <s v="IATA"/>
        <s v="Airport name"/>
        <s v="FAA/IATA"/>
      </sharedItems>
    </cacheField>
    <cacheField name="Company" numFmtId="0">
      <sharedItems containsBlank="1">
        <m/>
        <s v="No"/>
        <s v="Company name"/>
        <s v="ICAO"/>
        <s v="IATA"/>
      </sharedItems>
    </cacheField>
    <cacheField name="Back/forth" numFmtId="0">
      <sharedItems containsBlank="1">
        <m/>
        <s v="Grouped"/>
        <s v="Distinguished"/>
      </sharedItems>
    </cacheField>
    <cacheField name="Month" numFmtId="0">
      <sharedItems containsBlank="1">
        <m/>
        <s v="No"/>
        <s v="Yes"/>
      </sharedItems>
    </cacheField>
    <cacheField name="Update frequency" numFmtId="0">
      <sharedItems containsBlank="1">
        <m/>
        <s v="Annually"/>
        <s v="Monthly"/>
        <s v="Semestrially"/>
        <s v="?"/>
        <s v="Quarterly"/>
      </sharedItems>
    </cacheField>
    <cacheField name="Update delay" numFmtId="0">
      <sharedItems containsBlank="1">
        <m/>
        <s v="?"/>
        <s v="M+3"/>
        <s v="Y+1"/>
        <s v="M+4"/>
        <s v="M+7"/>
        <s v="M+2"/>
        <s v="Y+2"/>
        <s v="M+6"/>
        <s v="M + 10"/>
        <s v="Q+3"/>
        <s v="Q+2"/>
        <s v="Q+1"/>
      </sharedItems>
    </cacheField>
    <cacheField name="Sample file" numFmtId="0">
      <sharedItems containsBlank="1">
        <m/>
        <s v="2011"/>
        <s v="november 2016"/>
        <s v="2009-2016"/>
        <s v="Mai 2016"/>
        <s v="2016 up to september"/>
        <s v="2014"/>
        <s v="september 2016"/>
        <s v="2013"/>
        <s v="2016 up to november"/>
        <s v="2015 Sophia"/>
        <s v="2010-2015"/>
        <s v="october 2016"/>
        <s v="2015"/>
        <s v="1 semester 2016"/>
        <s v="novembre 2016"/>
        <s v="2016"/>
        <s v="2015 domestic"/>
        <s v="2016 up to march"/>
        <s v="2015 La Aurora airport"/>
        <s v="2003-2015"/>
        <s v="citypair november 2016"/>
        <s v="Jakarta 2011-2015"/>
        <s v="Contenu en persan non disponible sur pages en anglais"/>
        <s v="2015 international"/>
        <s v="2010"/>
        <s v="2014-2015"/>
        <s v="2005"/>
        <s v="mars 2015"/>
        <s v="Q2 2016"/>
        <s v="april 2015"/>
        <s v="Q3 2014"/>
        <s v="Q1 2016"/>
        <s v="2015-16"/>
        <s v="Q3 2016"/>
        <s v="2012-13"/>
        <s v="1987-2011"/>
        <s v="2016 up to june"/>
        <s v="2012"/>
      </sharedItems>
    </cacheField>
    <cacheField name="Complete ?" numFmtId="0">
      <sharedItems>
        <s v="No"/>
        <s v="Yes"/>
      </sharedItems>
    </cacheField>
    <cacheField name="Useable ?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 dynamique_Répertoire_1" cacheId="0" dataCaption="">
  <location ref="A6:AI214" firstHeaderRow="1" firstDataRow="2" firstDataCol="2"/>
  <pivotFields>
    <pivotField name="Country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Authority name in English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Authority name in local language(s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Websit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Data web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istics ?" outline="0" multipleItemSelectionAllowed="1" showAll="0">
      <items>
        <item x="0"/>
        <item x="1"/>
        <item t="default"/>
      </items>
    </pivotField>
    <pivotField name="Forma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nd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Destina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rigi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mpany" axis="axisCol" outline="0" multipleItemSelectionAllowed="1" showAll="0">
      <items>
        <item x="0"/>
        <item x="1"/>
        <item x="2"/>
        <item x="3"/>
        <item x="4"/>
        <item t="default"/>
      </items>
    </pivotField>
    <pivotField name="Back/forth" outline="0" multipleItemSelectionAllowed="1" showAll="0">
      <items>
        <item x="0"/>
        <item x="1"/>
        <item x="2"/>
        <item t="default"/>
      </items>
    </pivotField>
    <pivotField name="Month" outline="0" multipleItemSelectionAllowed="1" showAll="0">
      <items>
        <item x="0"/>
        <item x="1"/>
        <item x="2"/>
        <item t="default"/>
      </items>
    </pivotField>
    <pivotField name="Update frequency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pdate delay" axis="axisCo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mple fi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mplete ?" outline="0" multipleItemSelectionAllowed="1" showAll="0">
      <items>
        <item x="0"/>
        <item x="1"/>
        <item t="default"/>
      </items>
    </pivotField>
    <pivotField name="Useable ?" outline="0" multipleItemSelectionAllowed="1" showAll="0">
      <items>
        <item x="0"/>
        <item x="1"/>
        <item t="default"/>
      </items>
    </pivotField>
  </pivotFields>
  <rowFields>
    <field x="0"/>
  </rowFields>
  <colFields>
    <field x="15"/>
    <field x="11"/>
  </colFields>
  <dataFields>
    <dataField name="COUNTA of Website" fld="3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8.57"/>
    <col customWidth="1" min="2" max="2" width="35.57"/>
    <col customWidth="1" min="3" max="3" width="30.14"/>
    <col customWidth="1" min="4" max="4" width="18.29"/>
    <col customWidth="1" min="5" max="5" width="27.29"/>
    <col customWidth="1" min="6" max="9" width="8.43"/>
    <col customWidth="1" min="10" max="10" width="11.0"/>
    <col customWidth="1" min="11" max="14" width="8.43"/>
    <col customWidth="1" min="15" max="15" width="13.14"/>
    <col customWidth="1" min="16" max="19" width="8.43"/>
    <col customWidth="1" min="20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</row>
    <row r="2" ht="12.75" customHeight="1">
      <c r="A2" s="3" t="s">
        <v>19</v>
      </c>
      <c r="B2" s="3" t="s">
        <v>20</v>
      </c>
      <c r="C2" s="6" t="s">
        <v>21</v>
      </c>
      <c r="D2" s="17" t="str">
        <f>HYPERLINK("http://www.motca.gov.af/","www.motca.gov.af")</f>
        <v>www.motca.gov.af</v>
      </c>
      <c r="E2" s="19"/>
      <c r="F2" s="3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tr">
        <f t="shared" ref="R2:R206" si="1">IF(OR(F2="No",J2="No",K2="No",L2="No",N2="No"),"No","Yes")</f>
        <v>No</v>
      </c>
      <c r="S2" s="3" t="str">
        <f t="shared" ref="S2:S206" si="2">IF(OR(F2="No",J2="No",K2="No",N2="No"),"No","Yes")</f>
        <v>No</v>
      </c>
      <c r="T2" s="3"/>
      <c r="U2" s="3"/>
      <c r="V2" s="3"/>
      <c r="W2" s="3"/>
      <c r="X2" s="3"/>
      <c r="Y2" s="3"/>
      <c r="Z2" s="3"/>
    </row>
    <row r="3" ht="12.75" customHeight="1">
      <c r="A3" s="3" t="s">
        <v>23</v>
      </c>
      <c r="B3" s="3" t="s">
        <v>24</v>
      </c>
      <c r="C3" s="3" t="s">
        <v>25</v>
      </c>
      <c r="D3" s="17" t="str">
        <f>HYPERLINK("http://www.aac.gov.al/","www.aac.gov.al")</f>
        <v>www.aac.gov.al</v>
      </c>
      <c r="E3" s="17" t="str">
        <f>HYPERLINK("http://www.aac.gov.al/publikime/statistika/","http://www.aac.gov.al/publikime/statistika/")</f>
        <v>http://www.aac.gov.al/publikime/statistika/</v>
      </c>
      <c r="F3" s="3" t="s">
        <v>22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 t="str">
        <f t="shared" si="1"/>
        <v>No</v>
      </c>
      <c r="S3" s="3" t="str">
        <f t="shared" si="2"/>
        <v>No</v>
      </c>
      <c r="T3" s="3"/>
      <c r="U3" s="3"/>
      <c r="V3" s="3"/>
      <c r="W3" s="3"/>
      <c r="X3" s="3"/>
      <c r="Y3" s="3"/>
      <c r="Z3" s="3"/>
    </row>
    <row r="4" ht="12.75" customHeight="1">
      <c r="A4" s="3" t="s">
        <v>26</v>
      </c>
      <c r="B4" s="3" t="s">
        <v>27</v>
      </c>
      <c r="C4" s="3" t="s">
        <v>28</v>
      </c>
      <c r="D4" s="17" t="str">
        <f>HYPERLINK("http://www.ministere-transports.gov.dz/","www.ministere-transports.gov.dz")</f>
        <v>www.ministere-transports.gov.dz</v>
      </c>
      <c r="E4" s="17" t="str">
        <f>HYPERLINK("http://www.ons.dz/-Transports-non-routiers-.html","http://www.ons.dz/-Transports-non-routiers-.html")</f>
        <v>http://www.ons.dz/-Transports-non-routiers-.html</v>
      </c>
      <c r="F4" s="3" t="s">
        <v>29</v>
      </c>
      <c r="G4" s="3" t="s">
        <v>30</v>
      </c>
      <c r="H4" s="3">
        <v>2008.0</v>
      </c>
      <c r="I4" s="3">
        <v>2011.0</v>
      </c>
      <c r="J4" s="3" t="s">
        <v>22</v>
      </c>
      <c r="K4" s="3" t="s">
        <v>22</v>
      </c>
      <c r="L4" s="3" t="s">
        <v>22</v>
      </c>
      <c r="M4" s="3" t="s">
        <v>31</v>
      </c>
      <c r="N4" s="3" t="s">
        <v>22</v>
      </c>
      <c r="O4" s="3" t="s">
        <v>32</v>
      </c>
      <c r="P4" s="3" t="s">
        <v>33</v>
      </c>
      <c r="Q4" s="19" t="str">
        <f>HYPERLINK("file:///Sample files/Algeria.pdf","2011")</f>
        <v>2011</v>
      </c>
      <c r="R4" s="3" t="str">
        <f t="shared" si="1"/>
        <v>No</v>
      </c>
      <c r="S4" s="3" t="str">
        <f t="shared" si="2"/>
        <v>No</v>
      </c>
      <c r="T4" s="3"/>
      <c r="U4" s="3"/>
      <c r="V4" s="3"/>
      <c r="W4" s="3"/>
      <c r="X4" s="3"/>
      <c r="Y4" s="3"/>
      <c r="Z4" s="3"/>
    </row>
    <row r="5" ht="12.75" customHeight="1">
      <c r="A5" s="3" t="s">
        <v>34</v>
      </c>
      <c r="B5" s="3" t="s">
        <v>35</v>
      </c>
      <c r="C5" s="3"/>
      <c r="D5" s="17" t="str">
        <f>HYPERLINK("http://www.andorra-aviation.com/","http://www.andorra-aviation.com/")</f>
        <v>http://www.andorra-aviation.com/</v>
      </c>
      <c r="E5" s="19"/>
      <c r="F5" s="3" t="s">
        <v>22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 t="str">
        <f t="shared" si="1"/>
        <v>No</v>
      </c>
      <c r="S5" s="3" t="str">
        <f t="shared" si="2"/>
        <v>No</v>
      </c>
      <c r="T5" s="3"/>
      <c r="U5" s="3"/>
      <c r="V5" s="3"/>
      <c r="W5" s="3"/>
      <c r="X5" s="3"/>
      <c r="Y5" s="3"/>
      <c r="Z5" s="3"/>
    </row>
    <row r="6" ht="12.75" customHeight="1">
      <c r="A6" s="3" t="s">
        <v>36</v>
      </c>
      <c r="B6" s="3" t="s">
        <v>37</v>
      </c>
      <c r="C6" s="3" t="s">
        <v>38</v>
      </c>
      <c r="D6" s="17" t="str">
        <f>HYPERLINK("http://www.inavic.gv.ao/","www.inavic.gv.ao")</f>
        <v>www.inavic.gv.ao</v>
      </c>
      <c r="E6" s="19"/>
      <c r="F6" s="3" t="s">
        <v>22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 t="str">
        <f t="shared" si="1"/>
        <v>No</v>
      </c>
      <c r="S6" s="3" t="str">
        <f t="shared" si="2"/>
        <v>No</v>
      </c>
      <c r="T6" s="3"/>
      <c r="U6" s="3"/>
      <c r="V6" s="3"/>
      <c r="W6" s="3"/>
      <c r="X6" s="3"/>
      <c r="Y6" s="3"/>
      <c r="Z6" s="3"/>
    </row>
    <row r="7" ht="12.75" customHeight="1">
      <c r="A7" s="3" t="s">
        <v>39</v>
      </c>
      <c r="B7" s="3" t="s">
        <v>40</v>
      </c>
      <c r="C7" s="3"/>
      <c r="D7" s="17" t="str">
        <f>HYPERLINK("http://eccaa.aero/","http://eccaa.aero/")</f>
        <v>http://eccaa.aero/</v>
      </c>
      <c r="E7" s="19"/>
      <c r="F7" s="3" t="s">
        <v>22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 t="str">
        <f t="shared" si="1"/>
        <v>No</v>
      </c>
      <c r="S7" s="3" t="str">
        <f t="shared" si="2"/>
        <v>No</v>
      </c>
      <c r="T7" s="3"/>
      <c r="U7" s="3"/>
      <c r="V7" s="3"/>
      <c r="W7" s="3"/>
      <c r="X7" s="3"/>
      <c r="Y7" s="3"/>
      <c r="Z7" s="3"/>
    </row>
    <row r="8" ht="12.75" customHeight="1">
      <c r="A8" s="3" t="s">
        <v>41</v>
      </c>
      <c r="B8" s="3" t="s">
        <v>42</v>
      </c>
      <c r="C8" s="3" t="s">
        <v>43</v>
      </c>
      <c r="D8" s="17" t="str">
        <f>HYPERLINK("http://www.anac.gov.ar/","www.anac.gov.ar")</f>
        <v>www.anac.gov.ar</v>
      </c>
      <c r="E8" s="17" t="str">
        <f>HYPERLINK("https://www.estadisticaciudad.gob.ar/eyc/?cat=374","https://www.estadisticaciudad.gob.ar/eyc/?cat=374")</f>
        <v>https://www.estadisticaciudad.gob.ar/eyc/?cat=374</v>
      </c>
      <c r="F8" s="3" t="s">
        <v>29</v>
      </c>
      <c r="G8" s="3" t="s">
        <v>44</v>
      </c>
      <c r="H8" s="3">
        <v>2008.0</v>
      </c>
      <c r="I8" s="21" t="s">
        <v>45</v>
      </c>
      <c r="J8" s="3" t="s">
        <v>46</v>
      </c>
      <c r="K8" s="3" t="s">
        <v>22</v>
      </c>
      <c r="L8" s="3" t="s">
        <v>22</v>
      </c>
      <c r="M8" s="3" t="s">
        <v>31</v>
      </c>
      <c r="N8" s="3" t="s">
        <v>29</v>
      </c>
      <c r="O8" s="3" t="s">
        <v>47</v>
      </c>
      <c r="P8" s="3" t="s">
        <v>48</v>
      </c>
      <c r="Q8" s="19" t="str">
        <f>HYPERLINK("file:///Sample files/Argentina.xls","november 2016")</f>
        <v>november 2016</v>
      </c>
      <c r="R8" s="3" t="str">
        <f t="shared" si="1"/>
        <v>No</v>
      </c>
      <c r="S8" s="3" t="str">
        <f t="shared" si="2"/>
        <v>No</v>
      </c>
      <c r="T8" s="3"/>
      <c r="U8" s="3"/>
      <c r="V8" s="3"/>
      <c r="W8" s="3"/>
      <c r="X8" s="3"/>
      <c r="Y8" s="3"/>
      <c r="Z8" s="3"/>
    </row>
    <row r="9" ht="12.75" customHeight="1">
      <c r="A9" s="3" t="s">
        <v>49</v>
      </c>
      <c r="B9" s="3" t="s">
        <v>50</v>
      </c>
      <c r="C9" s="3" t="s">
        <v>51</v>
      </c>
      <c r="D9" s="17" t="str">
        <f>HYPERLINK("http://www.aviation.am/eng/home.htm","www.aviation.am")</f>
        <v>www.aviation.am</v>
      </c>
      <c r="E9" s="17" t="str">
        <f>HYPERLINK("http://www.aviation.am/index.php/en/statistics","http://www.aviation.am/index.php/en/statistics")</f>
        <v>http://www.aviation.am/index.php/en/statistics</v>
      </c>
      <c r="F9" s="3" t="s">
        <v>29</v>
      </c>
      <c r="G9" s="3" t="s">
        <v>52</v>
      </c>
      <c r="H9" s="3">
        <v>2015.0</v>
      </c>
      <c r="I9" s="21" t="s">
        <v>45</v>
      </c>
      <c r="J9" s="3" t="s">
        <v>22</v>
      </c>
      <c r="K9" s="3" t="s">
        <v>22</v>
      </c>
      <c r="L9" s="3" t="s">
        <v>22</v>
      </c>
      <c r="M9" s="3" t="s">
        <v>31</v>
      </c>
      <c r="N9" s="3" t="s">
        <v>22</v>
      </c>
      <c r="O9" s="3" t="s">
        <v>32</v>
      </c>
      <c r="P9" s="3" t="s">
        <v>53</v>
      </c>
      <c r="Q9" s="3"/>
      <c r="R9" s="3" t="str">
        <f t="shared" si="1"/>
        <v>No</v>
      </c>
      <c r="S9" s="3" t="str">
        <f t="shared" si="2"/>
        <v>No</v>
      </c>
      <c r="T9" s="3"/>
      <c r="U9" s="3"/>
      <c r="V9" s="3"/>
      <c r="W9" s="3"/>
      <c r="X9" s="3"/>
      <c r="Y9" s="3"/>
      <c r="Z9" s="3"/>
    </row>
    <row r="10" ht="12.75" customHeight="1">
      <c r="A10" s="3" t="s">
        <v>54</v>
      </c>
      <c r="B10" s="3" t="s">
        <v>55</v>
      </c>
      <c r="C10" s="3"/>
      <c r="D10" s="17" t="str">
        <f>HYPERLINK("http://www.dca.gov.aw/","www.dca.gov.aw")</f>
        <v>www.dca.gov.aw</v>
      </c>
      <c r="E10" s="19"/>
      <c r="F10" s="3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 t="str">
        <f t="shared" si="1"/>
        <v>No</v>
      </c>
      <c r="S10" s="3" t="str">
        <f t="shared" si="2"/>
        <v>No</v>
      </c>
      <c r="T10" s="3"/>
      <c r="U10" s="3"/>
      <c r="V10" s="3"/>
      <c r="W10" s="3"/>
      <c r="X10" s="3"/>
      <c r="Y10" s="3"/>
      <c r="Z10" s="3"/>
    </row>
    <row r="11" ht="12.75" customHeight="1">
      <c r="A11" s="3" t="s">
        <v>56</v>
      </c>
      <c r="B11" s="3" t="s">
        <v>57</v>
      </c>
      <c r="C11" s="3"/>
      <c r="D11" s="17" t="str">
        <f>HYPERLINK("http://www.casa.gov.au/","www.casa.gov.au")</f>
        <v>www.casa.gov.au</v>
      </c>
      <c r="E11" s="17" t="str">
        <f>HYPERLINK("http://bitre.gov.au/publications/ongoing/international_airline_activity-time_series.aspx","http://bitre.gov.au/publications/ongoing/international_airline_activity-time_series.aspx")</f>
        <v>http://bitre.gov.au/publications/ongoing/international_airline_activity-time_series.aspx</v>
      </c>
      <c r="F11" s="3" t="s">
        <v>29</v>
      </c>
      <c r="G11" s="3" t="s">
        <v>44</v>
      </c>
      <c r="H11" s="3">
        <v>2009.0</v>
      </c>
      <c r="I11" s="21" t="s">
        <v>45</v>
      </c>
      <c r="J11" s="3" t="s">
        <v>58</v>
      </c>
      <c r="K11" s="3" t="s">
        <v>58</v>
      </c>
      <c r="L11" s="3" t="s">
        <v>22</v>
      </c>
      <c r="M11" s="3" t="s">
        <v>59</v>
      </c>
      <c r="N11" s="3" t="s">
        <v>29</v>
      </c>
      <c r="O11" s="3" t="s">
        <v>47</v>
      </c>
      <c r="P11" s="3" t="s">
        <v>60</v>
      </c>
      <c r="Q11" s="19" t="str">
        <f>HYPERLINK("file:///Sample files/Australia international.xls","2009-2016")</f>
        <v>2009-2016</v>
      </c>
      <c r="R11" s="3" t="str">
        <f t="shared" si="1"/>
        <v>No</v>
      </c>
      <c r="S11" s="3" t="str">
        <f t="shared" si="2"/>
        <v>Yes</v>
      </c>
      <c r="T11" s="3"/>
      <c r="U11" s="3"/>
      <c r="V11" s="3"/>
      <c r="W11" s="3"/>
      <c r="X11" s="3"/>
      <c r="Y11" s="3"/>
      <c r="Z11" s="3"/>
    </row>
    <row r="12" ht="12.75" customHeight="1">
      <c r="A12" s="3" t="s">
        <v>61</v>
      </c>
      <c r="B12" s="3" t="s">
        <v>62</v>
      </c>
      <c r="C12" s="3" t="s">
        <v>63</v>
      </c>
      <c r="D12" s="17" t="str">
        <f>HYPERLINK("http://www.bmvit.gv.at/en/verkehr/aviation/index.html","www.bmvit.gv.at")</f>
        <v>www.bmvit.gv.at</v>
      </c>
      <c r="E12" s="19"/>
      <c r="F12" s="3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 t="str">
        <f t="shared" si="1"/>
        <v>No</v>
      </c>
      <c r="S12" s="3" t="str">
        <f t="shared" si="2"/>
        <v>No</v>
      </c>
      <c r="T12" s="3"/>
      <c r="U12" s="3"/>
      <c r="V12" s="3"/>
      <c r="W12" s="3"/>
      <c r="X12" s="3"/>
      <c r="Y12" s="3"/>
      <c r="Z12" s="3"/>
    </row>
    <row r="13" ht="12.75" customHeight="1">
      <c r="A13" s="3" t="s">
        <v>64</v>
      </c>
      <c r="B13" s="3" t="s">
        <v>65</v>
      </c>
      <c r="C13" s="3" t="s">
        <v>66</v>
      </c>
      <c r="D13" s="17" t="str">
        <f>HYPERLINK("http://www.caa.gov.az/","http://www.caa.gov.az/")</f>
        <v>http://www.caa.gov.az/</v>
      </c>
      <c r="E13" s="19"/>
      <c r="F13" s="3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 t="str">
        <f t="shared" si="1"/>
        <v>No</v>
      </c>
      <c r="S13" s="3" t="str">
        <f t="shared" si="2"/>
        <v>No</v>
      </c>
      <c r="T13" s="3"/>
      <c r="U13" s="3"/>
      <c r="V13" s="3"/>
      <c r="W13" s="3"/>
      <c r="X13" s="3"/>
      <c r="Y13" s="3"/>
      <c r="Z13" s="3"/>
    </row>
    <row r="14" ht="12.75" customHeight="1">
      <c r="A14" s="3" t="s">
        <v>67</v>
      </c>
      <c r="B14" s="3" t="s">
        <v>68</v>
      </c>
      <c r="C14" s="3"/>
      <c r="D14" s="17" t="str">
        <f>HYPERLINK("http://www.bahamas.gov.bs/bahamasweb2/home.nsf/9dbd3b6dae24f6c906256f01005cc32f/d6c7bbe275ad8c3e06256f000070585f!OpenDocument","www.bahamas.gov.bs")</f>
        <v>www.bahamas.gov.bs</v>
      </c>
      <c r="E14" s="19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 t="str">
        <f t="shared" si="1"/>
        <v>No</v>
      </c>
      <c r="S14" s="3" t="str">
        <f t="shared" si="2"/>
        <v>No</v>
      </c>
      <c r="T14" s="3"/>
      <c r="U14" s="3"/>
      <c r="V14" s="3"/>
      <c r="W14" s="3"/>
      <c r="X14" s="3"/>
      <c r="Y14" s="3"/>
      <c r="Z14" s="3"/>
    </row>
    <row r="15" ht="12.75" customHeight="1">
      <c r="A15" s="3" t="s">
        <v>69</v>
      </c>
      <c r="B15" s="3" t="s">
        <v>70</v>
      </c>
      <c r="C15" s="6" t="s">
        <v>71</v>
      </c>
      <c r="D15" s="17" t="str">
        <f>HYPERLINK("http://www.caa.gov.bh/","www.caa.gov.bh")</f>
        <v>www.caa.gov.bh</v>
      </c>
      <c r="E15" s="17" t="str">
        <f>HYPERLINK("http://www.caa.gov.bh/content/statistics-2","http://www.caa.gov.bh/content/statistics-2")</f>
        <v>http://www.caa.gov.bh/content/statistics-2</v>
      </c>
      <c r="F15" s="3" t="s">
        <v>29</v>
      </c>
      <c r="G15" s="3" t="s">
        <v>30</v>
      </c>
      <c r="H15" s="3">
        <v>2007.0</v>
      </c>
      <c r="I15" s="21" t="s">
        <v>45</v>
      </c>
      <c r="J15" s="3" t="s">
        <v>22</v>
      </c>
      <c r="K15" s="3" t="s">
        <v>22</v>
      </c>
      <c r="L15" s="3" t="s">
        <v>22</v>
      </c>
      <c r="M15" s="3" t="s">
        <v>31</v>
      </c>
      <c r="N15" s="3" t="s">
        <v>29</v>
      </c>
      <c r="O15" s="3" t="s">
        <v>47</v>
      </c>
      <c r="P15" s="3" t="s">
        <v>72</v>
      </c>
      <c r="Q15" s="19" t="str">
        <f>HYPERLINK("file:///Sample files/Bahrein-may_2016.pdf","Mai 2016")</f>
        <v>Mai 2016</v>
      </c>
      <c r="R15" s="3" t="str">
        <f t="shared" si="1"/>
        <v>No</v>
      </c>
      <c r="S15" s="3" t="str">
        <f t="shared" si="2"/>
        <v>No</v>
      </c>
      <c r="T15" s="3"/>
      <c r="U15" s="3"/>
      <c r="V15" s="3"/>
      <c r="W15" s="3"/>
      <c r="X15" s="3"/>
      <c r="Y15" s="3"/>
      <c r="Z15" s="3"/>
    </row>
    <row r="16" ht="12.75" customHeight="1">
      <c r="A16" s="3" t="s">
        <v>73</v>
      </c>
      <c r="B16" s="3" t="s">
        <v>74</v>
      </c>
      <c r="C16" s="22" t="s">
        <v>75</v>
      </c>
      <c r="D16" s="17" t="str">
        <f>HYPERLINK("http://www.caab.gov.bd/","www.caab.gov.bd")</f>
        <v>www.caab.gov.bd</v>
      </c>
      <c r="E16" s="19"/>
      <c r="F16" s="3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 t="str">
        <f t="shared" si="1"/>
        <v>No</v>
      </c>
      <c r="S16" s="3" t="str">
        <f t="shared" si="2"/>
        <v>No</v>
      </c>
      <c r="T16" s="3"/>
      <c r="U16" s="3"/>
      <c r="V16" s="3"/>
      <c r="W16" s="3"/>
      <c r="X16" s="3"/>
      <c r="Y16" s="3"/>
      <c r="Z16" s="3"/>
    </row>
    <row r="17" ht="12.75" customHeight="1">
      <c r="A17" s="3" t="s">
        <v>76</v>
      </c>
      <c r="B17" s="3" t="s">
        <v>77</v>
      </c>
      <c r="C17" s="3"/>
      <c r="D17" s="17" t="str">
        <f>HYPERLINK("http://www.bcad.gov.bb/","www.bcad.gov.bb")</f>
        <v>www.bcad.gov.bb</v>
      </c>
      <c r="E17" s="19"/>
      <c r="F17" s="3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 t="str">
        <f t="shared" si="1"/>
        <v>No</v>
      </c>
      <c r="S17" s="3" t="str">
        <f t="shared" si="2"/>
        <v>No</v>
      </c>
      <c r="T17" s="3"/>
      <c r="U17" s="3"/>
      <c r="V17" s="3"/>
      <c r="W17" s="3"/>
      <c r="X17" s="3"/>
      <c r="Y17" s="3"/>
      <c r="Z17" s="3"/>
    </row>
    <row r="18" ht="12.75" customHeight="1">
      <c r="A18" s="3" t="s">
        <v>78</v>
      </c>
      <c r="B18" s="3" t="s">
        <v>79</v>
      </c>
      <c r="C18" s="3" t="s">
        <v>80</v>
      </c>
      <c r="D18" s="17" t="str">
        <f>HYPERLINK("http://www.avia.by/","www.avia.by")</f>
        <v>www.avia.by</v>
      </c>
      <c r="E18" s="19"/>
      <c r="F18" s="3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 t="str">
        <f t="shared" si="1"/>
        <v>No</v>
      </c>
      <c r="S18" s="3" t="str">
        <f t="shared" si="2"/>
        <v>No</v>
      </c>
      <c r="T18" s="3"/>
      <c r="U18" s="3"/>
      <c r="V18" s="3"/>
      <c r="W18" s="3"/>
      <c r="X18" s="3"/>
      <c r="Y18" s="3"/>
      <c r="Z18" s="3"/>
    </row>
    <row r="19" ht="45.75" customHeight="1">
      <c r="A19" s="3" t="s">
        <v>81</v>
      </c>
      <c r="B19" s="3" t="s">
        <v>82</v>
      </c>
      <c r="C19" s="23" t="s">
        <v>83</v>
      </c>
      <c r="D19" s="24" t="s">
        <v>84</v>
      </c>
      <c r="E19" s="25" t="str">
        <f>HYPERLINK("http://mobilit.belgium.be/fr/transport_aerien/aeroports_et_aerodromes/statistiques","http://mobilit.belgium.be/fr/transport_aerien/aeroports_et_aerodromes/statistiques")</f>
        <v>http://mobilit.belgium.be/fr/transport_aerien/aeroports_et_aerodromes/statistiques</v>
      </c>
      <c r="F19" s="3" t="s">
        <v>29</v>
      </c>
      <c r="G19" s="3" t="s">
        <v>85</v>
      </c>
      <c r="H19" s="3">
        <v>2013.0</v>
      </c>
      <c r="I19" s="21" t="s">
        <v>45</v>
      </c>
      <c r="J19" s="3" t="s">
        <v>46</v>
      </c>
      <c r="K19" s="3" t="s">
        <v>22</v>
      </c>
      <c r="L19" s="3" t="s">
        <v>22</v>
      </c>
      <c r="M19" s="3" t="s">
        <v>31</v>
      </c>
      <c r="N19" s="3" t="s">
        <v>29</v>
      </c>
      <c r="O19" s="3" t="s">
        <v>47</v>
      </c>
      <c r="P19" s="3" t="s">
        <v>60</v>
      </c>
      <c r="Q19" s="19" t="str">
        <f>HYPERLINK("file:///Sample files/Belgique.xlsx","2016 up to september")</f>
        <v>2016 up to september</v>
      </c>
      <c r="R19" s="3" t="str">
        <f t="shared" si="1"/>
        <v>No</v>
      </c>
      <c r="S19" s="3" t="str">
        <f t="shared" si="2"/>
        <v>No</v>
      </c>
      <c r="T19" s="3"/>
      <c r="U19" s="3"/>
      <c r="V19" s="3"/>
      <c r="W19" s="3"/>
      <c r="X19" s="3"/>
      <c r="Y19" s="3"/>
      <c r="Z19" s="3"/>
    </row>
    <row r="20" ht="12.75" customHeight="1">
      <c r="A20" s="3" t="s">
        <v>86</v>
      </c>
      <c r="B20" s="3" t="s">
        <v>87</v>
      </c>
      <c r="C20" s="23"/>
      <c r="D20" s="25" t="str">
        <f>HYPERLINK("http://www.civilaviation.gov.bz/","http://www.civilaviation.gov.bz/")</f>
        <v>http://www.civilaviation.gov.bz/</v>
      </c>
      <c r="E20" s="24"/>
      <c r="F20" s="3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19"/>
      <c r="R20" s="3" t="str">
        <f t="shared" si="1"/>
        <v>No</v>
      </c>
      <c r="S20" s="3" t="str">
        <f t="shared" si="2"/>
        <v>No</v>
      </c>
      <c r="T20" s="3"/>
      <c r="U20" s="3"/>
      <c r="V20" s="3"/>
      <c r="W20" s="3"/>
      <c r="X20" s="3"/>
      <c r="Y20" s="3"/>
      <c r="Z20" s="3"/>
    </row>
    <row r="21" ht="12.75" customHeight="1">
      <c r="A21" s="3" t="s">
        <v>88</v>
      </c>
      <c r="B21" s="3" t="s">
        <v>89</v>
      </c>
      <c r="C21" s="3" t="s">
        <v>90</v>
      </c>
      <c r="D21" s="17" t="str">
        <f>HYPERLINK("http://www.anac.bj/","www.anac.bj")</f>
        <v>www.anac.bj</v>
      </c>
      <c r="E21" s="17" t="str">
        <f>HYPERLINK("http://anac.bj/node/92","http://anac.bj/node/92")</f>
        <v>http://anac.bj/node/92</v>
      </c>
      <c r="F21" s="3" t="s">
        <v>29</v>
      </c>
      <c r="G21" s="3" t="s">
        <v>30</v>
      </c>
      <c r="H21" s="3">
        <v>2014.0</v>
      </c>
      <c r="I21" s="3">
        <v>2014.0</v>
      </c>
      <c r="J21" s="3" t="s">
        <v>22</v>
      </c>
      <c r="K21" s="3" t="s">
        <v>22</v>
      </c>
      <c r="L21" s="3" t="s">
        <v>91</v>
      </c>
      <c r="M21" s="3" t="s">
        <v>31</v>
      </c>
      <c r="N21" s="3" t="s">
        <v>29</v>
      </c>
      <c r="O21" s="3" t="s">
        <v>32</v>
      </c>
      <c r="P21" s="3" t="s">
        <v>33</v>
      </c>
      <c r="Q21" s="19" t="str">
        <f>HYPERLINK("file:///Sample files/Benin.pdf#Diapo 21#Diapo 21#Diapo 21#Diapo 21#Diapo 21#Diapo 21#Diapo 21#Diapo 21#Diapo 21#Diapo 21#Diapo 21#Diapo 21#Diapo 21#Diapo 21#Diapo 21#Diapo 21#Diapo 21#Diapo 21#Diapo 21#Diapo 21#Diapo 21#Diapo 21#Diapo 21#Diapo 21#Diapo 21"&amp;"#Diapo 2#Diapo%2021%23Diapo%2021%23Diapo%2021%23Diapo%2021%23Diapo%2021%23Diapo%2021%23Diapo%2021%23Diapo%2021%23Diapo%2021%23Diapo%2021%23Diapo%2021%23Diapo%2021%23Diapo%2021%23Diapo%2021%23Diapo%2021%23Diapo%2021%23Diapo%2021%23Diapo%2021%23Diapo%2021%2"&amp;"3Diapo%20","2014")</f>
        <v>2014</v>
      </c>
      <c r="R21" s="3" t="str">
        <f t="shared" si="1"/>
        <v>No</v>
      </c>
      <c r="S21" s="3" t="str">
        <f t="shared" si="2"/>
        <v>No</v>
      </c>
      <c r="T21" s="3"/>
      <c r="U21" s="3"/>
      <c r="V21" s="3"/>
      <c r="W21" s="3"/>
      <c r="X21" s="3"/>
      <c r="Y21" s="3"/>
      <c r="Z21" s="3"/>
    </row>
    <row r="22" ht="12.75" customHeight="1">
      <c r="A22" s="3" t="s">
        <v>92</v>
      </c>
      <c r="B22" s="3" t="s">
        <v>93</v>
      </c>
      <c r="C22" s="3"/>
      <c r="D22" s="17" t="str">
        <f>HYPERLINK("http://www.dca.gov.bm/","www.dca.gov.bm")</f>
        <v>www.dca.gov.bm</v>
      </c>
      <c r="E22" s="19"/>
      <c r="F22" s="3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 t="str">
        <f t="shared" si="1"/>
        <v>No</v>
      </c>
      <c r="S22" s="3" t="str">
        <f t="shared" si="2"/>
        <v>No</v>
      </c>
      <c r="T22" s="3"/>
      <c r="U22" s="3"/>
      <c r="V22" s="3"/>
      <c r="W22" s="3"/>
      <c r="X22" s="3"/>
      <c r="Y22" s="3"/>
      <c r="Z22" s="3"/>
    </row>
    <row r="23" ht="12.75" customHeight="1">
      <c r="A23" s="3" t="s">
        <v>94</v>
      </c>
      <c r="B23" s="3" t="s">
        <v>95</v>
      </c>
      <c r="C23" s="3"/>
      <c r="D23" s="17" t="str">
        <f>HYPERLINK("http://www.bcaa.gov.bt/","www.bcaa.gov.bt")</f>
        <v>www.bcaa.gov.bt</v>
      </c>
      <c r="E23" s="19"/>
      <c r="F23" s="3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 t="str">
        <f t="shared" si="1"/>
        <v>No</v>
      </c>
      <c r="S23" s="3" t="str">
        <f t="shared" si="2"/>
        <v>No</v>
      </c>
      <c r="T23" s="3"/>
      <c r="U23" s="3"/>
      <c r="V23" s="3"/>
      <c r="W23" s="3"/>
      <c r="X23" s="3"/>
      <c r="Y23" s="3"/>
      <c r="Z23" s="3"/>
    </row>
    <row r="24" ht="12.75" customHeight="1">
      <c r="A24" s="3" t="s">
        <v>96</v>
      </c>
      <c r="B24" s="3" t="s">
        <v>97</v>
      </c>
      <c r="C24" s="3" t="s">
        <v>98</v>
      </c>
      <c r="D24" s="17" t="str">
        <f>HYPERLINK("http://www.dgac.gob.bo/","www.dgac.gob.bo")</f>
        <v>www.dgac.gob.bo</v>
      </c>
      <c r="E24" s="19"/>
      <c r="F24" s="3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 t="str">
        <f t="shared" si="1"/>
        <v>No</v>
      </c>
      <c r="S24" s="3" t="str">
        <f t="shared" si="2"/>
        <v>No</v>
      </c>
      <c r="T24" s="3"/>
      <c r="U24" s="3"/>
      <c r="V24" s="3"/>
      <c r="W24" s="3"/>
      <c r="X24" s="3"/>
      <c r="Y24" s="3"/>
      <c r="Z24" s="3"/>
    </row>
    <row r="25" ht="12.75" customHeight="1">
      <c r="A25" s="3" t="s">
        <v>99</v>
      </c>
      <c r="B25" s="3" t="s">
        <v>100</v>
      </c>
      <c r="C25" s="3" t="s">
        <v>101</v>
      </c>
      <c r="D25" s="17" t="str">
        <f>HYPERLINK("http://www.bhdca.gov.ba/eng/","www.bhdca.gov.ba")</f>
        <v>www.bhdca.gov.ba</v>
      </c>
      <c r="E25" s="17" t="str">
        <f>HYPERLINK("http://www.bhdca.gov.ba/index.php/en/68-english/general-information/1107-the-data-traffic-at-bh-airports-for-september-2016","http://www.bhdca.gov.ba/index.php/en/68-english/general-information/1107-the-data-traffic-at-bh-airports-for-september-2016")</f>
        <v>http://www.bhdca.gov.ba/index.php/en/68-english/general-information/1107-the-data-traffic-at-bh-airports-for-september-2016</v>
      </c>
      <c r="F25" s="3" t="s">
        <v>29</v>
      </c>
      <c r="G25" s="3" t="s">
        <v>30</v>
      </c>
      <c r="H25" s="3"/>
      <c r="I25" s="21" t="s">
        <v>45</v>
      </c>
      <c r="J25" s="3" t="s">
        <v>58</v>
      </c>
      <c r="K25" s="3" t="s">
        <v>22</v>
      </c>
      <c r="L25" s="3" t="s">
        <v>22</v>
      </c>
      <c r="M25" s="3" t="s">
        <v>31</v>
      </c>
      <c r="N25" s="3" t="s">
        <v>29</v>
      </c>
      <c r="O25" s="3" t="s">
        <v>47</v>
      </c>
      <c r="P25" s="3" t="s">
        <v>60</v>
      </c>
      <c r="Q25" s="19" t="str">
        <f>HYPERLINK("file:///Sample files/BosniaHerzegovina-2016_eng.pdf","september 2016")</f>
        <v>september 2016</v>
      </c>
      <c r="R25" s="3" t="str">
        <f t="shared" si="1"/>
        <v>No</v>
      </c>
      <c r="S25" s="3" t="str">
        <f t="shared" si="2"/>
        <v>No</v>
      </c>
      <c r="T25" s="3"/>
      <c r="U25" s="3"/>
      <c r="V25" s="3"/>
      <c r="W25" s="3"/>
      <c r="X25" s="3"/>
      <c r="Y25" s="3"/>
      <c r="Z25" s="3"/>
    </row>
    <row r="26" ht="12.75" customHeight="1">
      <c r="A26" s="3" t="s">
        <v>102</v>
      </c>
      <c r="B26" s="3" t="s">
        <v>103</v>
      </c>
      <c r="C26" s="3" t="s">
        <v>104</v>
      </c>
      <c r="D26" s="17" t="str">
        <f>HYPERLINK("http://www.dca.gov.bw/","www.dca.gov.bw")</f>
        <v>www.dca.gov.bw</v>
      </c>
      <c r="E26" s="17" t="str">
        <f>HYPERLINK("http://www.caab.co.bw/caab-content.php?cid=268","http://www.caab.co.bw/caab-content.php?cid=268")</f>
        <v>http://www.caab.co.bw/caab-content.php?cid=268</v>
      </c>
      <c r="F26" s="3" t="s">
        <v>29</v>
      </c>
      <c r="G26" s="3" t="s">
        <v>30</v>
      </c>
      <c r="H26" s="3">
        <v>2013.0</v>
      </c>
      <c r="I26" s="3">
        <v>2013.0</v>
      </c>
      <c r="J26" s="3" t="s">
        <v>22</v>
      </c>
      <c r="K26" s="3" t="s">
        <v>22</v>
      </c>
      <c r="L26" s="3" t="s">
        <v>22</v>
      </c>
      <c r="M26" s="3" t="s">
        <v>31</v>
      </c>
      <c r="N26" s="3" t="s">
        <v>29</v>
      </c>
      <c r="O26" s="3" t="s">
        <v>32</v>
      </c>
      <c r="P26" s="3" t="s">
        <v>33</v>
      </c>
      <c r="Q26" s="19" t="str">
        <f>HYPERLINK("file:///Sample files/Botswana.pdf#Diapo 11#Diapo 11#Diapo 11#Diapo 11#Diapo 11#Diapo 11#Diapo 11#Diapo 11#Diapo 11#Diapo 11#Diapo 11#Diapo 11#Diapo 11#Diapo 11#Diapo 11#Diapo 11#Diapo 11#Diapo 11#Diapo 11#Diapo 11#Diapo 11#Diapo 11#Diapo 11#Diapo 11#Diapo"&amp;" 11#Diap#Diapo%2011%23Diapo%2011%23Diapo%2011%23Diapo%2011%23Diapo%2011%23Diapo%2011%23Diapo%2011%23Diapo%2011%23Diapo%2011%23Diapo%2011%23Diapo%2011%23Diapo%2011%23Diapo%2011%23Diapo%2011%23Diapo%2011%23Diapo%2011%23Diapo%2011%23Diapo%2011%23Diapo%2011%2"&amp;"3Diapo%20","2013")</f>
        <v>2013</v>
      </c>
      <c r="R26" s="3" t="str">
        <f t="shared" si="1"/>
        <v>No</v>
      </c>
      <c r="S26" s="3" t="str">
        <f t="shared" si="2"/>
        <v>No</v>
      </c>
      <c r="T26" s="3"/>
      <c r="U26" s="3"/>
      <c r="V26" s="3"/>
      <c r="W26" s="3"/>
      <c r="X26" s="3"/>
      <c r="Y26" s="3"/>
      <c r="Z26" s="3"/>
    </row>
    <row r="27" ht="12.75" customHeight="1">
      <c r="A27" s="3" t="s">
        <v>105</v>
      </c>
      <c r="B27" s="3" t="s">
        <v>106</v>
      </c>
      <c r="C27" s="3" t="s">
        <v>107</v>
      </c>
      <c r="D27" s="17" t="str">
        <f>HYPERLINK("http://www.anac.gov.br/","www.anac.gov.br")</f>
        <v>www.anac.gov.br</v>
      </c>
      <c r="E27" s="17" t="str">
        <f>HYPERLINK("http://www.anac.gov.br/assuntos/dados-e-estatisticas/dados-estatisticos/dados-estatisticos","http://www.anac.gov.br/assuntos/dados-e-estatisticas/dados-estatisticos/dados-estatisticos")</f>
        <v>http://www.anac.gov.br/assuntos/dados-e-estatisticas/dados-estatisticos/dados-estatisticos</v>
      </c>
      <c r="F27" s="3" t="s">
        <v>29</v>
      </c>
      <c r="G27" s="3" t="s">
        <v>108</v>
      </c>
      <c r="H27" s="3">
        <v>2000.0</v>
      </c>
      <c r="I27" s="21" t="s">
        <v>45</v>
      </c>
      <c r="J27" s="3" t="s">
        <v>109</v>
      </c>
      <c r="K27" s="3" t="s">
        <v>109</v>
      </c>
      <c r="L27" s="3" t="s">
        <v>109</v>
      </c>
      <c r="M27" s="3" t="s">
        <v>59</v>
      </c>
      <c r="N27" s="3" t="s">
        <v>29</v>
      </c>
      <c r="O27" s="3" t="s">
        <v>47</v>
      </c>
      <c r="P27" s="3" t="s">
        <v>110</v>
      </c>
      <c r="Q27" s="19" t="str">
        <f>HYPERLINK("file:///Sample files/Consulta62016.xlsb","2016 up to november")</f>
        <v>2016 up to november</v>
      </c>
      <c r="R27" s="3" t="str">
        <f t="shared" si="1"/>
        <v>Yes</v>
      </c>
      <c r="S27" s="3" t="str">
        <f t="shared" si="2"/>
        <v>Yes</v>
      </c>
      <c r="T27" s="3"/>
      <c r="U27" s="3"/>
      <c r="V27" s="3"/>
      <c r="W27" s="3"/>
      <c r="X27" s="3"/>
      <c r="Y27" s="3"/>
      <c r="Z27" s="3"/>
    </row>
    <row r="28" ht="12.75" customHeight="1">
      <c r="A28" s="3" t="s">
        <v>111</v>
      </c>
      <c r="B28" s="3" t="s">
        <v>112</v>
      </c>
      <c r="C28" s="3" t="s">
        <v>113</v>
      </c>
      <c r="D28" s="17" t="str">
        <f>HYPERLINK("http://www.mincom.gov.bn/dca","http://www.mincom.gov.bn/dca")</f>
        <v>http://www.mincom.gov.bn/dca</v>
      </c>
      <c r="E28" s="19"/>
      <c r="F28" s="3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 t="str">
        <f t="shared" si="1"/>
        <v>No</v>
      </c>
      <c r="S28" s="3" t="str">
        <f t="shared" si="2"/>
        <v>No</v>
      </c>
      <c r="T28" s="3"/>
      <c r="U28" s="3"/>
      <c r="V28" s="3"/>
      <c r="W28" s="3"/>
      <c r="X28" s="3"/>
      <c r="Y28" s="3"/>
      <c r="Z28" s="3"/>
    </row>
    <row r="29" ht="12.75" customHeight="1">
      <c r="A29" s="3" t="s">
        <v>114</v>
      </c>
      <c r="B29" s="3" t="s">
        <v>115</v>
      </c>
      <c r="C29" s="3" t="s">
        <v>116</v>
      </c>
      <c r="D29" s="17" t="str">
        <f>HYPERLINK("http://www.caa.bg/","www.caa.bg")</f>
        <v>www.caa.bg</v>
      </c>
      <c r="E29" s="17" t="str">
        <f>HYPERLINK("http://www.caa.bg/page.php?category=27","http://www.caa.bg/page.php?category=27")</f>
        <v>http://www.caa.bg/page.php?category=27</v>
      </c>
      <c r="F29" s="3" t="s">
        <v>29</v>
      </c>
      <c r="G29" s="3" t="s">
        <v>44</v>
      </c>
      <c r="H29" s="3">
        <v>2001.0</v>
      </c>
      <c r="I29" s="3">
        <v>2015.0</v>
      </c>
      <c r="J29" s="3" t="s">
        <v>58</v>
      </c>
      <c r="K29" s="3" t="s">
        <v>22</v>
      </c>
      <c r="L29" s="3" t="s">
        <v>22</v>
      </c>
      <c r="M29" s="3" t="s">
        <v>31</v>
      </c>
      <c r="N29" s="3" t="s">
        <v>29</v>
      </c>
      <c r="O29" s="3" t="s">
        <v>32</v>
      </c>
      <c r="P29" s="3" t="s">
        <v>53</v>
      </c>
      <c r="Q29" s="19" t="str">
        <f>HYPERLINK("file:///Sample files/Sofia-I-2015.xls#Dec#Dec#Dec#Dec#Dec#Dec#Dec#Dec#Dec#Dec#Dec#Dec#Dec#Dec#Dec#Dec#Dec#Dec#Dec#Dec#Dec#Dec#Dec#Dec#Dec#Dec#Dec#Dec#Dec#Dec#Dec#Dec#Dec#Dec#Dec#Dec#Dec#Dec#Dec#Dec#Dec#Dec#Dec#Dec#Dec#Dec#Dec#Dec#Dec#Dec#Dec#Dec#Dec#Dec#D"&amp;"ec#Dec#D#Dec%23Dec%23Dec%23Dec%23Dec%23Dec%23Dec%23Dec%23Dec%23Dec%23Dec%23Dec%23Dec%23Dec%23Dec%23Dec%23Dec%23Dec%23Dec%23Dec%23Dec%23Dec%23Dec%23Dec%23Dec%23Dec%23Dec%23Dec%23Dec%23Dec%23Dec%23Dec%23Dec%23Dec%23Dec%23Dec%23Dec%23Dec%23Dec%23Dec%23Dec%23"&amp;"Dec%23Dec","2015 Sophia")</f>
        <v>2015 Sophia</v>
      </c>
      <c r="R29" s="3" t="str">
        <f t="shared" si="1"/>
        <v>No</v>
      </c>
      <c r="S29" s="3" t="str">
        <f t="shared" si="2"/>
        <v>No</v>
      </c>
      <c r="T29" s="3"/>
      <c r="U29" s="3"/>
      <c r="V29" s="3"/>
      <c r="W29" s="3"/>
      <c r="X29" s="3"/>
      <c r="Y29" s="3"/>
      <c r="Z29" s="3"/>
    </row>
    <row r="30" ht="12.75" customHeight="1">
      <c r="A30" s="3" t="s">
        <v>117</v>
      </c>
      <c r="B30" s="3" t="s">
        <v>89</v>
      </c>
      <c r="C30" s="3" t="s">
        <v>118</v>
      </c>
      <c r="D30" s="17" t="str">
        <f>HYPERLINK("http://www.anacburkina.org/","http://www.anacburkina.org/")</f>
        <v>http://www.anacburkina.org/</v>
      </c>
      <c r="E30" s="19"/>
      <c r="F30" s="3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19"/>
      <c r="R30" s="3" t="str">
        <f t="shared" si="1"/>
        <v>No</v>
      </c>
      <c r="S30" s="3" t="str">
        <f t="shared" si="2"/>
        <v>No</v>
      </c>
      <c r="T30" s="3"/>
      <c r="U30" s="3"/>
      <c r="V30" s="3"/>
      <c r="W30" s="3"/>
      <c r="X30" s="3"/>
      <c r="Y30" s="3"/>
      <c r="Z30" s="3"/>
    </row>
    <row r="31" ht="12.75" customHeight="1">
      <c r="A31" s="3" t="s">
        <v>119</v>
      </c>
      <c r="B31" s="3" t="s">
        <v>120</v>
      </c>
      <c r="C31" s="3" t="s">
        <v>121</v>
      </c>
      <c r="D31" s="17" t="str">
        <f>HYPERLINK("http://www.aacb.bi/","http://www.aacb.bi/")</f>
        <v>http://www.aacb.bi/</v>
      </c>
      <c r="E31" s="19"/>
      <c r="F31" s="3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19"/>
      <c r="R31" s="3" t="str">
        <f t="shared" si="1"/>
        <v>No</v>
      </c>
      <c r="S31" s="3" t="str">
        <f t="shared" si="2"/>
        <v>No</v>
      </c>
      <c r="T31" s="3"/>
      <c r="U31" s="3"/>
      <c r="V31" s="3"/>
      <c r="W31" s="3"/>
      <c r="X31" s="3"/>
      <c r="Y31" s="3"/>
      <c r="Z31" s="3"/>
    </row>
    <row r="32" ht="12.75" customHeight="1">
      <c r="A32" s="3" t="s">
        <v>122</v>
      </c>
      <c r="B32" s="3" t="s">
        <v>123</v>
      </c>
      <c r="C32" s="22" t="s">
        <v>124</v>
      </c>
      <c r="D32" s="17" t="str">
        <f>HYPERLINK("http://www.civilaviation.gov.kh/","www.civilaviation.gov.kh")</f>
        <v>www.civilaviation.gov.kh</v>
      </c>
      <c r="E32" s="19"/>
      <c r="F32" s="3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 t="str">
        <f t="shared" si="1"/>
        <v>No</v>
      </c>
      <c r="S32" s="3" t="str">
        <f t="shared" si="2"/>
        <v>No</v>
      </c>
      <c r="T32" s="3"/>
      <c r="U32" s="3"/>
      <c r="V32" s="3"/>
      <c r="W32" s="3"/>
      <c r="X32" s="3"/>
      <c r="Y32" s="3"/>
      <c r="Z32" s="3"/>
    </row>
    <row r="33" ht="12.75" customHeight="1">
      <c r="A33" s="3" t="s">
        <v>125</v>
      </c>
      <c r="B33" s="3" t="s">
        <v>126</v>
      </c>
      <c r="C33" s="3"/>
      <c r="D33" s="17" t="str">
        <f>HYPERLINK("http://www.ccaa.aero/","www.ccaa.aero")</f>
        <v>www.ccaa.aero</v>
      </c>
      <c r="E33" s="17" t="str">
        <f>HYPERLINK("http://www.ccaa.aero/index.php/fr/organisation-2/34-bulletin-statistique-de-la-ccaa-n-3","http://www.ccaa.aero/index.php/fr/organisation-2/34-bulletin-statistique-de-la-ccaa-n-3")</f>
        <v>http://www.ccaa.aero/index.php/fr/organisation-2/34-bulletin-statistique-de-la-ccaa-n-3</v>
      </c>
      <c r="F33" s="3" t="s">
        <v>29</v>
      </c>
      <c r="G33" s="3" t="s">
        <v>30</v>
      </c>
      <c r="H33" s="3">
        <v>2011.0</v>
      </c>
      <c r="I33" s="3">
        <v>2014.0</v>
      </c>
      <c r="J33" s="3" t="s">
        <v>58</v>
      </c>
      <c r="K33" s="3" t="s">
        <v>22</v>
      </c>
      <c r="L33" s="3" t="s">
        <v>22</v>
      </c>
      <c r="M33" s="3" t="s">
        <v>31</v>
      </c>
      <c r="N33" s="3" t="s">
        <v>22</v>
      </c>
      <c r="O33" s="3" t="s">
        <v>32</v>
      </c>
      <c r="P33" s="3" t="s">
        <v>33</v>
      </c>
      <c r="Q33" s="19" t="str">
        <f>HYPERLINK("file:///Sample files/Cameroon.pdf#Diapo 4#Diapo 4#Diapo 4#Diapo 4#Diapo 4#Diapo 4#Diapo 4#Diapo 4#Diapo 4#Diapo 4#Diapo 4#Diapo 4#Diapo 4#Diapo 4#Diapo 4#Diapo 4#Diapo 4#Diapo 4#Diapo 4#Diapo 4#Diapo 4#Diapo 4#Diapo 4#Diapo 4#Diapo 4#Diapo 4#Diapo 4#Diapo"&amp;" 4#Diapo#Diapo%204%23Diapo%204%23Diapo%204%23Diapo%204%23Diapo%204%23Diapo%204%23Diapo%204%23Diapo%204%23Diapo%204%23Diapo%204%23Diapo%204%23Diapo%204%23Diapo%204%23Diapo%204%23Diapo%204%23Diapo%204%23Diapo%204%23Diapo%204%23Diapo%204%23Diapo%204%23Diapo%"&amp;"204%23Dia","2013")</f>
        <v>2013</v>
      </c>
      <c r="R33" s="3" t="str">
        <f t="shared" si="1"/>
        <v>No</v>
      </c>
      <c r="S33" s="3" t="str">
        <f t="shared" si="2"/>
        <v>No</v>
      </c>
      <c r="T33" s="3"/>
      <c r="U33" s="3"/>
      <c r="V33" s="3"/>
      <c r="W33" s="3"/>
      <c r="X33" s="3"/>
      <c r="Y33" s="3"/>
      <c r="Z33" s="3"/>
    </row>
    <row r="34" ht="68.25" customHeight="1">
      <c r="A34" s="3" t="s">
        <v>127</v>
      </c>
      <c r="B34" s="3" t="s">
        <v>128</v>
      </c>
      <c r="C34" s="3" t="s">
        <v>129</v>
      </c>
      <c r="D34" s="24" t="s">
        <v>130</v>
      </c>
      <c r="E34" s="25" t="str">
        <f>HYPERLINK("http://open.canada.ca/data/en/dataset/41761513-640e-4f2b-82b4-620f2459c176","http://open.canada.ca/data/en/dataset/41761513-640e-4f2b-82b4-620f2459c176")</f>
        <v>http://open.canada.ca/data/en/dataset/41761513-640e-4f2b-82b4-620f2459c176</v>
      </c>
      <c r="F34" s="3" t="s">
        <v>29</v>
      </c>
      <c r="G34" s="3" t="s">
        <v>131</v>
      </c>
      <c r="H34" s="3">
        <v>2010.0</v>
      </c>
      <c r="I34" s="3">
        <v>2015.0</v>
      </c>
      <c r="J34" s="3" t="s">
        <v>58</v>
      </c>
      <c r="K34" s="3" t="s">
        <v>22</v>
      </c>
      <c r="L34" s="3" t="s">
        <v>22</v>
      </c>
      <c r="M34" s="3" t="s">
        <v>31</v>
      </c>
      <c r="N34" s="3" t="s">
        <v>22</v>
      </c>
      <c r="O34" s="3" t="s">
        <v>32</v>
      </c>
      <c r="P34" s="3" t="s">
        <v>132</v>
      </c>
      <c r="Q34" s="19" t="str">
        <f>HYPERLINK("file:///Sample files/Canada.csv","2010-2015")</f>
        <v>2010-2015</v>
      </c>
      <c r="R34" s="3" t="str">
        <f t="shared" si="1"/>
        <v>No</v>
      </c>
      <c r="S34" s="3" t="str">
        <f t="shared" si="2"/>
        <v>No</v>
      </c>
      <c r="T34" s="3"/>
      <c r="U34" s="3"/>
      <c r="V34" s="3"/>
      <c r="W34" s="3"/>
      <c r="X34" s="3"/>
      <c r="Y34" s="3"/>
      <c r="Z34" s="3"/>
    </row>
    <row r="35" ht="12.75" customHeight="1">
      <c r="A35" s="3" t="s">
        <v>133</v>
      </c>
      <c r="B35" s="3" t="s">
        <v>134</v>
      </c>
      <c r="C35" s="3" t="s">
        <v>135</v>
      </c>
      <c r="D35" s="25" t="str">
        <f>HYPERLINK("http://www.aac.cv/","www.aac.cv")</f>
        <v>www.aac.cv</v>
      </c>
      <c r="E35" s="24"/>
      <c r="F35" s="3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19"/>
      <c r="R35" s="3" t="str">
        <f t="shared" si="1"/>
        <v>No</v>
      </c>
      <c r="S35" s="3" t="str">
        <f t="shared" si="2"/>
        <v>No</v>
      </c>
      <c r="T35" s="3"/>
      <c r="U35" s="3"/>
      <c r="V35" s="3"/>
      <c r="W35" s="3"/>
      <c r="X35" s="3"/>
      <c r="Y35" s="3"/>
      <c r="Z35" s="3"/>
    </row>
    <row r="36" ht="12.75" customHeight="1">
      <c r="A36" s="3" t="s">
        <v>136</v>
      </c>
      <c r="B36" s="3" t="s">
        <v>137</v>
      </c>
      <c r="C36" s="3"/>
      <c r="D36" s="17" t="str">
        <f>HYPERLINK("http://www.caacayman.com/","www.caacayman.com")</f>
        <v>www.caacayman.com</v>
      </c>
      <c r="E36" s="19"/>
      <c r="F36" s="3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 t="str">
        <f t="shared" si="1"/>
        <v>No</v>
      </c>
      <c r="S36" s="3" t="str">
        <f t="shared" si="2"/>
        <v>No</v>
      </c>
      <c r="T36" s="3"/>
      <c r="U36" s="3"/>
      <c r="V36" s="3"/>
      <c r="W36" s="3"/>
      <c r="X36" s="3"/>
      <c r="Y36" s="3"/>
      <c r="Z36" s="3"/>
    </row>
    <row r="37" ht="12.75" customHeight="1">
      <c r="A37" s="3" t="s">
        <v>138</v>
      </c>
      <c r="B37" s="3" t="s">
        <v>139</v>
      </c>
      <c r="C37" s="3" t="s">
        <v>140</v>
      </c>
      <c r="D37" s="17" t="str">
        <f>HYPERLINK("http://www.aacrdc.org/","www.aacrdc.org")</f>
        <v>www.aacrdc.org</v>
      </c>
      <c r="E37" s="19"/>
      <c r="F37" s="3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 t="str">
        <f t="shared" si="1"/>
        <v>No</v>
      </c>
      <c r="S37" s="3" t="str">
        <f t="shared" si="2"/>
        <v>No</v>
      </c>
      <c r="T37" s="3"/>
      <c r="U37" s="3"/>
      <c r="V37" s="3"/>
      <c r="W37" s="3"/>
      <c r="X37" s="3"/>
      <c r="Y37" s="3"/>
      <c r="Z37" s="3"/>
    </row>
    <row r="38" ht="12.75" customHeight="1">
      <c r="A38" s="3" t="s">
        <v>141</v>
      </c>
      <c r="B38" s="3" t="s">
        <v>139</v>
      </c>
      <c r="C38" s="3" t="s">
        <v>142</v>
      </c>
      <c r="D38" s="17" t="str">
        <f>HYPERLINK("http://www.adac-tchad.org/","www.adac-tchad.org")</f>
        <v>www.adac-tchad.org</v>
      </c>
      <c r="E38" s="17" t="str">
        <f>HYPERLINK("http://adac-tchad.org/statistique-des-aeroports","http://adac-tchad.org/statistique-des-aeroports")</f>
        <v>http://adac-tchad.org/statistique-des-aeroports</v>
      </c>
      <c r="F38" s="3" t="s">
        <v>29</v>
      </c>
      <c r="G38" s="3" t="s">
        <v>30</v>
      </c>
      <c r="H38" s="3">
        <v>2010.0</v>
      </c>
      <c r="I38" s="3">
        <v>2013.0</v>
      </c>
      <c r="J38" s="3" t="s">
        <v>46</v>
      </c>
      <c r="K38" s="3" t="s">
        <v>22</v>
      </c>
      <c r="L38" s="3" t="s">
        <v>22</v>
      </c>
      <c r="M38" s="3" t="s">
        <v>31</v>
      </c>
      <c r="N38" s="3" t="s">
        <v>29</v>
      </c>
      <c r="O38" s="3" t="s">
        <v>32</v>
      </c>
      <c r="P38" s="3" t="s">
        <v>33</v>
      </c>
      <c r="Q38" s="19" t="str">
        <f>HYPERLINK("file:///Sample files/Chad.pdf","2013")</f>
        <v>2013</v>
      </c>
      <c r="R38" s="3" t="str">
        <f t="shared" si="1"/>
        <v>No</v>
      </c>
      <c r="S38" s="3" t="str">
        <f t="shared" si="2"/>
        <v>No</v>
      </c>
      <c r="T38" s="3"/>
      <c r="U38" s="3"/>
      <c r="V38" s="3"/>
      <c r="W38" s="3"/>
      <c r="X38" s="3"/>
      <c r="Y38" s="3"/>
      <c r="Z38" s="3"/>
    </row>
    <row r="39" ht="12.75" customHeight="1">
      <c r="A39" s="3" t="s">
        <v>143</v>
      </c>
      <c r="B39" s="3" t="s">
        <v>144</v>
      </c>
      <c r="C39" s="3" t="s">
        <v>98</v>
      </c>
      <c r="D39" s="17" t="str">
        <f>HYPERLINK("http://www.dgac.gob.cl/","www.dgac.gob.cl")</f>
        <v>www.dgac.gob.cl</v>
      </c>
      <c r="E39" s="17" t="str">
        <f>HYPERLINK("http://www.jac.gob.cl/estadisticas-ano-2016/","http://www.jac.gob.cl/estadisticas-ano-2016/")</f>
        <v>http://www.jac.gob.cl/estadisticas-ano-2016/</v>
      </c>
      <c r="F39" s="3" t="s">
        <v>29</v>
      </c>
      <c r="G39" s="3" t="s">
        <v>85</v>
      </c>
      <c r="H39" s="3">
        <v>2010.0</v>
      </c>
      <c r="I39" s="21" t="s">
        <v>45</v>
      </c>
      <c r="J39" s="3" t="s">
        <v>58</v>
      </c>
      <c r="K39" s="3" t="s">
        <v>58</v>
      </c>
      <c r="L39" s="3" t="s">
        <v>91</v>
      </c>
      <c r="M39" s="3" t="s">
        <v>59</v>
      </c>
      <c r="N39" s="3" t="s">
        <v>29</v>
      </c>
      <c r="O39" s="3" t="s">
        <v>47</v>
      </c>
      <c r="P39" s="3" t="s">
        <v>110</v>
      </c>
      <c r="Q39" s="19" t="str">
        <f>HYPERLINK("file:///Sample files/ResumenMensualEstadisticasNoviembre2016.xls#INT3#INT3#INT3#INT3#INT3#INT3#INT3#INT3#INT3#INT3#INT3#INT3#INT3#INT3#INT3#INT3#INT3#INT3#INT3#INT3#INT3#INT3#INT3#INT3#INT3#INT3#INT3#INT3#INT3#INT3#INT3#INT3#INT3#INT3#INT3#INT3#INT3#INT3#"&amp;"INT3#INT#INT3%23INT3%23INT3%23INT3%23INT3%23INT3%23INT3%23INT3%23INT3%23INT3%23INT3%23INT3%23INT3%23INT3%23INT3%23INT3%23INT3%23INT3%23INT3%23INT3%23INT3%23INT3%23INT3%23INT3%23INT3%23INT3%23INT3%23INT3%23INT3%23INT3%23INT3%23INT3%23INT3%23INT3%23INT3%23I"&amp;"NT3%23INT","november 2016")</f>
        <v>november 2016</v>
      </c>
      <c r="R39" s="3" t="str">
        <f t="shared" si="1"/>
        <v>Yes</v>
      </c>
      <c r="S39" s="3" t="str">
        <f t="shared" si="2"/>
        <v>Yes</v>
      </c>
      <c r="T39" s="3"/>
      <c r="U39" s="3"/>
      <c r="V39" s="3"/>
      <c r="W39" s="3"/>
      <c r="X39" s="3"/>
      <c r="Y39" s="3"/>
      <c r="Z39" s="3"/>
    </row>
    <row r="40" ht="12.75" customHeight="1">
      <c r="A40" s="3" t="s">
        <v>145</v>
      </c>
      <c r="B40" s="3" t="s">
        <v>146</v>
      </c>
      <c r="C40" s="26" t="s">
        <v>147</v>
      </c>
      <c r="D40" s="17" t="str">
        <f>HYPERLINK("http://www.caac.gov.cn/","www.caac.gov.cn")</f>
        <v>www.caac.gov.cn</v>
      </c>
      <c r="E40" s="17" t="str">
        <f>HYPERLINK("http://www.caac.gov.cn/en/HYYJ/SJ/","http://www.caac.gov.cn/en/HYYJ/SJ/")</f>
        <v>http://www.caac.gov.cn/en/HYYJ/SJ/</v>
      </c>
      <c r="F40" s="3" t="s">
        <v>29</v>
      </c>
      <c r="G40" s="3" t="s">
        <v>30</v>
      </c>
      <c r="H40" s="3">
        <v>2014.0</v>
      </c>
      <c r="I40" s="21" t="s">
        <v>45</v>
      </c>
      <c r="J40" s="3" t="s">
        <v>22</v>
      </c>
      <c r="K40" s="3" t="s">
        <v>22</v>
      </c>
      <c r="L40" s="3" t="s">
        <v>22</v>
      </c>
      <c r="M40" s="3" t="s">
        <v>31</v>
      </c>
      <c r="N40" s="3" t="s">
        <v>29</v>
      </c>
      <c r="O40" s="3" t="s">
        <v>47</v>
      </c>
      <c r="P40" s="3" t="s">
        <v>48</v>
      </c>
      <c r="Q40" s="19" t="str">
        <f>HYPERLINK("file:///Sample files/China.pdf","october 2016")</f>
        <v>october 2016</v>
      </c>
      <c r="R40" s="3" t="str">
        <f t="shared" si="1"/>
        <v>No</v>
      </c>
      <c r="S40" s="3" t="str">
        <f t="shared" si="2"/>
        <v>No</v>
      </c>
      <c r="T40" s="3"/>
      <c r="U40" s="3"/>
      <c r="V40" s="3"/>
      <c r="W40" s="3"/>
      <c r="X40" s="3"/>
      <c r="Y40" s="3"/>
      <c r="Z40" s="3"/>
    </row>
    <row r="41" ht="12.75" customHeight="1">
      <c r="A41" s="3" t="s">
        <v>148</v>
      </c>
      <c r="B41" s="3" t="s">
        <v>149</v>
      </c>
      <c r="C41" s="3" t="s">
        <v>150</v>
      </c>
      <c r="D41" s="17" t="str">
        <f>HYPERLINK("http://www.aerocivil.gov.co/","www.aerocivil.gov.co")</f>
        <v>www.aerocivil.gov.co</v>
      </c>
      <c r="E41" s="17" t="str">
        <f>HYPERLINK("http://www.aerocivil.gov.co/atencion/estadisticas-de-las-actividades-aeronauticas/Paginas/transporte-aereo.aspx","http://www.aerocivil.gov.co/atencion/estadisticas-de-las-actividades-aeronauticas/Paginas/transporte-aereo.aspx")</f>
        <v>http://www.aerocivil.gov.co/atencion/estadisticas-de-las-actividades-aeronauticas/Paginas/transporte-aereo.aspx</v>
      </c>
      <c r="F41" s="3" t="s">
        <v>29</v>
      </c>
      <c r="G41" s="3" t="s">
        <v>85</v>
      </c>
      <c r="H41" s="3">
        <v>1992.0</v>
      </c>
      <c r="I41" s="21" t="s">
        <v>45</v>
      </c>
      <c r="J41" s="3" t="s">
        <v>151</v>
      </c>
      <c r="K41" s="3" t="s">
        <v>151</v>
      </c>
      <c r="L41" s="3" t="s">
        <v>109</v>
      </c>
      <c r="M41" s="3" t="s">
        <v>59</v>
      </c>
      <c r="N41" s="3" t="s">
        <v>29</v>
      </c>
      <c r="O41" s="3" t="s">
        <v>47</v>
      </c>
      <c r="P41" s="3" t="s">
        <v>110</v>
      </c>
      <c r="Q41" s="19" t="str">
        <f>HYPERLINK("file:///Sample files/Origen-Destino Mes 2015.xlsx","2015")</f>
        <v>2015</v>
      </c>
      <c r="R41" s="3" t="str">
        <f t="shared" si="1"/>
        <v>Yes</v>
      </c>
      <c r="S41" s="3" t="str">
        <f t="shared" si="2"/>
        <v>Yes</v>
      </c>
      <c r="T41" s="3"/>
      <c r="U41" s="3"/>
      <c r="V41" s="3"/>
      <c r="W41" s="3"/>
      <c r="X41" s="3"/>
      <c r="Y41" s="3"/>
      <c r="Z41" s="3"/>
    </row>
    <row r="42" ht="12.75" customHeight="1">
      <c r="A42" s="3" t="s">
        <v>152</v>
      </c>
      <c r="B42" s="3" t="s">
        <v>153</v>
      </c>
      <c r="C42" s="3" t="s">
        <v>154</v>
      </c>
      <c r="D42" s="17" t="str">
        <f>HYPERLINK("http://www.anacm-comores.com/","www.anacm-comores.com")</f>
        <v>www.anacm-comores.com</v>
      </c>
      <c r="E42" s="19"/>
      <c r="F42" s="3" t="s">
        <v>22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19"/>
      <c r="R42" s="3" t="str">
        <f t="shared" si="1"/>
        <v>No</v>
      </c>
      <c r="S42" s="3" t="str">
        <f t="shared" si="2"/>
        <v>No</v>
      </c>
      <c r="T42" s="3"/>
      <c r="U42" s="3"/>
      <c r="V42" s="3"/>
      <c r="W42" s="3"/>
      <c r="X42" s="3"/>
      <c r="Y42" s="3"/>
      <c r="Z42" s="3"/>
    </row>
    <row r="43" ht="12.75" customHeight="1">
      <c r="A43" s="3" t="s">
        <v>155</v>
      </c>
      <c r="B43" s="3" t="s">
        <v>89</v>
      </c>
      <c r="C43" s="3" t="s">
        <v>118</v>
      </c>
      <c r="D43" s="17" t="str">
        <f>HYPERLINK("http://www.anaccongo.org/","http://www.anaccongo.org/")</f>
        <v>http://www.anaccongo.org/</v>
      </c>
      <c r="E43" s="19"/>
      <c r="F43" s="3" t="s">
        <v>22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19"/>
      <c r="R43" s="3" t="str">
        <f t="shared" si="1"/>
        <v>No</v>
      </c>
      <c r="S43" s="3" t="str">
        <f t="shared" si="2"/>
        <v>No</v>
      </c>
      <c r="T43" s="3"/>
      <c r="U43" s="3"/>
      <c r="V43" s="3"/>
      <c r="W43" s="3"/>
      <c r="X43" s="3"/>
      <c r="Y43" s="3"/>
      <c r="Z43" s="3"/>
    </row>
    <row r="44" ht="12.75" customHeight="1">
      <c r="A44" s="3" t="s">
        <v>156</v>
      </c>
      <c r="B44" s="3" t="s">
        <v>157</v>
      </c>
      <c r="C44" s="3"/>
      <c r="D44" s="17" t="str">
        <f>HYPERLINK("http://www.paso.aero/","www.paso.aero")</f>
        <v>www.paso.aero</v>
      </c>
      <c r="E44" s="19"/>
      <c r="F44" s="3" t="s">
        <v>22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 t="str">
        <f t="shared" si="1"/>
        <v>No</v>
      </c>
      <c r="S44" s="3" t="str">
        <f t="shared" si="2"/>
        <v>No</v>
      </c>
      <c r="T44" s="3"/>
      <c r="U44" s="3"/>
      <c r="V44" s="3"/>
      <c r="W44" s="3"/>
      <c r="X44" s="3"/>
      <c r="Y44" s="3"/>
      <c r="Z44" s="3"/>
    </row>
    <row r="45" ht="12.75" customHeight="1">
      <c r="A45" s="3" t="s">
        <v>158</v>
      </c>
      <c r="B45" s="3" t="s">
        <v>159</v>
      </c>
      <c r="C45" s="3" t="s">
        <v>160</v>
      </c>
      <c r="D45" s="17" t="str">
        <f>HYPERLINK("http://www.dgac.go.cr/","www.dgac.go.cr")</f>
        <v>www.dgac.go.cr</v>
      </c>
      <c r="E45" s="17" t="str">
        <f>HYPERLINK("http://www.dgac.go.cr/acercadgac/transparencia/plani/estadisticas.html","http://www.dgac.go.cr/acercadgac/transparencia/plani/estadisticas.html")</f>
        <v>http://www.dgac.go.cr/acercadgac/transparencia/plani/estadisticas.html</v>
      </c>
      <c r="F45" s="3" t="s">
        <v>29</v>
      </c>
      <c r="G45" s="3" t="s">
        <v>30</v>
      </c>
      <c r="H45" s="3">
        <v>2011.0</v>
      </c>
      <c r="I45" s="3">
        <v>2015.0</v>
      </c>
      <c r="J45" s="3" t="s">
        <v>22</v>
      </c>
      <c r="K45" s="3" t="s">
        <v>22</v>
      </c>
      <c r="L45" s="3" t="s">
        <v>91</v>
      </c>
      <c r="M45" s="3" t="s">
        <v>31</v>
      </c>
      <c r="N45" s="3" t="s">
        <v>22</v>
      </c>
      <c r="O45" s="3" t="s">
        <v>161</v>
      </c>
      <c r="P45" s="3" t="s">
        <v>162</v>
      </c>
      <c r="Q45" s="19" t="str">
        <f>HYPERLINK("file:///Sample files/CostaRica .pdf#Diapo 22#Diapo 22#Diapo 22#Diapo 22#Diapo 22#Diapo 22#Diapo 22#Diapo 22#Diapo 22#Diapo 22#Diapo 22#Diapo 22#Diapo 22#Diapo 22#Diapo 22#Diapo 22#Diapo 22#Diapo 22#Diapo 22#Diapo 22#Diapo 22#Diapo 22#Diapo 22#Diapo 22#Dia"&amp;"po 22#Di#Diapo%2022%23Diapo%2022%23Diapo%2022%23Diapo%2022%23Diapo%2022%23Diapo%2022%23Diapo%2022%23Diapo%2022%23Diapo%2022%23Diapo%2022%23Diapo%2022%23Diapo%2022%23Diapo%2022%23Diapo%2022%23Diapo%2022%23Diapo%2022%23Diapo%2022%23Diapo%2022%23Diapo%2022%2"&amp;"3Diapo%20","1 semester 2016")</f>
        <v>1 semester 2016</v>
      </c>
      <c r="R45" s="3" t="str">
        <f t="shared" si="1"/>
        <v>No</v>
      </c>
      <c r="S45" s="3" t="str">
        <f t="shared" si="2"/>
        <v>No</v>
      </c>
      <c r="T45" s="3"/>
      <c r="U45" s="3"/>
      <c r="V45" s="3"/>
      <c r="W45" s="3"/>
      <c r="X45" s="3"/>
      <c r="Y45" s="3"/>
      <c r="Z45" s="3"/>
    </row>
    <row r="46" ht="12.75" customHeight="1">
      <c r="A46" s="3" t="s">
        <v>163</v>
      </c>
      <c r="B46" s="3" t="s">
        <v>164</v>
      </c>
      <c r="C46" s="3" t="s">
        <v>165</v>
      </c>
      <c r="D46" s="17" t="str">
        <f>HYPERLINK("http://www.ccaa.hr/","www.ccaa.hr")</f>
        <v>www.ccaa.hr</v>
      </c>
      <c r="E46" s="19"/>
      <c r="F46" s="3" t="s">
        <v>22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 t="str">
        <f t="shared" si="1"/>
        <v>No</v>
      </c>
      <c r="S46" s="3" t="str">
        <f t="shared" si="2"/>
        <v>No</v>
      </c>
      <c r="T46" s="3"/>
      <c r="U46" s="3"/>
      <c r="V46" s="3"/>
      <c r="W46" s="3"/>
      <c r="X46" s="3"/>
      <c r="Y46" s="3"/>
      <c r="Z46" s="3"/>
    </row>
    <row r="47" ht="12.75" customHeight="1">
      <c r="A47" s="3" t="s">
        <v>166</v>
      </c>
      <c r="B47" s="3" t="s">
        <v>167</v>
      </c>
      <c r="C47" s="3" t="s">
        <v>168</v>
      </c>
      <c r="D47" s="17" t="str">
        <f>HYPERLINK("http://www.cubagob.cu/des_eco/iacc/home.htm","www.cubagob.cu")</f>
        <v>www.cubagob.cu</v>
      </c>
      <c r="E47" s="19"/>
      <c r="F47" s="3" t="s">
        <v>22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 t="str">
        <f t="shared" si="1"/>
        <v>No</v>
      </c>
      <c r="S47" s="3" t="str">
        <f t="shared" si="2"/>
        <v>No</v>
      </c>
      <c r="T47" s="3"/>
      <c r="U47" s="3"/>
      <c r="V47" s="3"/>
      <c r="W47" s="3"/>
      <c r="X47" s="3"/>
      <c r="Y47" s="3"/>
      <c r="Z47" s="3"/>
    </row>
    <row r="48" ht="12.75" customHeight="1">
      <c r="A48" s="3" t="s">
        <v>169</v>
      </c>
      <c r="B48" s="3" t="s">
        <v>170</v>
      </c>
      <c r="C48" s="3" t="s">
        <v>171</v>
      </c>
      <c r="D48" s="17" t="str">
        <f>HYPERLINK("http://www.mcw.gov.cy/mcw/dca/dca.nsf/DMLindex_en/DMLindex_en?OpenDocument","www.mcw.gov.cy")</f>
        <v>www.mcw.gov.cy</v>
      </c>
      <c r="E48" s="19"/>
      <c r="F48" s="3" t="s">
        <v>22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 t="str">
        <f t="shared" si="1"/>
        <v>No</v>
      </c>
      <c r="S48" s="3" t="str">
        <f t="shared" si="2"/>
        <v>No</v>
      </c>
      <c r="T48" s="3"/>
      <c r="U48" s="3"/>
      <c r="V48" s="3"/>
      <c r="W48" s="3"/>
      <c r="X48" s="3"/>
      <c r="Y48" s="3"/>
      <c r="Z48" s="3"/>
    </row>
    <row r="49" ht="12.75" customHeight="1">
      <c r="A49" s="3" t="s">
        <v>172</v>
      </c>
      <c r="B49" s="3" t="s">
        <v>173</v>
      </c>
      <c r="C49" s="3" t="s">
        <v>174</v>
      </c>
      <c r="D49" s="17" t="str">
        <f>HYPERLINK("http://www.caa.cz/en/index.php","www.caa.cz")</f>
        <v>www.caa.cz</v>
      </c>
      <c r="E49" s="19"/>
      <c r="F49" s="3" t="s">
        <v>22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 t="str">
        <f t="shared" si="1"/>
        <v>No</v>
      </c>
      <c r="S49" s="3" t="str">
        <f t="shared" si="2"/>
        <v>No</v>
      </c>
      <c r="T49" s="3"/>
      <c r="U49" s="3"/>
      <c r="V49" s="3"/>
      <c r="W49" s="3"/>
      <c r="X49" s="3"/>
      <c r="Y49" s="3"/>
      <c r="Z49" s="3"/>
    </row>
    <row r="50" ht="12.75" customHeight="1">
      <c r="A50" s="3" t="s">
        <v>175</v>
      </c>
      <c r="B50" s="3" t="s">
        <v>176</v>
      </c>
      <c r="C50" s="26" t="s">
        <v>177</v>
      </c>
      <c r="D50" s="3"/>
      <c r="E50" s="3"/>
      <c r="F50" s="3" t="s">
        <v>22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 t="str">
        <f t="shared" si="1"/>
        <v>No</v>
      </c>
      <c r="S50" s="3" t="str">
        <f t="shared" si="2"/>
        <v>No</v>
      </c>
      <c r="T50" s="3"/>
      <c r="U50" s="3"/>
      <c r="V50" s="3"/>
      <c r="W50" s="3"/>
      <c r="X50" s="3"/>
      <c r="Y50" s="3"/>
      <c r="Z50" s="3"/>
    </row>
    <row r="51" ht="12.75" customHeight="1">
      <c r="A51" s="3" t="s">
        <v>178</v>
      </c>
      <c r="B51" s="3" t="s">
        <v>179</v>
      </c>
      <c r="C51" s="3" t="s">
        <v>180</v>
      </c>
      <c r="D51" s="17" t="str">
        <f>HYPERLINK("http://www.aacrdc.org/","www.aacrdc.org")</f>
        <v>www.aacrdc.org</v>
      </c>
      <c r="E51" s="3"/>
      <c r="F51" s="3" t="s">
        <v>22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 t="str">
        <f t="shared" si="1"/>
        <v>No</v>
      </c>
      <c r="S51" s="3" t="str">
        <f t="shared" si="2"/>
        <v>No</v>
      </c>
      <c r="T51" s="3"/>
      <c r="U51" s="3"/>
      <c r="V51" s="3"/>
      <c r="W51" s="3"/>
      <c r="X51" s="3"/>
      <c r="Y51" s="3"/>
      <c r="Z51" s="3"/>
    </row>
    <row r="52" ht="12.75" customHeight="1">
      <c r="A52" s="3" t="s">
        <v>181</v>
      </c>
      <c r="B52" s="3" t="s">
        <v>182</v>
      </c>
      <c r="C52" s="3" t="s">
        <v>183</v>
      </c>
      <c r="D52" s="17" t="str">
        <f>HYPERLINK("http://www.trafikstyrelsen.dk/","www.trafikstyrelsen.dk")</f>
        <v>www.trafikstyrelsen.dk</v>
      </c>
      <c r="E52" s="19"/>
      <c r="F52" s="3" t="s">
        <v>22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 t="str">
        <f t="shared" si="1"/>
        <v>No</v>
      </c>
      <c r="S52" s="3" t="str">
        <f t="shared" si="2"/>
        <v>No</v>
      </c>
      <c r="T52" s="3"/>
      <c r="U52" s="3"/>
      <c r="V52" s="3"/>
      <c r="W52" s="3"/>
      <c r="X52" s="3"/>
      <c r="Y52" s="3"/>
      <c r="Z52" s="3"/>
    </row>
    <row r="53" ht="12.75" customHeight="1">
      <c r="A53" s="3" t="s">
        <v>184</v>
      </c>
      <c r="B53" s="3" t="s">
        <v>139</v>
      </c>
      <c r="C53" s="3" t="s">
        <v>185</v>
      </c>
      <c r="D53" s="19"/>
      <c r="E53" s="19"/>
      <c r="F53" s="3" t="s">
        <v>22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 t="str">
        <f t="shared" si="1"/>
        <v>No</v>
      </c>
      <c r="S53" s="3" t="str">
        <f t="shared" si="2"/>
        <v>No</v>
      </c>
      <c r="T53" s="3"/>
      <c r="U53" s="3"/>
      <c r="V53" s="3"/>
      <c r="W53" s="3"/>
      <c r="X53" s="3"/>
      <c r="Y53" s="3"/>
      <c r="Z53" s="3"/>
    </row>
    <row r="54" ht="12.75" customHeight="1">
      <c r="A54" s="3" t="s">
        <v>186</v>
      </c>
      <c r="B54" s="3" t="s">
        <v>187</v>
      </c>
      <c r="C54" s="3" t="s">
        <v>188</v>
      </c>
      <c r="D54" s="17" t="str">
        <f>HYPERLINK("http://www.idac.gov.do/","www.idac.gov.do")</f>
        <v>www.idac.gov.do</v>
      </c>
      <c r="E54" s="17" t="str">
        <f>HYPERLINK("http://tac.idac.gob.do/index.php/transparencia/estadisticas-institucionales/volumen-de-operaciones-y-pasajeros-internacionales-regulares-y-charter","http://tac.idac.gob.do/index.php/transparencia/estadisticas-institucionales/volumen-de-operaciones-y-pasajeros-internacionales-regulares-y-charter")</f>
        <v>http://tac.idac.gob.do/index.php/transparencia/estadisticas-institucionales/volumen-de-operaciones-y-pasajeros-internacionales-regulares-y-charter</v>
      </c>
      <c r="F54" s="3" t="s">
        <v>29</v>
      </c>
      <c r="G54" s="3" t="s">
        <v>30</v>
      </c>
      <c r="H54" s="3">
        <v>2013.0</v>
      </c>
      <c r="I54" s="21" t="s">
        <v>45</v>
      </c>
      <c r="J54" s="3" t="s">
        <v>58</v>
      </c>
      <c r="K54" s="3" t="s">
        <v>22</v>
      </c>
      <c r="L54" s="3" t="s">
        <v>22</v>
      </c>
      <c r="M54" s="3" t="s">
        <v>31</v>
      </c>
      <c r="N54" s="3" t="s">
        <v>29</v>
      </c>
      <c r="O54" s="3" t="s">
        <v>47</v>
      </c>
      <c r="P54" s="3" t="s">
        <v>110</v>
      </c>
      <c r="Q54" s="19" t="str">
        <f>HYPERLINK("file:///Sample files/DominicanRep.pdf","november 2016")</f>
        <v>november 2016</v>
      </c>
      <c r="R54" s="3" t="str">
        <f t="shared" si="1"/>
        <v>No</v>
      </c>
      <c r="S54" s="3" t="str">
        <f t="shared" si="2"/>
        <v>No</v>
      </c>
      <c r="T54" s="3"/>
      <c r="U54" s="3"/>
      <c r="V54" s="3"/>
      <c r="W54" s="3"/>
      <c r="X54" s="3"/>
      <c r="Y54" s="3"/>
      <c r="Z54" s="3"/>
    </row>
    <row r="55" ht="12.75" customHeight="1">
      <c r="A55" s="3" t="s">
        <v>189</v>
      </c>
      <c r="B55" s="3" t="s">
        <v>190</v>
      </c>
      <c r="C55" s="3" t="s">
        <v>191</v>
      </c>
      <c r="D55" s="17" t="str">
        <f>HYPERLINK("http://www.aviacioncivil.gob.ec/","www.aviacioncivil.gob.ec")</f>
        <v>www.aviacioncivil.gob.ec</v>
      </c>
      <c r="E55" s="19"/>
      <c r="F55" s="3" t="s">
        <v>22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 t="str">
        <f t="shared" si="1"/>
        <v>No</v>
      </c>
      <c r="S55" s="3" t="str">
        <f t="shared" si="2"/>
        <v>No</v>
      </c>
      <c r="T55" s="3"/>
      <c r="U55" s="3"/>
      <c r="V55" s="3"/>
      <c r="W55" s="3"/>
      <c r="X55" s="3"/>
      <c r="Y55" s="3"/>
      <c r="Z55" s="3"/>
    </row>
    <row r="56" ht="12.75" customHeight="1">
      <c r="A56" s="3" t="s">
        <v>192</v>
      </c>
      <c r="B56" s="3" t="s">
        <v>193</v>
      </c>
      <c r="C56" s="6" t="s">
        <v>194</v>
      </c>
      <c r="D56" s="17" t="str">
        <f>HYPERLINK("http://www.civilaviation.gov.eg/","www.civilaviation.gov.eg")</f>
        <v>www.civilaviation.gov.eg</v>
      </c>
      <c r="E56" s="19"/>
      <c r="F56" s="3" t="s">
        <v>22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 t="str">
        <f t="shared" si="1"/>
        <v>No</v>
      </c>
      <c r="S56" s="3" t="str">
        <f t="shared" si="2"/>
        <v>No</v>
      </c>
      <c r="T56" s="3"/>
      <c r="U56" s="3"/>
      <c r="V56" s="3"/>
      <c r="W56" s="3"/>
      <c r="X56" s="3"/>
      <c r="Y56" s="3"/>
      <c r="Z56" s="3"/>
    </row>
    <row r="57" ht="12.75" customHeight="1">
      <c r="A57" s="3" t="s">
        <v>195</v>
      </c>
      <c r="B57" s="3" t="s">
        <v>196</v>
      </c>
      <c r="C57" s="3" t="s">
        <v>197</v>
      </c>
      <c r="D57" s="17" t="str">
        <f>HYPERLINK("http://www.aac.gob.sv/","www.aac.gob.sv")</f>
        <v>www.aac.gob.sv</v>
      </c>
      <c r="E57" s="19"/>
      <c r="F57" s="3" t="s">
        <v>22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 t="str">
        <f t="shared" si="1"/>
        <v>No</v>
      </c>
      <c r="S57" s="3" t="str">
        <f t="shared" si="2"/>
        <v>No</v>
      </c>
      <c r="T57" s="3"/>
      <c r="U57" s="3"/>
      <c r="V57" s="3"/>
      <c r="W57" s="3"/>
      <c r="X57" s="3"/>
      <c r="Y57" s="3"/>
      <c r="Z57" s="3"/>
    </row>
    <row r="58" ht="12.75" customHeight="1">
      <c r="A58" s="3" t="s">
        <v>198</v>
      </c>
      <c r="B58" s="3" t="s">
        <v>199</v>
      </c>
      <c r="C58" s="3"/>
      <c r="D58" s="17" t="str">
        <f>HYPERLINK("http://caage.org/","http://caage.org/")</f>
        <v>http://caage.org/</v>
      </c>
      <c r="E58" s="19"/>
      <c r="F58" s="3" t="s">
        <v>22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 t="str">
        <f t="shared" si="1"/>
        <v>No</v>
      </c>
      <c r="S58" s="3" t="str">
        <f t="shared" si="2"/>
        <v>No</v>
      </c>
      <c r="T58" s="3"/>
      <c r="U58" s="3"/>
      <c r="V58" s="3"/>
      <c r="W58" s="3"/>
      <c r="X58" s="3"/>
      <c r="Y58" s="3"/>
      <c r="Z58" s="3"/>
    </row>
    <row r="59" ht="12.75" customHeight="1">
      <c r="A59" s="3" t="s">
        <v>200</v>
      </c>
      <c r="B59" s="3" t="s">
        <v>201</v>
      </c>
      <c r="C59" s="3"/>
      <c r="D59" s="19"/>
      <c r="E59" s="19"/>
      <c r="F59" s="3" t="s">
        <v>22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 t="str">
        <f t="shared" si="1"/>
        <v>No</v>
      </c>
      <c r="S59" s="3" t="str">
        <f t="shared" si="2"/>
        <v>No</v>
      </c>
      <c r="T59" s="3"/>
      <c r="U59" s="3"/>
      <c r="V59" s="3"/>
      <c r="W59" s="3"/>
      <c r="X59" s="3"/>
      <c r="Y59" s="3"/>
      <c r="Z59" s="3"/>
    </row>
    <row r="60" ht="12.75" customHeight="1">
      <c r="A60" s="3" t="s">
        <v>202</v>
      </c>
      <c r="B60" s="3" t="s">
        <v>203</v>
      </c>
      <c r="C60" s="3" t="s">
        <v>204</v>
      </c>
      <c r="D60" s="17" t="str">
        <f>HYPERLINK("http://www.ecaa.ee/atp/?keel=en","www.ecaa.ee")</f>
        <v>www.ecaa.ee</v>
      </c>
      <c r="E60" s="19"/>
      <c r="F60" s="3" t="s">
        <v>22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 t="str">
        <f t="shared" si="1"/>
        <v>No</v>
      </c>
      <c r="S60" s="3" t="str">
        <f t="shared" si="2"/>
        <v>No</v>
      </c>
      <c r="T60" s="3"/>
      <c r="U60" s="3"/>
      <c r="V60" s="3"/>
      <c r="W60" s="3"/>
      <c r="X60" s="3"/>
      <c r="Y60" s="3"/>
      <c r="Z60" s="3"/>
    </row>
    <row r="61" ht="12.75" customHeight="1">
      <c r="A61" s="3" t="s">
        <v>205</v>
      </c>
      <c r="B61" s="3" t="s">
        <v>206</v>
      </c>
      <c r="C61" s="3"/>
      <c r="D61" s="17" t="str">
        <f>HYPERLINK("http://www.ecaa.gov.et/","http://www.ecaa.gov.et/")</f>
        <v>http://www.ecaa.gov.et/</v>
      </c>
      <c r="E61" s="19"/>
      <c r="F61" s="3" t="s">
        <v>22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 t="str">
        <f t="shared" si="1"/>
        <v>No</v>
      </c>
      <c r="S61" s="3" t="str">
        <f t="shared" si="2"/>
        <v>No</v>
      </c>
      <c r="T61" s="3"/>
      <c r="U61" s="3"/>
      <c r="V61" s="3"/>
      <c r="W61" s="3"/>
      <c r="X61" s="3"/>
      <c r="Y61" s="3"/>
      <c r="Z61" s="3"/>
    </row>
    <row r="62" ht="12.75" customHeight="1">
      <c r="A62" s="3" t="s">
        <v>207</v>
      </c>
      <c r="B62" s="3" t="s">
        <v>208</v>
      </c>
      <c r="C62" s="3"/>
      <c r="D62" s="17" t="str">
        <f>HYPERLINK("http://easa.europa.eu/","easa.europa.eu")</f>
        <v>easa.europa.eu</v>
      </c>
      <c r="E62" s="17" t="str">
        <f>HYPERLINK("http://ec.europa.eu/eurostat/estat-navtree-portlet-prod/BulkDownloadListing?sort=1&amp;dir=data","http://ec.europa.eu/eurostat/estat-navtree-portlet-prod/BulkDownloadListing?sort=1&amp;dir=data")</f>
        <v>http://ec.europa.eu/eurostat/estat-navtree-portlet-prod/BulkDownloadListing?sort=1&amp;dir=data</v>
      </c>
      <c r="F62" s="3" t="s">
        <v>29</v>
      </c>
      <c r="G62" s="3" t="s">
        <v>209</v>
      </c>
      <c r="H62" s="3">
        <v>2003.0</v>
      </c>
      <c r="I62" s="21" t="s">
        <v>45</v>
      </c>
      <c r="J62" s="3" t="s">
        <v>109</v>
      </c>
      <c r="K62" s="3" t="s">
        <v>109</v>
      </c>
      <c r="L62" s="3" t="s">
        <v>22</v>
      </c>
      <c r="M62" s="3" t="s">
        <v>59</v>
      </c>
      <c r="N62" s="3" t="s">
        <v>29</v>
      </c>
      <c r="O62" s="3" t="s">
        <v>47</v>
      </c>
      <c r="P62" s="3" t="s">
        <v>60</v>
      </c>
      <c r="Q62" s="19" t="str">
        <f>HYPERLINK("file:///Sample files/avia_par_nl.csv","2016 up to september")</f>
        <v>2016 up to september</v>
      </c>
      <c r="R62" s="3" t="str">
        <f t="shared" si="1"/>
        <v>No</v>
      </c>
      <c r="S62" s="3" t="str">
        <f t="shared" si="2"/>
        <v>Yes</v>
      </c>
      <c r="T62" s="3"/>
      <c r="U62" s="3"/>
      <c r="V62" s="3"/>
      <c r="W62" s="3"/>
      <c r="X62" s="3"/>
      <c r="Y62" s="3"/>
      <c r="Z62" s="3"/>
    </row>
    <row r="63" ht="12.75" customHeight="1">
      <c r="A63" s="3" t="s">
        <v>210</v>
      </c>
      <c r="B63" s="3" t="s">
        <v>211</v>
      </c>
      <c r="C63" s="3"/>
      <c r="D63" s="17" t="str">
        <f>HYPERLINK("http://www.caafi.org.fj/","www.caafi.org.fj")</f>
        <v>www.caafi.org.fj</v>
      </c>
      <c r="E63" s="19"/>
      <c r="F63" s="3" t="s">
        <v>22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 t="str">
        <f t="shared" si="1"/>
        <v>No</v>
      </c>
      <c r="S63" s="3" t="str">
        <f t="shared" si="2"/>
        <v>No</v>
      </c>
      <c r="T63" s="3"/>
      <c r="U63" s="3"/>
      <c r="V63" s="3"/>
      <c r="W63" s="3"/>
      <c r="X63" s="3"/>
      <c r="Y63" s="3"/>
      <c r="Z63" s="3"/>
    </row>
    <row r="64" ht="12.75" customHeight="1">
      <c r="A64" s="3" t="s">
        <v>212</v>
      </c>
      <c r="B64" s="3" t="s">
        <v>213</v>
      </c>
      <c r="C64" s="3"/>
      <c r="D64" s="17" t="str">
        <f>HYPERLINK("http://www.trafi.fi/","www.trafi.fi")</f>
        <v>www.trafi.fi</v>
      </c>
      <c r="E64" s="17" t="str">
        <f>HYPERLINK("https://www.finavia.fi/en/finavia-corporation/statistics/","https://www.finavia.fi/en/finavia-corporation/statistics/")</f>
        <v>https://www.finavia.fi/en/finavia-corporation/statistics/</v>
      </c>
      <c r="F64" s="3" t="s">
        <v>29</v>
      </c>
      <c r="G64" s="3" t="s">
        <v>30</v>
      </c>
      <c r="H64" s="3">
        <v>2002.0</v>
      </c>
      <c r="I64" s="21" t="s">
        <v>45</v>
      </c>
      <c r="J64" s="3" t="s">
        <v>58</v>
      </c>
      <c r="K64" s="3" t="s">
        <v>22</v>
      </c>
      <c r="L64" s="3" t="s">
        <v>22</v>
      </c>
      <c r="M64" s="3" t="s">
        <v>31</v>
      </c>
      <c r="N64" s="3" t="s">
        <v>29</v>
      </c>
      <c r="O64" s="3" t="s">
        <v>47</v>
      </c>
      <c r="P64" s="3" t="s">
        <v>110</v>
      </c>
      <c r="Q64" s="19" t="str">
        <f>HYPERLINK("file:///Sample files/Finland.pdf","novembre 2016")</f>
        <v>novembre 2016</v>
      </c>
      <c r="R64" s="3" t="str">
        <f t="shared" si="1"/>
        <v>No</v>
      </c>
      <c r="S64" s="3" t="str">
        <f t="shared" si="2"/>
        <v>No</v>
      </c>
      <c r="T64" s="3"/>
      <c r="U64" s="3"/>
      <c r="V64" s="3"/>
      <c r="W64" s="3"/>
      <c r="X64" s="3"/>
      <c r="Y64" s="3"/>
      <c r="Z64" s="3"/>
    </row>
    <row r="65" ht="12.75" customHeight="1">
      <c r="A65" s="3" t="s">
        <v>214</v>
      </c>
      <c r="B65" s="3" t="s">
        <v>215</v>
      </c>
      <c r="C65" s="3" t="s">
        <v>216</v>
      </c>
      <c r="D65" s="17" t="str">
        <f>HYPERLINK("http://www.dgac.fr/","www.dgac.fr")</f>
        <v>www.dgac.fr</v>
      </c>
      <c r="E65" s="19"/>
      <c r="F65" s="3" t="s">
        <v>22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 t="str">
        <f t="shared" si="1"/>
        <v>No</v>
      </c>
      <c r="S65" s="3" t="str">
        <f t="shared" si="2"/>
        <v>No</v>
      </c>
      <c r="T65" s="3"/>
      <c r="U65" s="3"/>
      <c r="V65" s="3"/>
      <c r="W65" s="3"/>
      <c r="X65" s="3"/>
      <c r="Y65" s="3"/>
      <c r="Z65" s="3"/>
    </row>
    <row r="66" ht="12.75" customHeight="1">
      <c r="A66" s="3" t="s">
        <v>217</v>
      </c>
      <c r="B66" s="3" t="s">
        <v>89</v>
      </c>
      <c r="C66" s="3" t="s">
        <v>118</v>
      </c>
      <c r="D66" s="17" t="str">
        <f>HYPERLINK("http://www.anacgabon.org/","www.anacgabon.org")</f>
        <v>www.anacgabon.org</v>
      </c>
      <c r="E66" s="19"/>
      <c r="F66" s="3" t="s">
        <v>22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 t="str">
        <f t="shared" si="1"/>
        <v>No</v>
      </c>
      <c r="S66" s="3" t="str">
        <f t="shared" si="2"/>
        <v>No</v>
      </c>
      <c r="T66" s="3"/>
      <c r="U66" s="3"/>
      <c r="V66" s="3"/>
      <c r="W66" s="3"/>
      <c r="X66" s="3"/>
      <c r="Y66" s="3"/>
      <c r="Z66" s="3"/>
    </row>
    <row r="67" ht="12.75" customHeight="1">
      <c r="A67" s="3" t="s">
        <v>218</v>
      </c>
      <c r="B67" s="3" t="s">
        <v>219</v>
      </c>
      <c r="C67" s="3"/>
      <c r="D67" s="17" t="str">
        <f>HYPERLINK("http://www.gcaa.aero/","http://www.gcaa.aero/")</f>
        <v>http://www.gcaa.aero/</v>
      </c>
      <c r="E67" s="19"/>
      <c r="F67" s="3" t="s">
        <v>22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 t="str">
        <f t="shared" si="1"/>
        <v>No</v>
      </c>
      <c r="S67" s="3" t="str">
        <f t="shared" si="2"/>
        <v>No</v>
      </c>
      <c r="T67" s="3"/>
      <c r="U67" s="3"/>
      <c r="V67" s="3"/>
      <c r="W67" s="3"/>
      <c r="X67" s="3"/>
      <c r="Y67" s="3"/>
      <c r="Z67" s="3"/>
    </row>
    <row r="68" ht="12.75" customHeight="1">
      <c r="A68" s="3" t="s">
        <v>220</v>
      </c>
      <c r="B68" s="3" t="s">
        <v>221</v>
      </c>
      <c r="C68" s="3" t="s">
        <v>222</v>
      </c>
      <c r="D68" s="17" t="str">
        <f>HYPERLINK("http://www.gcaa.ge/.htm","www.gcaa.ge")</f>
        <v>www.gcaa.ge</v>
      </c>
      <c r="E68" s="17" t="str">
        <f>HYPERLINK("http://www.gcaa.ge/eng/regular.php","http://www.gcaa.ge/eng/regular.php")</f>
        <v>http://www.gcaa.ge/eng/regular.php</v>
      </c>
      <c r="F68" s="3" t="s">
        <v>29</v>
      </c>
      <c r="G68" s="3" t="s">
        <v>52</v>
      </c>
      <c r="H68" s="3">
        <v>2014.0</v>
      </c>
      <c r="I68" s="21" t="s">
        <v>45</v>
      </c>
      <c r="J68" s="3" t="s">
        <v>46</v>
      </c>
      <c r="K68" s="3" t="s">
        <v>22</v>
      </c>
      <c r="L68" s="3" t="s">
        <v>22</v>
      </c>
      <c r="M68" s="3" t="s">
        <v>31</v>
      </c>
      <c r="N68" s="3" t="s">
        <v>22</v>
      </c>
      <c r="O68" s="3" t="s">
        <v>32</v>
      </c>
      <c r="P68" s="3" t="s">
        <v>53</v>
      </c>
      <c r="Q68" s="17" t="str">
        <f>HYPERLINK("https://issuu.com/georgia22/docs/6_month_passenger_statistics_2016_e/2","2016")</f>
        <v>2016</v>
      </c>
      <c r="R68" s="3" t="str">
        <f t="shared" si="1"/>
        <v>No</v>
      </c>
      <c r="S68" s="3" t="str">
        <f t="shared" si="2"/>
        <v>No</v>
      </c>
      <c r="T68" s="3"/>
      <c r="U68" s="3"/>
      <c r="V68" s="3"/>
      <c r="W68" s="3"/>
      <c r="X68" s="3"/>
      <c r="Y68" s="3"/>
      <c r="Z68" s="3"/>
    </row>
    <row r="69" ht="12.75" customHeight="1">
      <c r="A69" s="3" t="s">
        <v>223</v>
      </c>
      <c r="B69" s="3" t="s">
        <v>224</v>
      </c>
      <c r="C69" s="3" t="s">
        <v>225</v>
      </c>
      <c r="D69" s="17" t="str">
        <f>HYPERLINK("http://www.lba.de/EN/","http://www.lba.de/EN/")</f>
        <v>http://www.lba.de/EN/</v>
      </c>
      <c r="E69" s="17" t="str">
        <f>HYPERLINK("http://adv.aero/service/downloadbibliothek/","http://adv.aero/service/downloadbibliothek/")</f>
        <v>http://adv.aero/service/downloadbibliothek/</v>
      </c>
      <c r="F69" s="3" t="s">
        <v>29</v>
      </c>
      <c r="G69" s="3" t="s">
        <v>30</v>
      </c>
      <c r="H69" s="3">
        <v>2001.0</v>
      </c>
      <c r="I69" s="21" t="s">
        <v>45</v>
      </c>
      <c r="J69" s="3" t="s">
        <v>151</v>
      </c>
      <c r="K69" s="3" t="s">
        <v>22</v>
      </c>
      <c r="L69" s="3" t="s">
        <v>22</v>
      </c>
      <c r="M69" s="3" t="s">
        <v>31</v>
      </c>
      <c r="N69" s="3" t="s">
        <v>29</v>
      </c>
      <c r="O69" s="3" t="s">
        <v>47</v>
      </c>
      <c r="P69" s="3" t="s">
        <v>110</v>
      </c>
      <c r="Q69" s="19" t="str">
        <f>HYPERLINK("file:///Sample files/Germany.pdf#Diapo 7#Diapo 7#Diapo 7#Diapo 7#Diapo 7#Diapo 7#Diapo 7#Diapo 7#Diapo 7#Diapo 7#Diapo 7#Diapo 7#Diapo 7#Diapo 7#Diapo 7#Diapo 7#Diapo 7#Diapo 7#Diapo 7#Diapo 7#Diapo 7#Diapo 7#Diapo 7#Diapo 7#Diapo 7#Diapo 7#Diapo 7#Diapo "&amp;"7#Diapo #Diapo%207%23Diapo%207%23Diapo%207%23Diapo%207%23Diapo%207%23Diapo%207%23Diapo%207%23Diapo%207%23Diapo%207%23Diapo%207%23Diapo%207%23Diapo%207%23Diapo%207%23Diapo%207%23Diapo%207%23Diapo%207%23Diapo%207%23Diapo%207%23Diapo%207%23Diapo%207%23Diapo%"&amp;"207%23Dia","november 2016")</f>
        <v>november 2016</v>
      </c>
      <c r="R69" s="3" t="str">
        <f t="shared" si="1"/>
        <v>No</v>
      </c>
      <c r="S69" s="3" t="str">
        <f t="shared" si="2"/>
        <v>No</v>
      </c>
      <c r="T69" s="3"/>
      <c r="U69" s="3"/>
      <c r="V69" s="3"/>
      <c r="W69" s="3"/>
      <c r="X69" s="3"/>
      <c r="Y69" s="3"/>
      <c r="Z69" s="3"/>
    </row>
    <row r="70" ht="12.75" customHeight="1">
      <c r="A70" s="3" t="s">
        <v>226</v>
      </c>
      <c r="B70" s="3" t="s">
        <v>227</v>
      </c>
      <c r="C70" s="3"/>
      <c r="D70" s="17" t="str">
        <f>HYPERLINK("http://www.gcaa.com.gh/","www.gcaa.com.gh")</f>
        <v>www.gcaa.com.gh</v>
      </c>
      <c r="E70" s="17" t="str">
        <f>HYPERLINK("http://www.gcaa.com.gh/extweb/index.php/article1/item/312-aviation-statistics","http://www.gcaa.com.gh/extweb/index.php/article1/item/312-aviation-statistics")</f>
        <v>http://www.gcaa.com.gh/extweb/index.php/article1/item/312-aviation-statistics</v>
      </c>
      <c r="F70" s="3" t="s">
        <v>29</v>
      </c>
      <c r="G70" s="3" t="s">
        <v>30</v>
      </c>
      <c r="H70" s="3">
        <v>2015.0</v>
      </c>
      <c r="I70" s="3">
        <v>2015.0</v>
      </c>
      <c r="J70" s="3" t="s">
        <v>58</v>
      </c>
      <c r="K70" s="3" t="s">
        <v>22</v>
      </c>
      <c r="L70" s="3" t="s">
        <v>22</v>
      </c>
      <c r="M70" s="3" t="s">
        <v>31</v>
      </c>
      <c r="N70" s="3" t="s">
        <v>29</v>
      </c>
      <c r="O70" s="3" t="s">
        <v>32</v>
      </c>
      <c r="P70" s="3" t="s">
        <v>33</v>
      </c>
      <c r="Q70" s="19" t="str">
        <f>HYPERLINK("file:///Sample files/Ghana-Domestic-Passenger.pdf","2015 domestic")</f>
        <v>2015 domestic</v>
      </c>
      <c r="R70" s="3" t="str">
        <f t="shared" si="1"/>
        <v>No</v>
      </c>
      <c r="S70" s="3" t="str">
        <f t="shared" si="2"/>
        <v>No</v>
      </c>
      <c r="T70" s="3"/>
      <c r="U70" s="3"/>
      <c r="V70" s="3"/>
      <c r="W70" s="3"/>
      <c r="X70" s="3"/>
      <c r="Y70" s="3"/>
      <c r="Z70" s="3"/>
    </row>
    <row r="71" ht="12.75" customHeight="1">
      <c r="A71" s="3" t="s">
        <v>228</v>
      </c>
      <c r="B71" s="3" t="s">
        <v>229</v>
      </c>
      <c r="C71" s="3" t="s">
        <v>230</v>
      </c>
      <c r="D71" s="17" t="str">
        <f>HYPERLINK("http://www.hcaa.gr/","www.hcaa.gr")</f>
        <v>www.hcaa.gr</v>
      </c>
      <c r="E71" s="17" t="str">
        <f>HYPERLINK("http://www.hcaa.gr/en/profile/statistics/yearstatistics/","http://www.hcaa.gr/en/profile/statistics/yearstatistics/")</f>
        <v>http://www.hcaa.gr/en/profile/statistics/yearstatistics/</v>
      </c>
      <c r="F71" s="3" t="s">
        <v>29</v>
      </c>
      <c r="G71" s="3" t="s">
        <v>44</v>
      </c>
      <c r="H71" s="3">
        <v>2009.0</v>
      </c>
      <c r="I71" s="21" t="s">
        <v>45</v>
      </c>
      <c r="J71" s="3" t="s">
        <v>58</v>
      </c>
      <c r="K71" s="3" t="s">
        <v>22</v>
      </c>
      <c r="L71" s="3" t="s">
        <v>22</v>
      </c>
      <c r="M71" s="3" t="s">
        <v>31</v>
      </c>
      <c r="N71" s="3" t="s">
        <v>29</v>
      </c>
      <c r="O71" s="3" t="s">
        <v>47</v>
      </c>
      <c r="P71" s="3" t="s">
        <v>231</v>
      </c>
      <c r="Q71" s="19" t="str">
        <f>HYPERLINK("file:///Sample files/Greece.xls","2016 up to march")</f>
        <v>2016 up to march</v>
      </c>
      <c r="R71" s="3" t="str">
        <f t="shared" si="1"/>
        <v>No</v>
      </c>
      <c r="S71" s="3" t="str">
        <f t="shared" si="2"/>
        <v>No</v>
      </c>
      <c r="T71" s="3"/>
      <c r="U71" s="3"/>
      <c r="V71" s="3"/>
      <c r="W71" s="3"/>
      <c r="X71" s="3"/>
      <c r="Y71" s="3"/>
      <c r="Z71" s="3"/>
    </row>
    <row r="72" ht="12.75" customHeight="1">
      <c r="A72" s="3" t="s">
        <v>232</v>
      </c>
      <c r="B72" s="3" t="s">
        <v>233</v>
      </c>
      <c r="C72" s="3"/>
      <c r="D72" s="17" t="str">
        <f>HYPERLINK("http://www.mbiagrenada.com/","http://www.mbiagrenada.com/")</f>
        <v>http://www.mbiagrenada.com/</v>
      </c>
      <c r="E72" s="19"/>
      <c r="F72" s="3" t="s">
        <v>22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19"/>
      <c r="R72" s="3" t="str">
        <f t="shared" si="1"/>
        <v>No</v>
      </c>
      <c r="S72" s="3" t="str">
        <f t="shared" si="2"/>
        <v>No</v>
      </c>
      <c r="T72" s="3"/>
      <c r="U72" s="3"/>
      <c r="V72" s="3"/>
      <c r="W72" s="3"/>
      <c r="X72" s="3"/>
      <c r="Y72" s="3"/>
      <c r="Z72" s="3"/>
    </row>
    <row r="73" ht="12.75" customHeight="1">
      <c r="A73" s="3" t="s">
        <v>234</v>
      </c>
      <c r="B73" s="3" t="s">
        <v>235</v>
      </c>
      <c r="C73" s="3" t="s">
        <v>98</v>
      </c>
      <c r="D73" s="17" t="str">
        <f>HYPERLINK("http://www.dgacguate.com/","www.dgacguate.com")</f>
        <v>www.dgacguate.com</v>
      </c>
      <c r="E73" s="17" t="str">
        <f>HYPERLINK("http://dgac.gob.gt/index.php/la-aurora/2015","http://dgac.gob.gt/index.php/la-aurora/2015")</f>
        <v>http://dgac.gob.gt/index.php/la-aurora/2015</v>
      </c>
      <c r="F73" s="3" t="s">
        <v>29</v>
      </c>
      <c r="G73" s="3" t="s">
        <v>30</v>
      </c>
      <c r="H73" s="3">
        <v>2014.0</v>
      </c>
      <c r="I73" s="3">
        <v>2015.0</v>
      </c>
      <c r="J73" s="3" t="s">
        <v>46</v>
      </c>
      <c r="K73" s="3" t="s">
        <v>58</v>
      </c>
      <c r="L73" s="3" t="s">
        <v>91</v>
      </c>
      <c r="M73" s="3" t="s">
        <v>59</v>
      </c>
      <c r="N73" s="3" t="s">
        <v>29</v>
      </c>
      <c r="O73" s="3" t="s">
        <v>32</v>
      </c>
      <c r="P73" s="3" t="s">
        <v>132</v>
      </c>
      <c r="Q73" s="19" t="str">
        <f>HYPERLINK("file:///Sample files/Guatemala.pdf#Diapo 13#Diapo 13#Diapo 13#Diapo 13#Diapo 13#Diapo 13#Diapo 13#Diapo 13#Diapo 13#Diapo 13#Diapo 13#Diapo 13#Diapo 13#Diapo 13#Diapo 13#Diapo 13#Diapo 13#Diapo 13#Diapo 13#Diapo 13#Diapo 13#Diapo 13#Diapo 13#Diapo 13#Diap"&amp;"o 13#Dia#Diapo%2013%23Diapo%2013%23Diapo%2013%23Diapo%2013%23Diapo%2013%23Diapo%2013%23Diapo%2013%23Diapo%2013%23Diapo%2013%23Diapo%2013%23Diapo%2013%23Diapo%2013%23Diapo%2013%23Diapo%2013%23Diapo%2013%23Diapo%2013%23Diapo%2013%23Diapo%2013%23Diapo%2013%2"&amp;"3Diapo%20","2015 La Aurora airport")</f>
        <v>2015 La Aurora airport</v>
      </c>
      <c r="R73" s="3" t="str">
        <f t="shared" si="1"/>
        <v>Yes</v>
      </c>
      <c r="S73" s="3" t="str">
        <f t="shared" si="2"/>
        <v>Yes</v>
      </c>
      <c r="T73" s="3"/>
      <c r="U73" s="3"/>
      <c r="V73" s="3"/>
      <c r="W73" s="3"/>
      <c r="X73" s="3"/>
      <c r="Y73" s="3"/>
      <c r="Z73" s="3"/>
    </row>
    <row r="74" ht="12.75" customHeight="1">
      <c r="A74" s="3" t="s">
        <v>236</v>
      </c>
      <c r="B74" s="3" t="s">
        <v>237</v>
      </c>
      <c r="C74" s="3" t="s">
        <v>238</v>
      </c>
      <c r="D74" s="19"/>
      <c r="E74" s="19"/>
      <c r="F74" s="3" t="s">
        <v>22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19"/>
      <c r="R74" s="3" t="str">
        <f t="shared" si="1"/>
        <v>No</v>
      </c>
      <c r="S74" s="3" t="str">
        <f t="shared" si="2"/>
        <v>No</v>
      </c>
      <c r="T74" s="3"/>
      <c r="U74" s="3"/>
      <c r="V74" s="3"/>
      <c r="W74" s="3"/>
      <c r="X74" s="3"/>
      <c r="Y74" s="3"/>
      <c r="Z74" s="3"/>
    </row>
    <row r="75" ht="12.75" customHeight="1">
      <c r="A75" s="3" t="s">
        <v>239</v>
      </c>
      <c r="B75" s="3" t="s">
        <v>89</v>
      </c>
      <c r="C75" s="3" t="s">
        <v>240</v>
      </c>
      <c r="D75" s="17" t="str">
        <f>HYPERLINK("http://www.caacl.org/index.html","http://www.caacl.org/index.html")</f>
        <v>http://www.caacl.org/index.html</v>
      </c>
      <c r="E75" s="19"/>
      <c r="F75" s="3" t="s">
        <v>22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19"/>
      <c r="R75" s="3" t="str">
        <f t="shared" si="1"/>
        <v>No</v>
      </c>
      <c r="S75" s="3" t="str">
        <f t="shared" si="2"/>
        <v>No</v>
      </c>
      <c r="T75" s="3"/>
      <c r="U75" s="3"/>
      <c r="V75" s="3"/>
      <c r="W75" s="3"/>
      <c r="X75" s="3"/>
      <c r="Y75" s="3"/>
      <c r="Z75" s="3"/>
    </row>
    <row r="76" ht="12.75" customHeight="1">
      <c r="A76" s="3" t="s">
        <v>241</v>
      </c>
      <c r="B76" s="3" t="s">
        <v>242</v>
      </c>
      <c r="C76" s="3"/>
      <c r="D76" s="17" t="str">
        <f>HYPERLINK("http://www.gcaa-gy.org/","www.gcaa-gy.org")</f>
        <v>www.gcaa-gy.org</v>
      </c>
      <c r="E76" s="19"/>
      <c r="F76" s="3" t="s">
        <v>22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 t="str">
        <f t="shared" si="1"/>
        <v>No</v>
      </c>
      <c r="S76" s="3" t="str">
        <f t="shared" si="2"/>
        <v>No</v>
      </c>
      <c r="T76" s="3"/>
      <c r="U76" s="3"/>
      <c r="V76" s="3"/>
      <c r="W76" s="3"/>
      <c r="X76" s="3"/>
      <c r="Y76" s="3"/>
      <c r="Z76" s="3"/>
    </row>
    <row r="77" ht="12.75" customHeight="1">
      <c r="A77" s="3" t="s">
        <v>243</v>
      </c>
      <c r="B77" s="3" t="s">
        <v>244</v>
      </c>
      <c r="C77" s="3" t="s">
        <v>245</v>
      </c>
      <c r="D77" s="17" t="str">
        <f>HYPERLINK("http://www.aan.gouv.ht/","http://www.aan.gouv.ht/")</f>
        <v>http://www.aan.gouv.ht/</v>
      </c>
      <c r="E77" s="19"/>
      <c r="F77" s="3" t="s">
        <v>22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 t="str">
        <f t="shared" si="1"/>
        <v>No</v>
      </c>
      <c r="S77" s="3" t="str">
        <f t="shared" si="2"/>
        <v>No</v>
      </c>
      <c r="T77" s="3"/>
      <c r="U77" s="3"/>
      <c r="V77" s="3"/>
      <c r="W77" s="3"/>
      <c r="X77" s="3"/>
      <c r="Y77" s="3"/>
      <c r="Z77" s="3"/>
    </row>
    <row r="78" ht="12.75" customHeight="1">
      <c r="A78" s="3" t="s">
        <v>246</v>
      </c>
      <c r="B78" s="3" t="s">
        <v>247</v>
      </c>
      <c r="C78" s="3" t="s">
        <v>248</v>
      </c>
      <c r="D78" s="17" t="str">
        <f>HYPERLINK("http://www.ahac.gob.hn/","http://www.ahac.gob.hn/")</f>
        <v>http://www.ahac.gob.hn/</v>
      </c>
      <c r="E78" s="19"/>
      <c r="F78" s="3" t="s">
        <v>22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 t="str">
        <f t="shared" si="1"/>
        <v>No</v>
      </c>
      <c r="S78" s="3" t="str">
        <f t="shared" si="2"/>
        <v>No</v>
      </c>
      <c r="T78" s="3"/>
      <c r="U78" s="3"/>
      <c r="V78" s="3"/>
      <c r="W78" s="3"/>
      <c r="X78" s="3"/>
      <c r="Y78" s="3"/>
      <c r="Z78" s="3"/>
    </row>
    <row r="79" ht="12.75" customHeight="1">
      <c r="A79" s="3" t="s">
        <v>249</v>
      </c>
      <c r="B79" s="3" t="s">
        <v>250</v>
      </c>
      <c r="C79" s="3" t="s">
        <v>251</v>
      </c>
      <c r="D79" s="17" t="str">
        <f>HYPERLINK("https://www.nkh.gov.hu/","https://www.nkh.gov.hu")</f>
        <v>https://www.nkh.gov.hu</v>
      </c>
      <c r="E79" s="19"/>
      <c r="F79" s="3" t="s">
        <v>22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 t="str">
        <f t="shared" si="1"/>
        <v>No</v>
      </c>
      <c r="S79" s="3" t="str">
        <f t="shared" si="2"/>
        <v>No</v>
      </c>
      <c r="T79" s="3"/>
      <c r="U79" s="3"/>
      <c r="V79" s="3"/>
      <c r="W79" s="3"/>
      <c r="X79" s="3"/>
      <c r="Y79" s="3"/>
      <c r="Z79" s="3"/>
    </row>
    <row r="80" ht="12.75" customHeight="1">
      <c r="A80" s="3" t="s">
        <v>252</v>
      </c>
      <c r="B80" s="3" t="s">
        <v>253</v>
      </c>
      <c r="C80" s="26" t="s">
        <v>254</v>
      </c>
      <c r="D80" s="17" t="str">
        <f>HYPERLINK("http://www.cad.gov.hk/","www.cad.gov.hk")</f>
        <v>www.cad.gov.hk</v>
      </c>
      <c r="E80" s="17" t="str">
        <f>HYPERLINK("http://www.cad.gov.hk/english/statistics.html","http://www.cad.gov.hk/english/statistics.html")</f>
        <v>http://www.cad.gov.hk/english/statistics.html</v>
      </c>
      <c r="F80" s="3" t="s">
        <v>29</v>
      </c>
      <c r="G80" s="3" t="s">
        <v>85</v>
      </c>
      <c r="H80" s="3">
        <v>1998.0</v>
      </c>
      <c r="I80" s="21" t="s">
        <v>45</v>
      </c>
      <c r="J80" s="3" t="s">
        <v>46</v>
      </c>
      <c r="K80" s="3" t="s">
        <v>22</v>
      </c>
      <c r="L80" s="3" t="s">
        <v>22</v>
      </c>
      <c r="M80" s="3" t="s">
        <v>31</v>
      </c>
      <c r="N80" s="3" t="s">
        <v>29</v>
      </c>
      <c r="O80" s="3" t="s">
        <v>47</v>
      </c>
      <c r="P80" s="3" t="s">
        <v>60</v>
      </c>
      <c r="Q80" s="19" t="str">
        <f>HYPERLINK("file:///Sample files/Hong Kong.xlsx","2016 up to september")</f>
        <v>2016 up to september</v>
      </c>
      <c r="R80" s="3" t="str">
        <f t="shared" si="1"/>
        <v>No</v>
      </c>
      <c r="S80" s="3" t="str">
        <f t="shared" si="2"/>
        <v>No</v>
      </c>
      <c r="T80" s="3"/>
      <c r="U80" s="3"/>
      <c r="V80" s="3"/>
      <c r="W80" s="3"/>
      <c r="X80" s="3"/>
      <c r="Y80" s="3"/>
      <c r="Z80" s="3"/>
    </row>
    <row r="81" ht="12.75" customHeight="1">
      <c r="A81" s="3" t="s">
        <v>255</v>
      </c>
      <c r="B81" s="3" t="s">
        <v>256</v>
      </c>
      <c r="C81" s="3" t="s">
        <v>257</v>
      </c>
      <c r="D81" s="17" t="str">
        <f>HYPERLINK("http://www.icetra.is/","www.icetra.is")</f>
        <v>www.icetra.is</v>
      </c>
      <c r="E81" s="17" t="str">
        <f>HYPERLINK("http://px.hagstofa.is/pxen/pxweb/en/Atvinnuvegir/Atvinnuvegir__samgongur__flug/SAM04201.px","http://px.hagstofa.is/pxen/pxweb/en/Atvinnuvegir/Atvinnuvegir__samgongur__flug/SAM04201.px")</f>
        <v>http://px.hagstofa.is/pxen/pxweb/en/Atvinnuvegir/Atvinnuvegir__samgongur__flug/SAM04201.px</v>
      </c>
      <c r="F81" s="3" t="s">
        <v>29</v>
      </c>
      <c r="G81" s="3" t="s">
        <v>85</v>
      </c>
      <c r="H81" s="3">
        <v>2003.0</v>
      </c>
      <c r="I81" s="3">
        <v>2015.0</v>
      </c>
      <c r="J81" s="3" t="s">
        <v>58</v>
      </c>
      <c r="K81" s="3" t="s">
        <v>22</v>
      </c>
      <c r="L81" s="3" t="s">
        <v>22</v>
      </c>
      <c r="M81" s="3" t="s">
        <v>31</v>
      </c>
      <c r="N81" s="3" t="s">
        <v>22</v>
      </c>
      <c r="O81" s="3" t="s">
        <v>32</v>
      </c>
      <c r="P81" s="3" t="s">
        <v>132</v>
      </c>
      <c r="Q81" s="19" t="str">
        <f>HYPERLINK("file:///Sample files/Iceland.xlsx","2003-2015")</f>
        <v>2003-2015</v>
      </c>
      <c r="R81" s="3" t="str">
        <f t="shared" si="1"/>
        <v>No</v>
      </c>
      <c r="S81" s="3" t="str">
        <f t="shared" si="2"/>
        <v>No</v>
      </c>
      <c r="T81" s="3"/>
      <c r="U81" s="3"/>
      <c r="V81" s="3"/>
      <c r="W81" s="3"/>
      <c r="X81" s="3"/>
      <c r="Y81" s="3"/>
      <c r="Z81" s="3"/>
    </row>
    <row r="82" ht="12.75" customHeight="1">
      <c r="A82" s="3" t="s">
        <v>258</v>
      </c>
      <c r="B82" s="3" t="s">
        <v>144</v>
      </c>
      <c r="C82" s="22" t="s">
        <v>259</v>
      </c>
      <c r="D82" s="17" t="str">
        <f>HYPERLINK("http://dgca.nic.in/","dgca.nic.in")</f>
        <v>dgca.nic.in</v>
      </c>
      <c r="E82" s="17" t="str">
        <f>HYPERLINK("http://dgca.nic.in/pub/pub-ind.htm","http://dgca.nic.in/pub/pub-ind.htm")</f>
        <v>http://dgca.nic.in/pub/pub-ind.htm</v>
      </c>
      <c r="F82" s="3" t="s">
        <v>29</v>
      </c>
      <c r="G82" s="3" t="s">
        <v>85</v>
      </c>
      <c r="H82" s="3">
        <v>2015.0</v>
      </c>
      <c r="I82" s="21" t="s">
        <v>45</v>
      </c>
      <c r="J82" s="3" t="s">
        <v>58</v>
      </c>
      <c r="K82" s="3" t="s">
        <v>58</v>
      </c>
      <c r="L82" s="3" t="s">
        <v>22</v>
      </c>
      <c r="M82" s="3" t="s">
        <v>59</v>
      </c>
      <c r="N82" s="3" t="s">
        <v>29</v>
      </c>
      <c r="O82" s="3" t="s">
        <v>47</v>
      </c>
      <c r="P82" s="3" t="s">
        <v>110</v>
      </c>
      <c r="Q82" s="24" t="str">
        <f>HYPERLINK("file:///Sample files/India CITYPAIR, NOV 2016.xlsx","citypair november 2016")</f>
        <v>citypair november 2016</v>
      </c>
      <c r="R82" s="3" t="str">
        <f t="shared" si="1"/>
        <v>No</v>
      </c>
      <c r="S82" s="3" t="str">
        <f t="shared" si="2"/>
        <v>Yes</v>
      </c>
      <c r="T82" s="3"/>
      <c r="U82" s="3"/>
      <c r="V82" s="3"/>
      <c r="W82" s="3"/>
      <c r="X82" s="3"/>
      <c r="Y82" s="3"/>
      <c r="Z82" s="3"/>
    </row>
    <row r="83" ht="12.75" customHeight="1">
      <c r="A83" s="3" t="s">
        <v>260</v>
      </c>
      <c r="B83" s="3" t="s">
        <v>144</v>
      </c>
      <c r="C83" s="3" t="s">
        <v>261</v>
      </c>
      <c r="D83" s="17" t="str">
        <f>HYPERLINK("http://hubud.dephub.go.id/","hubud.dephub.go.id")</f>
        <v>hubud.dephub.go.id</v>
      </c>
      <c r="E83" s="17" t="str">
        <f>HYPERLINK("http://hubud.dephub.go.id/?en/llu/index/filter:airport,222","http://hubud.dephub.go.id/?en/llu/index/filter:airport,222")</f>
        <v>http://hubud.dephub.go.id/?en/llu/index/filter:airport,222</v>
      </c>
      <c r="F83" s="3" t="s">
        <v>29</v>
      </c>
      <c r="G83" s="3" t="s">
        <v>52</v>
      </c>
      <c r="H83" s="3">
        <v>2011.0</v>
      </c>
      <c r="I83" s="3">
        <v>2015.0</v>
      </c>
      <c r="J83" s="3" t="s">
        <v>46</v>
      </c>
      <c r="K83" s="3" t="s">
        <v>22</v>
      </c>
      <c r="L83" s="3" t="s">
        <v>22</v>
      </c>
      <c r="M83" s="3" t="s">
        <v>31</v>
      </c>
      <c r="N83" s="3" t="s">
        <v>22</v>
      </c>
      <c r="O83" s="3" t="s">
        <v>32</v>
      </c>
      <c r="P83" s="3" t="s">
        <v>132</v>
      </c>
      <c r="Q83" s="19" t="str">
        <f>HYPERLINK("file:///Sample files/Indonesia.png","Jakarta 2011-2015")</f>
        <v>Jakarta 2011-2015</v>
      </c>
      <c r="R83" s="3" t="str">
        <f t="shared" si="1"/>
        <v>No</v>
      </c>
      <c r="S83" s="3" t="str">
        <f t="shared" si="2"/>
        <v>No</v>
      </c>
      <c r="T83" s="3"/>
      <c r="U83" s="3"/>
      <c r="V83" s="3"/>
      <c r="W83" s="3"/>
      <c r="X83" s="3"/>
      <c r="Y83" s="3"/>
      <c r="Z83" s="3"/>
    </row>
    <row r="84" ht="12.75" customHeight="1">
      <c r="A84" s="3" t="s">
        <v>262</v>
      </c>
      <c r="B84" s="3" t="s">
        <v>263</v>
      </c>
      <c r="C84" s="6" t="s">
        <v>264</v>
      </c>
      <c r="D84" s="17" t="str">
        <f>HYPERLINK("http://www.cao.ir/english","www.cao.ir")</f>
        <v>www.cao.ir</v>
      </c>
      <c r="E84" s="17" t="str">
        <f>HYPERLINK("https://translate.googleusercontent.com/translate_c?act=url&amp;depth=1&amp;hl=fr&amp;ie=UTF8&amp;prev=_t&amp;rurl=translate.google.com&amp;sl=auto&amp;tl=fr&amp;u=http://www.cao.ir/statistics-and-reports&amp;usg=ALkJrhhWwT_qA8jIJmN4a7SHXkUntD2w1g","https://translate.googleusercontent.com/translate_c?act=url&amp;depth=1&amp;hl=fr&amp;ie=UTF8&amp;prev=_t&amp;rurl=translate.google.com&amp;sl=auto&amp;tl=fr&amp;u=http://www.cao.ir/statistics-and-reports&amp;usg=ALkJrhhWwT_qA8jIJmN4a7SHXkUntD2w1g")</f>
        <v>https://translate.googleusercontent.com/translate_c?act=url&amp;depth=1&amp;hl=fr&amp;ie=UTF8&amp;prev=_t&amp;rurl=translate.google.com&amp;sl=auto&amp;tl=fr&amp;u=http://www.cao.ir/statistics-and-reports&amp;usg=ALkJrhhWwT_qA8jIJmN4a7SHXkUntD2w1g</v>
      </c>
      <c r="F84" s="3" t="s">
        <v>29</v>
      </c>
      <c r="G84" s="3" t="s">
        <v>30</v>
      </c>
      <c r="H84" s="3" t="s">
        <v>33</v>
      </c>
      <c r="I84" s="3" t="s">
        <v>33</v>
      </c>
      <c r="J84" s="3" t="s">
        <v>22</v>
      </c>
      <c r="K84" s="3" t="s">
        <v>22</v>
      </c>
      <c r="L84" s="3" t="s">
        <v>22</v>
      </c>
      <c r="M84" s="3" t="s">
        <v>31</v>
      </c>
      <c r="N84" s="3" t="s">
        <v>22</v>
      </c>
      <c r="O84" s="3" t="s">
        <v>33</v>
      </c>
      <c r="P84" s="3" t="s">
        <v>33</v>
      </c>
      <c r="Q84" s="19" t="str">
        <f>HYPERLINK("file:///Sample files/Iran.pdf","Contenu en persan non disponible sur pages en anglais")</f>
        <v>Contenu en persan non disponible sur pages en anglais</v>
      </c>
      <c r="R84" s="3" t="str">
        <f t="shared" si="1"/>
        <v>No</v>
      </c>
      <c r="S84" s="3" t="str">
        <f t="shared" si="2"/>
        <v>No</v>
      </c>
      <c r="T84" s="3"/>
      <c r="U84" s="3"/>
      <c r="V84" s="3"/>
      <c r="W84" s="3"/>
      <c r="X84" s="3"/>
      <c r="Y84" s="3"/>
      <c r="Z84" s="3"/>
    </row>
    <row r="85" ht="12.75" customHeight="1">
      <c r="A85" s="3" t="s">
        <v>265</v>
      </c>
      <c r="B85" s="3" t="s">
        <v>266</v>
      </c>
      <c r="C85" s="6" t="s">
        <v>267</v>
      </c>
      <c r="D85" s="17" t="str">
        <f>HYPERLINK("http://www.iraqcaa.com/","www.iraqcaa.com")</f>
        <v>www.iraqcaa.com</v>
      </c>
      <c r="E85" s="19"/>
      <c r="F85" s="3" t="s">
        <v>22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 t="str">
        <f t="shared" si="1"/>
        <v>No</v>
      </c>
      <c r="S85" s="3" t="str">
        <f t="shared" si="2"/>
        <v>No</v>
      </c>
      <c r="T85" s="3"/>
      <c r="U85" s="3"/>
      <c r="V85" s="3"/>
      <c r="W85" s="3"/>
      <c r="X85" s="3"/>
      <c r="Y85" s="3"/>
      <c r="Z85" s="3"/>
    </row>
    <row r="86" ht="12.75" customHeight="1">
      <c r="A86" s="3" t="s">
        <v>268</v>
      </c>
      <c r="B86" s="3" t="s">
        <v>269</v>
      </c>
      <c r="C86" s="3" t="s">
        <v>270</v>
      </c>
      <c r="D86" s="17" t="str">
        <f>HYPERLINK("http://www.iaa.ie/","www.iaa.ie")</f>
        <v>www.iaa.ie</v>
      </c>
      <c r="E86" s="17" t="str">
        <f>HYPERLINK("http://www.cso.ie/px/pxeirestat/statire/SelectVarVal/Define.asp?Maintable=CTM01&amp;PLanguage=0","http://www.cso.ie/px/pxeirestat/statire/SelectVarVal/Define.asp?Maintable=CTM01&amp;PLanguage=0")</f>
        <v>http://www.cso.ie/px/pxeirestat/statire/SelectVarVal/Define.asp?Maintable=CTM01&amp;PLanguage=0</v>
      </c>
      <c r="F86" s="3" t="s">
        <v>29</v>
      </c>
      <c r="G86" s="3" t="s">
        <v>131</v>
      </c>
      <c r="H86" s="3">
        <v>2006.0</v>
      </c>
      <c r="I86" s="21" t="s">
        <v>45</v>
      </c>
      <c r="J86" s="3" t="s">
        <v>58</v>
      </c>
      <c r="K86" s="3" t="s">
        <v>58</v>
      </c>
      <c r="L86" s="3" t="s">
        <v>22</v>
      </c>
      <c r="M86" s="3" t="s">
        <v>59</v>
      </c>
      <c r="N86" s="3" t="s">
        <v>29</v>
      </c>
      <c r="O86" s="3" t="s">
        <v>47</v>
      </c>
      <c r="P86" s="3" t="s">
        <v>60</v>
      </c>
      <c r="Q86" s="19" t="str">
        <f>HYPERLINK("file:///Sample files/Ireland.csv","september 2016")</f>
        <v>september 2016</v>
      </c>
      <c r="R86" s="3" t="str">
        <f t="shared" si="1"/>
        <v>No</v>
      </c>
      <c r="S86" s="3" t="str">
        <f t="shared" si="2"/>
        <v>Yes</v>
      </c>
      <c r="T86" s="3"/>
      <c r="U86" s="3"/>
      <c r="V86" s="3"/>
      <c r="W86" s="3"/>
      <c r="X86" s="3"/>
      <c r="Y86" s="3"/>
      <c r="Z86" s="3"/>
    </row>
    <row r="87" ht="12.75" customHeight="1">
      <c r="A87" s="3" t="s">
        <v>271</v>
      </c>
      <c r="B87" s="3" t="s">
        <v>272</v>
      </c>
      <c r="C87" s="3"/>
      <c r="D87" s="17" t="str">
        <f>HYPERLINK("http://www.gov.im/ded/aircraft/","www.gov.im/ded/aircraft/")</f>
        <v>www.gov.im/ded/aircraft/</v>
      </c>
      <c r="E87" s="19"/>
      <c r="F87" s="3" t="s">
        <v>22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 t="str">
        <f t="shared" si="1"/>
        <v>No</v>
      </c>
      <c r="S87" s="3" t="str">
        <f t="shared" si="2"/>
        <v>No</v>
      </c>
      <c r="T87" s="3"/>
      <c r="U87" s="3"/>
      <c r="V87" s="3"/>
      <c r="W87" s="3"/>
      <c r="X87" s="3"/>
      <c r="Y87" s="3"/>
      <c r="Z87" s="3"/>
    </row>
    <row r="88" ht="12.75" customHeight="1">
      <c r="A88" s="3" t="s">
        <v>273</v>
      </c>
      <c r="B88" s="3" t="s">
        <v>139</v>
      </c>
      <c r="C88" s="6" t="s">
        <v>274</v>
      </c>
      <c r="D88" s="17" t="str">
        <f>HYPERLINK("http://caa.gov.il/","caa.gov.il")</f>
        <v>caa.gov.il</v>
      </c>
      <c r="E88" s="17" t="str">
        <f>HYPERLINK("http://caa.gov.il/index.php/he/2015-11-18-10-40-27/2009-12-23-09-45-18/2012-04-24-05-29-48/2012-04-24-06-53-01?option=com_content&amp;view=article&amp;id=678&amp;Itemid=374&amp;lang=he","http://caa.gov.il/index.php/he/2015-11-18-10-40-27/2009-12-23-09-45-18/2012-04-24-05-29-48/2012-04-24-06-53-01?option=com_content&amp;view=article&amp;id=678&amp;Itemid=374&amp;lang=he")</f>
        <v>http://caa.gov.il/index.php/he/2015-11-18-10-40-27/2009-12-23-09-45-18/2012-04-24-05-29-48/2012-04-24-06-53-01?option=com_content&amp;view=article&amp;id=678&amp;Itemid=374&amp;lang=he</v>
      </c>
      <c r="F88" s="3" t="s">
        <v>29</v>
      </c>
      <c r="G88" s="3" t="s">
        <v>30</v>
      </c>
      <c r="H88" s="3" t="s">
        <v>33</v>
      </c>
      <c r="I88" s="3">
        <v>2015.0</v>
      </c>
      <c r="J88" s="3" t="s">
        <v>58</v>
      </c>
      <c r="K88" s="3" t="s">
        <v>46</v>
      </c>
      <c r="L88" s="3" t="s">
        <v>22</v>
      </c>
      <c r="M88" s="3" t="s">
        <v>31</v>
      </c>
      <c r="N88" s="3" t="s">
        <v>22</v>
      </c>
      <c r="O88" s="3" t="s">
        <v>32</v>
      </c>
      <c r="P88" s="3" t="s">
        <v>132</v>
      </c>
      <c r="Q88" s="19" t="str">
        <f>HYPERLINK("file:///Sample files/Israel.pdf#Diapo 50#Diapo 50#Diapo 50#Diapo 50#Diapo 50#Diapo 50#Diapo 50#Diapo 50#Diapo 50#Diapo 50#Diapo 50#Diapo 50#Diapo 50#Diapo 50#Diapo 50#Diapo 50#Diapo 50#Diapo 50#Diapo 50#Diapo 50#Diapo 50#Diapo 50#Diapo 50#Diapo 50#Diapo 5"&amp;"0#Diapo #Diapo%2050%23Diapo%2050%23Diapo%2050%23Diapo%2050%23Diapo%2050%23Diapo%2050%23Diapo%2050%23Diapo%2050%23Diapo%2050%23Diapo%2050%23Diapo%2050%23Diapo%2050%23Diapo%2050%23Diapo%2050%23Diapo%2050%23Diapo%2050%23Diapo%2050%23Diapo%2050%23Diapo%2050%2"&amp;"3Diapo%20","2015 international")</f>
        <v>2015 international</v>
      </c>
      <c r="R88" s="3" t="str">
        <f t="shared" si="1"/>
        <v>No</v>
      </c>
      <c r="S88" s="3" t="str">
        <f t="shared" si="2"/>
        <v>No</v>
      </c>
      <c r="T88" s="3"/>
      <c r="U88" s="3"/>
      <c r="V88" s="3"/>
      <c r="W88" s="3"/>
      <c r="X88" s="3"/>
      <c r="Y88" s="3"/>
      <c r="Z88" s="3"/>
    </row>
    <row r="89" ht="12.75" customHeight="1">
      <c r="A89" s="3" t="s">
        <v>275</v>
      </c>
      <c r="B89" s="3" t="s">
        <v>276</v>
      </c>
      <c r="C89" s="3" t="s">
        <v>277</v>
      </c>
      <c r="D89" s="17" t="str">
        <f>HYPERLINK("http://www.enac-italia.it/Home/","www.enac-italia.it")</f>
        <v>www.enac-italia.it</v>
      </c>
      <c r="E89" s="17" t="str">
        <f>HYPERLINK("http://www.assaeroporti.com/statistiche/","http://www.assaeroporti.com/statistiche/")</f>
        <v>http://www.assaeroporti.com/statistiche/</v>
      </c>
      <c r="F89" s="3" t="s">
        <v>29</v>
      </c>
      <c r="G89" s="3" t="s">
        <v>30</v>
      </c>
      <c r="H89" s="3">
        <v>2000.0</v>
      </c>
      <c r="I89" s="3">
        <v>2015.0</v>
      </c>
      <c r="J89" s="3" t="s">
        <v>46</v>
      </c>
      <c r="K89" s="3" t="s">
        <v>22</v>
      </c>
      <c r="L89" s="3" t="s">
        <v>22</v>
      </c>
      <c r="M89" s="3" t="s">
        <v>31</v>
      </c>
      <c r="N89" s="3" t="s">
        <v>29</v>
      </c>
      <c r="O89" s="3" t="s">
        <v>47</v>
      </c>
      <c r="P89" s="3" t="s">
        <v>48</v>
      </c>
      <c r="Q89" s="19" t="str">
        <f>HYPERLINK("file:///Sample files/Italy.pdf#Diapo 30#Diapo 30#Diapo 30#Diapo 30#Diapo 30#Diapo 30#Diapo 30#Diapo 30#Diapo 30#Diapo 30#Diapo 30#Diapo 30#Diapo 30#Diapo 30#Diapo 30#Diapo 30#Diapo 30#Diapo 30#Diapo 30#Diapo 30#Diapo 30#Diapo 30#Diapo 30#Diapo 30#Diapo 30"&amp;"#Diapo 3#Diapo%2030%23Diapo%2030%23Diapo%2030%23Diapo%2030%23Diapo%2030%23Diapo%2030%23Diapo%2030%23Diapo%2030%23Diapo%2030%23Diapo%2030%23Diapo%2030%23Diapo%2030%23Diapo%2030%23Diapo%2030%23Diapo%2030%23Diapo%2030%23Diapo%2030%23Diapo%2030%23Diapo%2030%2"&amp;"3Diapo%20","2015")</f>
        <v>2015</v>
      </c>
      <c r="R89" s="3" t="str">
        <f t="shared" si="1"/>
        <v>No</v>
      </c>
      <c r="S89" s="3" t="str">
        <f t="shared" si="2"/>
        <v>No</v>
      </c>
      <c r="T89" s="3"/>
      <c r="U89" s="3"/>
      <c r="V89" s="3"/>
      <c r="W89" s="3"/>
      <c r="X89" s="3"/>
      <c r="Y89" s="3"/>
      <c r="Z89" s="3"/>
    </row>
    <row r="90" ht="12.75" customHeight="1">
      <c r="A90" s="3" t="s">
        <v>278</v>
      </c>
      <c r="B90" s="3" t="s">
        <v>279</v>
      </c>
      <c r="C90" s="3" t="s">
        <v>280</v>
      </c>
      <c r="D90" s="17" t="str">
        <f>HYPERLINK("http://www.anac.ci/anac/web/","http://www.anac.ci/anac/web/")</f>
        <v>http://www.anac.ci/anac/web/</v>
      </c>
      <c r="E90" s="19"/>
      <c r="F90" s="3" t="s">
        <v>22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19"/>
      <c r="R90" s="3" t="str">
        <f t="shared" si="1"/>
        <v>No</v>
      </c>
      <c r="S90" s="3" t="str">
        <f t="shared" si="2"/>
        <v>No</v>
      </c>
      <c r="T90" s="3"/>
      <c r="U90" s="3"/>
      <c r="V90" s="3"/>
      <c r="W90" s="3"/>
      <c r="X90" s="3"/>
      <c r="Y90" s="3"/>
      <c r="Z90" s="3"/>
    </row>
    <row r="91" ht="12.75" customHeight="1">
      <c r="A91" s="3" t="s">
        <v>281</v>
      </c>
      <c r="B91" s="3" t="s">
        <v>282</v>
      </c>
      <c r="C91" s="3"/>
      <c r="D91" s="17" t="str">
        <f>HYPERLINK("http://www.jcaa.gov.jm/","www.jcaa.gov.jm")</f>
        <v>www.jcaa.gov.jm</v>
      </c>
      <c r="E91" s="17" t="str">
        <f>HYPERLINK("http://www.jcaa.gov.jm/er/Stats_Analysis.html","http://www.jcaa.gov.jm/er/Stats_Analysis.html")</f>
        <v>http://www.jcaa.gov.jm/er/Stats_Analysis.html</v>
      </c>
      <c r="F91" s="3" t="s">
        <v>29</v>
      </c>
      <c r="G91" s="3" t="s">
        <v>30</v>
      </c>
      <c r="H91" s="3">
        <v>1992.0</v>
      </c>
      <c r="I91" s="3">
        <v>2010.0</v>
      </c>
      <c r="J91" s="3" t="s">
        <v>46</v>
      </c>
      <c r="K91" s="3" t="s">
        <v>22</v>
      </c>
      <c r="L91" s="3" t="s">
        <v>22</v>
      </c>
      <c r="M91" s="3" t="s">
        <v>31</v>
      </c>
      <c r="N91" s="3" t="s">
        <v>22</v>
      </c>
      <c r="O91" s="3" t="s">
        <v>32</v>
      </c>
      <c r="P91" s="3" t="s">
        <v>33</v>
      </c>
      <c r="Q91" s="19" t="str">
        <f>HYPERLINK("file:///Sample files/Jamaica.pdf#Diapo 6#Diapo 6#Diapo 6#Diapo 6#Diapo 6#Diapo 6#Diapo 6#Diapo 6#Diapo 6#Diapo 6#Diapo 6#Diapo 6#Diapo 6#Diapo 6#Diapo 6#Diapo 6#Diapo 6#Diapo 6#Diapo 6#Diapo 6#Diapo 6#Diapo 6#Diapo 6#Diapo 6#Diapo 6#Diapo 6#Diapo 6#Diapo "&amp;"6#Diapo #Diapo%206%23Diapo%206%23Diapo%206%23Diapo%206%23Diapo%206%23Diapo%206%23Diapo%206%23Diapo%206%23Diapo%206%23Diapo%206%23Diapo%206%23Diapo%206%23Diapo%206%23Diapo%206%23Diapo%206%23Diapo%206%23Diapo%206%23Diapo%206%23Diapo%206%23Diapo%206%23Diapo%"&amp;"206%23Dia","2010")</f>
        <v>2010</v>
      </c>
      <c r="R91" s="3" t="str">
        <f t="shared" si="1"/>
        <v>No</v>
      </c>
      <c r="S91" s="3" t="str">
        <f t="shared" si="2"/>
        <v>No</v>
      </c>
      <c r="T91" s="3"/>
      <c r="U91" s="3"/>
      <c r="V91" s="3"/>
      <c r="W91" s="3"/>
      <c r="X91" s="3"/>
      <c r="Y91" s="3"/>
      <c r="Z91" s="3"/>
    </row>
    <row r="92" ht="12.75" customHeight="1">
      <c r="A92" s="3" t="s">
        <v>283</v>
      </c>
      <c r="B92" s="3" t="s">
        <v>284</v>
      </c>
      <c r="C92" s="26" t="s">
        <v>285</v>
      </c>
      <c r="D92" s="17" t="str">
        <f>HYPERLINK("http://www.mlit.go.jp/en/koku/index.html","www.mlit.go.jp")</f>
        <v>www.mlit.go.jp</v>
      </c>
      <c r="E92" s="17" t="str">
        <f>HYPERLINK("http://www.mlit.go.jp/k-toukei/syousaikensaku.html","http://www.mlit.go.jp/k-toukei/syousaikensaku.html")</f>
        <v>http://www.mlit.go.jp/k-toukei/syousaikensaku.html</v>
      </c>
      <c r="F92" s="3" t="s">
        <v>29</v>
      </c>
      <c r="G92" s="3" t="s">
        <v>30</v>
      </c>
      <c r="H92" s="3">
        <v>2010.0</v>
      </c>
      <c r="I92" s="21" t="s">
        <v>45</v>
      </c>
      <c r="J92" s="3" t="s">
        <v>58</v>
      </c>
      <c r="K92" s="3" t="s">
        <v>58</v>
      </c>
      <c r="L92" s="3" t="s">
        <v>22</v>
      </c>
      <c r="M92" s="3"/>
      <c r="N92" s="3" t="s">
        <v>29</v>
      </c>
      <c r="O92" s="3" t="s">
        <v>47</v>
      </c>
      <c r="P92" s="3" t="s">
        <v>48</v>
      </c>
      <c r="Q92" s="19" t="str">
        <f>HYPERLINK("file:///Sample files/Japan.pdf#Diapo 4#Diapo 4#Diapo 4#Diapo 4#Diapo 4#Diapo 4#Diapo 4#Diapo 4#Diapo 4#Diapo 4#Diapo 4#Diapo 4#Diapo 4#Diapo 4#Diapo 4#Diapo 4#Diapo 4#Diapo 4#Diapo 4#Diapo 4#Diapo 4#Diapo 4#Diapo 4#Diapo 4#Diapo 4#Diapo 4#Diapo 4#Diapo 4#"&amp;"Diapo 4##Diapo%204%23Diapo%204%23Diapo%204%23Diapo%204%23Diapo%204%23Diapo%204%23Diapo%204%23Diapo%204%23Diapo%204%23Diapo%204%23Diapo%204%23Diapo%204%23Diapo%204%23Diapo%204%23Diapo%204%23Diapo%204%23Diapo%204%23Diapo%204%23Diapo%204%23Diapo%204%23Diapo%"&amp;"204%23Dia","october 2016")</f>
        <v>october 2016</v>
      </c>
      <c r="R92" s="3" t="str">
        <f t="shared" si="1"/>
        <v>No</v>
      </c>
      <c r="S92" s="3" t="str">
        <f t="shared" si="2"/>
        <v>Yes</v>
      </c>
      <c r="T92" s="3"/>
      <c r="U92" s="3"/>
      <c r="V92" s="3"/>
      <c r="W92" s="3"/>
      <c r="X92" s="3"/>
      <c r="Y92" s="3"/>
      <c r="Z92" s="3"/>
    </row>
    <row r="93" ht="12.75" customHeight="1">
      <c r="A93" s="3" t="s">
        <v>286</v>
      </c>
      <c r="B93" s="3" t="s">
        <v>287</v>
      </c>
      <c r="C93" s="3"/>
      <c r="D93" s="17" t="str">
        <f>HYPERLINK("http://www.carc.jo/","www.carc.jo")</f>
        <v>www.carc.jo</v>
      </c>
      <c r="E93" s="19"/>
      <c r="F93" s="3" t="s">
        <v>22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 t="str">
        <f t="shared" si="1"/>
        <v>No</v>
      </c>
      <c r="S93" s="3" t="str">
        <f t="shared" si="2"/>
        <v>No</v>
      </c>
      <c r="T93" s="3"/>
      <c r="U93" s="3"/>
      <c r="V93" s="3"/>
      <c r="W93" s="3"/>
      <c r="X93" s="3"/>
      <c r="Y93" s="3"/>
      <c r="Z93" s="3"/>
    </row>
    <row r="94" ht="12.75" customHeight="1">
      <c r="A94" s="3" t="s">
        <v>288</v>
      </c>
      <c r="B94" s="3" t="s">
        <v>289</v>
      </c>
      <c r="C94" s="3" t="s">
        <v>290</v>
      </c>
      <c r="D94" s="17" t="str">
        <f>HYPERLINK("http://aviation.mid.gov.kz/en","http://aviation.mid.gov.kz/en")</f>
        <v>http://aviation.mid.gov.kz/en</v>
      </c>
      <c r="E94" s="19"/>
      <c r="F94" s="3" t="s">
        <v>22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 t="str">
        <f t="shared" si="1"/>
        <v>No</v>
      </c>
      <c r="S94" s="3" t="str">
        <f t="shared" si="2"/>
        <v>No</v>
      </c>
      <c r="T94" s="3"/>
      <c r="U94" s="3"/>
      <c r="V94" s="3"/>
      <c r="W94" s="3"/>
      <c r="X94" s="3"/>
      <c r="Y94" s="3"/>
      <c r="Z94" s="3"/>
    </row>
    <row r="95" ht="12.75" customHeight="1">
      <c r="A95" s="3" t="s">
        <v>291</v>
      </c>
      <c r="B95" s="3" t="s">
        <v>292</v>
      </c>
      <c r="C95" s="3"/>
      <c r="D95" s="17" t="str">
        <f>HYPERLINK("http://www.kcaa.or.ke/","www.kcaa.or.ke")</f>
        <v>www.kcaa.or.ke</v>
      </c>
      <c r="E95" s="19"/>
      <c r="F95" s="3" t="s">
        <v>22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 t="str">
        <f t="shared" si="1"/>
        <v>No</v>
      </c>
      <c r="S95" s="3" t="str">
        <f t="shared" si="2"/>
        <v>No</v>
      </c>
      <c r="T95" s="3"/>
      <c r="U95" s="3"/>
      <c r="V95" s="3"/>
      <c r="W95" s="3"/>
      <c r="X95" s="3"/>
      <c r="Y95" s="3"/>
      <c r="Z95" s="3"/>
    </row>
    <row r="96" ht="12.75" customHeight="1">
      <c r="A96" s="3" t="s">
        <v>293</v>
      </c>
      <c r="B96" s="3" t="s">
        <v>157</v>
      </c>
      <c r="C96" s="3"/>
      <c r="D96" s="17" t="str">
        <f>HYPERLINK("http://www.paso.aero/","www.paso.aero")</f>
        <v>www.paso.aero</v>
      </c>
      <c r="E96" s="19"/>
      <c r="F96" s="3" t="s">
        <v>22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 t="str">
        <f t="shared" si="1"/>
        <v>No</v>
      </c>
      <c r="S96" s="3" t="str">
        <f t="shared" si="2"/>
        <v>No</v>
      </c>
      <c r="T96" s="3"/>
      <c r="U96" s="3"/>
      <c r="V96" s="3"/>
      <c r="W96" s="3"/>
      <c r="X96" s="3"/>
      <c r="Y96" s="3"/>
      <c r="Z96" s="3"/>
    </row>
    <row r="97" ht="12.75" customHeight="1">
      <c r="A97" s="3" t="s">
        <v>294</v>
      </c>
      <c r="B97" s="3" t="s">
        <v>295</v>
      </c>
      <c r="C97" s="3" t="s">
        <v>296</v>
      </c>
      <c r="D97" s="17" t="str">
        <f>HYPERLINK("http://www.caa-ks.org/","www.caa-ks.org")</f>
        <v>www.caa-ks.org</v>
      </c>
      <c r="E97" s="19"/>
      <c r="F97" s="3" t="s">
        <v>22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 t="str">
        <f t="shared" si="1"/>
        <v>No</v>
      </c>
      <c r="S97" s="3" t="str">
        <f t="shared" si="2"/>
        <v>No</v>
      </c>
      <c r="T97" s="3"/>
      <c r="U97" s="3"/>
      <c r="V97" s="3"/>
      <c r="W97" s="3"/>
      <c r="X97" s="3"/>
      <c r="Y97" s="3"/>
      <c r="Z97" s="3"/>
    </row>
    <row r="98" ht="12.75" customHeight="1">
      <c r="A98" s="3" t="s">
        <v>297</v>
      </c>
      <c r="B98" s="3" t="s">
        <v>144</v>
      </c>
      <c r="C98" s="6" t="s">
        <v>298</v>
      </c>
      <c r="D98" s="17" t="str">
        <f>HYPERLINK("http://www.dgca.gov.kw/","www.dgca.gov.kw")</f>
        <v>www.dgca.gov.kw</v>
      </c>
      <c r="E98" s="17" t="str">
        <f>HYPERLINK("http://www.dgca.gov.kw/en/civil-aviation/media-and-info/statistics","http://www.dgca.gov.kw/en/civil-aviation/media-and-info/statistics")</f>
        <v>http://www.dgca.gov.kw/en/civil-aviation/media-and-info/statistics</v>
      </c>
      <c r="F98" s="3" t="s">
        <v>29</v>
      </c>
      <c r="G98" s="3" t="s">
        <v>44</v>
      </c>
      <c r="H98" s="3">
        <v>2014.0</v>
      </c>
      <c r="I98" s="3">
        <v>2015.0</v>
      </c>
      <c r="J98" s="3" t="s">
        <v>46</v>
      </c>
      <c r="K98" s="3" t="s">
        <v>22</v>
      </c>
      <c r="L98" s="3" t="s">
        <v>22</v>
      </c>
      <c r="M98" s="3" t="s">
        <v>31</v>
      </c>
      <c r="N98" s="3" t="s">
        <v>29</v>
      </c>
      <c r="O98" s="3" t="s">
        <v>47</v>
      </c>
      <c r="P98" s="3" t="s">
        <v>33</v>
      </c>
      <c r="Q98" s="19" t="str">
        <f>HYPERLINK("file:///Sample files/Kuwait.xls","2014-2015")</f>
        <v>2014-2015</v>
      </c>
      <c r="R98" s="3" t="str">
        <f t="shared" si="1"/>
        <v>No</v>
      </c>
      <c r="S98" s="3" t="str">
        <f t="shared" si="2"/>
        <v>No</v>
      </c>
      <c r="T98" s="3"/>
      <c r="U98" s="3"/>
      <c r="V98" s="3"/>
      <c r="W98" s="3"/>
      <c r="X98" s="3"/>
      <c r="Y98" s="3"/>
      <c r="Z98" s="3"/>
    </row>
    <row r="99" ht="12.75" customHeight="1">
      <c r="A99" s="3" t="s">
        <v>299</v>
      </c>
      <c r="B99" s="3" t="s">
        <v>300</v>
      </c>
      <c r="C99" s="3" t="s">
        <v>301</v>
      </c>
      <c r="D99" s="17" t="str">
        <f>HYPERLINK("http://www.caa.kg/","www.caa.kg")</f>
        <v>www.caa.kg</v>
      </c>
      <c r="E99" s="19"/>
      <c r="F99" s="3" t="s">
        <v>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 t="str">
        <f t="shared" si="1"/>
        <v>No</v>
      </c>
      <c r="S99" s="3" t="str">
        <f t="shared" si="2"/>
        <v>No</v>
      </c>
      <c r="T99" s="3"/>
      <c r="U99" s="3"/>
      <c r="V99" s="3"/>
      <c r="W99" s="3"/>
      <c r="X99" s="3"/>
      <c r="Y99" s="3"/>
      <c r="Z99" s="3"/>
    </row>
    <row r="100" ht="12.75" customHeight="1">
      <c r="A100" s="3" t="s">
        <v>302</v>
      </c>
      <c r="B100" s="3" t="s">
        <v>303</v>
      </c>
      <c r="C100" s="3"/>
      <c r="D100" s="3"/>
      <c r="E100" s="3"/>
      <c r="F100" s="3" t="s">
        <v>22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 t="str">
        <f t="shared" si="1"/>
        <v>No</v>
      </c>
      <c r="S100" s="3" t="str">
        <f t="shared" si="2"/>
        <v>No</v>
      </c>
      <c r="T100" s="3"/>
      <c r="U100" s="3"/>
      <c r="V100" s="3"/>
      <c r="W100" s="3"/>
      <c r="X100" s="3"/>
      <c r="Y100" s="3"/>
      <c r="Z100" s="3"/>
    </row>
    <row r="101" ht="12.75" customHeight="1">
      <c r="A101" s="3" t="s">
        <v>304</v>
      </c>
      <c r="B101" s="3" t="s">
        <v>305</v>
      </c>
      <c r="C101" s="3" t="s">
        <v>306</v>
      </c>
      <c r="D101" s="17" t="str">
        <f>HYPERLINK("http://www.caa.lv/","www.caa.lv")</f>
        <v>www.caa.lv</v>
      </c>
      <c r="E101" s="19"/>
      <c r="F101" s="3" t="s">
        <v>22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 t="str">
        <f t="shared" si="1"/>
        <v>No</v>
      </c>
      <c r="S101" s="3" t="str">
        <f t="shared" si="2"/>
        <v>No</v>
      </c>
      <c r="T101" s="3"/>
      <c r="U101" s="3"/>
      <c r="V101" s="3"/>
      <c r="W101" s="3"/>
      <c r="X101" s="3"/>
      <c r="Y101" s="3"/>
      <c r="Z101" s="3"/>
    </row>
    <row r="102" ht="12.75" customHeight="1">
      <c r="A102" s="3" t="s">
        <v>307</v>
      </c>
      <c r="B102" s="3" t="s">
        <v>308</v>
      </c>
      <c r="C102" s="6" t="s">
        <v>309</v>
      </c>
      <c r="D102" s="17" t="str">
        <f>HYPERLINK("http://www.dgca.gov.lb/","www.dgca.gov.lb")</f>
        <v>www.dgca.gov.lb</v>
      </c>
      <c r="E102" s="19"/>
      <c r="F102" s="3" t="s">
        <v>22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 t="str">
        <f t="shared" si="1"/>
        <v>No</v>
      </c>
      <c r="S102" s="3" t="str">
        <f t="shared" si="2"/>
        <v>No</v>
      </c>
      <c r="T102" s="3"/>
      <c r="U102" s="3"/>
      <c r="V102" s="3"/>
      <c r="W102" s="3"/>
      <c r="X102" s="3"/>
      <c r="Y102" s="3"/>
      <c r="Z102" s="3"/>
    </row>
    <row r="103" ht="12.75" customHeight="1">
      <c r="A103" s="3" t="s">
        <v>310</v>
      </c>
      <c r="B103" s="3" t="s">
        <v>311</v>
      </c>
      <c r="C103" s="3"/>
      <c r="D103" s="17" t="str">
        <f>HYPERLINK("http://www.civilair.org.ls/index.php","http://www.civilair.org.ls/index.php")</f>
        <v>http://www.civilair.org.ls/index.php</v>
      </c>
      <c r="E103" s="17" t="str">
        <f>HYPERLINK("http://www.civilair.org.ls/index.php?option=com_content&amp;view=article&amp;id=9&amp;Itemid=117","http://www.civilair.org.ls/index.php?option=com_content&amp;view=article&amp;id=9&amp;Itemid=117")</f>
        <v>http://www.civilair.org.ls/index.php?option=com_content&amp;view=article&amp;id=9&amp;Itemid=117</v>
      </c>
      <c r="F103" s="3" t="s">
        <v>29</v>
      </c>
      <c r="G103" s="3" t="s">
        <v>52</v>
      </c>
      <c r="H103" s="3">
        <v>2004.0</v>
      </c>
      <c r="I103" s="3">
        <v>2005.0</v>
      </c>
      <c r="J103" s="3" t="s">
        <v>46</v>
      </c>
      <c r="K103" s="3" t="s">
        <v>22</v>
      </c>
      <c r="L103" s="3" t="s">
        <v>22</v>
      </c>
      <c r="M103" s="3" t="s">
        <v>31</v>
      </c>
      <c r="N103" s="3" t="s">
        <v>29</v>
      </c>
      <c r="O103" s="3" t="s">
        <v>47</v>
      </c>
      <c r="P103" s="3" t="s">
        <v>33</v>
      </c>
      <c r="Q103" s="19" t="str">
        <f>HYPERLINK("file:///Sample files/Lesotho.png","2005")</f>
        <v>2005</v>
      </c>
      <c r="R103" s="3" t="str">
        <f t="shared" si="1"/>
        <v>No</v>
      </c>
      <c r="S103" s="3" t="str">
        <f t="shared" si="2"/>
        <v>No</v>
      </c>
      <c r="T103" s="3"/>
      <c r="U103" s="3"/>
      <c r="V103" s="3"/>
      <c r="W103" s="3"/>
      <c r="X103" s="3"/>
      <c r="Y103" s="3"/>
      <c r="Z103" s="3"/>
    </row>
    <row r="104" ht="12.75" customHeight="1">
      <c r="A104" s="3" t="s">
        <v>312</v>
      </c>
      <c r="B104" s="3" t="s">
        <v>313</v>
      </c>
      <c r="C104" s="3"/>
      <c r="D104" s="17" t="str">
        <f>HYPERLINK("http://www.liberiacaa.com/","http://www.liberiacaa.com/")</f>
        <v>http://www.liberiacaa.com/</v>
      </c>
      <c r="E104" s="17" t="str">
        <f>HYPERLINK("http://www.liberiacaa.com/DataAndResearch/AviationDataAndStatistics","http://www.liberiacaa.com/DataAndResearch/AviationDataAndStatistics")</f>
        <v>http://www.liberiacaa.com/DataAndResearch/AviationDataAndStatistics</v>
      </c>
      <c r="F104" s="3" t="s">
        <v>29</v>
      </c>
      <c r="G104" s="3" t="s">
        <v>30</v>
      </c>
      <c r="H104" s="3">
        <v>2008.0</v>
      </c>
      <c r="I104" s="3">
        <v>2011.0</v>
      </c>
      <c r="J104" s="3" t="s">
        <v>22</v>
      </c>
      <c r="K104" s="3" t="s">
        <v>22</v>
      </c>
      <c r="L104" s="3" t="s">
        <v>22</v>
      </c>
      <c r="M104" s="3" t="s">
        <v>31</v>
      </c>
      <c r="N104" s="3" t="s">
        <v>22</v>
      </c>
      <c r="O104" s="3" t="s">
        <v>32</v>
      </c>
      <c r="P104" s="3" t="s">
        <v>33</v>
      </c>
      <c r="Q104" s="19" t="str">
        <f>HYPERLINK("file:///Sample files/Liberia.pdf","2011")</f>
        <v>2011</v>
      </c>
      <c r="R104" s="3" t="str">
        <f t="shared" si="1"/>
        <v>No</v>
      </c>
      <c r="S104" s="3" t="str">
        <f t="shared" si="2"/>
        <v>No</v>
      </c>
      <c r="T104" s="3"/>
      <c r="U104" s="3"/>
      <c r="V104" s="3"/>
      <c r="W104" s="3"/>
      <c r="X104" s="3"/>
      <c r="Y104" s="3"/>
      <c r="Z104" s="3"/>
    </row>
    <row r="105" ht="12.75" customHeight="1">
      <c r="A105" s="3" t="s">
        <v>314</v>
      </c>
      <c r="B105" s="3" t="s">
        <v>315</v>
      </c>
      <c r="C105" s="6" t="s">
        <v>316</v>
      </c>
      <c r="D105" s="17" t="str">
        <f>HYPERLINK("http://caa.gov.ly/en/","http://caa.gov.ly/en/")</f>
        <v>http://caa.gov.ly/en/</v>
      </c>
      <c r="E105" s="19"/>
      <c r="F105" s="3" t="s">
        <v>22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 t="str">
        <f t="shared" si="1"/>
        <v>No</v>
      </c>
      <c r="S105" s="3" t="str">
        <f t="shared" si="2"/>
        <v>No</v>
      </c>
      <c r="T105" s="3"/>
      <c r="U105" s="3"/>
      <c r="V105" s="3"/>
      <c r="W105" s="3"/>
      <c r="X105" s="3"/>
      <c r="Y105" s="3"/>
      <c r="Z105" s="3"/>
    </row>
    <row r="106" ht="12.75" customHeight="1">
      <c r="A106" s="3" t="s">
        <v>317</v>
      </c>
      <c r="B106" s="3" t="s">
        <v>318</v>
      </c>
      <c r="C106" s="3"/>
      <c r="D106" s="3"/>
      <c r="E106" s="3"/>
      <c r="F106" s="3" t="s">
        <v>22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 t="str">
        <f t="shared" si="1"/>
        <v>No</v>
      </c>
      <c r="S106" s="3" t="str">
        <f t="shared" si="2"/>
        <v>No</v>
      </c>
      <c r="T106" s="3"/>
      <c r="U106" s="3"/>
      <c r="V106" s="3"/>
      <c r="W106" s="3"/>
      <c r="X106" s="3"/>
      <c r="Y106" s="3"/>
      <c r="Z106" s="3"/>
    </row>
    <row r="107" ht="12.75" customHeight="1">
      <c r="A107" s="3" t="s">
        <v>319</v>
      </c>
      <c r="B107" s="3" t="s">
        <v>320</v>
      </c>
      <c r="C107" s="3" t="s">
        <v>321</v>
      </c>
      <c r="D107" s="17" t="str">
        <f>HYPERLINK("http://www.caa.lt/","http://www.caa.lt")</f>
        <v>http://www.caa.lt</v>
      </c>
      <c r="E107" s="17" t="str">
        <f>HYPERLINK("http://www.caa.lt/index.php?137331322","http://www.caa.lt/index.php?137331322")</f>
        <v>http://www.caa.lt/index.php?137331322</v>
      </c>
      <c r="F107" s="3" t="s">
        <v>29</v>
      </c>
      <c r="G107" s="3" t="s">
        <v>30</v>
      </c>
      <c r="H107" s="3">
        <v>2008.0</v>
      </c>
      <c r="I107" s="3">
        <v>2015.0</v>
      </c>
      <c r="J107" s="3" t="s">
        <v>46</v>
      </c>
      <c r="K107" s="3" t="s">
        <v>22</v>
      </c>
      <c r="L107" s="3" t="s">
        <v>22</v>
      </c>
      <c r="M107" s="3" t="s">
        <v>31</v>
      </c>
      <c r="N107" s="3" t="s">
        <v>29</v>
      </c>
      <c r="O107" s="3" t="s">
        <v>32</v>
      </c>
      <c r="P107" s="3" t="s">
        <v>132</v>
      </c>
      <c r="Q107" s="19" t="str">
        <f>HYPERLINK("file:///Sample files/Lithuania.pdf#Diapo 3#Diapo 3#Diapo 3#Diapo 3#Diapo 3#Diapo 3#Diapo 3#Diapo 3#Diapo 3#Diapo 3#Diapo 3#Diapo 3#Diapo 3#Diapo 3#Diapo 3#Diapo 3#Diapo 3#Diapo 3#Diapo 3#Diapo 3#Diapo 3#Diapo 3#Diapo 3#Diapo 3#Diapo 3#Diapo 3#Diapo 3#Diap"&amp;"o 3#Diap#Diapo%203%23Diapo%203%23Diapo%203%23Diapo%203%23Diapo%203%23Diapo%203%23Diapo%203%23Diapo%203%23Diapo%203%23Diapo%203%23Diapo%203%23Diapo%203%23Diapo%203%23Diapo%203%23Diapo%203%23Diapo%203%23Diapo%203%23Diapo%203%23Diapo%203%23Diapo%203%23Diapo%"&amp;"203%23Dia","2015")</f>
        <v>2015</v>
      </c>
      <c r="R107" s="3" t="str">
        <f t="shared" si="1"/>
        <v>No</v>
      </c>
      <c r="S107" s="3" t="str">
        <f t="shared" si="2"/>
        <v>No</v>
      </c>
      <c r="T107" s="3"/>
      <c r="U107" s="3"/>
      <c r="V107" s="3"/>
      <c r="W107" s="3"/>
      <c r="X107" s="3"/>
      <c r="Y107" s="3"/>
      <c r="Z107" s="3"/>
    </row>
    <row r="108" ht="12.75" customHeight="1">
      <c r="A108" s="3" t="s">
        <v>322</v>
      </c>
      <c r="B108" s="3" t="s">
        <v>323</v>
      </c>
      <c r="C108" s="3" t="s">
        <v>324</v>
      </c>
      <c r="D108" s="17" t="str">
        <f>HYPERLINK("http://www.dac.public.lu/","www.dac.public.lu")</f>
        <v>www.dac.public.lu</v>
      </c>
      <c r="E108" s="19"/>
      <c r="F108" s="3" t="s">
        <v>22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 t="str">
        <f t="shared" si="1"/>
        <v>No</v>
      </c>
      <c r="S108" s="3" t="str">
        <f t="shared" si="2"/>
        <v>No</v>
      </c>
      <c r="T108" s="3"/>
      <c r="U108" s="3"/>
      <c r="V108" s="3"/>
      <c r="W108" s="3"/>
      <c r="X108" s="3"/>
      <c r="Y108" s="3"/>
      <c r="Z108" s="3"/>
    </row>
    <row r="109" ht="27.75" customHeight="1">
      <c r="A109" s="3" t="s">
        <v>325</v>
      </c>
      <c r="B109" s="3" t="s">
        <v>139</v>
      </c>
      <c r="C109" s="27" t="s">
        <v>326</v>
      </c>
      <c r="D109" s="17" t="str">
        <f>HYPERLINK("http://www.aacm.gov.mo/","http://www.aacm.gov.mo/")</f>
        <v>http://www.aacm.gov.mo/</v>
      </c>
      <c r="E109" s="19"/>
      <c r="F109" s="3" t="s">
        <v>22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 t="str">
        <f t="shared" si="1"/>
        <v>No</v>
      </c>
      <c r="S109" s="3" t="str">
        <f t="shared" si="2"/>
        <v>No</v>
      </c>
      <c r="T109" s="3"/>
      <c r="U109" s="3"/>
      <c r="V109" s="3"/>
      <c r="W109" s="3"/>
      <c r="X109" s="3"/>
      <c r="Y109" s="3"/>
      <c r="Z109" s="3"/>
    </row>
    <row r="110" ht="12.75" customHeight="1">
      <c r="A110" s="3" t="s">
        <v>327</v>
      </c>
      <c r="B110" s="3" t="s">
        <v>328</v>
      </c>
      <c r="C110" s="3" t="s">
        <v>329</v>
      </c>
      <c r="D110" s="17" t="str">
        <f>HYPERLINK("http://www.caa.gov.mk/en","http://www.caa.gov.mk/en")</f>
        <v>http://www.caa.gov.mk/en</v>
      </c>
      <c r="E110" s="17" t="str">
        <f>HYPERLINK("http://www.caa.gov.mk/184/Passengers_Statistics.html","http://www.caa.gov.mk/184/Passengers_Statistics.html")</f>
        <v>http://www.caa.gov.mk/184/Passengers_Statistics.html</v>
      </c>
      <c r="F110" s="3" t="s">
        <v>29</v>
      </c>
      <c r="G110" s="3" t="s">
        <v>30</v>
      </c>
      <c r="H110" s="3">
        <v>2010.0</v>
      </c>
      <c r="I110" s="3">
        <v>2014.0</v>
      </c>
      <c r="J110" s="3" t="s">
        <v>46</v>
      </c>
      <c r="K110" s="3" t="s">
        <v>22</v>
      </c>
      <c r="L110" s="3" t="s">
        <v>22</v>
      </c>
      <c r="M110" s="3" t="s">
        <v>31</v>
      </c>
      <c r="N110" s="3" t="s">
        <v>29</v>
      </c>
      <c r="O110" s="3" t="s">
        <v>32</v>
      </c>
      <c r="P110" s="3" t="s">
        <v>33</v>
      </c>
      <c r="Q110" s="19" t="str">
        <f>HYPERLINK("file:///Sample files/Macedonia.pdf#Diapo 3#Diapo 3#Diapo 3#Diapo 3#Diapo 3#Diapo 3#Diapo 3#Diapo 3#Diapo 3#Diapo 3#Diapo 3#Diapo 3#Diapo 3#Diapo 3#Diapo 3#Diapo 3#Diapo 3#Diapo 3#Diapo 3#Diapo 3#Diapo 3#Diapo 3#Diapo 3#Diapo 3#Diapo 3#Diapo 3#Diapo 3#Diap"&amp;"o 3#Diap#Diapo%203%23Diapo%203%23Diapo%203%23Diapo%203%23Diapo%203%23Diapo%203%23Diapo%203%23Diapo%203%23Diapo%203%23Diapo%203%23Diapo%203%23Diapo%203%23Diapo%203%23Diapo%203%23Diapo%203%23Diapo%203%23Diapo%203%23Diapo%203%23Diapo%203%23Diapo%203%23Diapo%"&amp;"203%23Dia","2014")</f>
        <v>2014</v>
      </c>
      <c r="R110" s="3" t="str">
        <f t="shared" si="1"/>
        <v>No</v>
      </c>
      <c r="S110" s="3" t="str">
        <f t="shared" si="2"/>
        <v>No</v>
      </c>
      <c r="T110" s="3"/>
      <c r="U110" s="3"/>
      <c r="V110" s="3"/>
      <c r="W110" s="3"/>
      <c r="X110" s="3"/>
      <c r="Y110" s="3"/>
      <c r="Z110" s="3"/>
    </row>
    <row r="111" ht="12.75" customHeight="1">
      <c r="A111" s="3" t="s">
        <v>347</v>
      </c>
      <c r="B111" s="3" t="s">
        <v>348</v>
      </c>
      <c r="C111" s="3" t="s">
        <v>349</v>
      </c>
      <c r="D111" s="17" t="str">
        <f>HYPERLINK("http://www.acm.mg/","www.acm.mg")</f>
        <v>www.acm.mg</v>
      </c>
      <c r="E111" s="17" t="str">
        <f>HYPERLINK("http://www.acm.mg/spip.php?rubrique13","http://www.acm.mg/spip.php?rubrique13")</f>
        <v>http://www.acm.mg/spip.php?rubrique13</v>
      </c>
      <c r="F111" s="3" t="s">
        <v>29</v>
      </c>
      <c r="G111" s="3" t="s">
        <v>30</v>
      </c>
      <c r="H111" s="3">
        <v>2014.0</v>
      </c>
      <c r="I111" s="3">
        <v>2015.0</v>
      </c>
      <c r="J111" s="3" t="s">
        <v>58</v>
      </c>
      <c r="K111" s="3" t="s">
        <v>22</v>
      </c>
      <c r="L111" s="3" t="s">
        <v>22</v>
      </c>
      <c r="M111" s="3" t="s">
        <v>31</v>
      </c>
      <c r="N111" s="3" t="s">
        <v>29</v>
      </c>
      <c r="O111" s="3" t="s">
        <v>47</v>
      </c>
      <c r="P111" s="3" t="s">
        <v>33</v>
      </c>
      <c r="Q111" s="19" t="str">
        <f>HYPERLINK("file:///Sample files/Madagascar.pdf","mars 2015")</f>
        <v>mars 2015</v>
      </c>
      <c r="R111" s="3" t="str">
        <f t="shared" si="1"/>
        <v>No</v>
      </c>
      <c r="S111" s="3" t="str">
        <f t="shared" si="2"/>
        <v>No</v>
      </c>
      <c r="T111" s="3"/>
      <c r="U111" s="3"/>
      <c r="V111" s="3"/>
      <c r="W111" s="3"/>
      <c r="X111" s="3"/>
      <c r="Y111" s="3"/>
      <c r="Z111" s="3"/>
    </row>
    <row r="112" ht="12.75" customHeight="1">
      <c r="A112" s="3" t="s">
        <v>350</v>
      </c>
      <c r="B112" s="3" t="s">
        <v>351</v>
      </c>
      <c r="C112" s="3"/>
      <c r="D112" s="17" t="str">
        <f>HYPERLINK("http://www.motpwh.gov.mw/","http://www.motpwh.gov.mw/")</f>
        <v>http://www.motpwh.gov.mw/</v>
      </c>
      <c r="E112" s="19"/>
      <c r="F112" s="3" t="s">
        <v>22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 t="str">
        <f t="shared" si="1"/>
        <v>No</v>
      </c>
      <c r="S112" s="3" t="str">
        <f t="shared" si="2"/>
        <v>No</v>
      </c>
      <c r="T112" s="3"/>
      <c r="U112" s="3"/>
      <c r="V112" s="3"/>
      <c r="W112" s="3"/>
      <c r="X112" s="3"/>
      <c r="Y112" s="3"/>
      <c r="Z112" s="3"/>
    </row>
    <row r="113" ht="12.75" customHeight="1">
      <c r="A113" s="3" t="s">
        <v>352</v>
      </c>
      <c r="B113" s="3" t="s">
        <v>353</v>
      </c>
      <c r="C113" s="3" t="s">
        <v>354</v>
      </c>
      <c r="D113" s="17" t="str">
        <f>HYPERLINK("http://www.dca.gov.my/","www.dca.gov.my")</f>
        <v>www.dca.gov.my</v>
      </c>
      <c r="E113" s="17" t="str">
        <f>HYPERLINK("http://www.mot.gov.my/en/resources/yearly-statistic","http://www.mot.gov.my/en/resources/yearly-statistic")</f>
        <v>http://www.mot.gov.my/en/resources/yearly-statistic</v>
      </c>
      <c r="F113" s="3" t="s">
        <v>29</v>
      </c>
      <c r="G113" s="3" t="s">
        <v>30</v>
      </c>
      <c r="H113" s="3">
        <v>2008.0</v>
      </c>
      <c r="I113" s="3">
        <v>2015.0</v>
      </c>
      <c r="J113" s="3" t="s">
        <v>58</v>
      </c>
      <c r="K113" s="3" t="s">
        <v>22</v>
      </c>
      <c r="L113" s="3" t="s">
        <v>22</v>
      </c>
      <c r="M113" s="3" t="s">
        <v>31</v>
      </c>
      <c r="N113" s="3" t="s">
        <v>22</v>
      </c>
      <c r="O113" s="3" t="s">
        <v>32</v>
      </c>
      <c r="P113" s="3" t="s">
        <v>132</v>
      </c>
      <c r="Q113" s="19" t="str">
        <f>HYPERLINK("file:///Sample files/Malaysia.pdf#Diapo 89#Diapo 89#Diapo 89#Diapo 89#Diapo 89#Diapo 89#Diapo 89#Diapo 89#Diapo 89#Diapo 89#Diapo 89#Diapo 89#Diapo 89#Diapo 89#Diapo 89#Diapo 89#Diapo 89#Diapo 89#Diapo 89#Diapo 89#Diapo 89#Diapo 89#Diapo 89#Diapo 89#Diapo"&amp;" 89#Diap#Diapo%2089%23Diapo%2089%23Diapo%2089%23Diapo%2089%23Diapo%2089%23Diapo%2089%23Diapo%2089%23Diapo%2089%23Diapo%2089%23Diapo%2089%23Diapo%2089%23Diapo%2089%23Diapo%2089%23Diapo%2089%23Diapo%2089%23Diapo%2089%23Diapo%2089%23Diapo%2089%23Diapo%2089%2"&amp;"3Diapo%20","2015")</f>
        <v>2015</v>
      </c>
      <c r="R113" s="3" t="str">
        <f t="shared" si="1"/>
        <v>No</v>
      </c>
      <c r="S113" s="3" t="str">
        <f t="shared" si="2"/>
        <v>No</v>
      </c>
      <c r="T113" s="3"/>
      <c r="U113" s="3"/>
      <c r="V113" s="3"/>
      <c r="W113" s="3"/>
      <c r="X113" s="3"/>
      <c r="Y113" s="3"/>
      <c r="Z113" s="3"/>
    </row>
    <row r="114" ht="12.75" customHeight="1">
      <c r="A114" s="3" t="s">
        <v>355</v>
      </c>
      <c r="B114" s="3" t="s">
        <v>356</v>
      </c>
      <c r="C114" s="3"/>
      <c r="D114" s="17" t="str">
        <f>HYPERLINK("http://www.aviainfo.gov.mv/","www.aviainfo.gov.mv")</f>
        <v>www.aviainfo.gov.mv</v>
      </c>
      <c r="E114" s="19"/>
      <c r="F114" s="3" t="s">
        <v>22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 t="str">
        <f t="shared" si="1"/>
        <v>No</v>
      </c>
      <c r="S114" s="3" t="str">
        <f t="shared" si="2"/>
        <v>No</v>
      </c>
      <c r="T114" s="3"/>
      <c r="U114" s="3"/>
      <c r="V114" s="3"/>
      <c r="W114" s="3"/>
      <c r="X114" s="3"/>
      <c r="Y114" s="3"/>
      <c r="Z114" s="3"/>
    </row>
    <row r="115" ht="12.75" customHeight="1">
      <c r="A115" s="3" t="s">
        <v>357</v>
      </c>
      <c r="B115" s="3" t="s">
        <v>358</v>
      </c>
      <c r="C115" s="3" t="s">
        <v>359</v>
      </c>
      <c r="D115" s="17" t="str">
        <f>HYPERLINK("http://www.transport.gov.mt/aviation/civil-aviation-directorate","www.transport.gov.mt/aviation/civil-aviation-directorate")</f>
        <v>www.transport.gov.mt/aviation/civil-aviation-directorate</v>
      </c>
      <c r="E115" s="19"/>
      <c r="F115" s="3" t="s">
        <v>22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 t="str">
        <f t="shared" si="1"/>
        <v>No</v>
      </c>
      <c r="S115" s="3" t="str">
        <f t="shared" si="2"/>
        <v>No</v>
      </c>
      <c r="T115" s="3"/>
      <c r="U115" s="3"/>
      <c r="V115" s="3"/>
      <c r="W115" s="3"/>
      <c r="X115" s="3"/>
      <c r="Y115" s="3"/>
      <c r="Z115" s="3"/>
    </row>
    <row r="116" ht="12.75" customHeight="1">
      <c r="A116" s="3" t="s">
        <v>360</v>
      </c>
      <c r="B116" s="3" t="s">
        <v>361</v>
      </c>
      <c r="C116" s="3"/>
      <c r="D116" s="17" t="str">
        <f>HYPERLINK("http://rmipa.com/airports/","rmipa.com/airports/")</f>
        <v>rmipa.com/airports/</v>
      </c>
      <c r="E116" s="19"/>
      <c r="F116" s="3" t="s">
        <v>22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 t="str">
        <f t="shared" si="1"/>
        <v>No</v>
      </c>
      <c r="S116" s="3" t="str">
        <f t="shared" si="2"/>
        <v>No</v>
      </c>
      <c r="T116" s="3"/>
      <c r="U116" s="3"/>
      <c r="V116" s="3"/>
      <c r="W116" s="3"/>
      <c r="X116" s="3"/>
      <c r="Y116" s="3"/>
      <c r="Z116" s="3"/>
    </row>
    <row r="117" ht="12.75" customHeight="1">
      <c r="A117" s="3" t="s">
        <v>362</v>
      </c>
      <c r="B117" s="3" t="s">
        <v>89</v>
      </c>
      <c r="C117" s="3" t="s">
        <v>363</v>
      </c>
      <c r="D117" s="17" t="str">
        <f>HYPERLINK("http://w3.anac.mr/","w3.anac.mr")</f>
        <v>w3.anac.mr</v>
      </c>
      <c r="E117" s="19"/>
      <c r="F117" s="3" t="s">
        <v>22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 t="str">
        <f t="shared" si="1"/>
        <v>No</v>
      </c>
      <c r="S117" s="3" t="str">
        <f t="shared" si="2"/>
        <v>No</v>
      </c>
      <c r="T117" s="3"/>
      <c r="U117" s="3"/>
      <c r="V117" s="3"/>
      <c r="W117" s="3"/>
      <c r="X117" s="3"/>
      <c r="Y117" s="3"/>
      <c r="Z117" s="3"/>
    </row>
    <row r="118" ht="12.75" customHeight="1">
      <c r="A118" s="3" t="s">
        <v>364</v>
      </c>
      <c r="B118" s="3" t="s">
        <v>365</v>
      </c>
      <c r="C118" s="3" t="s">
        <v>366</v>
      </c>
      <c r="D118" s="17" t="str">
        <f>HYPERLINK("http://civil-aviation.govmu.org/","civil-aviation.govmu.org")</f>
        <v>civil-aviation.govmu.org</v>
      </c>
      <c r="E118" s="17" t="str">
        <f>HYPERLINK("http://statsmauritius.govmu.org/English/StatsbySubj/Pages/INTERNATIONAL-TRAVEL-and-TOURISM.aspx","http://statsmauritius.govmu.org/English/StatsbySubj/Pages/INTERNATIONAL-TRAVEL-and-TOURISM.aspx")</f>
        <v>http://statsmauritius.govmu.org/English/StatsbySubj/Pages/INTERNATIONAL-TRAVEL-and-TOURISM.aspx</v>
      </c>
      <c r="F118" s="3" t="s">
        <v>29</v>
      </c>
      <c r="G118" s="3" t="s">
        <v>85</v>
      </c>
      <c r="H118" s="3">
        <v>2014.0</v>
      </c>
      <c r="I118" s="21" t="s">
        <v>45</v>
      </c>
      <c r="J118" s="3" t="s">
        <v>22</v>
      </c>
      <c r="K118" s="3" t="s">
        <v>22</v>
      </c>
      <c r="L118" s="3" t="s">
        <v>22</v>
      </c>
      <c r="M118" s="3" t="s">
        <v>31</v>
      </c>
      <c r="N118" s="3" t="s">
        <v>29</v>
      </c>
      <c r="O118" s="3" t="s">
        <v>47</v>
      </c>
      <c r="P118" s="3" t="s">
        <v>60</v>
      </c>
      <c r="Q118" s="19" t="str">
        <f>HYPERLINK("file:///Sample files/Mauritius.xls#Table1#Table1#Table1#Table1#Table1#Table1#Table1#Table1#Table1#Table1#Table1#Table1#Table1#Table1#Table1#Table1#Table1#Table1#Table1#Table1#Table1#Table1#Table1#Table1#Table1#Table1#Table1#Table1#Table1#Table1#Table1#Tab"&amp;"le1#Tabl#Table1%23Table1%23Table1%23Table1%23Table1%23Table1%23Table1%23Table1%23Table1%23Table1%23Table1%23Table1%23Table1%23Table1%23Table1%23Table1%23Table1%23Table1%23Table1%23Table1%23Table1%23Table1%23Table1%23Table1%23Table1%23Table1%23Table1%23Tab"&amp;"le1%23Tab","2016 up to september")</f>
        <v>2016 up to september</v>
      </c>
      <c r="R118" s="3" t="str">
        <f t="shared" si="1"/>
        <v>No</v>
      </c>
      <c r="S118" s="3" t="str">
        <f t="shared" si="2"/>
        <v>No</v>
      </c>
      <c r="T118" s="3"/>
      <c r="U118" s="3"/>
      <c r="V118" s="3"/>
      <c r="W118" s="3"/>
      <c r="X118" s="3"/>
      <c r="Y118" s="3"/>
      <c r="Z118" s="3"/>
    </row>
    <row r="119" ht="12.75" customHeight="1">
      <c r="A119" s="3" t="s">
        <v>367</v>
      </c>
      <c r="B119" s="3" t="s">
        <v>368</v>
      </c>
      <c r="C119" s="3" t="s">
        <v>98</v>
      </c>
      <c r="D119" s="17" t="str">
        <f>HYPERLINK("http://sct.gob.mx/transporte-y-medicina-preventiva/aeronautica-civil/","sct.gob.mx/transporte-y-medicina-preventiva/aeronautica-civil/")</f>
        <v>sct.gob.mx/transporte-y-medicina-preventiva/aeronautica-civil/</v>
      </c>
      <c r="E119" s="17" t="str">
        <f>HYPERLINK("http://www.sct.gob.mx/transporte-y-medicina-preventiva/aeronautica-civil/5-estadisticas/53-estadistica-operacional-de-aerolineas-air-carrier-operational-statistics/","http://www.sct.gob.mx/transporte-y-medicina-preventiva/aeronautica-civil/5-estadisticas/53-estadistica-operacional-de-aerolineas-air-carrier-operational-statistics/")</f>
        <v>http://www.sct.gob.mx/transporte-y-medicina-preventiva/aeronautica-civil/5-estadisticas/53-estadistica-operacional-de-aerolineas-air-carrier-operational-statistics/</v>
      </c>
      <c r="F119" s="3" t="s">
        <v>29</v>
      </c>
      <c r="G119" s="3" t="s">
        <v>85</v>
      </c>
      <c r="H119" s="3">
        <v>1992.0</v>
      </c>
      <c r="I119" s="21" t="s">
        <v>45</v>
      </c>
      <c r="J119" s="3" t="s">
        <v>58</v>
      </c>
      <c r="K119" s="3" t="s">
        <v>58</v>
      </c>
      <c r="L119" s="3" t="s">
        <v>22</v>
      </c>
      <c r="M119" s="3" t="s">
        <v>59</v>
      </c>
      <c r="N119" s="3" t="s">
        <v>29</v>
      </c>
      <c r="O119" s="3" t="s">
        <v>47</v>
      </c>
      <c r="P119" s="3" t="s">
        <v>110</v>
      </c>
      <c r="Q119" s="19" t="str">
        <f>HYPERLINK("file:///Sample files/sase-2016-nov.xlsx","2016 up to november")</f>
        <v>2016 up to november</v>
      </c>
      <c r="R119" s="3" t="str">
        <f t="shared" si="1"/>
        <v>No</v>
      </c>
      <c r="S119" s="3" t="str">
        <f t="shared" si="2"/>
        <v>Yes</v>
      </c>
      <c r="T119" s="3"/>
      <c r="U119" s="3"/>
      <c r="V119" s="3"/>
      <c r="W119" s="3"/>
      <c r="X119" s="3"/>
      <c r="Y119" s="3"/>
      <c r="Z119" s="3"/>
    </row>
    <row r="120" ht="12.75" customHeight="1">
      <c r="A120" s="3" t="s">
        <v>369</v>
      </c>
      <c r="B120" s="3" t="s">
        <v>370</v>
      </c>
      <c r="C120" s="3"/>
      <c r="D120" s="17" t="str">
        <f>HYPERLINK("http://www.ict.fm/civilaviation/index.html","http://www.ict.fm/civilaviation/index.html")</f>
        <v>http://www.ict.fm/civilaviation/index.html</v>
      </c>
      <c r="E120" s="19"/>
      <c r="F120" s="3" t="s">
        <v>22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19"/>
      <c r="R120" s="3" t="str">
        <f t="shared" si="1"/>
        <v>No</v>
      </c>
      <c r="S120" s="3" t="str">
        <f t="shared" si="2"/>
        <v>No</v>
      </c>
      <c r="T120" s="3"/>
      <c r="U120" s="3"/>
      <c r="V120" s="3"/>
      <c r="W120" s="3"/>
      <c r="X120" s="3"/>
      <c r="Y120" s="3"/>
      <c r="Z120" s="3"/>
    </row>
    <row r="121" ht="12.75" customHeight="1">
      <c r="A121" s="3" t="s">
        <v>371</v>
      </c>
      <c r="B121" s="3" t="s">
        <v>372</v>
      </c>
      <c r="C121" s="3" t="s">
        <v>373</v>
      </c>
      <c r="D121" s="17" t="str">
        <f>HYPERLINK("http://en.caa.md/","en.caa.md")</f>
        <v>en.caa.md</v>
      </c>
      <c r="E121" s="17" t="str">
        <f>HYPERLINK("http://www.caa.md/eng/statistics/","http://www.caa.md/eng/statistics/")</f>
        <v>http://www.caa.md/eng/statistics/</v>
      </c>
      <c r="F121" s="3" t="s">
        <v>29</v>
      </c>
      <c r="G121" s="3" t="s">
        <v>30</v>
      </c>
      <c r="H121" s="3">
        <v>2003.0</v>
      </c>
      <c r="I121" s="3">
        <v>2015.0</v>
      </c>
      <c r="J121" s="3" t="s">
        <v>22</v>
      </c>
      <c r="K121" s="3" t="s">
        <v>22</v>
      </c>
      <c r="L121" s="3" t="s">
        <v>22</v>
      </c>
      <c r="M121" s="3" t="s">
        <v>31</v>
      </c>
      <c r="N121" s="3" t="s">
        <v>22</v>
      </c>
      <c r="O121" s="3" t="s">
        <v>32</v>
      </c>
      <c r="P121" s="3" t="s">
        <v>132</v>
      </c>
      <c r="Q121" s="19" t="str">
        <f>HYPERLINK("file:///Sample files/Moldova.pdf","2015")</f>
        <v>2015</v>
      </c>
      <c r="R121" s="3" t="str">
        <f t="shared" si="1"/>
        <v>No</v>
      </c>
      <c r="S121" s="3" t="str">
        <f t="shared" si="2"/>
        <v>No</v>
      </c>
      <c r="T121" s="3"/>
      <c r="U121" s="3"/>
      <c r="V121" s="3"/>
      <c r="W121" s="3"/>
      <c r="X121" s="3"/>
      <c r="Y121" s="3"/>
      <c r="Z121" s="3"/>
    </row>
    <row r="122" ht="12.75" customHeight="1">
      <c r="A122" s="3" t="s">
        <v>374</v>
      </c>
      <c r="B122" s="3" t="s">
        <v>375</v>
      </c>
      <c r="C122" s="3" t="s">
        <v>376</v>
      </c>
      <c r="D122" s="17" t="str">
        <f>HYPERLINK("http://en.gouv.mc/Government-Institutions/The-Government/Ministry-of-Public-Works-the-Environment-and-Urban-Development/Civil-Aviation-Authority","en.gouv.mc/Civil-Aviation-Authority")</f>
        <v>en.gouv.mc/Civil-Aviation-Authority</v>
      </c>
      <c r="E122" s="19"/>
      <c r="F122" s="3" t="s">
        <v>22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 t="str">
        <f t="shared" si="1"/>
        <v>No</v>
      </c>
      <c r="S122" s="3" t="str">
        <f t="shared" si="2"/>
        <v>No</v>
      </c>
      <c r="T122" s="3"/>
      <c r="U122" s="3"/>
      <c r="V122" s="3"/>
      <c r="W122" s="3"/>
      <c r="X122" s="3"/>
      <c r="Y122" s="3"/>
      <c r="Z122" s="3"/>
    </row>
    <row r="123" ht="12.75" customHeight="1">
      <c r="A123" s="3" t="s">
        <v>377</v>
      </c>
      <c r="B123" s="3" t="s">
        <v>378</v>
      </c>
      <c r="C123" s="3" t="s">
        <v>379</v>
      </c>
      <c r="D123" s="17" t="str">
        <f>HYPERLINK("http://www.mcaa.gov.mn/","http://www.mcaa.gov.mn/")</f>
        <v>http://www.mcaa.gov.mn/</v>
      </c>
      <c r="E123" s="3"/>
      <c r="F123" s="3" t="s">
        <v>22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 t="str">
        <f t="shared" si="1"/>
        <v>No</v>
      </c>
      <c r="S123" s="3" t="str">
        <f t="shared" si="2"/>
        <v>No</v>
      </c>
      <c r="T123" s="3"/>
      <c r="U123" s="3"/>
      <c r="V123" s="3"/>
      <c r="W123" s="3"/>
      <c r="X123" s="3"/>
      <c r="Y123" s="3"/>
      <c r="Z123" s="3"/>
    </row>
    <row r="124" ht="12.75" customHeight="1">
      <c r="A124" s="3" t="s">
        <v>380</v>
      </c>
      <c r="B124" s="3" t="s">
        <v>381</v>
      </c>
      <c r="C124" s="3" t="s">
        <v>382</v>
      </c>
      <c r="D124" s="17" t="str">
        <f>HYPERLINK("http://www.caa.me/","www.caa.me")</f>
        <v>www.caa.me</v>
      </c>
      <c r="E124" s="19"/>
      <c r="F124" s="3" t="s">
        <v>22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 t="str">
        <f t="shared" si="1"/>
        <v>No</v>
      </c>
      <c r="S124" s="3" t="str">
        <f t="shared" si="2"/>
        <v>No</v>
      </c>
      <c r="T124" s="3"/>
      <c r="U124" s="3"/>
      <c r="V124" s="3"/>
      <c r="W124" s="3"/>
      <c r="X124" s="3"/>
      <c r="Y124" s="3"/>
      <c r="Z124" s="3"/>
    </row>
    <row r="125" ht="12.75" customHeight="1">
      <c r="A125" s="3" t="s">
        <v>383</v>
      </c>
      <c r="B125" s="3"/>
      <c r="C125" s="3" t="s">
        <v>384</v>
      </c>
      <c r="D125" s="17" t="str">
        <f>HYPERLINK("http://www.dac-maroc.gov.ma/","http://www.dac-maroc.gov.ma/")</f>
        <v>http://www.dac-maroc.gov.ma/</v>
      </c>
      <c r="E125" s="17" t="str">
        <f>HYPERLINK("http://www.onda.ma/Je-suis-Professionnel/Compagnies/Statistiques","http://www.onda.ma/Je-suis-Professionnel/Compagnies/Statistiques")</f>
        <v>http://www.onda.ma/Je-suis-Professionnel/Compagnies/Statistiques</v>
      </c>
      <c r="F125" s="3" t="s">
        <v>29</v>
      </c>
      <c r="G125" s="3" t="s">
        <v>30</v>
      </c>
      <c r="H125" s="3">
        <v>2011.0</v>
      </c>
      <c r="I125" s="21" t="s">
        <v>45</v>
      </c>
      <c r="J125" s="3" t="s">
        <v>58</v>
      </c>
      <c r="K125" s="3" t="s">
        <v>22</v>
      </c>
      <c r="L125" s="3" t="s">
        <v>22</v>
      </c>
      <c r="M125" s="3" t="s">
        <v>31</v>
      </c>
      <c r="N125" s="3" t="s">
        <v>29</v>
      </c>
      <c r="O125" s="3" t="s">
        <v>385</v>
      </c>
      <c r="P125" s="3" t="s">
        <v>342</v>
      </c>
      <c r="Q125" s="19" t="str">
        <f>HYPERLINK("file:///Sample files/Morocco.pdf","Q2 2016")</f>
        <v>Q2 2016</v>
      </c>
      <c r="R125" s="3" t="str">
        <f t="shared" si="1"/>
        <v>No</v>
      </c>
      <c r="S125" s="3" t="str">
        <f t="shared" si="2"/>
        <v>No</v>
      </c>
      <c r="T125" s="3"/>
      <c r="U125" s="3"/>
      <c r="V125" s="3"/>
      <c r="W125" s="3"/>
      <c r="X125" s="3"/>
      <c r="Y125" s="3"/>
      <c r="Z125" s="3"/>
    </row>
    <row r="126" ht="12.75" customHeight="1">
      <c r="A126" s="3" t="s">
        <v>386</v>
      </c>
      <c r="B126" s="3" t="s">
        <v>387</v>
      </c>
      <c r="C126" s="3" t="s">
        <v>388</v>
      </c>
      <c r="D126" s="17" t="str">
        <f>HYPERLINK("http://www.iacm.gov.mz/","www.iacm.gov.mz")</f>
        <v>www.iacm.gov.mz</v>
      </c>
      <c r="E126" s="19"/>
      <c r="F126" s="3" t="s">
        <v>22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 t="str">
        <f t="shared" si="1"/>
        <v>No</v>
      </c>
      <c r="S126" s="3" t="str">
        <f t="shared" si="2"/>
        <v>No</v>
      </c>
      <c r="T126" s="3"/>
      <c r="U126" s="3"/>
      <c r="V126" s="3"/>
      <c r="W126" s="3"/>
      <c r="X126" s="3"/>
      <c r="Y126" s="3"/>
      <c r="Z126" s="3"/>
    </row>
    <row r="127" ht="12.75" customHeight="1">
      <c r="A127" s="3" t="s">
        <v>389</v>
      </c>
      <c r="B127" s="3" t="s">
        <v>390</v>
      </c>
      <c r="C127" s="22" t="s">
        <v>391</v>
      </c>
      <c r="D127" s="17" t="str">
        <f>HYPERLINK("http://www.mot.gov.mm/dca/index.html","www.mot.gov.mm")</f>
        <v>www.mot.gov.mm</v>
      </c>
      <c r="E127" s="17" t="str">
        <f>HYPERLINK("http://www.dca.gov.mm/air-transport/statistical-data","http://www.dca.gov.mm/air-transport/statistical-data")</f>
        <v>http://www.dca.gov.mm/air-transport/statistical-data</v>
      </c>
      <c r="F127" s="3" t="s">
        <v>22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 t="str">
        <f t="shared" si="1"/>
        <v>No</v>
      </c>
      <c r="S127" s="3" t="str">
        <f t="shared" si="2"/>
        <v>No</v>
      </c>
      <c r="T127" s="3"/>
      <c r="U127" s="3"/>
      <c r="V127" s="3"/>
      <c r="W127" s="3"/>
      <c r="X127" s="3"/>
      <c r="Y127" s="3"/>
      <c r="Z127" s="3"/>
    </row>
    <row r="128" ht="12.75" customHeight="1">
      <c r="A128" s="3" t="s">
        <v>392</v>
      </c>
      <c r="B128" s="3" t="s">
        <v>393</v>
      </c>
      <c r="C128" s="3"/>
      <c r="D128" s="17" t="str">
        <f>HYPERLINK("http://www.dca.com.na/","www.dca.com.na")</f>
        <v>www.dca.com.na</v>
      </c>
      <c r="E128" s="19"/>
      <c r="F128" s="3" t="s">
        <v>22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 t="str">
        <f t="shared" si="1"/>
        <v>No</v>
      </c>
      <c r="S128" s="3" t="str">
        <f t="shared" si="2"/>
        <v>No</v>
      </c>
      <c r="T128" s="3"/>
      <c r="U128" s="3"/>
      <c r="V128" s="3"/>
      <c r="W128" s="3"/>
      <c r="X128" s="3"/>
      <c r="Y128" s="3"/>
      <c r="Z128" s="3"/>
    </row>
    <row r="129" ht="12.75" customHeight="1">
      <c r="A129" s="3" t="s">
        <v>394</v>
      </c>
      <c r="B129" s="3" t="s">
        <v>157</v>
      </c>
      <c r="C129" s="3"/>
      <c r="D129" s="17" t="str">
        <f>HYPERLINK("http://www.paso.aero/","www.paso.aero")</f>
        <v>www.paso.aero</v>
      </c>
      <c r="E129" s="19"/>
      <c r="F129" s="3" t="s">
        <v>22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 t="str">
        <f t="shared" si="1"/>
        <v>No</v>
      </c>
      <c r="S129" s="3" t="str">
        <f t="shared" si="2"/>
        <v>No</v>
      </c>
      <c r="T129" s="3"/>
      <c r="U129" s="3"/>
      <c r="V129" s="3"/>
      <c r="W129" s="3"/>
      <c r="X129" s="3"/>
      <c r="Y129" s="3"/>
      <c r="Z129" s="3"/>
    </row>
    <row r="130" ht="12.75" customHeight="1">
      <c r="A130" s="3" t="s">
        <v>395</v>
      </c>
      <c r="B130" s="3" t="s">
        <v>396</v>
      </c>
      <c r="C130" s="22" t="s">
        <v>397</v>
      </c>
      <c r="D130" s="17" t="str">
        <f>HYPERLINK("http://www.caanepal.org.np/","www.caanepal.org.np")</f>
        <v>www.caanepal.org.np</v>
      </c>
      <c r="E130" s="19"/>
      <c r="F130" s="3" t="s">
        <v>22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 t="str">
        <f t="shared" si="1"/>
        <v>No</v>
      </c>
      <c r="S130" s="3" t="str">
        <f t="shared" si="2"/>
        <v>No</v>
      </c>
      <c r="T130" s="3"/>
      <c r="U130" s="3"/>
      <c r="V130" s="3"/>
      <c r="W130" s="3"/>
      <c r="X130" s="3"/>
      <c r="Y130" s="3"/>
      <c r="Z130" s="3"/>
    </row>
    <row r="131" ht="12.75" customHeight="1">
      <c r="A131" s="3" t="s">
        <v>398</v>
      </c>
      <c r="B131" s="3" t="s">
        <v>399</v>
      </c>
      <c r="C131" s="3" t="s">
        <v>400</v>
      </c>
      <c r="D131" s="17" t="str">
        <f>HYPERLINK("http://www.ilent.nl/onderwerpen/transport/luchtvaart/","www.ilent.nl/onderwerpen/transport/luchtvaart/")</f>
        <v>www.ilent.nl/onderwerpen/transport/luchtvaart/</v>
      </c>
      <c r="E131" s="17" t="str">
        <f>HYPERLINK("http://statline.cbs.nl/statweb/publication/?vw=t&amp;dm=slen&amp;pa=37478eng&amp;d1=0-2,11,42,45,48,73&amp;d2=a&amp;d3=l&amp;hd=090515-1520&amp;la=en&amp;hdr=g2,t&amp;stb=g1","http://statline.cbs.nl/statweb/publication/?vw=t&amp;dm=slen&amp;pa=37478eng&amp;d1=0-2,11,42,45,48,73&amp;d2=a&amp;d3=l&amp;hd=090515-1520&amp;la=en&amp;hdr=g2,t&amp;stb=g1")</f>
        <v>http://statline.cbs.nl/statweb/publication/?vw=t&amp;dm=slen&amp;pa=37478eng&amp;d1=0-2,11,42,45,48,73&amp;d2=a&amp;d3=l&amp;hd=090515-1520&amp;la=en&amp;hdr=g2,t&amp;stb=g1</v>
      </c>
      <c r="F131" s="3" t="s">
        <v>29</v>
      </c>
      <c r="G131" s="3" t="s">
        <v>131</v>
      </c>
      <c r="H131" s="3">
        <v>1999.0</v>
      </c>
      <c r="I131" s="21" t="s">
        <v>45</v>
      </c>
      <c r="J131" s="3" t="s">
        <v>46</v>
      </c>
      <c r="K131" s="3" t="s">
        <v>22</v>
      </c>
      <c r="L131" s="3" t="s">
        <v>22</v>
      </c>
      <c r="M131" s="3" t="s">
        <v>31</v>
      </c>
      <c r="N131" s="3" t="s">
        <v>29</v>
      </c>
      <c r="O131" s="3" t="s">
        <v>47</v>
      </c>
      <c r="P131" s="3" t="s">
        <v>110</v>
      </c>
      <c r="Q131" s="19" t="str">
        <f>HYPERLINK("file:///Sample files/Netherlands.csv","november 2016")</f>
        <v>november 2016</v>
      </c>
      <c r="R131" s="3" t="str">
        <f t="shared" si="1"/>
        <v>No</v>
      </c>
      <c r="S131" s="3" t="str">
        <f t="shared" si="2"/>
        <v>No</v>
      </c>
      <c r="T131" s="3"/>
      <c r="U131" s="3"/>
      <c r="V131" s="3"/>
      <c r="W131" s="3"/>
      <c r="X131" s="3"/>
      <c r="Y131" s="3"/>
      <c r="Z131" s="3"/>
    </row>
    <row r="132" ht="12.75" customHeight="1">
      <c r="A132" s="3" t="s">
        <v>401</v>
      </c>
      <c r="B132" s="3" t="s">
        <v>402</v>
      </c>
      <c r="C132" s="3"/>
      <c r="D132" s="17" t="str">
        <f>HYPERLINK("http://www.caa.govt.nz/","www.caa.govt.nz")</f>
        <v>www.caa.govt.nz</v>
      </c>
      <c r="E132" s="17" t="str">
        <f>HYPERLINK("http://www.stats.govt.nz/infoshare/ViewTable.aspx?pxID=062c2a61-2e87-4a8a-aed6-9eb58de27f5b","http://www.stats.govt.nz/infoshare/ViewTable.aspx?pxID=062c2a61-2e87-4a8a-aed6-9eb58de27f5b")</f>
        <v>http://www.stats.govt.nz/infoshare/ViewTable.aspx?pxID=062c2a61-2e87-4a8a-aed6-9eb58de27f5b</v>
      </c>
      <c r="F132" s="3" t="s">
        <v>29</v>
      </c>
      <c r="G132" s="3" t="s">
        <v>44</v>
      </c>
      <c r="H132" s="3">
        <v>1999.0</v>
      </c>
      <c r="I132" s="21" t="s">
        <v>45</v>
      </c>
      <c r="J132" s="3" t="s">
        <v>46</v>
      </c>
      <c r="K132" s="3" t="s">
        <v>22</v>
      </c>
      <c r="L132" s="3" t="s">
        <v>22</v>
      </c>
      <c r="M132" s="3" t="s">
        <v>31</v>
      </c>
      <c r="N132" s="3" t="s">
        <v>29</v>
      </c>
      <c r="O132" s="3" t="s">
        <v>47</v>
      </c>
      <c r="P132" s="3" t="s">
        <v>60</v>
      </c>
      <c r="Q132" s="19" t="str">
        <f>HYPERLINK("file:///Sample files/New Zealand.xls","april 2015")</f>
        <v>april 2015</v>
      </c>
      <c r="R132" s="3" t="str">
        <f t="shared" si="1"/>
        <v>No</v>
      </c>
      <c r="S132" s="3" t="str">
        <f t="shared" si="2"/>
        <v>No</v>
      </c>
      <c r="T132" s="3"/>
      <c r="U132" s="3"/>
      <c r="V132" s="3"/>
      <c r="W132" s="3"/>
      <c r="X132" s="3"/>
      <c r="Y132" s="3"/>
      <c r="Z132" s="3"/>
    </row>
    <row r="133" ht="12.75" customHeight="1">
      <c r="A133" s="3" t="s">
        <v>403</v>
      </c>
      <c r="B133" s="3" t="s">
        <v>404</v>
      </c>
      <c r="C133" s="3" t="s">
        <v>405</v>
      </c>
      <c r="D133" s="17" t="str">
        <f>HYPERLINK("http://www.inac.gob.ni/","www.inac.gob.ni")</f>
        <v>www.inac.gob.ni</v>
      </c>
      <c r="E133" s="17" t="str">
        <f>HYPERLINK("http://www.inac.gob.ni/seccion/biblioteca-virtual/boletines-estadisticos/","http://www.inac.gob.ni/seccion/biblioteca-virtual/boletines-estadisticos/")</f>
        <v>http://www.inac.gob.ni/seccion/biblioteca-virtual/boletines-estadisticos/</v>
      </c>
      <c r="F133" s="3" t="s">
        <v>29</v>
      </c>
      <c r="G133" s="3" t="s">
        <v>30</v>
      </c>
      <c r="H133" s="3">
        <v>2007.0</v>
      </c>
      <c r="I133" s="3">
        <v>2014.0</v>
      </c>
      <c r="J133" s="3" t="s">
        <v>22</v>
      </c>
      <c r="K133" s="3" t="s">
        <v>22</v>
      </c>
      <c r="L133" s="3" t="s">
        <v>91</v>
      </c>
      <c r="M133" s="3" t="s">
        <v>31</v>
      </c>
      <c r="N133" s="3" t="s">
        <v>29</v>
      </c>
      <c r="O133" s="3" t="s">
        <v>385</v>
      </c>
      <c r="P133" s="3" t="s">
        <v>33</v>
      </c>
      <c r="Q133" s="19" t="str">
        <f>HYPERLINK("file:///Sample files/Nicaragua.pdf#Diapo 15#Diapo 15#Diapo 15#Diapo 15#Diapo 15#Diapo 15#Diapo 15#Diapo 15#Diapo 15#Diapo 15#Diapo 15#Diapo 15#Diapo 15#Diapo 15#Diapo 15#Diapo 15#Diapo 15#Diapo 15#Diapo 15#Diapo 15#Diapo 15#Diapo 15#Diapo 15#Diapo 15#Diap"&amp;"o 15#Dia#Diapo%2015%23Diapo%2015%23Diapo%2015%23Diapo%2015%23Diapo%2015%23Diapo%2015%23Diapo%2015%23Diapo%2015%23Diapo%2015%23Diapo%2015%23Diapo%2015%23Diapo%2015%23Diapo%2015%23Diapo%2015%23Diapo%2015%23Diapo%2015%23Diapo%2015%23Diapo%2015%23Diapo%2015%2"&amp;"3Diapo%20","Q3 2014")</f>
        <v>Q3 2014</v>
      </c>
      <c r="R133" s="3" t="str">
        <f t="shared" si="1"/>
        <v>No</v>
      </c>
      <c r="S133" s="3" t="str">
        <f t="shared" si="2"/>
        <v>No</v>
      </c>
      <c r="T133" s="3"/>
      <c r="U133" s="3"/>
      <c r="V133" s="3"/>
      <c r="W133" s="3"/>
      <c r="X133" s="3"/>
      <c r="Y133" s="3"/>
      <c r="Z133" s="3"/>
    </row>
    <row r="134" ht="12.75" customHeight="1">
      <c r="A134" s="3" t="s">
        <v>406</v>
      </c>
      <c r="B134" s="3" t="s">
        <v>89</v>
      </c>
      <c r="C134" s="3" t="s">
        <v>407</v>
      </c>
      <c r="D134" s="17" t="str">
        <f>HYPERLINK("http://www.anacniger.org/","http://www.anacniger.org/")</f>
        <v>http://www.anacniger.org/</v>
      </c>
      <c r="E134" s="19"/>
      <c r="F134" s="3" t="s">
        <v>22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19"/>
      <c r="R134" s="3" t="str">
        <f t="shared" si="1"/>
        <v>No</v>
      </c>
      <c r="S134" s="3" t="str">
        <f t="shared" si="2"/>
        <v>No</v>
      </c>
      <c r="T134" s="3"/>
      <c r="U134" s="3"/>
      <c r="V134" s="3"/>
      <c r="W134" s="3"/>
      <c r="X134" s="3"/>
      <c r="Y134" s="3"/>
      <c r="Z134" s="3"/>
    </row>
    <row r="135" ht="12.75" customHeight="1">
      <c r="A135" s="3" t="s">
        <v>408</v>
      </c>
      <c r="B135" s="3" t="s">
        <v>409</v>
      </c>
      <c r="C135" s="3"/>
      <c r="D135" s="17" t="str">
        <f>HYPERLINK("http://www.ncaa.gov.ng/","www.ncaa.gov.ng")</f>
        <v>www.ncaa.gov.ng</v>
      </c>
      <c r="E135" s="17" t="str">
        <f>HYPERLINK("http://nigerianstat.gov.ng/library","http://nigerianstat.gov.ng/library")</f>
        <v>http://nigerianstat.gov.ng/library</v>
      </c>
      <c r="F135" s="3" t="s">
        <v>29</v>
      </c>
      <c r="G135" s="3" t="s">
        <v>30</v>
      </c>
      <c r="H135" s="3">
        <v>2014.0</v>
      </c>
      <c r="I135" s="21" t="s">
        <v>45</v>
      </c>
      <c r="J135" s="3" t="s">
        <v>46</v>
      </c>
      <c r="K135" s="3" t="s">
        <v>22</v>
      </c>
      <c r="L135" s="3" t="s">
        <v>22</v>
      </c>
      <c r="M135" s="3" t="s">
        <v>31</v>
      </c>
      <c r="N135" s="3" t="s">
        <v>22</v>
      </c>
      <c r="O135" s="3" t="s">
        <v>385</v>
      </c>
      <c r="P135" s="3" t="s">
        <v>340</v>
      </c>
      <c r="Q135" s="19" t="str">
        <f>HYPERLINK("file:///Sample files/Nigeria.pdf#Diapo 11#Diapo 11#Diapo 11#Diapo 11#Diapo 11#Diapo 11#Diapo 11#Diapo 11#Diapo 11#Diapo 11#Diapo 11#Diapo 11#Diapo 11#Diapo 11#Diapo 11#Diapo 11#Diapo 11#Diapo 11#Diapo 11#Diapo 11#Diapo 11#Diapo 11#Diapo 11#Diapo 11#Diapo "&amp;"11#Diapo#Diapo%2011%23Diapo%2011%23Diapo%2011%23Diapo%2011%23Diapo%2011%23Diapo%2011%23Diapo%2011%23Diapo%2011%23Diapo%2011%23Diapo%2011%23Diapo%2011%23Diapo%2011%23Diapo%2011%23Diapo%2011%23Diapo%2011%23Diapo%2011%23Diapo%2011%23Diapo%2011%23Diapo%2011%2"&amp;"3Diapo%20","Q1 2016")</f>
        <v>Q1 2016</v>
      </c>
      <c r="R135" s="3" t="str">
        <f t="shared" si="1"/>
        <v>No</v>
      </c>
      <c r="S135" s="3" t="str">
        <f t="shared" si="2"/>
        <v>No</v>
      </c>
      <c r="T135" s="3"/>
      <c r="U135" s="3"/>
      <c r="V135" s="3"/>
      <c r="W135" s="3"/>
      <c r="X135" s="3"/>
      <c r="Y135" s="3"/>
      <c r="Z135" s="3"/>
    </row>
    <row r="136" ht="12.75" customHeight="1">
      <c r="A136" s="3" t="s">
        <v>410</v>
      </c>
      <c r="B136" s="3" t="s">
        <v>157</v>
      </c>
      <c r="C136" s="3"/>
      <c r="D136" s="17" t="str">
        <f>HYPERLINK("http://www.paso.aero/","www.paso.aero")</f>
        <v>www.paso.aero</v>
      </c>
      <c r="E136" s="19"/>
      <c r="F136" s="3" t="s">
        <v>22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 t="str">
        <f t="shared" si="1"/>
        <v>No</v>
      </c>
      <c r="S136" s="3" t="str">
        <f t="shared" si="2"/>
        <v>No</v>
      </c>
      <c r="T136" s="3"/>
      <c r="U136" s="3"/>
      <c r="V136" s="3"/>
      <c r="W136" s="3"/>
      <c r="X136" s="3"/>
      <c r="Y136" s="3"/>
      <c r="Z136" s="3"/>
    </row>
    <row r="137" ht="12.75" customHeight="1">
      <c r="A137" s="3" t="s">
        <v>411</v>
      </c>
      <c r="B137" s="3" t="s">
        <v>412</v>
      </c>
      <c r="C137" s="3" t="s">
        <v>413</v>
      </c>
      <c r="D137" s="17" t="str">
        <f>HYPERLINK("https://luftfartstilsynet.no/caa_no/","luftfartstilsynet.no/caa_no/")</f>
        <v>luftfartstilsynet.no/caa_no/</v>
      </c>
      <c r="E137" s="17" t="str">
        <f>HYPERLINK("https://avinor.no/en/corporate/about-us/statistics/traffic-statistics","https://avinor.no/en/corporate/about-us/statistics/traffic-statistics")</f>
        <v>https://avinor.no/en/corporate/about-us/statistics/traffic-statistics</v>
      </c>
      <c r="F137" s="3" t="s">
        <v>29</v>
      </c>
      <c r="G137" s="3" t="s">
        <v>85</v>
      </c>
      <c r="H137" s="3">
        <v>1999.0</v>
      </c>
      <c r="I137" s="21" t="s">
        <v>45</v>
      </c>
      <c r="J137" s="3" t="s">
        <v>151</v>
      </c>
      <c r="K137" s="3" t="s">
        <v>22</v>
      </c>
      <c r="L137" s="3" t="s">
        <v>22</v>
      </c>
      <c r="M137" s="3" t="s">
        <v>31</v>
      </c>
      <c r="N137" s="3" t="s">
        <v>29</v>
      </c>
      <c r="O137" s="3" t="s">
        <v>47</v>
      </c>
      <c r="P137" s="3" t="s">
        <v>110</v>
      </c>
      <c r="Q137" s="19" t="str">
        <f>HYPERLINK("file:///Sample files/Norway.xlsx","november 2016")</f>
        <v>november 2016</v>
      </c>
      <c r="R137" s="3" t="str">
        <f t="shared" si="1"/>
        <v>No</v>
      </c>
      <c r="S137" s="3" t="str">
        <f t="shared" si="2"/>
        <v>No</v>
      </c>
      <c r="T137" s="3"/>
      <c r="U137" s="3"/>
      <c r="V137" s="3"/>
      <c r="W137" s="3"/>
      <c r="X137" s="3"/>
      <c r="Y137" s="3"/>
      <c r="Z137" s="3"/>
    </row>
    <row r="138" ht="12.75" customHeight="1">
      <c r="A138" s="3" t="s">
        <v>414</v>
      </c>
      <c r="B138" s="3" t="s">
        <v>415</v>
      </c>
      <c r="C138" s="6" t="s">
        <v>416</v>
      </c>
      <c r="D138" s="17" t="str">
        <f>HYPERLINK("http://www.paca.gov.om/","www.paca.gov.om")</f>
        <v>www.paca.gov.om</v>
      </c>
      <c r="E138" s="17" t="str">
        <f>HYPERLINK("http://www.paca.gov.om/statistics","http://www.paca.gov.om/statistics")</f>
        <v>http://www.paca.gov.om/statistics</v>
      </c>
      <c r="F138" s="3" t="s">
        <v>29</v>
      </c>
      <c r="G138" s="3" t="s">
        <v>30</v>
      </c>
      <c r="H138" s="3"/>
      <c r="I138" s="21" t="s">
        <v>45</v>
      </c>
      <c r="J138" s="3" t="s">
        <v>46</v>
      </c>
      <c r="K138" s="3" t="s">
        <v>22</v>
      </c>
      <c r="L138" s="3" t="s">
        <v>22</v>
      </c>
      <c r="M138" s="3" t="s">
        <v>31</v>
      </c>
      <c r="N138" s="3" t="s">
        <v>29</v>
      </c>
      <c r="O138" s="3" t="s">
        <v>47</v>
      </c>
      <c r="P138" s="3" t="s">
        <v>60</v>
      </c>
      <c r="Q138" s="19" t="str">
        <f>HYPERLINK("file:///Sample files/Oman.pdf","september 2016")</f>
        <v>september 2016</v>
      </c>
      <c r="R138" s="3" t="str">
        <f t="shared" si="1"/>
        <v>No</v>
      </c>
      <c r="S138" s="3" t="str">
        <f t="shared" si="2"/>
        <v>No</v>
      </c>
      <c r="T138" s="3"/>
      <c r="U138" s="3"/>
      <c r="V138" s="3"/>
      <c r="W138" s="3"/>
      <c r="X138" s="3"/>
      <c r="Y138" s="3"/>
      <c r="Z138" s="3"/>
    </row>
    <row r="139" ht="12.75" customHeight="1">
      <c r="A139" s="3" t="s">
        <v>417</v>
      </c>
      <c r="B139" s="3" t="s">
        <v>418</v>
      </c>
      <c r="C139" s="6" t="s">
        <v>419</v>
      </c>
      <c r="D139" s="17" t="str">
        <f>HYPERLINK("http://www.caapakistan.com.pk/","www.caapakistan.com.pk")</f>
        <v>www.caapakistan.com.pk</v>
      </c>
      <c r="E139" s="17" t="str">
        <f>HYPERLINK("http://www.caapakistan.com.pk/AT/AT-EO-Stats.aspx","http://www.caapakistan.com.pk/AT/AT-EO-Stats.aspx")</f>
        <v>http://www.caapakistan.com.pk/AT/AT-EO-Stats.aspx</v>
      </c>
      <c r="F139" s="3" t="s">
        <v>29</v>
      </c>
      <c r="G139" s="3" t="s">
        <v>30</v>
      </c>
      <c r="H139" s="3">
        <v>2006.0</v>
      </c>
      <c r="I139" s="21" t="s">
        <v>45</v>
      </c>
      <c r="J139" s="3" t="s">
        <v>58</v>
      </c>
      <c r="K139" s="3" t="s">
        <v>22</v>
      </c>
      <c r="L139" s="3" t="s">
        <v>22</v>
      </c>
      <c r="M139" s="3" t="s">
        <v>31</v>
      </c>
      <c r="N139" s="3" t="s">
        <v>22</v>
      </c>
      <c r="O139" s="3" t="s">
        <v>32</v>
      </c>
      <c r="P139" s="3" t="s">
        <v>53</v>
      </c>
      <c r="Q139" s="19" t="str">
        <f>HYPERLINK("file:///Sample files/Pakistan.pdf","2015-16")</f>
        <v>2015-16</v>
      </c>
      <c r="R139" s="3" t="str">
        <f t="shared" si="1"/>
        <v>No</v>
      </c>
      <c r="S139" s="3" t="str">
        <f t="shared" si="2"/>
        <v>No</v>
      </c>
      <c r="T139" s="3"/>
      <c r="U139" s="3"/>
      <c r="V139" s="3"/>
      <c r="W139" s="3"/>
      <c r="X139" s="3"/>
      <c r="Y139" s="3"/>
      <c r="Z139" s="3"/>
    </row>
    <row r="140" ht="12.75" customHeight="1">
      <c r="A140" s="3" t="s">
        <v>420</v>
      </c>
      <c r="B140" s="3" t="s">
        <v>421</v>
      </c>
      <c r="C140" s="22"/>
      <c r="D140" s="17" t="str">
        <f>HYPERLINK("http://palaugov.pw/executive-branch/ministries/public-infrastructure/bureau-of-aviation/","http://palaugov.pw/executive-branch/ministries/public-infrastructure/bureau-of-aviation/")</f>
        <v>http://palaugov.pw/executive-branch/ministries/public-infrastructure/bureau-of-aviation/</v>
      </c>
      <c r="E140" s="19"/>
      <c r="F140" s="3" t="s">
        <v>22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19"/>
      <c r="R140" s="3" t="str">
        <f t="shared" si="1"/>
        <v>No</v>
      </c>
      <c r="S140" s="3" t="str">
        <f t="shared" si="2"/>
        <v>No</v>
      </c>
      <c r="T140" s="3"/>
      <c r="U140" s="3"/>
      <c r="V140" s="3"/>
      <c r="W140" s="3"/>
      <c r="X140" s="3"/>
      <c r="Y140" s="3"/>
      <c r="Z140" s="3"/>
    </row>
    <row r="141" ht="12.75" customHeight="1">
      <c r="A141" s="3" t="s">
        <v>422</v>
      </c>
      <c r="B141" s="3" t="s">
        <v>423</v>
      </c>
      <c r="C141" s="3" t="s">
        <v>424</v>
      </c>
      <c r="D141" s="17" t="str">
        <f>HYPERLINK("http://www.aeronautica.gob.pa/","www.aeronautica.gob.pa")</f>
        <v>www.aeronautica.gob.pa</v>
      </c>
      <c r="E141" s="17" t="str">
        <f>HYPERLINK("http://www.aeronautica.gob.pa/recursos/index.php?c=transparencia","http://www.aeronautica.gob.pa/recursos/index.php?c=transparencia")</f>
        <v>http://www.aeronautica.gob.pa/recursos/index.php?c=transparencia</v>
      </c>
      <c r="F141" s="3" t="s">
        <v>29</v>
      </c>
      <c r="G141" s="3" t="s">
        <v>30</v>
      </c>
      <c r="H141" s="3">
        <v>2014.0</v>
      </c>
      <c r="I141" s="3">
        <v>2015.0</v>
      </c>
      <c r="J141" s="3" t="s">
        <v>46</v>
      </c>
      <c r="K141" s="3" t="s">
        <v>22</v>
      </c>
      <c r="L141" s="3" t="s">
        <v>22</v>
      </c>
      <c r="M141" s="3" t="s">
        <v>31</v>
      </c>
      <c r="N141" s="3" t="s">
        <v>29</v>
      </c>
      <c r="O141" s="3" t="s">
        <v>47</v>
      </c>
      <c r="P141" s="3" t="s">
        <v>60</v>
      </c>
      <c r="Q141" s="19" t="str">
        <f>HYPERLINK("file:///Sample files/Panama.pdf","september 2016")</f>
        <v>september 2016</v>
      </c>
      <c r="R141" s="3" t="str">
        <f t="shared" si="1"/>
        <v>No</v>
      </c>
      <c r="S141" s="3" t="str">
        <f t="shared" si="2"/>
        <v>No</v>
      </c>
      <c r="T141" s="3"/>
      <c r="U141" s="3"/>
      <c r="V141" s="3"/>
      <c r="W141" s="3"/>
      <c r="X141" s="3"/>
      <c r="Y141" s="3"/>
      <c r="Z141" s="3"/>
    </row>
    <row r="142" ht="12.75" customHeight="1">
      <c r="A142" s="3" t="s">
        <v>425</v>
      </c>
      <c r="B142" s="3" t="s">
        <v>426</v>
      </c>
      <c r="C142" s="3"/>
      <c r="D142" s="25" t="str">
        <f>HYPERLINK("http://www.casapng.gov.pg/","www.casapng.gov.pg")</f>
        <v>www.casapng.gov.pg</v>
      </c>
      <c r="E142" s="24"/>
      <c r="F142" s="3" t="s">
        <v>22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 t="str">
        <f t="shared" si="1"/>
        <v>No</v>
      </c>
      <c r="S142" s="3" t="str">
        <f t="shared" si="2"/>
        <v>No</v>
      </c>
      <c r="T142" s="3"/>
      <c r="U142" s="3"/>
      <c r="V142" s="3"/>
      <c r="W142" s="3"/>
      <c r="X142" s="3"/>
      <c r="Y142" s="3"/>
      <c r="Z142" s="3"/>
    </row>
    <row r="143" ht="12.75" customHeight="1">
      <c r="A143" s="3" t="s">
        <v>427</v>
      </c>
      <c r="B143" s="3" t="s">
        <v>428</v>
      </c>
      <c r="C143" s="3" t="s">
        <v>429</v>
      </c>
      <c r="D143" s="17" t="str">
        <f>HYPERLINK("http://www.dinac.gov.py/","www.dinac.gov.py")</f>
        <v>www.dinac.gov.py</v>
      </c>
      <c r="E143" s="17" t="str">
        <f>HYPERLINK("http://www.dinac.gov.py/v2/index.php?option=com_k2&amp;view=item&amp;id=122:datos-estadísticos-de-movimiento&amp;Itemid=122","http://www.dinac.gov.py/v2/index.php?option=com_k2&amp;view=item&amp;id=122:datos-estad%C3%ADsticos-de-movimiento&amp;Itemid=122")</f>
        <v>http://www.dinac.gov.py/v2/index.php?option=com_k2&amp;view=item&amp;id=122:datos-estad%C3%ADsticos-de-movimiento&amp;Itemid=122</v>
      </c>
      <c r="F143" s="3" t="s">
        <v>29</v>
      </c>
      <c r="G143" s="3" t="s">
        <v>30</v>
      </c>
      <c r="H143" s="3">
        <v>2010.0</v>
      </c>
      <c r="I143" s="21" t="s">
        <v>45</v>
      </c>
      <c r="J143" s="3" t="s">
        <v>46</v>
      </c>
      <c r="K143" s="3" t="s">
        <v>22</v>
      </c>
      <c r="L143" s="3" t="s">
        <v>22</v>
      </c>
      <c r="M143" s="3" t="s">
        <v>31</v>
      </c>
      <c r="N143" s="3" t="s">
        <v>29</v>
      </c>
      <c r="O143" s="3" t="s">
        <v>47</v>
      </c>
      <c r="P143" s="3" t="s">
        <v>110</v>
      </c>
      <c r="Q143" s="19" t="str">
        <f>HYPERLINK("file:///Sample files/Paraguay.pdf#Diapo 9#Diapo 9#Diapo 9#Diapo 9#Diapo 9#Diapo 9#Diapo 9#Diapo 9#Diapo 9#Diapo 9#Diapo 9#Diapo 9#Diapo 9#Diapo 9#Diapo 9#Diapo 9#Diapo 9#Diapo 9#Diapo 9#Diapo 9#Diapo 9#Diapo 9#Diapo 9#Diapo 9#Diapo 9#Diapo 9#Diapo 9#Diapo"&amp;" 9#Diapo#Diapo%209%23Diapo%209%23Diapo%209%23Diapo%209%23Diapo%209%23Diapo%209%23Diapo%209%23Diapo%209%23Diapo%209%23Diapo%209%23Diapo%209%23Diapo%209%23Diapo%209%23Diapo%209%23Diapo%209%23Diapo%209%23Diapo%209%23Diapo%209%23Diapo%209%23Diapo%209%23Diapo%"&amp;"209%23Dia","novembre 2016")</f>
        <v>novembre 2016</v>
      </c>
      <c r="R143" s="3" t="str">
        <f t="shared" si="1"/>
        <v>No</v>
      </c>
      <c r="S143" s="3" t="str">
        <f t="shared" si="2"/>
        <v>No</v>
      </c>
      <c r="T143" s="3"/>
      <c r="U143" s="3"/>
      <c r="V143" s="3"/>
      <c r="W143" s="3"/>
      <c r="X143" s="3"/>
      <c r="Y143" s="3"/>
      <c r="Z143" s="3"/>
    </row>
    <row r="144" ht="12.75" customHeight="1">
      <c r="A144" s="3" t="s">
        <v>430</v>
      </c>
      <c r="B144" s="3" t="s">
        <v>433</v>
      </c>
      <c r="C144" s="3" t="s">
        <v>98</v>
      </c>
      <c r="D144" s="17" t="str">
        <f>HYPERLINK("http://www.mtc.gob.pe/portal/transportes/aereo/aeronauticacivil/contenido.htm","www.mtc.gob.pe")</f>
        <v>www.mtc.gob.pe</v>
      </c>
      <c r="E144" s="17" t="str">
        <f>HYPERLINK("http://www.corpac.gob.pe/Main.asp?T=5274","http://www.corpac.gob.pe/Main.asp?T=5274")</f>
        <v>http://www.corpac.gob.pe/Main.asp?T=5274</v>
      </c>
      <c r="F144" s="3" t="s">
        <v>29</v>
      </c>
      <c r="G144" s="3" t="s">
        <v>44</v>
      </c>
      <c r="H144" s="21">
        <v>2009.0</v>
      </c>
      <c r="I144" s="21">
        <v>2017.0</v>
      </c>
      <c r="J144" s="3" t="s">
        <v>58</v>
      </c>
      <c r="K144" s="3" t="s">
        <v>22</v>
      </c>
      <c r="L144" s="3" t="s">
        <v>22</v>
      </c>
      <c r="M144" s="21" t="s">
        <v>59</v>
      </c>
      <c r="N144" s="3" t="s">
        <v>29</v>
      </c>
      <c r="O144" s="3" t="s">
        <v>47</v>
      </c>
      <c r="P144" s="3" t="s">
        <v>110</v>
      </c>
      <c r="Q144" s="19" t="str">
        <f>HYPERLINK("file:///Sample files/Peru.xls","2016 up to november")</f>
        <v>2016 up to november</v>
      </c>
      <c r="R144" s="3" t="str">
        <f t="shared" si="1"/>
        <v>No</v>
      </c>
      <c r="S144" s="3" t="str">
        <f t="shared" si="2"/>
        <v>No</v>
      </c>
      <c r="T144" s="3"/>
      <c r="U144" s="3"/>
      <c r="V144" s="3"/>
      <c r="W144" s="3"/>
      <c r="X144" s="3"/>
      <c r="Y144" s="3"/>
      <c r="Z144" s="3"/>
    </row>
    <row r="145" ht="12.75" customHeight="1">
      <c r="A145" s="3" t="s">
        <v>431</v>
      </c>
      <c r="B145" s="3" t="s">
        <v>440</v>
      </c>
      <c r="C145" s="3" t="s">
        <v>441</v>
      </c>
      <c r="D145" s="17" t="str">
        <f>HYPERLINK("http://www.caap.gov.ph/","www.caap.gov.ph")</f>
        <v>www.caap.gov.ph</v>
      </c>
      <c r="E145" s="17" t="str">
        <f>HYPERLINK("http://www.caap.gov.ph/index.php/downloads/category/65-statistics","http://www.caap.gov.ph/index.php/downloads/category/65-statistics")</f>
        <v>http://www.caap.gov.ph/index.php/downloads/category/65-statistics</v>
      </c>
      <c r="F145" s="3" t="s">
        <v>29</v>
      </c>
      <c r="G145" s="3" t="s">
        <v>44</v>
      </c>
      <c r="H145" s="3">
        <v>2011.0</v>
      </c>
      <c r="I145" s="3">
        <v>2014.0</v>
      </c>
      <c r="J145" s="3" t="s">
        <v>46</v>
      </c>
      <c r="K145" s="3" t="s">
        <v>22</v>
      </c>
      <c r="L145" s="3" t="s">
        <v>91</v>
      </c>
      <c r="M145" s="3" t="s">
        <v>31</v>
      </c>
      <c r="N145" s="3" t="s">
        <v>29</v>
      </c>
      <c r="O145" s="3" t="s">
        <v>32</v>
      </c>
      <c r="P145" s="3" t="s">
        <v>132</v>
      </c>
      <c r="Q145" s="19" t="str">
        <f>HYPERLINK("file:///Sample files/Philippines.xls","2014")</f>
        <v>2014</v>
      </c>
      <c r="R145" s="3" t="str">
        <f t="shared" si="1"/>
        <v>No</v>
      </c>
      <c r="S145" s="3" t="str">
        <f t="shared" si="2"/>
        <v>No</v>
      </c>
      <c r="T145" s="3"/>
      <c r="U145" s="3"/>
      <c r="V145" s="3"/>
      <c r="W145" s="3"/>
      <c r="X145" s="3"/>
      <c r="Y145" s="3"/>
      <c r="Z145" s="3"/>
    </row>
    <row r="146" ht="12.75" customHeight="1">
      <c r="A146" s="3" t="s">
        <v>432</v>
      </c>
      <c r="B146" s="3" t="s">
        <v>450</v>
      </c>
      <c r="C146" s="3" t="s">
        <v>452</v>
      </c>
      <c r="D146" s="17" t="str">
        <f>HYPERLINK("http://www.ulc.gov.pl/index_1.php?dzial=wiadomosci&amp;plik=cao_eng","www.ulc.gov.pl")</f>
        <v>www.ulc.gov.pl</v>
      </c>
      <c r="E146" s="17" t="str">
        <f>HYPERLINK("http://www.ulc.gov.pl/en/publications/statictics-and-analysis-of-air-transport-market","http://www.ulc.gov.pl/en/publications/statictics-and-analysis-of-air-transport-market")</f>
        <v>http://www.ulc.gov.pl/en/publications/statictics-and-analysis-of-air-transport-market</v>
      </c>
      <c r="F146" s="3" t="s">
        <v>29</v>
      </c>
      <c r="G146" s="3" t="s">
        <v>30</v>
      </c>
      <c r="H146" s="3">
        <v>2012.0</v>
      </c>
      <c r="I146" s="21" t="s">
        <v>45</v>
      </c>
      <c r="J146" s="3" t="s">
        <v>46</v>
      </c>
      <c r="K146" s="3" t="s">
        <v>22</v>
      </c>
      <c r="L146" s="3" t="s">
        <v>22</v>
      </c>
      <c r="M146" s="3" t="s">
        <v>31</v>
      </c>
      <c r="N146" s="3" t="s">
        <v>22</v>
      </c>
      <c r="O146" s="3" t="s">
        <v>385</v>
      </c>
      <c r="P146" s="3" t="s">
        <v>338</v>
      </c>
      <c r="Q146" s="19" t="str">
        <f>HYPERLINK("file:///Sample files/Poland.pdf","Q3 2016")</f>
        <v>Q3 2016</v>
      </c>
      <c r="R146" s="3" t="str">
        <f t="shared" si="1"/>
        <v>No</v>
      </c>
      <c r="S146" s="3" t="str">
        <f t="shared" si="2"/>
        <v>No</v>
      </c>
      <c r="T146" s="3"/>
      <c r="U146" s="3"/>
      <c r="V146" s="3"/>
      <c r="W146" s="3"/>
      <c r="X146" s="3"/>
      <c r="Y146" s="3"/>
      <c r="Z146" s="3"/>
    </row>
    <row r="147" ht="12.75" customHeight="1">
      <c r="A147" s="3" t="s">
        <v>434</v>
      </c>
      <c r="B147" s="3" t="s">
        <v>460</v>
      </c>
      <c r="C147" s="3" t="s">
        <v>461</v>
      </c>
      <c r="D147" s="17" t="str">
        <f>HYPERLINK("http://www.anac.pt/","www.anac.pt")</f>
        <v>www.anac.pt</v>
      </c>
      <c r="E147" s="17" t="str">
        <f>HYPERLINK("http://www.anac.pt/vPT/Generico/PublicacoesINAC/BoletinsEstatisticosTrimestrais/Paginas/BoletinsEstatisticosTrimestrais.aspx","http://www.anac.pt/vPT/Generico/PublicacoesINAC/BoletinsEstatisticosTrimestrais/Paginas/BoletinsEstatisticosTrimestrais.aspx")</f>
        <v>http://www.anac.pt/vPT/Generico/PublicacoesINAC/BoletinsEstatisticosTrimestrais/Paginas/BoletinsEstatisticosTrimestrais.aspx</v>
      </c>
      <c r="F147" s="3" t="s">
        <v>29</v>
      </c>
      <c r="G147" s="3" t="s">
        <v>30</v>
      </c>
      <c r="H147" s="3">
        <v>2009.0</v>
      </c>
      <c r="I147" s="21" t="s">
        <v>45</v>
      </c>
      <c r="J147" s="3" t="s">
        <v>58</v>
      </c>
      <c r="K147" s="3" t="s">
        <v>22</v>
      </c>
      <c r="L147" s="3" t="s">
        <v>22</v>
      </c>
      <c r="M147" s="3" t="s">
        <v>31</v>
      </c>
      <c r="N147" s="3" t="s">
        <v>22</v>
      </c>
      <c r="O147" s="3" t="s">
        <v>385</v>
      </c>
      <c r="P147" s="3" t="s">
        <v>338</v>
      </c>
      <c r="Q147" s="19" t="str">
        <f>HYPERLINK("file:///Sample files/Portugal.pdf#Diapo 6#Diapo 6#Diapo 6#Diapo 6#Diapo 6#Diapo 6#Diapo 6#Diapo 6#Diapo 6#Diapo 6#Diapo 6#Diapo 6#Diapo 6#Diapo 6#Diapo 6#Diapo 6#Diapo 6#Diapo 6#Diapo 6#Diapo 6#Diapo 6#Diapo 6#Diapo 6#Diapo 6#Diapo 6#Diapo 6#Diapo 6#Diapo"&amp;" 6#Diapo#Diapo%206%23Diapo%206%23Diapo%206%23Diapo%206%23Diapo%206%23Diapo%206%23Diapo%206%23Diapo%206%23Diapo%206%23Diapo%206%23Diapo%206%23Diapo%206%23Diapo%206%23Diapo%206%23Diapo%206%23Diapo%206%23Diapo%206%23Diapo%206%23Diapo%206%23Diapo%206%23Diapo%"&amp;"206%23Dia","Q3 2016")</f>
        <v>Q3 2016</v>
      </c>
      <c r="R147" s="3" t="str">
        <f t="shared" si="1"/>
        <v>No</v>
      </c>
      <c r="S147" s="3" t="str">
        <f t="shared" si="2"/>
        <v>No</v>
      </c>
      <c r="T147" s="3"/>
      <c r="U147" s="3"/>
      <c r="V147" s="3"/>
      <c r="W147" s="3"/>
      <c r="X147" s="3"/>
      <c r="Y147" s="3"/>
      <c r="Z147" s="3"/>
    </row>
    <row r="148" ht="12.75" customHeight="1">
      <c r="A148" s="3" t="s">
        <v>435</v>
      </c>
      <c r="B148" s="3" t="s">
        <v>472</v>
      </c>
      <c r="C148" s="6" t="s">
        <v>473</v>
      </c>
      <c r="D148" s="17" t="str">
        <f>HYPERLINK("http://www.caa.gov.qa/","www.caa.gov.qa")</f>
        <v>www.caa.gov.qa</v>
      </c>
      <c r="E148" s="17" t="str">
        <f>HYPERLINK("http://www.mdps.gov.qa/en/statistics1/pages/topicslisting.aspx?parent=General&amp;child=QMS","http://www.mdps.gov.qa/en/statistics1/pages/topicslisting.aspx?parent=General&amp;child=QMS")</f>
        <v>http://www.mdps.gov.qa/en/statistics1/pages/topicslisting.aspx?parent=General&amp;child=QMS</v>
      </c>
      <c r="F148" s="3" t="s">
        <v>29</v>
      </c>
      <c r="G148" s="3" t="s">
        <v>30</v>
      </c>
      <c r="H148" s="3">
        <v>2013.0</v>
      </c>
      <c r="I148" s="21" t="s">
        <v>45</v>
      </c>
      <c r="J148" s="3" t="s">
        <v>46</v>
      </c>
      <c r="K148" s="3" t="s">
        <v>22</v>
      </c>
      <c r="L148" s="3" t="s">
        <v>22</v>
      </c>
      <c r="M148" s="3" t="s">
        <v>31</v>
      </c>
      <c r="N148" s="3" t="s">
        <v>29</v>
      </c>
      <c r="O148" s="3" t="s">
        <v>385</v>
      </c>
      <c r="P148" s="3" t="s">
        <v>342</v>
      </c>
      <c r="Q148" s="19" t="str">
        <f>HYPERLINK("file:///Sample files/Qatar.pdf#Diapo44#Diapo44#Diapo44#Diapo44#Diapo44#Diapo44#Diapo44#Diapo44#Diapo44#Diapo44#Diapo44#Diapo44#Diapo44#Diapo44#Diapo44#Diapo44#Diapo44#Diapo44#Diapo44#Diapo44#Diapo44#Diapo44#Diapo44#Diapo44#Diapo44#Diapo44#Diapo44#Diapo44#"&amp;"Diapo44##Diapo44%23Diapo44%23Diapo44%23Diapo44%23Diapo44%23Diapo44%23Diapo44%23Diapo44%23Diapo44%23Diapo44%23Diapo44%23Diapo44%23Diapo44%23Diapo44%23Diapo44%23Diapo44%23Diapo44%23Diapo44%23Diapo44%23Diapo44%23Diapo44%23Diapo44%23Diapo44%23Diapo44%23Diapo4"&amp;"4%23Diapo","Q1 2016")</f>
        <v>Q1 2016</v>
      </c>
      <c r="R148" s="3" t="str">
        <f t="shared" si="1"/>
        <v>No</v>
      </c>
      <c r="S148" s="3" t="str">
        <f t="shared" si="2"/>
        <v>No</v>
      </c>
      <c r="T148" s="3"/>
      <c r="U148" s="3"/>
      <c r="V148" s="3"/>
      <c r="W148" s="3"/>
      <c r="X148" s="3"/>
      <c r="Y148" s="3"/>
      <c r="Z148" s="3"/>
    </row>
    <row r="149" ht="12.75" customHeight="1">
      <c r="A149" s="3" t="s">
        <v>436</v>
      </c>
      <c r="B149" s="3" t="s">
        <v>481</v>
      </c>
      <c r="C149" s="3" t="s">
        <v>482</v>
      </c>
      <c r="D149" s="17" t="str">
        <f>HYPERLINK("http://www.caa.ro/","www.caa.ro")</f>
        <v>www.caa.ro</v>
      </c>
      <c r="E149" s="19"/>
      <c r="F149" s="3" t="s">
        <v>22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 t="str">
        <f t="shared" si="1"/>
        <v>No</v>
      </c>
      <c r="S149" s="3" t="str">
        <f t="shared" si="2"/>
        <v>No</v>
      </c>
      <c r="T149" s="3"/>
      <c r="U149" s="3"/>
      <c r="V149" s="3"/>
      <c r="W149" s="3"/>
      <c r="X149" s="3"/>
      <c r="Y149" s="3"/>
      <c r="Z149" s="3"/>
    </row>
    <row r="150" ht="12.75" customHeight="1">
      <c r="A150" s="3" t="s">
        <v>437</v>
      </c>
      <c r="B150" s="3" t="s">
        <v>486</v>
      </c>
      <c r="C150" s="3" t="s">
        <v>487</v>
      </c>
      <c r="D150" s="17" t="str">
        <f>HYPERLINK("http://www.favt.ru/","www.favt.ru")</f>
        <v>www.favt.ru</v>
      </c>
      <c r="E150" s="17" t="str">
        <f>HYPERLINK("http://www.favt.ru/opendata/","http://www.favt.ru/opendata/")</f>
        <v>http://www.favt.ru/opendata/</v>
      </c>
      <c r="F150" s="3" t="s">
        <v>29</v>
      </c>
      <c r="G150" s="3" t="s">
        <v>131</v>
      </c>
      <c r="H150" s="3">
        <v>2015.0</v>
      </c>
      <c r="I150" s="21" t="s">
        <v>45</v>
      </c>
      <c r="J150" s="3" t="s">
        <v>22</v>
      </c>
      <c r="K150" s="3" t="s">
        <v>22</v>
      </c>
      <c r="L150" s="3" t="s">
        <v>22</v>
      </c>
      <c r="M150" s="3" t="s">
        <v>31</v>
      </c>
      <c r="N150" s="3" t="s">
        <v>29</v>
      </c>
      <c r="O150" s="3" t="s">
        <v>47</v>
      </c>
      <c r="P150" s="3" t="s">
        <v>110</v>
      </c>
      <c r="Q150" s="19" t="str">
        <f>HYPERLINK("file:///Sample files/Russia.xls","november 2016")</f>
        <v>november 2016</v>
      </c>
      <c r="R150" s="3" t="str">
        <f t="shared" si="1"/>
        <v>No</v>
      </c>
      <c r="S150" s="3" t="str">
        <f t="shared" si="2"/>
        <v>No</v>
      </c>
      <c r="T150" s="3"/>
      <c r="U150" s="3"/>
      <c r="V150" s="3"/>
      <c r="W150" s="3"/>
      <c r="X150" s="3"/>
      <c r="Y150" s="3"/>
      <c r="Z150" s="3"/>
    </row>
    <row r="151" ht="12.75" customHeight="1">
      <c r="A151" s="3" t="s">
        <v>438</v>
      </c>
      <c r="B151" s="3" t="s">
        <v>493</v>
      </c>
      <c r="C151" s="3"/>
      <c r="D151" s="17" t="str">
        <f>HYPERLINK("http://www.caa.gov.rw/","www.caa.gov.rw")</f>
        <v>www.caa.gov.rw</v>
      </c>
      <c r="E151" s="19"/>
      <c r="F151" s="3" t="s">
        <v>22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 t="str">
        <f t="shared" si="1"/>
        <v>No</v>
      </c>
      <c r="S151" s="3" t="str">
        <f t="shared" si="2"/>
        <v>No</v>
      </c>
      <c r="T151" s="3"/>
      <c r="U151" s="3"/>
      <c r="V151" s="3"/>
      <c r="W151" s="3"/>
      <c r="X151" s="3"/>
      <c r="Y151" s="3"/>
      <c r="Z151" s="3"/>
    </row>
    <row r="152" ht="12.75" customHeight="1">
      <c r="A152" s="3" t="s">
        <v>439</v>
      </c>
      <c r="B152" s="3" t="s">
        <v>40</v>
      </c>
      <c r="C152" s="3"/>
      <c r="D152" s="17" t="str">
        <f>HYPERLINK("http://eccaa.aero/","http://eccaa.aero/")</f>
        <v>http://eccaa.aero/</v>
      </c>
      <c r="E152" s="19"/>
      <c r="F152" s="3" t="s">
        <v>22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 t="str">
        <f t="shared" si="1"/>
        <v>No</v>
      </c>
      <c r="S152" s="3" t="str">
        <f t="shared" si="2"/>
        <v>No</v>
      </c>
      <c r="T152" s="3"/>
      <c r="U152" s="3"/>
      <c r="V152" s="3"/>
      <c r="W152" s="3"/>
      <c r="X152" s="3"/>
      <c r="Y152" s="3"/>
      <c r="Z152" s="3"/>
    </row>
    <row r="153" ht="12.75" customHeight="1">
      <c r="A153" s="3" t="s">
        <v>442</v>
      </c>
      <c r="B153" s="3" t="s">
        <v>499</v>
      </c>
      <c r="C153" s="3"/>
      <c r="D153" s="17" t="str">
        <f>HYPERLINK("http://externalaffairs.govt.lc/","http://externalaffairs.govt.lc/")</f>
        <v>http://externalaffairs.govt.lc/</v>
      </c>
      <c r="E153" s="19"/>
      <c r="F153" s="3" t="s">
        <v>22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 t="str">
        <f t="shared" si="1"/>
        <v>No</v>
      </c>
      <c r="S153" s="3" t="str">
        <f t="shared" si="2"/>
        <v>No</v>
      </c>
      <c r="T153" s="3"/>
      <c r="U153" s="3"/>
      <c r="V153" s="3"/>
      <c r="W153" s="3"/>
      <c r="X153" s="3"/>
      <c r="Y153" s="3"/>
      <c r="Z153" s="3"/>
    </row>
    <row r="154" ht="12.75" customHeight="1">
      <c r="A154" s="3" t="s">
        <v>443</v>
      </c>
      <c r="B154" s="3" t="s">
        <v>40</v>
      </c>
      <c r="C154" s="3"/>
      <c r="D154" s="17" t="str">
        <f>HYPERLINK("http://eccaa.aero/","http://eccaa.aero/")</f>
        <v>http://eccaa.aero/</v>
      </c>
      <c r="E154" s="19"/>
      <c r="F154" s="3" t="s">
        <v>22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 t="str">
        <f t="shared" si="1"/>
        <v>No</v>
      </c>
      <c r="S154" s="3" t="str">
        <f t="shared" si="2"/>
        <v>No</v>
      </c>
      <c r="T154" s="3"/>
      <c r="U154" s="3"/>
      <c r="V154" s="3"/>
      <c r="W154" s="3"/>
      <c r="X154" s="3"/>
      <c r="Y154" s="3"/>
      <c r="Z154" s="3"/>
    </row>
    <row r="155" ht="12.75" customHeight="1">
      <c r="A155" s="3" t="s">
        <v>444</v>
      </c>
      <c r="B155" s="3" t="s">
        <v>157</v>
      </c>
      <c r="C155" s="3"/>
      <c r="D155" s="17" t="str">
        <f>HYPERLINK("http://www.paso.aero/","www.paso.aero")</f>
        <v>www.paso.aero</v>
      </c>
      <c r="E155" s="19"/>
      <c r="F155" s="3" t="s">
        <v>22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 t="str">
        <f t="shared" si="1"/>
        <v>No</v>
      </c>
      <c r="S155" s="3" t="str">
        <f t="shared" si="2"/>
        <v>No</v>
      </c>
      <c r="T155" s="3"/>
      <c r="U155" s="3"/>
      <c r="V155" s="3"/>
      <c r="W155" s="3"/>
      <c r="X155" s="3"/>
      <c r="Y155" s="3"/>
      <c r="Z155" s="3"/>
    </row>
    <row r="156" ht="12.75" customHeight="1">
      <c r="A156" s="3" t="s">
        <v>445</v>
      </c>
      <c r="B156" s="3" t="s">
        <v>506</v>
      </c>
      <c r="C156" s="3" t="s">
        <v>507</v>
      </c>
      <c r="D156" s="17" t="str">
        <f>HYPERLINK("http://www.caa-mna.sm/","www.caa-mna.sm")</f>
        <v>www.caa-mna.sm</v>
      </c>
      <c r="E156" s="19"/>
      <c r="F156" s="3" t="s">
        <v>22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 t="str">
        <f t="shared" si="1"/>
        <v>No</v>
      </c>
      <c r="S156" s="3" t="str">
        <f t="shared" si="2"/>
        <v>No</v>
      </c>
      <c r="T156" s="3"/>
      <c r="U156" s="3"/>
      <c r="V156" s="3"/>
      <c r="W156" s="3"/>
      <c r="X156" s="3"/>
      <c r="Y156" s="3"/>
      <c r="Z156" s="3"/>
    </row>
    <row r="157" ht="12.75" customHeight="1">
      <c r="A157" s="3" t="s">
        <v>446</v>
      </c>
      <c r="B157" s="3" t="s">
        <v>37</v>
      </c>
      <c r="C157" s="3" t="s">
        <v>508</v>
      </c>
      <c r="D157" s="17" t="str">
        <f>HYPERLINK("http://www.inac.st/","http://www.inac.st/")</f>
        <v>http://www.inac.st/</v>
      </c>
      <c r="E157" s="19"/>
      <c r="F157" s="3" t="s">
        <v>22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 t="str">
        <f t="shared" si="1"/>
        <v>No</v>
      </c>
      <c r="S157" s="3" t="str">
        <f t="shared" si="2"/>
        <v>No</v>
      </c>
      <c r="T157" s="3"/>
      <c r="U157" s="3"/>
      <c r="V157" s="3"/>
      <c r="W157" s="3"/>
      <c r="X157" s="3"/>
      <c r="Y157" s="3"/>
      <c r="Z157" s="3"/>
    </row>
    <row r="158" ht="12.75" customHeight="1">
      <c r="A158" s="3" t="s">
        <v>447</v>
      </c>
      <c r="B158" s="3" t="s">
        <v>509</v>
      </c>
      <c r="C158" s="6" t="s">
        <v>473</v>
      </c>
      <c r="D158" s="17" t="str">
        <f>HYPERLINK("http://www.gaca.gov.sa/default.aspx?l=en","www.gaca.gov.sa")</f>
        <v>www.gaca.gov.sa</v>
      </c>
      <c r="E158" s="17" t="str">
        <f>HYPERLINK("https://gaca.gov.sa/web/en-gb/content/open-data-library","https://gaca.gov.sa/web/en-gb/content/open-data-library")</f>
        <v>https://gaca.gov.sa/web/en-gb/content/open-data-library</v>
      </c>
      <c r="F158" s="3" t="s">
        <v>29</v>
      </c>
      <c r="G158" s="3" t="s">
        <v>44</v>
      </c>
      <c r="H158" s="3">
        <v>2013.0</v>
      </c>
      <c r="I158" s="3">
        <v>2015.0</v>
      </c>
      <c r="J158" s="3" t="s">
        <v>46</v>
      </c>
      <c r="K158" s="3" t="s">
        <v>22</v>
      </c>
      <c r="L158" s="3" t="s">
        <v>22</v>
      </c>
      <c r="M158" s="3" t="s">
        <v>31</v>
      </c>
      <c r="N158" s="3" t="s">
        <v>22</v>
      </c>
      <c r="O158" s="3" t="s">
        <v>32</v>
      </c>
      <c r="P158" s="3" t="s">
        <v>53</v>
      </c>
      <c r="Q158" s="19" t="str">
        <f>HYPERLINK("file:///Sample files/Saudi Arabia.xlsx","2015")</f>
        <v>2015</v>
      </c>
      <c r="R158" s="3" t="str">
        <f t="shared" si="1"/>
        <v>No</v>
      </c>
      <c r="S158" s="3" t="str">
        <f t="shared" si="2"/>
        <v>No</v>
      </c>
      <c r="T158" s="3"/>
      <c r="U158" s="3"/>
      <c r="V158" s="3"/>
      <c r="W158" s="3"/>
      <c r="X158" s="3"/>
      <c r="Y158" s="3"/>
      <c r="Z158" s="3"/>
    </row>
    <row r="159" ht="12.75" customHeight="1">
      <c r="A159" s="3" t="s">
        <v>448</v>
      </c>
      <c r="B159" s="3" t="s">
        <v>510</v>
      </c>
      <c r="C159" s="3" t="s">
        <v>511</v>
      </c>
      <c r="D159" s="17" t="str">
        <f>HYPERLINK("http://www.anacim.sn/","www.anacim.sn")</f>
        <v>www.anacim.sn</v>
      </c>
      <c r="E159" s="19"/>
      <c r="F159" s="3" t="s">
        <v>22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 t="str">
        <f t="shared" si="1"/>
        <v>No</v>
      </c>
      <c r="S159" s="3" t="str">
        <f t="shared" si="2"/>
        <v>No</v>
      </c>
      <c r="T159" s="3"/>
      <c r="U159" s="3"/>
      <c r="V159" s="3"/>
      <c r="W159" s="3"/>
      <c r="X159" s="3"/>
      <c r="Y159" s="3"/>
      <c r="Z159" s="3"/>
    </row>
    <row r="160" ht="12.75" customHeight="1">
      <c r="A160" s="3" t="s">
        <v>449</v>
      </c>
      <c r="B160" s="3" t="s">
        <v>512</v>
      </c>
      <c r="C160" s="3" t="s">
        <v>513</v>
      </c>
      <c r="D160" s="17" t="str">
        <f>HYPERLINK("http://www.cad.gov.rs/","www.cad.gov.rs")</f>
        <v>www.cad.gov.rs</v>
      </c>
      <c r="E160" s="19"/>
      <c r="F160" s="3" t="s">
        <v>22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 t="str">
        <f t="shared" si="1"/>
        <v>No</v>
      </c>
      <c r="S160" s="3" t="str">
        <f t="shared" si="2"/>
        <v>No</v>
      </c>
      <c r="T160" s="3"/>
      <c r="U160" s="3"/>
      <c r="V160" s="3"/>
      <c r="W160" s="3"/>
      <c r="X160" s="3"/>
      <c r="Y160" s="3"/>
      <c r="Z160" s="3"/>
    </row>
    <row r="161" ht="12.75" customHeight="1">
      <c r="A161" s="3" t="s">
        <v>451</v>
      </c>
      <c r="B161" s="3" t="s">
        <v>515</v>
      </c>
      <c r="C161" s="3"/>
      <c r="D161" s="17" t="str">
        <f>HYPERLINK("http://www.scaa.sc/","www.scaa.sc")</f>
        <v>www.scaa.sc</v>
      </c>
      <c r="E161" s="19"/>
      <c r="F161" s="3" t="s">
        <v>22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 t="str">
        <f t="shared" si="1"/>
        <v>No</v>
      </c>
      <c r="S161" s="3" t="str">
        <f t="shared" si="2"/>
        <v>No</v>
      </c>
      <c r="T161" s="3"/>
      <c r="U161" s="3"/>
      <c r="V161" s="3"/>
      <c r="W161" s="3"/>
      <c r="X161" s="3"/>
      <c r="Y161" s="3"/>
      <c r="Z161" s="3"/>
    </row>
    <row r="162" ht="12.75" customHeight="1">
      <c r="A162" s="3" t="s">
        <v>453</v>
      </c>
      <c r="B162" s="3" t="s">
        <v>516</v>
      </c>
      <c r="C162" s="3"/>
      <c r="D162" s="17" t="str">
        <f>HYPERLINK("http://www.slcaa.net/","www.slcaa.net/")</f>
        <v>www.slcaa.net/</v>
      </c>
      <c r="E162" s="19"/>
      <c r="F162" s="3" t="s">
        <v>22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 t="str">
        <f t="shared" si="1"/>
        <v>No</v>
      </c>
      <c r="S162" s="3" t="str">
        <f t="shared" si="2"/>
        <v>No</v>
      </c>
      <c r="T162" s="3"/>
      <c r="U162" s="3"/>
      <c r="V162" s="3"/>
      <c r="W162" s="3"/>
      <c r="X162" s="3"/>
      <c r="Y162" s="3"/>
      <c r="Z162" s="3"/>
    </row>
    <row r="163" ht="12.75" customHeight="1">
      <c r="A163" s="3" t="s">
        <v>454</v>
      </c>
      <c r="B163" s="3" t="s">
        <v>517</v>
      </c>
      <c r="C163" s="3"/>
      <c r="D163" s="17" t="str">
        <f>HYPERLINK("http://www.caas.gov.sg/","www.caas.gov.sg")</f>
        <v>www.caas.gov.sg</v>
      </c>
      <c r="E163" s="17" t="str">
        <f>HYPERLINK("http://www.tablebuilder.singstat.gov.sg/publicfacing/createDataTable.action?refId=2050","http://www.tablebuilder.singstat.gov.sg/publicfacing/createDataTable.action?refId=2050")</f>
        <v>http://www.tablebuilder.singstat.gov.sg/publicfacing/createDataTable.action?refId=2050</v>
      </c>
      <c r="F163" s="3" t="s">
        <v>29</v>
      </c>
      <c r="G163" s="3" t="s">
        <v>44</v>
      </c>
      <c r="H163" s="3">
        <v>1980.0</v>
      </c>
      <c r="I163" s="21" t="s">
        <v>45</v>
      </c>
      <c r="J163" s="3" t="s">
        <v>46</v>
      </c>
      <c r="K163" s="3" t="s">
        <v>22</v>
      </c>
      <c r="L163" s="3" t="s">
        <v>22</v>
      </c>
      <c r="M163" s="3" t="s">
        <v>31</v>
      </c>
      <c r="N163" s="3" t="s">
        <v>29</v>
      </c>
      <c r="O163" s="3" t="s">
        <v>47</v>
      </c>
      <c r="P163" s="3" t="s">
        <v>110</v>
      </c>
      <c r="Q163" s="19" t="str">
        <f>HYPERLINK("file:///Sample files/Singapore.xlsx","2016")</f>
        <v>2016</v>
      </c>
      <c r="R163" s="3" t="str">
        <f t="shared" si="1"/>
        <v>No</v>
      </c>
      <c r="S163" s="3" t="str">
        <f t="shared" si="2"/>
        <v>No</v>
      </c>
      <c r="T163" s="3"/>
      <c r="U163" s="3"/>
      <c r="V163" s="3"/>
      <c r="W163" s="3"/>
      <c r="X163" s="3"/>
      <c r="Y163" s="3"/>
      <c r="Z163" s="3"/>
    </row>
    <row r="164" ht="12.75" customHeight="1">
      <c r="A164" s="3" t="s">
        <v>455</v>
      </c>
      <c r="B164" s="3" t="s">
        <v>518</v>
      </c>
      <c r="C164" s="3" t="s">
        <v>519</v>
      </c>
      <c r="D164" s="17" t="str">
        <f>HYPERLINK("http://nsat.sk/","http://nsat.sk/")</f>
        <v>http://nsat.sk/</v>
      </c>
      <c r="E164" s="19"/>
      <c r="F164" s="3" t="s">
        <v>22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 t="str">
        <f t="shared" si="1"/>
        <v>No</v>
      </c>
      <c r="S164" s="3" t="str">
        <f t="shared" si="2"/>
        <v>No</v>
      </c>
      <c r="T164" s="3"/>
      <c r="U164" s="3"/>
      <c r="V164" s="3"/>
      <c r="W164" s="3"/>
      <c r="X164" s="3"/>
      <c r="Y164" s="3"/>
      <c r="Z164" s="3"/>
    </row>
    <row r="165" ht="12.75" customHeight="1">
      <c r="A165" s="3" t="s">
        <v>456</v>
      </c>
      <c r="B165" s="3" t="s">
        <v>521</v>
      </c>
      <c r="C165" s="3" t="s">
        <v>522</v>
      </c>
      <c r="D165" s="17" t="str">
        <f>HYPERLINK("http://www.mzp.gov.si/en/areas_of_work/civil_aviation/","www.mzp.gov.si")</f>
        <v>www.mzp.gov.si</v>
      </c>
      <c r="E165" s="19"/>
      <c r="F165" s="3" t="s">
        <v>22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 t="str">
        <f t="shared" si="1"/>
        <v>No</v>
      </c>
      <c r="S165" s="3" t="str">
        <f t="shared" si="2"/>
        <v>No</v>
      </c>
      <c r="T165" s="3"/>
      <c r="U165" s="3"/>
      <c r="V165" s="3"/>
      <c r="W165" s="3"/>
      <c r="X165" s="3"/>
      <c r="Y165" s="3"/>
      <c r="Z165" s="3"/>
    </row>
    <row r="166" ht="12.75" customHeight="1">
      <c r="A166" s="3" t="s">
        <v>457</v>
      </c>
      <c r="B166" s="3" t="s">
        <v>157</v>
      </c>
      <c r="C166" s="3"/>
      <c r="D166" s="17" t="str">
        <f>HYPERLINK("http://www.paso.aero/","www.paso.aero")</f>
        <v>www.paso.aero</v>
      </c>
      <c r="E166" s="19"/>
      <c r="F166" s="3" t="s">
        <v>22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 t="str">
        <f t="shared" si="1"/>
        <v>No</v>
      </c>
      <c r="S166" s="3" t="str">
        <f t="shared" si="2"/>
        <v>No</v>
      </c>
      <c r="T166" s="3"/>
      <c r="U166" s="3"/>
      <c r="V166" s="3"/>
      <c r="W166" s="3"/>
      <c r="X166" s="3"/>
      <c r="Y166" s="3"/>
      <c r="Z166" s="3"/>
    </row>
    <row r="167" ht="12.75" customHeight="1">
      <c r="A167" s="3" t="s">
        <v>458</v>
      </c>
      <c r="B167" s="3" t="s">
        <v>523</v>
      </c>
      <c r="C167" s="3" t="s">
        <v>524</v>
      </c>
      <c r="D167" s="17" t="str">
        <f>HYPERLINK("http://www.scama.so/","www.scama.so")</f>
        <v>www.scama.so</v>
      </c>
      <c r="E167" s="19"/>
      <c r="F167" s="3" t="s">
        <v>22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 t="str">
        <f t="shared" si="1"/>
        <v>No</v>
      </c>
      <c r="S167" s="3" t="str">
        <f t="shared" si="2"/>
        <v>No</v>
      </c>
      <c r="T167" s="3"/>
      <c r="U167" s="3"/>
      <c r="V167" s="3"/>
      <c r="W167" s="3"/>
      <c r="X167" s="3"/>
      <c r="Y167" s="3"/>
      <c r="Z167" s="3"/>
    </row>
    <row r="168" ht="12.75" customHeight="1">
      <c r="A168" s="3" t="s">
        <v>459</v>
      </c>
      <c r="B168" s="3" t="s">
        <v>525</v>
      </c>
      <c r="C168" s="3"/>
      <c r="D168" s="17" t="str">
        <f>HYPERLINK("http://www.caa.co.za/","www.caa.co.za")</f>
        <v>www.caa.co.za</v>
      </c>
      <c r="E168" s="19"/>
      <c r="F168" s="3" t="s">
        <v>22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 t="str">
        <f t="shared" si="1"/>
        <v>No</v>
      </c>
      <c r="S168" s="3" t="str">
        <f t="shared" si="2"/>
        <v>No</v>
      </c>
      <c r="T168" s="3"/>
      <c r="U168" s="3"/>
      <c r="V168" s="3"/>
      <c r="W168" s="3"/>
      <c r="X168" s="3"/>
      <c r="Y168" s="3"/>
      <c r="Z168" s="3"/>
    </row>
    <row r="169" ht="12.75" customHeight="1">
      <c r="A169" s="3" t="s">
        <v>462</v>
      </c>
      <c r="B169" s="3" t="s">
        <v>526</v>
      </c>
      <c r="C169" s="26" t="s">
        <v>527</v>
      </c>
      <c r="D169" s="17" t="str">
        <f>HYPERLINK("http://koca.go.kr/","koca.go.kr")</f>
        <v>koca.go.kr</v>
      </c>
      <c r="E169" s="19"/>
      <c r="F169" s="3" t="s">
        <v>22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 t="str">
        <f t="shared" si="1"/>
        <v>No</v>
      </c>
      <c r="S169" s="3" t="str">
        <f t="shared" si="2"/>
        <v>No</v>
      </c>
      <c r="T169" s="3"/>
      <c r="U169" s="3"/>
      <c r="V169" s="3"/>
      <c r="W169" s="3"/>
      <c r="X169" s="3"/>
      <c r="Y169" s="3"/>
      <c r="Z169" s="3"/>
    </row>
    <row r="170" ht="12.75" customHeight="1">
      <c r="A170" s="3" t="s">
        <v>464</v>
      </c>
      <c r="B170" s="3" t="s">
        <v>528</v>
      </c>
      <c r="C170" s="3" t="s">
        <v>191</v>
      </c>
      <c r="D170" s="17" t="str">
        <f>HYPERLINK("http://www.fomento.es/MFOM/LANG_CASTELLANO/DIRECCIONES_GENERALES/AVIACION_CIVIL/","www.fomento.es")</f>
        <v>www.fomento.es</v>
      </c>
      <c r="E170" s="17" t="str">
        <f>HYPERLINK("http://www.aena.es/csee/Satellite?c=Page&amp;cid=1113582476715&amp;pagename=Estadisticas%2FEstadisticas","http://www.aena.es/csee/Satellite?c=Page&amp;cid=1113582476715&amp;pagename=Estadisticas%2FEstadisticas")</f>
        <v>http://www.aena.es/csee/Satellite?c=Page&amp;cid=1113582476715&amp;pagename=Estadisticas%2FEstadisticas</v>
      </c>
      <c r="F170" s="3" t="s">
        <v>29</v>
      </c>
      <c r="G170" s="3" t="s">
        <v>85</v>
      </c>
      <c r="H170" s="3">
        <v>2004.0</v>
      </c>
      <c r="I170" s="21" t="s">
        <v>45</v>
      </c>
      <c r="J170" s="3" t="s">
        <v>46</v>
      </c>
      <c r="K170" s="3" t="s">
        <v>46</v>
      </c>
      <c r="L170" s="3" t="s">
        <v>91</v>
      </c>
      <c r="M170" s="3" t="s">
        <v>31</v>
      </c>
      <c r="N170" s="3" t="s">
        <v>29</v>
      </c>
      <c r="O170" s="3" t="s">
        <v>47</v>
      </c>
      <c r="P170" s="3" t="s">
        <v>48</v>
      </c>
      <c r="Q170" s="19" t="str">
        <f>HYPERLINK("file:///Sample files/Spain.xlsx","october 2016")</f>
        <v>october 2016</v>
      </c>
      <c r="R170" s="3" t="str">
        <f t="shared" si="1"/>
        <v>Yes</v>
      </c>
      <c r="S170" s="3" t="str">
        <f t="shared" si="2"/>
        <v>Yes</v>
      </c>
      <c r="T170" s="3"/>
      <c r="U170" s="3"/>
      <c r="V170" s="3"/>
      <c r="W170" s="3"/>
      <c r="X170" s="3"/>
      <c r="Y170" s="3"/>
      <c r="Z170" s="3"/>
    </row>
    <row r="171" ht="12.75" customHeight="1">
      <c r="A171" s="3" t="s">
        <v>465</v>
      </c>
      <c r="B171" s="3" t="s">
        <v>529</v>
      </c>
      <c r="C171" s="22" t="s">
        <v>530</v>
      </c>
      <c r="D171" s="17" t="str">
        <f>HYPERLINK("http://www.caa.lk/","www.caa.lk")</f>
        <v>www.caa.lk</v>
      </c>
      <c r="E171" s="19"/>
      <c r="F171" s="3" t="s">
        <v>22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 t="str">
        <f t="shared" si="1"/>
        <v>No</v>
      </c>
      <c r="S171" s="3" t="str">
        <f t="shared" si="2"/>
        <v>No</v>
      </c>
      <c r="T171" s="3"/>
      <c r="U171" s="3"/>
      <c r="V171" s="3"/>
      <c r="W171" s="3"/>
      <c r="X171" s="3"/>
      <c r="Y171" s="3"/>
      <c r="Z171" s="3"/>
    </row>
    <row r="172" ht="12.75" customHeight="1">
      <c r="A172" s="3" t="s">
        <v>466</v>
      </c>
      <c r="B172" s="3" t="s">
        <v>531</v>
      </c>
      <c r="C172" s="3"/>
      <c r="D172" s="17" t="str">
        <f>HYPERLINK("http://www.caa-sudan.net/","www.caa-sudan.net")</f>
        <v>www.caa-sudan.net</v>
      </c>
      <c r="E172" s="17" t="str">
        <f>HYPERLINK("http://scaa-ais.sd/en/","http://scaa-ais.sd/en/")</f>
        <v>http://scaa-ais.sd/en/</v>
      </c>
      <c r="F172" s="3" t="s">
        <v>22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 t="str">
        <f t="shared" si="1"/>
        <v>No</v>
      </c>
      <c r="S172" s="3" t="str">
        <f t="shared" si="2"/>
        <v>No</v>
      </c>
      <c r="T172" s="3"/>
      <c r="U172" s="3"/>
      <c r="V172" s="3"/>
      <c r="W172" s="3"/>
      <c r="X172" s="3"/>
      <c r="Y172" s="3"/>
      <c r="Z172" s="3"/>
    </row>
    <row r="173" ht="12.75" customHeight="1">
      <c r="A173" s="3" t="s">
        <v>463</v>
      </c>
      <c r="B173" s="3" t="s">
        <v>532</v>
      </c>
      <c r="C173" s="3"/>
      <c r="D173" s="17" t="str">
        <f>HYPERLINK("http://www.goss.org/index.php/ministries/transport","http://www.goss.org/index.php/ministries/transport")</f>
        <v>http://www.goss.org/index.php/ministries/transport</v>
      </c>
      <c r="E173" s="19"/>
      <c r="F173" s="3" t="s">
        <v>22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 t="str">
        <f t="shared" si="1"/>
        <v>No</v>
      </c>
      <c r="S173" s="3" t="str">
        <f t="shared" si="2"/>
        <v>No</v>
      </c>
      <c r="T173" s="3"/>
      <c r="U173" s="3"/>
      <c r="V173" s="3"/>
      <c r="W173" s="3"/>
      <c r="X173" s="3"/>
      <c r="Y173" s="3"/>
      <c r="Z173" s="3"/>
    </row>
    <row r="174" ht="12.75" customHeight="1">
      <c r="A174" s="3" t="s">
        <v>467</v>
      </c>
      <c r="B174" s="3" t="s">
        <v>533</v>
      </c>
      <c r="C174" s="3"/>
      <c r="D174" s="17" t="str">
        <f>HYPERLINK("http://www.cadsur.sr/","www.cadsur.sr")</f>
        <v>www.cadsur.sr</v>
      </c>
      <c r="E174" s="19"/>
      <c r="F174" s="3" t="s">
        <v>22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 t="str">
        <f t="shared" si="1"/>
        <v>No</v>
      </c>
      <c r="S174" s="3" t="str">
        <f t="shared" si="2"/>
        <v>No</v>
      </c>
      <c r="T174" s="3"/>
      <c r="U174" s="3"/>
      <c r="V174" s="3"/>
      <c r="W174" s="3"/>
      <c r="X174" s="3"/>
      <c r="Y174" s="3"/>
      <c r="Z174" s="3"/>
    </row>
    <row r="175" ht="12.75" customHeight="1">
      <c r="A175" s="3" t="s">
        <v>468</v>
      </c>
      <c r="B175" s="3" t="s">
        <v>534</v>
      </c>
      <c r="C175" s="3"/>
      <c r="D175" s="17" t="str">
        <f>HYPERLINK("http://www.swacaa.co.sz/","http://www.swacaa.co.sz/")</f>
        <v>http://www.swacaa.co.sz/</v>
      </c>
      <c r="E175" s="3"/>
      <c r="F175" s="3" t="s">
        <v>22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 t="str">
        <f t="shared" si="1"/>
        <v>No</v>
      </c>
      <c r="S175" s="3" t="str">
        <f t="shared" si="2"/>
        <v>No</v>
      </c>
      <c r="T175" s="3"/>
      <c r="U175" s="3"/>
      <c r="V175" s="3"/>
      <c r="W175" s="3"/>
      <c r="X175" s="3"/>
      <c r="Y175" s="3"/>
      <c r="Z175" s="3"/>
    </row>
    <row r="176" ht="12.75" customHeight="1">
      <c r="A176" s="3" t="s">
        <v>469</v>
      </c>
      <c r="B176" s="3" t="s">
        <v>535</v>
      </c>
      <c r="C176" s="3" t="s">
        <v>536</v>
      </c>
      <c r="D176" s="17" t="str">
        <f>HYPERLINK("http://www.transportstyrelsen.se/en/aviation/","www.transportstyrelsen.se")</f>
        <v>www.transportstyrelsen.se</v>
      </c>
      <c r="E176" s="17" t="str">
        <f>HYPERLINK("http://www.trafa.se/luftfart/","http://www.trafa.se/luftfart/")</f>
        <v>http://www.trafa.se/luftfart/</v>
      </c>
      <c r="F176" s="3" t="s">
        <v>29</v>
      </c>
      <c r="G176" s="3" t="s">
        <v>44</v>
      </c>
      <c r="H176" s="3">
        <v>2009.0</v>
      </c>
      <c r="I176" s="3">
        <v>2015.0</v>
      </c>
      <c r="J176" s="3" t="s">
        <v>58</v>
      </c>
      <c r="K176" s="3" t="s">
        <v>22</v>
      </c>
      <c r="L176" s="3" t="s">
        <v>22</v>
      </c>
      <c r="M176" s="3" t="s">
        <v>31</v>
      </c>
      <c r="N176" s="3" t="s">
        <v>22</v>
      </c>
      <c r="O176" s="3" t="s">
        <v>32</v>
      </c>
      <c r="P176" s="3" t="s">
        <v>132</v>
      </c>
      <c r="Q176" s="19" t="str">
        <f>HYPERLINK("file:///Sample files/Sweden.xls#4.3#4.3#4.3#4.3#4.3#4.3#4.3#4.3#4.3#4.3#4.3#4.3#4.3#4.3#4.3#4.3#4.3#4.3#4.3#4.3#4.3#4.3#4.3#4.3#4.3#4.3#4.3#4.3#4.3#4.3#4.3#4.3#4.3%234.3%234.3%234.3%234.3%234.3%234.3%234.3%234.3%234.3%234.3%234.3%234.3%234.3%234.3%234.3%2"&amp;"34.3%234.3%234.3%234.3%234.3%234.3%234.3%234.3%234.3%234.3%234.3%234.3%234.3%234.3%234.3%234.3","2015")</f>
        <v>2015</v>
      </c>
      <c r="R176" s="3" t="str">
        <f t="shared" si="1"/>
        <v>No</v>
      </c>
      <c r="S176" s="3" t="str">
        <f t="shared" si="2"/>
        <v>No</v>
      </c>
      <c r="T176" s="3"/>
      <c r="U176" s="3"/>
      <c r="V176" s="3"/>
      <c r="W176" s="3"/>
      <c r="X176" s="3"/>
      <c r="Y176" s="3"/>
      <c r="Z176" s="3"/>
    </row>
    <row r="177" ht="68.25" customHeight="1">
      <c r="A177" s="3" t="s">
        <v>470</v>
      </c>
      <c r="B177" s="3" t="s">
        <v>537</v>
      </c>
      <c r="C177" s="23" t="s">
        <v>538</v>
      </c>
      <c r="D177" s="17" t="str">
        <f>HYPERLINK("https://www.bazl.admin.ch/bazl/fr/home.html","https://www.bazl.admin.ch/bazl/fr/home.html")</f>
        <v>https://www.bazl.admin.ch/bazl/fr/home.html</v>
      </c>
      <c r="E177" s="17" t="str">
        <f>HYPERLINK("https://www.bfs.admin.ch/bfs/fr/home/statistiques/mobilite-transports/themes-transversaux/aviation-civile/trafic-lignes-charter.assetdetail.1345943.html","https://www.bfs.admin.ch/bfs/fr/home/statistiques/mobilite-transports/themes-transversaux/aviation-civile/trafic-lignes-charter.assetdetail.1345943.html")</f>
        <v>https://www.bfs.admin.ch/bfs/fr/home/statistiques/mobilite-transports/themes-transversaux/aviation-civile/trafic-lignes-charter.assetdetail.1345943.html</v>
      </c>
      <c r="F177" s="3" t="s">
        <v>29</v>
      </c>
      <c r="G177" s="3" t="s">
        <v>44</v>
      </c>
      <c r="H177" s="3">
        <v>2000.0</v>
      </c>
      <c r="I177" s="21" t="s">
        <v>45</v>
      </c>
      <c r="J177" s="3" t="s">
        <v>151</v>
      </c>
      <c r="K177" s="3" t="s">
        <v>22</v>
      </c>
      <c r="L177" s="3" t="s">
        <v>22</v>
      </c>
      <c r="M177" s="3" t="s">
        <v>31</v>
      </c>
      <c r="N177" s="3" t="s">
        <v>29</v>
      </c>
      <c r="O177" s="3" t="s">
        <v>47</v>
      </c>
      <c r="P177" s="3" t="s">
        <v>60</v>
      </c>
      <c r="Q177" s="19" t="str">
        <f>HYPERLINK("file:///Sample files/Switzerland.xls","september 2016")</f>
        <v>september 2016</v>
      </c>
      <c r="R177" s="3" t="str">
        <f t="shared" si="1"/>
        <v>No</v>
      </c>
      <c r="S177" s="3" t="str">
        <f t="shared" si="2"/>
        <v>No</v>
      </c>
      <c r="T177" s="3"/>
      <c r="U177" s="3"/>
      <c r="V177" s="3"/>
      <c r="W177" s="3"/>
      <c r="X177" s="3"/>
      <c r="Y177" s="3"/>
      <c r="Z177" s="3"/>
    </row>
    <row r="178" ht="12.75" customHeight="1">
      <c r="A178" s="3" t="s">
        <v>471</v>
      </c>
      <c r="B178" s="3" t="s">
        <v>539</v>
      </c>
      <c r="C178" s="6" t="s">
        <v>540</v>
      </c>
      <c r="D178" s="17" t="str">
        <f>HYPERLINK("http://scaa.sy/","scaa.sy")</f>
        <v>scaa.sy</v>
      </c>
      <c r="E178" s="19"/>
      <c r="F178" s="3" t="s">
        <v>22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 t="str">
        <f t="shared" si="1"/>
        <v>No</v>
      </c>
      <c r="S178" s="3" t="str">
        <f t="shared" si="2"/>
        <v>No</v>
      </c>
      <c r="T178" s="3"/>
      <c r="U178" s="3"/>
      <c r="V178" s="3"/>
      <c r="W178" s="3"/>
      <c r="X178" s="3"/>
      <c r="Y178" s="3"/>
      <c r="Z178" s="3"/>
    </row>
    <row r="179" ht="12.75" customHeight="1">
      <c r="A179" s="3" t="s">
        <v>474</v>
      </c>
      <c r="B179" s="3" t="s">
        <v>541</v>
      </c>
      <c r="C179" s="26" t="s">
        <v>542</v>
      </c>
      <c r="D179" s="17" t="str">
        <f>HYPERLINK("http://www.caa.gov.tw/","www.caa.gov.tw")</f>
        <v>www.caa.gov.tw</v>
      </c>
      <c r="E179" s="17" t="str">
        <f>HYPERLINK("http://www.caa.gov.tw/en/content/index.asp?sno=362","http://www.caa.gov.tw/en/content/index.asp?sno=362")</f>
        <v>http://www.caa.gov.tw/en/content/index.asp?sno=362</v>
      </c>
      <c r="F179" s="3" t="s">
        <v>29</v>
      </c>
      <c r="G179" s="3" t="s">
        <v>44</v>
      </c>
      <c r="H179" s="3">
        <v>1962.0</v>
      </c>
      <c r="I179" s="21" t="s">
        <v>45</v>
      </c>
      <c r="J179" s="3" t="s">
        <v>46</v>
      </c>
      <c r="K179" s="3" t="s">
        <v>22</v>
      </c>
      <c r="L179" s="3" t="s">
        <v>22</v>
      </c>
      <c r="M179" s="3" t="s">
        <v>31</v>
      </c>
      <c r="N179" s="3" t="s">
        <v>29</v>
      </c>
      <c r="O179" s="3" t="s">
        <v>47</v>
      </c>
      <c r="P179" s="3" t="s">
        <v>110</v>
      </c>
      <c r="Q179" s="19" t="str">
        <f>HYPERLINK("file:///Sample files/Taiwan.xls","novembre 2016")</f>
        <v>novembre 2016</v>
      </c>
      <c r="R179" s="3" t="str">
        <f t="shared" si="1"/>
        <v>No</v>
      </c>
      <c r="S179" s="3" t="str">
        <f t="shared" si="2"/>
        <v>No</v>
      </c>
      <c r="T179" s="3"/>
      <c r="U179" s="3"/>
      <c r="V179" s="3"/>
      <c r="W179" s="3"/>
      <c r="X179" s="3"/>
      <c r="Y179" s="3"/>
      <c r="Z179" s="3"/>
    </row>
    <row r="180" ht="12.75" customHeight="1">
      <c r="A180" s="3" t="s">
        <v>475</v>
      </c>
      <c r="B180" s="3" t="s">
        <v>543</v>
      </c>
      <c r="C180" s="26" t="s">
        <v>544</v>
      </c>
      <c r="D180" s="17" t="str">
        <f>HYPERLINK("https://transcontrol.tj/","https://transcontrol.tj/")</f>
        <v>https://transcontrol.tj/</v>
      </c>
      <c r="E180" s="19"/>
      <c r="F180" s="3" t="s">
        <v>22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 t="str">
        <f t="shared" si="1"/>
        <v>No</v>
      </c>
      <c r="S180" s="3" t="str">
        <f t="shared" si="2"/>
        <v>No</v>
      </c>
      <c r="T180" s="3"/>
      <c r="U180" s="3"/>
      <c r="V180" s="3"/>
      <c r="W180" s="3"/>
      <c r="X180" s="3"/>
      <c r="Y180" s="3"/>
      <c r="Z180" s="3"/>
    </row>
    <row r="181" ht="12.75" customHeight="1">
      <c r="A181" s="3" t="s">
        <v>476</v>
      </c>
      <c r="B181" s="3" t="s">
        <v>545</v>
      </c>
      <c r="C181" s="3" t="s">
        <v>546</v>
      </c>
      <c r="D181" s="17" t="str">
        <f>HYPERLINK("http://www.tcaa.go.tz/","www.tcaa.go.tz")</f>
        <v>www.tcaa.go.tz</v>
      </c>
      <c r="E181" s="17" t="str">
        <f>HYPERLINK("http://www.tcaa.go.tz/documents.php?c=Air%20Traffic%20Statistics&amp;m=Economic%20Regulation&amp;t=Air%20Traffic%20Statistics","http://www.tcaa.go.tz/documents.php?c=Air%20Traffic%20Statistics&amp;m=Economic%20Regulation&amp;t=Air%20Traffic%20Statistics")</f>
        <v>http://www.tcaa.go.tz/documents.php?c=Air%20Traffic%20Statistics&amp;m=Economic%20Regulation&amp;t=Air%20Traffic%20Statistics</v>
      </c>
      <c r="F181" s="3" t="s">
        <v>29</v>
      </c>
      <c r="G181" s="3" t="s">
        <v>30</v>
      </c>
      <c r="H181" s="3">
        <v>2008.0</v>
      </c>
      <c r="I181" s="3">
        <v>2013.0</v>
      </c>
      <c r="J181" s="3" t="s">
        <v>22</v>
      </c>
      <c r="K181" s="3" t="s">
        <v>22</v>
      </c>
      <c r="L181" s="3" t="s">
        <v>22</v>
      </c>
      <c r="M181" s="3" t="s">
        <v>31</v>
      </c>
      <c r="N181" s="3" t="s">
        <v>22</v>
      </c>
      <c r="O181" s="3" t="s">
        <v>32</v>
      </c>
      <c r="P181" s="3" t="s">
        <v>33</v>
      </c>
      <c r="Q181" s="19" t="str">
        <f>HYPERLINK("file:///Sample files/Tanzania.pdf","2012-13")</f>
        <v>2012-13</v>
      </c>
      <c r="R181" s="3" t="str">
        <f t="shared" si="1"/>
        <v>No</v>
      </c>
      <c r="S181" s="3" t="str">
        <f t="shared" si="2"/>
        <v>No</v>
      </c>
      <c r="T181" s="3"/>
      <c r="U181" s="3"/>
      <c r="V181" s="3"/>
      <c r="W181" s="3"/>
      <c r="X181" s="3"/>
      <c r="Y181" s="3"/>
      <c r="Z181" s="3"/>
    </row>
    <row r="182" ht="12.75" customHeight="1">
      <c r="A182" s="3" t="s">
        <v>477</v>
      </c>
      <c r="B182" s="3" t="s">
        <v>547</v>
      </c>
      <c r="C182" s="22" t="s">
        <v>548</v>
      </c>
      <c r="D182" s="17" t="str">
        <f>HYPERLINK("http://www.caat.or.th//","http://www.caat.or.th/")</f>
        <v>http://www.caat.or.th/</v>
      </c>
      <c r="E182" s="17" t="str">
        <f>HYPERLINK("https://www.caat.or.th/th/archives/20252","https://www.caat.or.th/th/archives/20252")</f>
        <v>https://www.caat.or.th/th/archives/20252</v>
      </c>
      <c r="F182" s="3" t="s">
        <v>29</v>
      </c>
      <c r="G182" s="3" t="s">
        <v>30</v>
      </c>
      <c r="H182" s="3"/>
      <c r="I182" s="21" t="s">
        <v>45</v>
      </c>
      <c r="J182" s="3" t="s">
        <v>46</v>
      </c>
      <c r="K182" s="3" t="s">
        <v>22</v>
      </c>
      <c r="L182" s="3" t="s">
        <v>22</v>
      </c>
      <c r="M182" s="3" t="s">
        <v>31</v>
      </c>
      <c r="N182" s="3" t="s">
        <v>22</v>
      </c>
      <c r="O182" s="3" t="s">
        <v>385</v>
      </c>
      <c r="P182" s="3" t="s">
        <v>340</v>
      </c>
      <c r="Q182" s="19" t="str">
        <f>HYPERLINK("file:///Sample files/Thailand.pdf","Q2 2016")</f>
        <v>Q2 2016</v>
      </c>
      <c r="R182" s="3" t="str">
        <f t="shared" si="1"/>
        <v>No</v>
      </c>
      <c r="S182" s="3" t="str">
        <f t="shared" si="2"/>
        <v>No</v>
      </c>
      <c r="T182" s="3"/>
      <c r="U182" s="3"/>
      <c r="V182" s="3"/>
      <c r="W182" s="3"/>
      <c r="X182" s="3"/>
      <c r="Y182" s="3"/>
      <c r="Z182" s="3"/>
    </row>
    <row r="183" ht="12.75" customHeight="1">
      <c r="A183" s="3" t="s">
        <v>478</v>
      </c>
      <c r="B183" s="3" t="s">
        <v>549</v>
      </c>
      <c r="C183" s="3"/>
      <c r="D183" s="17" t="str">
        <f>HYPERLINK("https://gov.east-timor.org/CAA/","gov.east-timor.org/CAA/")</f>
        <v>gov.east-timor.org/CAA/</v>
      </c>
      <c r="E183" s="19"/>
      <c r="F183" s="3" t="s">
        <v>22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 t="str">
        <f t="shared" si="1"/>
        <v>No</v>
      </c>
      <c r="S183" s="3" t="str">
        <f t="shared" si="2"/>
        <v>No</v>
      </c>
      <c r="T183" s="3"/>
      <c r="U183" s="3"/>
      <c r="V183" s="3"/>
      <c r="W183" s="3"/>
      <c r="X183" s="3"/>
      <c r="Y183" s="3"/>
      <c r="Z183" s="3"/>
    </row>
    <row r="184" ht="12.75" customHeight="1">
      <c r="A184" s="3" t="s">
        <v>479</v>
      </c>
      <c r="B184" s="3" t="s">
        <v>550</v>
      </c>
      <c r="C184" s="3" t="s">
        <v>551</v>
      </c>
      <c r="D184" s="17" t="str">
        <f>HYPERLINK("http://www.anac-togo.tg/","www.anac-togo.tg")</f>
        <v>www.anac-togo.tg</v>
      </c>
      <c r="E184" s="17" t="str">
        <f>HYPERLINK("http://www.anac-togo.tg/transport-aerien/statistiques-evolution-du-transport-aerien/","http://www.anac-togo.tg/transport-aerien/statistiques-evolution-du-transport-aerien/")</f>
        <v>http://www.anac-togo.tg/transport-aerien/statistiques-evolution-du-transport-aerien/</v>
      </c>
      <c r="F184" s="3" t="s">
        <v>29</v>
      </c>
      <c r="G184" s="3" t="s">
        <v>52</v>
      </c>
      <c r="H184" s="3">
        <v>1987.0</v>
      </c>
      <c r="I184" s="3">
        <v>2011.0</v>
      </c>
      <c r="J184" s="3" t="s">
        <v>22</v>
      </c>
      <c r="K184" s="3" t="s">
        <v>22</v>
      </c>
      <c r="L184" s="3" t="s">
        <v>22</v>
      </c>
      <c r="M184" s="3" t="s">
        <v>31</v>
      </c>
      <c r="N184" s="3" t="s">
        <v>22</v>
      </c>
      <c r="O184" s="3" t="s">
        <v>32</v>
      </c>
      <c r="P184" s="3" t="s">
        <v>33</v>
      </c>
      <c r="Q184" s="19" t="str">
        <f>HYPERLINK("file:///Sample files/Togo.png","1987-2011")</f>
        <v>1987-2011</v>
      </c>
      <c r="R184" s="3" t="str">
        <f t="shared" si="1"/>
        <v>No</v>
      </c>
      <c r="S184" s="3" t="str">
        <f t="shared" si="2"/>
        <v>No</v>
      </c>
      <c r="T184" s="3"/>
      <c r="U184" s="3"/>
      <c r="V184" s="3"/>
      <c r="W184" s="3"/>
      <c r="X184" s="3"/>
      <c r="Y184" s="3"/>
      <c r="Z184" s="3"/>
    </row>
    <row r="185" ht="12.75" customHeight="1">
      <c r="A185" s="3" t="s">
        <v>480</v>
      </c>
      <c r="B185" s="3" t="s">
        <v>157</v>
      </c>
      <c r="C185" s="3"/>
      <c r="D185" s="17" t="str">
        <f>HYPERLINK("http://www.paso.aero/","www.paso.aero")</f>
        <v>www.paso.aero</v>
      </c>
      <c r="E185" s="19"/>
      <c r="F185" s="3" t="s">
        <v>22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 t="str">
        <f t="shared" si="1"/>
        <v>No</v>
      </c>
      <c r="S185" s="3" t="str">
        <f t="shared" si="2"/>
        <v>No</v>
      </c>
      <c r="T185" s="3"/>
      <c r="U185" s="3"/>
      <c r="V185" s="3"/>
      <c r="W185" s="3"/>
      <c r="X185" s="3"/>
      <c r="Y185" s="3"/>
      <c r="Z185" s="3"/>
    </row>
    <row r="186" ht="12.75" customHeight="1">
      <c r="A186" s="3" t="s">
        <v>483</v>
      </c>
      <c r="B186" s="3" t="s">
        <v>552</v>
      </c>
      <c r="C186" s="3"/>
      <c r="D186" s="17" t="str">
        <f>HYPERLINK("http://www.caa.gov.tt/","www.caa.gov.tt")</f>
        <v>www.caa.gov.tt</v>
      </c>
      <c r="E186" s="19"/>
      <c r="F186" s="3" t="s">
        <v>22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 t="str">
        <f t="shared" si="1"/>
        <v>No</v>
      </c>
      <c r="S186" s="3" t="str">
        <f t="shared" si="2"/>
        <v>No</v>
      </c>
      <c r="T186" s="3"/>
      <c r="U186" s="3"/>
      <c r="V186" s="3"/>
      <c r="W186" s="3"/>
      <c r="X186" s="3"/>
      <c r="Y186" s="3"/>
      <c r="Z186" s="3"/>
    </row>
    <row r="187" ht="12.75" customHeight="1">
      <c r="A187" s="3" t="s">
        <v>484</v>
      </c>
      <c r="B187" s="3" t="s">
        <v>553</v>
      </c>
      <c r="C187" s="3" t="s">
        <v>554</v>
      </c>
      <c r="D187" s="17" t="str">
        <f>HYPERLINK("http://www.oaca.nat.tn/index_eng.htm","www.oaca.nat.tn")</f>
        <v>www.oaca.nat.tn</v>
      </c>
      <c r="E187" s="19"/>
      <c r="F187" s="3" t="s">
        <v>22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 t="str">
        <f t="shared" si="1"/>
        <v>No</v>
      </c>
      <c r="S187" s="3" t="str">
        <f t="shared" si="2"/>
        <v>No</v>
      </c>
      <c r="T187" s="3"/>
      <c r="U187" s="3"/>
      <c r="V187" s="3"/>
      <c r="W187" s="3"/>
      <c r="X187" s="3"/>
      <c r="Y187" s="3"/>
      <c r="Z187" s="3"/>
    </row>
    <row r="188" ht="12.75" customHeight="1">
      <c r="A188" s="3" t="s">
        <v>485</v>
      </c>
      <c r="B188" s="3" t="s">
        <v>555</v>
      </c>
      <c r="C188" s="3" t="s">
        <v>556</v>
      </c>
      <c r="D188" s="17" t="str">
        <f>HYPERLINK("http://www.shgm.gov.tr/index.html","www.shgm.gov.tr")</f>
        <v>www.shgm.gov.tr</v>
      </c>
      <c r="E188" s="17" t="str">
        <f>HYPERLINK("http://www.dhmi.gov.tr/istatistik.aspx","http://www.dhmi.gov.tr/istatistik.aspx")</f>
        <v>http://www.dhmi.gov.tr/istatistik.aspx</v>
      </c>
      <c r="F188" s="3" t="s">
        <v>29</v>
      </c>
      <c r="G188" s="3" t="s">
        <v>85</v>
      </c>
      <c r="H188" s="3">
        <v>2008.0</v>
      </c>
      <c r="I188" s="21" t="s">
        <v>45</v>
      </c>
      <c r="J188" s="3" t="s">
        <v>46</v>
      </c>
      <c r="K188" s="3" t="s">
        <v>22</v>
      </c>
      <c r="L188" s="3" t="s">
        <v>22</v>
      </c>
      <c r="M188" s="3" t="s">
        <v>31</v>
      </c>
      <c r="N188" s="3" t="s">
        <v>29</v>
      </c>
      <c r="O188" s="3" t="s">
        <v>47</v>
      </c>
      <c r="P188" s="3" t="s">
        <v>110</v>
      </c>
      <c r="Q188" s="19" t="str">
        <f>HYPERLINK("file:///Sample files/Turkey.xlsx#YOLCU#YOLCU#YOLCU#YOLCU#YOLCU#YOLCU#YOLCU#YOLCU#YOLCU#YOLCU#YOLCU#YOLCU#YOLCU#YOLCU#YOLCU#YOLCU#YOLCU#YOLCU#YOLCU#YOLCU#YOLCU#YOLCU#YOLCU#YOLCU#YOLCU#YOLCU#YOLCU#YOLCU#YOLCU#YOLCU#YOLCU#YOLCU#YOLCU#YOLCU#YOLCU#YOLCU#YOLCU#"&amp;"YOLCU#YO#YOLCU%23YOLCU%23YOLCU%23YOLCU%23YOLCU%23YOLCU%23YOLCU%23YOLCU%23YOLCU%23YOLCU%23YOLCU%23YOLCU%23YOLCU%23YOLCU%23YOLCU%23YOLCU%23YOLCU%23YOLCU%23YOLCU%23YOLCU%23YOLCU%23YOLCU%23YOLCU%23YOLCU%23YOLCU%23YOLCU%23YOLCU%23YOLCU%23YOLCU%23YOLCU%23YOLCU%"&amp;"23YOLCU%2","november 2016")</f>
        <v>november 2016</v>
      </c>
      <c r="R188" s="3" t="str">
        <f t="shared" si="1"/>
        <v>No</v>
      </c>
      <c r="S188" s="3" t="str">
        <f t="shared" si="2"/>
        <v>No</v>
      </c>
      <c r="T188" s="3"/>
      <c r="U188" s="3"/>
      <c r="V188" s="3"/>
      <c r="W188" s="3"/>
      <c r="X188" s="3"/>
      <c r="Y188" s="3"/>
      <c r="Z188" s="3"/>
    </row>
    <row r="189" ht="12.75" customHeight="1">
      <c r="A189" s="3" t="s">
        <v>488</v>
      </c>
      <c r="B189" s="3"/>
      <c r="C189" s="3"/>
      <c r="D189" s="19"/>
      <c r="E189" s="19"/>
      <c r="F189" s="3" t="s">
        <v>22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 t="str">
        <f t="shared" si="1"/>
        <v>No</v>
      </c>
      <c r="S189" s="3" t="str">
        <f t="shared" si="2"/>
        <v>No</v>
      </c>
      <c r="T189" s="3"/>
      <c r="U189" s="3"/>
      <c r="V189" s="3"/>
      <c r="W189" s="3"/>
      <c r="X189" s="3"/>
      <c r="Y189" s="3"/>
      <c r="Z189" s="3"/>
    </row>
    <row r="190" ht="12.75" customHeight="1">
      <c r="A190" s="3" t="s">
        <v>489</v>
      </c>
      <c r="B190" s="3" t="s">
        <v>557</v>
      </c>
      <c r="C190" s="3"/>
      <c r="D190" s="17" t="str">
        <f>HYPERLINK("https://tcicaa.org/","tcicaa.org")</f>
        <v>tcicaa.org</v>
      </c>
      <c r="E190" s="19"/>
      <c r="F190" s="3" t="s">
        <v>22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 t="str">
        <f t="shared" si="1"/>
        <v>No</v>
      </c>
      <c r="S190" s="3" t="str">
        <f t="shared" si="2"/>
        <v>No</v>
      </c>
      <c r="T190" s="3"/>
      <c r="U190" s="3"/>
      <c r="V190" s="3"/>
      <c r="W190" s="3"/>
      <c r="X190" s="3"/>
      <c r="Y190" s="3"/>
      <c r="Z190" s="3"/>
    </row>
    <row r="191" ht="12.75" customHeight="1">
      <c r="A191" s="3" t="s">
        <v>490</v>
      </c>
      <c r="B191" s="3" t="s">
        <v>157</v>
      </c>
      <c r="C191" s="3"/>
      <c r="D191" s="17" t="str">
        <f>HYPERLINK("http://www.paso.aero/","www.paso.aero")</f>
        <v>www.paso.aero</v>
      </c>
      <c r="E191" s="19"/>
      <c r="F191" s="3" t="s">
        <v>22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 t="str">
        <f t="shared" si="1"/>
        <v>No</v>
      </c>
      <c r="S191" s="3" t="str">
        <f t="shared" si="2"/>
        <v>No</v>
      </c>
      <c r="T191" s="3"/>
      <c r="U191" s="3"/>
      <c r="V191" s="3"/>
      <c r="W191" s="3"/>
      <c r="X191" s="3"/>
      <c r="Y191" s="3"/>
      <c r="Z191" s="3"/>
    </row>
    <row r="192" ht="12.75" customHeight="1">
      <c r="A192" s="3" t="s">
        <v>491</v>
      </c>
      <c r="B192" s="3" t="s">
        <v>558</v>
      </c>
      <c r="C192" s="3" t="s">
        <v>559</v>
      </c>
      <c r="D192" s="17" t="str">
        <f>HYPERLINK("http://www.caa.co.ug/","www.caa.co.ug")</f>
        <v>www.caa.co.ug</v>
      </c>
      <c r="E192" s="19"/>
      <c r="F192" s="3" t="s">
        <v>29</v>
      </c>
      <c r="G192" s="3" t="s">
        <v>44</v>
      </c>
      <c r="H192" s="3">
        <v>1991.0</v>
      </c>
      <c r="I192" s="3">
        <v>2014.0</v>
      </c>
      <c r="J192" s="3" t="s">
        <v>46</v>
      </c>
      <c r="K192" s="3" t="s">
        <v>22</v>
      </c>
      <c r="L192" s="3" t="s">
        <v>22</v>
      </c>
      <c r="M192" s="3" t="s">
        <v>31</v>
      </c>
      <c r="N192" s="3" t="s">
        <v>29</v>
      </c>
      <c r="O192" s="3" t="s">
        <v>32</v>
      </c>
      <c r="P192" s="3" t="s">
        <v>33</v>
      </c>
      <c r="Q192" s="19" t="str">
        <f>HYPERLINK("file:///Sample files/Uganda.xls","2014")</f>
        <v>2014</v>
      </c>
      <c r="R192" s="3" t="str">
        <f t="shared" si="1"/>
        <v>No</v>
      </c>
      <c r="S192" s="3" t="str">
        <f t="shared" si="2"/>
        <v>No</v>
      </c>
      <c r="T192" s="3"/>
      <c r="U192" s="3"/>
      <c r="V192" s="3"/>
      <c r="W192" s="3"/>
      <c r="X192" s="3"/>
      <c r="Y192" s="3"/>
      <c r="Z192" s="3"/>
    </row>
    <row r="193" ht="12.75" customHeight="1">
      <c r="A193" s="3" t="s">
        <v>492</v>
      </c>
      <c r="B193" s="3" t="s">
        <v>560</v>
      </c>
      <c r="C193" s="3" t="s">
        <v>561</v>
      </c>
      <c r="D193" s="17" t="str">
        <f>HYPERLINK("http://www.avia.gov.ua/","www.avia.gov.ua")</f>
        <v>www.avia.gov.ua</v>
      </c>
      <c r="E193" s="19"/>
      <c r="F193" s="3" t="s">
        <v>22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 t="str">
        <f t="shared" si="1"/>
        <v>No</v>
      </c>
      <c r="S193" s="3" t="str">
        <f t="shared" si="2"/>
        <v>No</v>
      </c>
      <c r="T193" s="3"/>
      <c r="U193" s="3"/>
      <c r="V193" s="3"/>
      <c r="W193" s="3"/>
      <c r="X193" s="3"/>
      <c r="Y193" s="3"/>
      <c r="Z193" s="3"/>
    </row>
    <row r="194" ht="12.75" customHeight="1">
      <c r="A194" s="3" t="s">
        <v>494</v>
      </c>
      <c r="B194" s="3" t="s">
        <v>562</v>
      </c>
      <c r="C194" s="3"/>
      <c r="D194" s="17" t="str">
        <f>HYPERLINK("http://www.gcaa.ae/","www.gcaa.ae")</f>
        <v>www.gcaa.ae</v>
      </c>
      <c r="E194" s="19"/>
      <c r="F194" s="3" t="s">
        <v>22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 t="str">
        <f t="shared" si="1"/>
        <v>No</v>
      </c>
      <c r="S194" s="3" t="str">
        <f t="shared" si="2"/>
        <v>No</v>
      </c>
      <c r="T194" s="3"/>
      <c r="U194" s="3"/>
      <c r="V194" s="3"/>
      <c r="W194" s="3"/>
      <c r="X194" s="3"/>
      <c r="Y194" s="3"/>
      <c r="Z194" s="3"/>
    </row>
    <row r="195" ht="12.75" customHeight="1">
      <c r="A195" s="3" t="s">
        <v>495</v>
      </c>
      <c r="B195" s="3" t="s">
        <v>139</v>
      </c>
      <c r="C195" s="3"/>
      <c r="D195" s="17" t="str">
        <f>HYPERLINK("http://www.caa.co.uk/","www.caa.co.uk")</f>
        <v>www.caa.co.uk</v>
      </c>
      <c r="E195" s="17" t="str">
        <f>HYPERLINK("http://www.caa.co.uk/Data-and-analysis/UK-aviation-market/Airports/Datasets/UK-Airport-data/Airport-data-2016-10/","http://www.caa.co.uk/Data-and-analysis/UK-aviation-market/Airports/Datasets/UK-Airport-data/Airport-data-2016-10/")</f>
        <v>http://www.caa.co.uk/Data-and-analysis/UK-aviation-market/Airports/Datasets/UK-Airport-data/Airport-data-2016-10/</v>
      </c>
      <c r="F195" s="3" t="s">
        <v>29</v>
      </c>
      <c r="G195" s="3" t="s">
        <v>131</v>
      </c>
      <c r="H195" s="21">
        <v>1983.0</v>
      </c>
      <c r="I195" s="21" t="s">
        <v>45</v>
      </c>
      <c r="J195" s="3" t="s">
        <v>46</v>
      </c>
      <c r="K195" s="3" t="s">
        <v>46</v>
      </c>
      <c r="L195" s="3" t="s">
        <v>22</v>
      </c>
      <c r="M195" s="3" t="s">
        <v>31</v>
      </c>
      <c r="N195" s="3" t="s">
        <v>29</v>
      </c>
      <c r="O195" s="3" t="s">
        <v>47</v>
      </c>
      <c r="P195" s="3" t="s">
        <v>48</v>
      </c>
      <c r="Q195" s="19" t="str">
        <f>HYPERLINK("file:///Sample files/UK.csv","october 2016")</f>
        <v>october 2016</v>
      </c>
      <c r="R195" s="3" t="str">
        <f t="shared" si="1"/>
        <v>No</v>
      </c>
      <c r="S195" s="3" t="str">
        <f t="shared" si="2"/>
        <v>Yes</v>
      </c>
      <c r="T195" s="3"/>
      <c r="U195" s="3"/>
      <c r="V195" s="3"/>
      <c r="W195" s="3"/>
      <c r="X195" s="3"/>
      <c r="Y195" s="3"/>
      <c r="Z195" s="3"/>
    </row>
    <row r="196" ht="12.75" customHeight="1">
      <c r="A196" s="3" t="s">
        <v>496</v>
      </c>
      <c r="B196" s="3" t="s">
        <v>563</v>
      </c>
      <c r="C196" s="3" t="s">
        <v>564</v>
      </c>
      <c r="D196" s="17" t="str">
        <f>HYPERLINK("http://www.icao.int/","www.icao.int")</f>
        <v>www.icao.int</v>
      </c>
      <c r="E196" s="19"/>
      <c r="F196" s="3" t="s">
        <v>22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 t="str">
        <f t="shared" si="1"/>
        <v>No</v>
      </c>
      <c r="S196" s="3" t="str">
        <f t="shared" si="2"/>
        <v>No</v>
      </c>
      <c r="T196" s="3"/>
      <c r="U196" s="3"/>
      <c r="V196" s="3"/>
      <c r="W196" s="3"/>
      <c r="X196" s="3"/>
      <c r="Y196" s="3"/>
      <c r="Z196" s="3"/>
    </row>
    <row r="197" ht="12.75" customHeight="1">
      <c r="A197" s="3" t="s">
        <v>497</v>
      </c>
      <c r="B197" s="3" t="s">
        <v>565</v>
      </c>
      <c r="C197" s="3"/>
      <c r="D197" s="17" t="str">
        <f>HYPERLINK("http://www.faa.gov/","www.faa.gov")</f>
        <v>www.faa.gov</v>
      </c>
      <c r="E197" s="17" t="str">
        <f>HYPERLINK("http://www.transtats.bts.gov/DL_SelectFields.asp?Table_ID=292","http://www.transtats.bts.gov/DL_SelectFields.asp?Table_ID=292")</f>
        <v>http://www.transtats.bts.gov/DL_SelectFields.asp?Table_ID=292</v>
      </c>
      <c r="F197" s="3" t="s">
        <v>29</v>
      </c>
      <c r="G197" s="3" t="s">
        <v>131</v>
      </c>
      <c r="H197" s="3">
        <v>1990.0</v>
      </c>
      <c r="I197" s="21" t="s">
        <v>45</v>
      </c>
      <c r="J197" s="3" t="s">
        <v>566</v>
      </c>
      <c r="K197" s="3" t="s">
        <v>566</v>
      </c>
      <c r="L197" s="3" t="s">
        <v>151</v>
      </c>
      <c r="M197" s="3" t="s">
        <v>59</v>
      </c>
      <c r="N197" s="3" t="s">
        <v>29</v>
      </c>
      <c r="O197" s="3" t="s">
        <v>161</v>
      </c>
      <c r="P197" s="3" t="s">
        <v>162</v>
      </c>
      <c r="Q197" s="19" t="str">
        <f>HYPERLINK("file:///Sample files/US_Pax_2016.csv","2016 up to june")</f>
        <v>2016 up to june</v>
      </c>
      <c r="R197" s="3" t="str">
        <f t="shared" si="1"/>
        <v>Yes</v>
      </c>
      <c r="S197" s="3" t="str">
        <f t="shared" si="2"/>
        <v>Yes</v>
      </c>
      <c r="T197" s="3"/>
      <c r="U197" s="3"/>
      <c r="V197" s="3"/>
      <c r="W197" s="3"/>
      <c r="X197" s="3"/>
      <c r="Y197" s="3"/>
      <c r="Z197" s="3"/>
    </row>
    <row r="198" ht="12.75" customHeight="1">
      <c r="A198" s="3" t="s">
        <v>498</v>
      </c>
      <c r="B198" s="3" t="s">
        <v>567</v>
      </c>
      <c r="C198" s="3" t="s">
        <v>568</v>
      </c>
      <c r="D198" s="17" t="str">
        <f>HYPERLINK("http://www.dinacia.gub.uy/","www.dinacia.gub.uy/")</f>
        <v>www.dinacia.gub.uy/</v>
      </c>
      <c r="E198" s="17" t="str">
        <f>HYPERLINK("http://www.dinacia.gub.uy/ciudadania/estadisticas.html","http://www.dinacia.gub.uy/ciudadania/estadisticas.html")</f>
        <v>http://www.dinacia.gub.uy/ciudadania/estadisticas.html</v>
      </c>
      <c r="F198" s="3" t="s">
        <v>29</v>
      </c>
      <c r="G198" s="3" t="s">
        <v>569</v>
      </c>
      <c r="H198" s="3">
        <v>2011.0</v>
      </c>
      <c r="I198" s="21" t="s">
        <v>45</v>
      </c>
      <c r="J198" s="3" t="s">
        <v>46</v>
      </c>
      <c r="K198" s="3" t="s">
        <v>22</v>
      </c>
      <c r="L198" s="3" t="s">
        <v>151</v>
      </c>
      <c r="M198" s="3" t="s">
        <v>31</v>
      </c>
      <c r="N198" s="3" t="s">
        <v>29</v>
      </c>
      <c r="O198" s="3" t="s">
        <v>47</v>
      </c>
      <c r="P198" s="3" t="s">
        <v>110</v>
      </c>
      <c r="Q198" s="19" t="str">
        <f>HYPERLINK("file:///Sample files/Uruguay.docx","november 2016")</f>
        <v>november 2016</v>
      </c>
      <c r="R198" s="3" t="str">
        <f t="shared" si="1"/>
        <v>No</v>
      </c>
      <c r="S198" s="3" t="str">
        <f t="shared" si="2"/>
        <v>No</v>
      </c>
      <c r="T198" s="3"/>
      <c r="U198" s="3"/>
      <c r="V198" s="3"/>
      <c r="W198" s="3"/>
      <c r="X198" s="3"/>
      <c r="Y198" s="3"/>
      <c r="Z198" s="3"/>
    </row>
    <row r="199" ht="12.75" customHeight="1">
      <c r="A199" s="3" t="s">
        <v>500</v>
      </c>
      <c r="B199" s="3" t="s">
        <v>570</v>
      </c>
      <c r="C199" s="3" t="s">
        <v>571</v>
      </c>
      <c r="D199" s="17" t="str">
        <f>HYPERLINK("http://uzcaa.uz/uz/","http://uzcaa.uz/uz/")</f>
        <v>http://uzcaa.uz/uz/</v>
      </c>
      <c r="E199" s="19"/>
      <c r="F199" s="3" t="s">
        <v>22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19"/>
      <c r="R199" s="3" t="str">
        <f t="shared" si="1"/>
        <v>No</v>
      </c>
      <c r="S199" s="3" t="str">
        <f t="shared" si="2"/>
        <v>No</v>
      </c>
      <c r="T199" s="3"/>
      <c r="U199" s="3"/>
      <c r="V199" s="3"/>
      <c r="W199" s="3"/>
      <c r="X199" s="3"/>
      <c r="Y199" s="3"/>
      <c r="Z199" s="3"/>
    </row>
    <row r="200" ht="12.75" customHeight="1">
      <c r="A200" s="3" t="s">
        <v>501</v>
      </c>
      <c r="B200" s="3" t="s">
        <v>157</v>
      </c>
      <c r="C200" s="3"/>
      <c r="D200" s="17" t="str">
        <f>HYPERLINK("http://www.paso.aero/","www.paso.aero")</f>
        <v>www.paso.aero</v>
      </c>
      <c r="E200" s="19"/>
      <c r="F200" s="3" t="s">
        <v>22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 t="str">
        <f t="shared" si="1"/>
        <v>No</v>
      </c>
      <c r="S200" s="3" t="str">
        <f t="shared" si="2"/>
        <v>No</v>
      </c>
      <c r="T200" s="3"/>
      <c r="U200" s="3"/>
      <c r="V200" s="3"/>
      <c r="W200" s="3"/>
      <c r="X200" s="3"/>
      <c r="Y200" s="3"/>
      <c r="Z200" s="3"/>
    </row>
    <row r="201" ht="12.75" customHeight="1">
      <c r="A201" s="3" t="s">
        <v>502</v>
      </c>
      <c r="B201" s="3" t="s">
        <v>572</v>
      </c>
      <c r="C201" s="3"/>
      <c r="D201" s="17" t="str">
        <f>HYPERLINK("http://iacac.info/index.php/iacac/about-iacac","http://iacac.info/index.php/iacac/about-iacac")</f>
        <v>http://iacac.info/index.php/iacac/about-iacac</v>
      </c>
      <c r="E201" s="19"/>
      <c r="F201" s="3" t="s">
        <v>22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 t="str">
        <f t="shared" si="1"/>
        <v>No</v>
      </c>
      <c r="S201" s="3" t="str">
        <f t="shared" si="2"/>
        <v>No</v>
      </c>
      <c r="T201" s="3"/>
      <c r="U201" s="3"/>
      <c r="V201" s="3"/>
      <c r="W201" s="3"/>
      <c r="X201" s="3"/>
      <c r="Y201" s="3"/>
      <c r="Z201" s="3"/>
    </row>
    <row r="202" ht="12.75" customHeight="1">
      <c r="A202" s="3" t="s">
        <v>503</v>
      </c>
      <c r="B202" s="3" t="s">
        <v>573</v>
      </c>
      <c r="C202" s="3" t="s">
        <v>574</v>
      </c>
      <c r="D202" s="17" t="str">
        <f>HYPERLINK("http://www.inac.gob.ve/home.php","http://www.inac.gob.ve/home.php")</f>
        <v>http://www.inac.gob.ve/home.php</v>
      </c>
      <c r="E202" s="19"/>
      <c r="F202" s="3" t="s">
        <v>22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 t="str">
        <f t="shared" si="1"/>
        <v>No</v>
      </c>
      <c r="S202" s="3" t="str">
        <f t="shared" si="2"/>
        <v>No</v>
      </c>
      <c r="T202" s="3"/>
      <c r="U202" s="3"/>
      <c r="V202" s="3"/>
      <c r="W202" s="3"/>
      <c r="X202" s="3"/>
      <c r="Y202" s="3"/>
      <c r="Z202" s="3"/>
    </row>
    <row r="203" ht="12.75" customHeight="1">
      <c r="A203" s="3" t="s">
        <v>504</v>
      </c>
      <c r="B203" s="3" t="s">
        <v>575</v>
      </c>
      <c r="C203" s="3" t="s">
        <v>576</v>
      </c>
      <c r="D203" s="17" t="str">
        <f>HYPERLINK("http://www.caa.gov.vn/","www.caa.gov.vn")</f>
        <v>www.caa.gov.vn</v>
      </c>
      <c r="E203" s="19"/>
      <c r="F203" s="3" t="s">
        <v>22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 t="str">
        <f t="shared" si="1"/>
        <v>No</v>
      </c>
      <c r="S203" s="3" t="str">
        <f t="shared" si="2"/>
        <v>No</v>
      </c>
      <c r="T203" s="3"/>
      <c r="U203" s="3"/>
      <c r="V203" s="3"/>
      <c r="W203" s="3"/>
      <c r="X203" s="3"/>
      <c r="Y203" s="3"/>
      <c r="Z203" s="3"/>
    </row>
    <row r="204" ht="12.75" customHeight="1">
      <c r="A204" s="3" t="s">
        <v>505</v>
      </c>
      <c r="B204" s="3" t="s">
        <v>577</v>
      </c>
      <c r="C204" s="3"/>
      <c r="D204" s="17" t="str">
        <f>HYPERLINK("http://www.cama.gov.ye/","www.cama.gov.ye")</f>
        <v>www.cama.gov.ye</v>
      </c>
      <c r="E204" s="19"/>
      <c r="F204" s="3" t="s">
        <v>22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 t="str">
        <f t="shared" si="1"/>
        <v>No</v>
      </c>
      <c r="S204" s="3" t="str">
        <f t="shared" si="2"/>
        <v>No</v>
      </c>
      <c r="T204" s="3"/>
      <c r="U204" s="3"/>
      <c r="V204" s="3"/>
      <c r="W204" s="3"/>
      <c r="X204" s="3"/>
      <c r="Y204" s="3"/>
      <c r="Z204" s="3"/>
    </row>
    <row r="205" ht="12.75" customHeight="1">
      <c r="A205" s="3" t="s">
        <v>514</v>
      </c>
      <c r="B205" s="3" t="s">
        <v>578</v>
      </c>
      <c r="C205" s="3"/>
      <c r="D205" s="17" t="str">
        <f>HYPERLINK("http://www.caa.co.zm/","http://www.caa.co.zm/")</f>
        <v>http://www.caa.co.zm/</v>
      </c>
      <c r="E205" s="19"/>
      <c r="F205" s="3" t="s">
        <v>22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 t="str">
        <f t="shared" si="1"/>
        <v>No</v>
      </c>
      <c r="S205" s="3" t="str">
        <f t="shared" si="2"/>
        <v>No</v>
      </c>
      <c r="T205" s="3"/>
      <c r="U205" s="3"/>
      <c r="V205" s="3"/>
      <c r="W205" s="3"/>
      <c r="X205" s="3"/>
      <c r="Y205" s="3"/>
      <c r="Z205" s="3"/>
    </row>
    <row r="206" ht="12.75" customHeight="1">
      <c r="A206" s="3" t="s">
        <v>520</v>
      </c>
      <c r="B206" s="3" t="s">
        <v>139</v>
      </c>
      <c r="C206" s="3"/>
      <c r="D206" s="17" t="str">
        <f>HYPERLINK("http://www.caaz.co.zw/","www.caaz.co.zw")</f>
        <v>www.caaz.co.zw</v>
      </c>
      <c r="E206" s="19"/>
      <c r="F206" s="3" t="s">
        <v>29</v>
      </c>
      <c r="G206" s="3" t="s">
        <v>30</v>
      </c>
      <c r="H206" s="3">
        <v>2001.0</v>
      </c>
      <c r="I206" s="3">
        <v>2012.0</v>
      </c>
      <c r="J206" s="3" t="s">
        <v>46</v>
      </c>
      <c r="K206" s="3" t="s">
        <v>22</v>
      </c>
      <c r="L206" s="3" t="s">
        <v>22</v>
      </c>
      <c r="M206" s="3" t="s">
        <v>31</v>
      </c>
      <c r="N206" s="3" t="s">
        <v>22</v>
      </c>
      <c r="O206" s="3" t="s">
        <v>385</v>
      </c>
      <c r="P206" s="3" t="s">
        <v>33</v>
      </c>
      <c r="Q206" s="19" t="str">
        <f>HYPERLINK("file:///Sample files/Zimbabwe.pdf","2012")</f>
        <v>2012</v>
      </c>
      <c r="R206" s="3" t="str">
        <f t="shared" si="1"/>
        <v>No</v>
      </c>
      <c r="S206" s="3" t="str">
        <f t="shared" si="2"/>
        <v>No</v>
      </c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S$20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5" width="8.71"/>
  </cols>
  <sheetData>
    <row r="1" ht="12.75" customHeight="1"/>
    <row r="2" ht="12.75" customHeight="1">
      <c r="A2" s="1"/>
      <c r="B2" s="2"/>
    </row>
    <row r="3" ht="12.75" customHeight="1"/>
    <row r="4" ht="12.75" customHeight="1">
      <c r="A4" s="4"/>
      <c r="B4" s="5"/>
      <c r="C4" s="5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8"/>
    </row>
    <row r="5" ht="12.75" customHeight="1">
      <c r="A5" s="9"/>
      <c r="B5" s="10"/>
      <c r="C5" s="11"/>
      <c r="D5" s="12"/>
      <c r="E5" s="13"/>
      <c r="F5" s="12"/>
      <c r="G5" s="13"/>
      <c r="H5" s="13"/>
      <c r="I5" s="13"/>
      <c r="J5" s="13"/>
      <c r="K5" s="12"/>
      <c r="L5" s="10"/>
      <c r="M5" s="11"/>
      <c r="N5" s="12"/>
      <c r="O5" s="13"/>
      <c r="P5" s="12"/>
      <c r="Q5" s="10"/>
      <c r="R5" s="11"/>
      <c r="S5" s="12"/>
      <c r="T5" s="13"/>
      <c r="U5" s="12"/>
      <c r="V5" s="13"/>
      <c r="W5" s="12"/>
      <c r="X5" s="13"/>
      <c r="Y5" s="12"/>
      <c r="Z5" s="13"/>
      <c r="AA5" s="12"/>
      <c r="AB5" s="13"/>
      <c r="AC5" s="12"/>
      <c r="AD5" s="10"/>
      <c r="AE5" s="11"/>
      <c r="AF5" s="12"/>
      <c r="AG5" s="13"/>
      <c r="AH5" s="12"/>
      <c r="AI5" s="14"/>
    </row>
    <row r="6" ht="12.75" customHeight="1">
      <c r="A6" s="15"/>
      <c r="B6" s="10"/>
      <c r="C6" s="11"/>
      <c r="D6" s="16"/>
      <c r="E6" s="18"/>
      <c r="F6" s="16"/>
      <c r="G6" s="18"/>
      <c r="H6" s="18"/>
      <c r="I6" s="18"/>
      <c r="J6" s="18"/>
      <c r="K6" s="16"/>
      <c r="L6" s="10"/>
      <c r="M6" s="11"/>
      <c r="N6" s="16"/>
      <c r="O6" s="18"/>
      <c r="P6" s="16"/>
      <c r="Q6" s="10"/>
      <c r="R6" s="11"/>
      <c r="S6" s="16"/>
      <c r="T6" s="18"/>
      <c r="U6" s="16"/>
      <c r="V6" s="18"/>
      <c r="W6" s="16"/>
      <c r="X6" s="18"/>
      <c r="Y6" s="16"/>
      <c r="Z6" s="18"/>
      <c r="AA6" s="16"/>
      <c r="AB6" s="18"/>
      <c r="AC6" s="16"/>
      <c r="AD6" s="10"/>
      <c r="AE6" s="11"/>
      <c r="AF6" s="16"/>
      <c r="AG6" s="18"/>
      <c r="AH6" s="16"/>
      <c r="AI6" s="20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</worksheet>
</file>