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ebp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rofiles\pclaire\Desktop\Excel\"/>
    </mc:Choice>
  </mc:AlternateContent>
  <bookViews>
    <workbookView xWindow="0" yWindow="0" windowWidth="20490" windowHeight="7755" tabRatio="921" activeTab="3"/>
  </bookViews>
  <sheets>
    <sheet name="Acceuil" sheetId="48" r:id="rId1"/>
    <sheet name="Analyse des entrainements" sheetId="27" r:id="rId2"/>
    <sheet name="Chronos - VMA" sheetId="18" r:id="rId3"/>
    <sheet name="Carnet d'entrainement" sheetId="26" r:id="rId4"/>
    <sheet name="Programme entrainement run" sheetId="1" r:id="rId5"/>
    <sheet name="Objectifs" sheetId="52" r:id="rId6"/>
    <sheet name="Saisie d'un nouvel entrainement" sheetId="54" r:id="rId7"/>
    <sheet name="Paramètres" sheetId="51" r:id="rId8"/>
    <sheet name="R-1" sheetId="2" state="hidden" r:id="rId9"/>
    <sheet name="R-2" sheetId="4" state="hidden" r:id="rId10"/>
    <sheet name="R-3" sheetId="5" state="hidden" r:id="rId11"/>
    <sheet name="R-4" sheetId="6" state="hidden" r:id="rId12"/>
    <sheet name="R-5" sheetId="7" state="hidden" r:id="rId13"/>
    <sheet name="R-6" sheetId="8" state="hidden" r:id="rId14"/>
    <sheet name="R-7" sheetId="9" state="hidden" r:id="rId15"/>
    <sheet name="R-8" sheetId="10" state="hidden" r:id="rId16"/>
    <sheet name="R-9" sheetId="11" state="hidden" r:id="rId17"/>
    <sheet name="R-10" sheetId="13" state="hidden" r:id="rId18"/>
    <sheet name="R-11" sheetId="14" state="hidden" r:id="rId19"/>
    <sheet name="R-12" sheetId="15" state="hidden" r:id="rId20"/>
    <sheet name="R-13" sheetId="16" state="hidden" r:id="rId21"/>
    <sheet name="R-14" sheetId="17" state="hidden" r:id="rId22"/>
    <sheet name="R-15" sheetId="19" state="hidden" r:id="rId23"/>
    <sheet name="R-16" sheetId="20" state="hidden" r:id="rId24"/>
    <sheet name="R-17" sheetId="21" state="hidden" r:id="rId25"/>
    <sheet name="R-18" sheetId="22" state="hidden" r:id="rId26"/>
    <sheet name="R-19" sheetId="23" state="hidden" r:id="rId27"/>
    <sheet name="R-20" sheetId="24" state="hidden" r:id="rId28"/>
    <sheet name="R-21" sheetId="28" state="hidden" r:id="rId29"/>
    <sheet name="R-22" sheetId="29" state="hidden" r:id="rId30"/>
    <sheet name="R-23" sheetId="30" state="hidden" r:id="rId31"/>
    <sheet name="R-24" sheetId="31" state="hidden" r:id="rId32"/>
    <sheet name="R-25" sheetId="32" state="hidden" r:id="rId33"/>
    <sheet name="R-26" sheetId="33" state="hidden" r:id="rId34"/>
    <sheet name="R-27" sheetId="34" state="hidden" r:id="rId35"/>
    <sheet name="R-28" sheetId="35" state="hidden" r:id="rId36"/>
    <sheet name="R-29" sheetId="36" state="hidden" r:id="rId37"/>
    <sheet name="R-30" sheetId="37" state="hidden" r:id="rId38"/>
    <sheet name="R-31" sheetId="38" state="hidden" r:id="rId39"/>
    <sheet name="R-32" sheetId="39" state="hidden" r:id="rId40"/>
    <sheet name="R-33" sheetId="40" state="hidden" r:id="rId41"/>
    <sheet name="R-34" sheetId="41" state="hidden" r:id="rId42"/>
    <sheet name="R-35" sheetId="42" state="hidden" r:id="rId43"/>
    <sheet name="R-36" sheetId="43" state="hidden" r:id="rId44"/>
    <sheet name="R-37" sheetId="44" state="hidden" r:id="rId45"/>
    <sheet name="R-38" sheetId="45" state="hidden" r:id="rId46"/>
    <sheet name="R-39" sheetId="46" state="hidden" r:id="rId47"/>
    <sheet name="R-40" sheetId="47" state="hidden" r:id="rId48"/>
  </sheets>
  <definedNames>
    <definedName name="_xlnm._FilterDatabase" localSheetId="1" hidden="1">'Analyse des entrainements'!$B$7:$F$20</definedName>
    <definedName name="_xlnm._FilterDatabase" localSheetId="8" hidden="1">'R-1'!$B$1:$D$12</definedName>
    <definedName name="Activité">Tableau1[[#Headers],[Activité]]</definedName>
    <definedName name="Allure100">'Chronos - VMA'!$I$44</definedName>
    <definedName name="Allure101">'Chronos - VMA'!$I$45</definedName>
    <definedName name="Allure102">'Chronos - VMA'!$I$46</definedName>
    <definedName name="Allure103">'Chronos - VMA'!$I$47</definedName>
    <definedName name="Allure104">'Chronos - VMA'!$I$48</definedName>
    <definedName name="Allure105">'Chronos - VMA'!$I$49</definedName>
    <definedName name="Allure106">'Chronos - VMA'!$I$50</definedName>
    <definedName name="Allure107">'Chronos - VMA'!$I$51</definedName>
    <definedName name="Allure108">'Chronos - VMA'!$I$52</definedName>
    <definedName name="Allure109">'Chronos - VMA'!$I$53</definedName>
    <definedName name="Allure110">'Chronos - VMA'!$I$54</definedName>
    <definedName name="Allure111">'Chronos - VMA'!$I$55</definedName>
    <definedName name="Allure112">'Chronos - VMA'!$I$56</definedName>
    <definedName name="Allure113">'Chronos - VMA'!$I$57</definedName>
    <definedName name="Allure114">'Chronos - VMA'!$I$58</definedName>
    <definedName name="Allure115">'Chronos - VMA'!$I$59</definedName>
    <definedName name="Allure116">'Chronos - VMA'!$I$60</definedName>
    <definedName name="Allure117">'Chronos - VMA'!$I$61</definedName>
    <definedName name="Allure118">'Chronos - VMA'!$I$62</definedName>
    <definedName name="Allure119">'Chronos - VMA'!$I$63</definedName>
    <definedName name="Allure120">'Chronos - VMA'!$I$64</definedName>
    <definedName name="Allure121">'Chronos - VMA'!$I$65</definedName>
    <definedName name="Allure122">'Chronos - VMA'!$I$66</definedName>
    <definedName name="Allure123">'Chronos - VMA'!$I$67</definedName>
    <definedName name="Allure124">'Chronos - VMA'!$I$68</definedName>
    <definedName name="Allure125">'Chronos - VMA'!$I$69</definedName>
    <definedName name="Allure60">'Chronos - VMA'!$I$4</definedName>
    <definedName name="Allure61">'Chronos - VMA'!$I$5</definedName>
    <definedName name="Allure62">'Chronos - VMA'!$I$6</definedName>
    <definedName name="Allure63">'Chronos - VMA'!$I$7</definedName>
    <definedName name="Allure64">'Chronos - VMA'!$I$8</definedName>
    <definedName name="Allure65">'Chronos - VMA'!$I$9</definedName>
    <definedName name="Allure66">'Chronos - VMA'!$I$10</definedName>
    <definedName name="Allure67">'Chronos - VMA'!$I$11</definedName>
    <definedName name="Allure68">'Chronos - VMA'!$I$12</definedName>
    <definedName name="Allure69">'Chronos - VMA'!$I$13</definedName>
    <definedName name="Allure70">'Chronos - VMA'!$I$14</definedName>
    <definedName name="Allure71">'Chronos - VMA'!$I$15</definedName>
    <definedName name="Allure72">'Chronos - VMA'!$I$16</definedName>
    <definedName name="Allure73">'Chronos - VMA'!$I$17</definedName>
    <definedName name="Allure74">'Chronos - VMA'!$I$18</definedName>
    <definedName name="Allure75">'Chronos - VMA'!$I$19</definedName>
    <definedName name="Allure76">'Chronos - VMA'!$I$20</definedName>
    <definedName name="Allure77">'Chronos - VMA'!$I$21</definedName>
    <definedName name="Allure78">'Chronos - VMA'!$I$22</definedName>
    <definedName name="Allure79">'Chronos - VMA'!$I$23</definedName>
    <definedName name="Allure80">'Chronos - VMA'!$I$24</definedName>
    <definedName name="Allure81">'Chronos - VMA'!$I$25</definedName>
    <definedName name="Allure82">'Chronos - VMA'!$I$26</definedName>
    <definedName name="Allure83">'Chronos - VMA'!$I$27</definedName>
    <definedName name="Allure84">'Chronos - VMA'!$I$28</definedName>
    <definedName name="Allure85">'Chronos - VMA'!$I$29</definedName>
    <definedName name="Allure86">'Chronos - VMA'!$I$30</definedName>
    <definedName name="Allure87">'Chronos - VMA'!$I$31</definedName>
    <definedName name="Allure88">'Chronos - VMA'!$I$32</definedName>
    <definedName name="Allure89">'Chronos - VMA'!$I$33</definedName>
    <definedName name="Allure90">'Chronos - VMA'!$I$34</definedName>
    <definedName name="Allure91">'Chronos - VMA'!$I$35</definedName>
    <definedName name="Allure92">'Chronos - VMA'!$I$36</definedName>
    <definedName name="Allure93">'Chronos - VMA'!$I$37</definedName>
    <definedName name="Allure94">'Chronos - VMA'!$I$38</definedName>
    <definedName name="Allure95">'Chronos - VMA'!$I$39</definedName>
    <definedName name="Allure96">'Chronos - VMA'!$I$40</definedName>
    <definedName name="Allure97">'Chronos - VMA'!$I$41</definedName>
    <definedName name="Allure98">'Chronos - VMA'!$I$42</definedName>
    <definedName name="Allure99">'Chronos - VMA'!$I$43</definedName>
    <definedName name="AllureMax">'Carnet d''entrainement'!$J$6</definedName>
    <definedName name="AllureMin">'Carnet d''entrainement'!#REF!</definedName>
    <definedName name="AllureMoy">'Carnet d''entrainement'!$J$5</definedName>
    <definedName name="CadenceMax">'Carnet d''entrainement'!#REF!</definedName>
    <definedName name="CadenceMoy">'Carnet d''entrainement'!#REF!</definedName>
    <definedName name="CaloriesMax">'Carnet d''entrainement'!$G$6</definedName>
    <definedName name="CaloriesMin">'Carnet d''entrainement'!#REF!</definedName>
    <definedName name="CaloriesMoy">'Carnet d''entrainement'!$G$5</definedName>
    <definedName name="CaloriesTot">'Carnet d''entrainement'!$G$4</definedName>
    <definedName name="DéniveléMax">'Carnet d''entrainement'!$L$6</definedName>
    <definedName name="DéniveléMin">'Carnet d''entrainement'!#REF!</definedName>
    <definedName name="DéniveléMoy">'Carnet d''entrainement'!$L$5</definedName>
    <definedName name="DéniveléTot">'Carnet d''entrainement'!$L$4</definedName>
    <definedName name="Distance">'Carnet d''entrainement'!$C$4</definedName>
    <definedName name="DistanceMax">'Carnet d''entrainement'!$C$6</definedName>
    <definedName name="DistanceMin">'Carnet d''entrainement'!#REF!</definedName>
    <definedName name="DistanceMoy">'Carnet d''entrainement'!$C$5</definedName>
    <definedName name="DuréeMax">'Carnet d''entrainement'!$F$6</definedName>
    <definedName name="DuréeMoy">'Carnet d''entrainement'!$F$5</definedName>
    <definedName name="DuréeTot">'Carnet d''entrainement'!$F$4</definedName>
    <definedName name="FréquenceMax">'Carnet d''entrainement'!$V$6</definedName>
    <definedName name="FréquenceMoy">'Carnet d''entrainement'!$V$5</definedName>
    <definedName name="PuissanceMax">'Carnet d''entrainement'!#REF!</definedName>
    <definedName name="PuissanceMoy">'Carnet d''entrainement'!#REF!</definedName>
    <definedName name="Segment_Activité">#N/A</definedName>
    <definedName name="Segment_Date">#N/A</definedName>
    <definedName name="Sortie">'Carnet d''entrainement'!$B$2</definedName>
    <definedName name="Sorties">'Carnet d''entrainement'!$B$2</definedName>
    <definedName name="Vitesse100">'Chronos - VMA'!$B$44</definedName>
    <definedName name="Vitesse101">'Chronos - VMA'!$B$45</definedName>
    <definedName name="Vitesse102">'Chronos - VMA'!$B$46</definedName>
    <definedName name="Vitesse103">'Chronos - VMA'!$B$47</definedName>
    <definedName name="Vitesse104">'Chronos - VMA'!$B$48</definedName>
    <definedName name="Vitesse105">'Chronos - VMA'!$B$49</definedName>
    <definedName name="Vitesse106">'Chronos - VMA'!$B$50</definedName>
    <definedName name="Vitesse107">'Chronos - VMA'!$B$51</definedName>
    <definedName name="Vitesse108">'Chronos - VMA'!$B$52</definedName>
    <definedName name="Vitesse109">'Chronos - VMA'!$B$53</definedName>
    <definedName name="Vitesse110">'Chronos - VMA'!$B$54</definedName>
    <definedName name="Vitesse111">'Chronos - VMA'!$B$55</definedName>
    <definedName name="Vitesse112">'Chronos - VMA'!$B$56</definedName>
    <definedName name="Vitesse113">'Chronos - VMA'!$B$57</definedName>
    <definedName name="Vitesse114">'Chronos - VMA'!$B$58</definedName>
    <definedName name="Vitesse115">'Chronos - VMA'!$B$59</definedName>
    <definedName name="Vitesse116">'Chronos - VMA'!$B$60</definedName>
    <definedName name="Vitesse117">'Chronos - VMA'!$B$61</definedName>
    <definedName name="Vitesse118">'Chronos - VMA'!$B$62</definedName>
    <definedName name="Vitesse119">'Chronos - VMA'!$B$63</definedName>
    <definedName name="Vitesse120">'Chronos - VMA'!$B$64</definedName>
    <definedName name="Vitesse121">'Chronos - VMA'!$B$65</definedName>
    <definedName name="Vitesse122">'Chronos - VMA'!$B$66</definedName>
    <definedName name="Vitesse123">'Chronos - VMA'!$B$67</definedName>
    <definedName name="Vitesse124">'Chronos - VMA'!$B$68</definedName>
    <definedName name="Vitesse125">'Chronos - VMA'!$B$69</definedName>
    <definedName name="Vitesse60">'Chronos - VMA'!$B$4</definedName>
    <definedName name="Vitesse61">'Chronos - VMA'!$B$5</definedName>
    <definedName name="Vitesse62">'Chronos - VMA'!$B$6</definedName>
    <definedName name="Vitesse63">'Chronos - VMA'!$B$7</definedName>
    <definedName name="Vitesse64">'Chronos - VMA'!$B$8</definedName>
    <definedName name="Vitesse65">'Chronos - VMA'!$B$9</definedName>
    <definedName name="Vitesse66">'Chronos - VMA'!$B$10</definedName>
    <definedName name="Vitesse67">'Chronos - VMA'!$B$11</definedName>
    <definedName name="Vitesse68">'Chronos - VMA'!$B$12</definedName>
    <definedName name="Vitesse69">'Chronos - VMA'!$B$13</definedName>
    <definedName name="Vitesse70">'Chronos - VMA'!$B$14</definedName>
    <definedName name="Vitesse71">'Chronos - VMA'!$B$15</definedName>
    <definedName name="Vitesse72">'Chronos - VMA'!$B$16</definedName>
    <definedName name="Vitesse73">'Chronos - VMA'!$B$17</definedName>
    <definedName name="Vitesse74">'Chronos - VMA'!$B$18</definedName>
    <definedName name="Vitesse75">'Chronos - VMA'!$B$19</definedName>
    <definedName name="Vitesse76">'Chronos - VMA'!$B$20</definedName>
    <definedName name="Vitesse77">'Chronos - VMA'!$B$21</definedName>
    <definedName name="Vitesse78">'Chronos - VMA'!$B$22</definedName>
    <definedName name="Vitesse79">'Chronos - VMA'!$B$23</definedName>
    <definedName name="Vitesse80">'Chronos - VMA'!$B$24</definedName>
    <definedName name="Vitesse81">'Chronos - VMA'!$B$25</definedName>
    <definedName name="Vitesse82">'Chronos - VMA'!$B$26</definedName>
    <definedName name="Vitesse83">'Chronos - VMA'!$B$27</definedName>
    <definedName name="Vitesse84">'Chronos - VMA'!$B$28</definedName>
    <definedName name="Vitesse85">'Chronos - VMA'!$B$29</definedName>
    <definedName name="Vitesse86">'Chronos - VMA'!$B$30</definedName>
    <definedName name="Vitesse87">'Chronos - VMA'!$B$31</definedName>
    <definedName name="Vitesse88">'Chronos - VMA'!$B$32</definedName>
    <definedName name="Vitesse89">'Chronos - VMA'!$B$33</definedName>
    <definedName name="Vitesse90">'Chronos - VMA'!$B$34</definedName>
    <definedName name="Vitesse91">'Chronos - VMA'!$B$35</definedName>
    <definedName name="Vitesse92">'Chronos - VMA'!$B$36</definedName>
    <definedName name="Vitesse93">'Chronos - VMA'!$B$37</definedName>
    <definedName name="Vitesse94">'Chronos - VMA'!$B$38</definedName>
    <definedName name="Vitesse95">'Chronos - VMA'!$B$39</definedName>
    <definedName name="Vitesse96">'Chronos - VMA'!$B$40</definedName>
    <definedName name="Vitesse97">'Chronos - VMA'!$B$41</definedName>
    <definedName name="Vitesse98">'Chronos - VMA'!$B$42</definedName>
    <definedName name="Vitesse99">'Chronos - VMA'!$B$43</definedName>
    <definedName name="VitesseMax">'Carnet d''entrainement'!$H$6</definedName>
    <definedName name="VitesseMin">'Carnet d''entrainement'!#REF!</definedName>
    <definedName name="VitesseMoy">'Carnet d''entrainement'!$H$5</definedName>
    <definedName name="Zone1Max">'Carnet d''entrainement'!$Q$6</definedName>
    <definedName name="Zone1Moy">'Carnet d''entrainement'!$Q$5</definedName>
    <definedName name="Zone1Tot">'Carnet d''entrainement'!$Q$4</definedName>
    <definedName name="Zone2Max">'Carnet d''entrainement'!$R$6</definedName>
    <definedName name="Zone2Moy">'Carnet d''entrainement'!$R$5</definedName>
    <definedName name="Zone2Tot">'Carnet d''entrainement'!$R$4</definedName>
    <definedName name="Zone3Max">'Carnet d''entrainement'!$S$6</definedName>
    <definedName name="Zone3Moy">'Carnet d''entrainement'!$S$5</definedName>
    <definedName name="Zone3Tot">'Carnet d''entrainement'!$S$4</definedName>
    <definedName name="Zone4Max">'Carnet d''entrainement'!$T$6</definedName>
    <definedName name="Zone4Moy">'Carnet d''entrainement'!$T$5</definedName>
    <definedName name="Zone4Tot">'Carnet d''entrainement'!$T$4</definedName>
    <definedName name="Zone5Max">'Carnet d''entrainement'!$U$6</definedName>
    <definedName name="Zone5Moy">'Carnet d''entrainement'!$U$5</definedName>
    <definedName name="Zone5Tot">'Carnet d''entrainement'!$U$4</definedName>
  </definedNames>
  <calcPr calcId="162913" calcMode="manual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9"/>
        <x14:slicerCache r:id="rId50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6" l="1"/>
  <c r="E4" i="52" l="1"/>
  <c r="E24" i="52" l="1"/>
  <c r="A19" i="52"/>
  <c r="E14" i="52"/>
  <c r="A9" i="52"/>
  <c r="D30" i="18" l="1"/>
  <c r="D31" i="18"/>
  <c r="D32" i="18"/>
  <c r="D33" i="18"/>
  <c r="D34" i="18"/>
  <c r="F9" i="26" l="1"/>
  <c r="H9" i="26" s="1"/>
  <c r="F10" i="26"/>
  <c r="H10" i="26" s="1"/>
  <c r="F11" i="26"/>
  <c r="H11" i="26" s="1"/>
  <c r="F12" i="26"/>
  <c r="H12" i="26" s="1"/>
  <c r="F13" i="26"/>
  <c r="H13" i="26" s="1"/>
  <c r="F14" i="26"/>
  <c r="H14" i="26" s="1"/>
  <c r="F15" i="26"/>
  <c r="H15" i="26" s="1"/>
  <c r="F16" i="26"/>
  <c r="H16" i="26" s="1"/>
  <c r="F17" i="26"/>
  <c r="H17" i="26" s="1"/>
  <c r="F18" i="26"/>
  <c r="H18" i="26" s="1"/>
  <c r="F19" i="26"/>
  <c r="H19" i="26" s="1"/>
  <c r="F20" i="26"/>
  <c r="H20" i="26" s="1"/>
  <c r="F21" i="26"/>
  <c r="H21" i="26" s="1"/>
  <c r="F22" i="26"/>
  <c r="H22" i="26" s="1"/>
  <c r="F23" i="26"/>
  <c r="H23" i="26" s="1"/>
  <c r="F24" i="26"/>
  <c r="H24" i="26" s="1"/>
  <c r="F25" i="26"/>
  <c r="H25" i="26" s="1"/>
  <c r="F26" i="26"/>
  <c r="H26" i="26" s="1"/>
  <c r="F27" i="26"/>
  <c r="H27" i="26" s="1"/>
  <c r="F28" i="26"/>
  <c r="H28" i="26" s="1"/>
  <c r="F29" i="26"/>
  <c r="H29" i="26" s="1"/>
  <c r="F30" i="26"/>
  <c r="H30" i="26" s="1"/>
  <c r="F31" i="26"/>
  <c r="H31" i="26" s="1"/>
  <c r="F32" i="26"/>
  <c r="H32" i="26" s="1"/>
  <c r="F33" i="26"/>
  <c r="H33" i="26" s="1"/>
  <c r="F34" i="26"/>
  <c r="H34" i="26" s="1"/>
  <c r="F35" i="26"/>
  <c r="H35" i="26" s="1"/>
  <c r="F36" i="26"/>
  <c r="H36" i="26" s="1"/>
  <c r="F37" i="26"/>
  <c r="H37" i="26" s="1"/>
  <c r="F38" i="26"/>
  <c r="H38" i="26" s="1"/>
  <c r="F39" i="26"/>
  <c r="H39" i="26" s="1"/>
  <c r="F40" i="26"/>
  <c r="H40" i="26" s="1"/>
  <c r="F41" i="26"/>
  <c r="H41" i="26" s="1"/>
  <c r="F42" i="26"/>
  <c r="H42" i="26" s="1"/>
  <c r="F43" i="26"/>
  <c r="H43" i="26" s="1"/>
  <c r="F44" i="26"/>
  <c r="H44" i="26" s="1"/>
  <c r="F45" i="26"/>
  <c r="H45" i="26" s="1"/>
  <c r="F46" i="26"/>
  <c r="H46" i="26" s="1"/>
  <c r="F47" i="26"/>
  <c r="H47" i="26" s="1"/>
  <c r="F48" i="26"/>
  <c r="H48" i="26" s="1"/>
  <c r="F49" i="26"/>
  <c r="H49" i="26" s="1"/>
  <c r="F50" i="26"/>
  <c r="H50" i="26" s="1"/>
  <c r="F51" i="26"/>
  <c r="H51" i="26" s="1"/>
  <c r="F52" i="26"/>
  <c r="H52" i="26" s="1"/>
  <c r="F53" i="26"/>
  <c r="H53" i="26" s="1"/>
  <c r="F54" i="26"/>
  <c r="H54" i="26" s="1"/>
  <c r="F55" i="26"/>
  <c r="H55" i="26" s="1"/>
  <c r="F56" i="26"/>
  <c r="H56" i="26" s="1"/>
  <c r="F57" i="26"/>
  <c r="H57" i="26" s="1"/>
  <c r="F58" i="26"/>
  <c r="H58" i="26" s="1"/>
  <c r="F59" i="26"/>
  <c r="H59" i="26" s="1"/>
  <c r="F60" i="26"/>
  <c r="H60" i="26" s="1"/>
  <c r="F61" i="26"/>
  <c r="H61" i="26" s="1"/>
  <c r="F62" i="26"/>
  <c r="H62" i="26" s="1"/>
  <c r="F63" i="26"/>
  <c r="H63" i="26" s="1"/>
  <c r="F64" i="26"/>
  <c r="H64" i="26" s="1"/>
  <c r="F65" i="26"/>
  <c r="H65" i="26" s="1"/>
  <c r="F66" i="26"/>
  <c r="H66" i="26" s="1"/>
  <c r="F67" i="26"/>
  <c r="H67" i="26" s="1"/>
  <c r="F68" i="26"/>
  <c r="H68" i="26" s="1"/>
  <c r="F69" i="26"/>
  <c r="H69" i="26" s="1"/>
  <c r="F70" i="26"/>
  <c r="H70" i="26" s="1"/>
  <c r="F71" i="26"/>
  <c r="H71" i="26" s="1"/>
  <c r="F72" i="26"/>
  <c r="H72" i="26" s="1"/>
  <c r="F73" i="26"/>
  <c r="H73" i="26" s="1"/>
  <c r="F74" i="26"/>
  <c r="H74" i="26" s="1"/>
  <c r="F75" i="26"/>
  <c r="H75" i="26" s="1"/>
  <c r="F76" i="26"/>
  <c r="H76" i="26" s="1"/>
  <c r="F77" i="26"/>
  <c r="H77" i="26" s="1"/>
  <c r="F78" i="26"/>
  <c r="H78" i="26" s="1"/>
  <c r="F79" i="26"/>
  <c r="H79" i="26" s="1"/>
  <c r="F80" i="26"/>
  <c r="H80" i="26" s="1"/>
  <c r="F81" i="26"/>
  <c r="H81" i="26" s="1"/>
  <c r="F82" i="26"/>
  <c r="H82" i="26" s="1"/>
  <c r="F83" i="26"/>
  <c r="H83" i="26" s="1"/>
  <c r="F84" i="26"/>
  <c r="H84" i="26" s="1"/>
  <c r="F85" i="26"/>
  <c r="H85" i="26" s="1"/>
  <c r="F86" i="26"/>
  <c r="H86" i="26" s="1"/>
  <c r="F87" i="26"/>
  <c r="H87" i="26" s="1"/>
  <c r="F88" i="26"/>
  <c r="H88" i="26" s="1"/>
  <c r="F89" i="26"/>
  <c r="H89" i="26" s="1"/>
  <c r="F90" i="26"/>
  <c r="H90" i="26" s="1"/>
  <c r="F91" i="26"/>
  <c r="H91" i="26" s="1"/>
  <c r="F92" i="26"/>
  <c r="H92" i="26" s="1"/>
  <c r="F93" i="26"/>
  <c r="H93" i="26" s="1"/>
  <c r="F94" i="26"/>
  <c r="H94" i="26" s="1"/>
  <c r="F95" i="26"/>
  <c r="H95" i="26" s="1"/>
  <c r="F96" i="26"/>
  <c r="H96" i="26" s="1"/>
  <c r="F97" i="26"/>
  <c r="H97" i="26" s="1"/>
  <c r="F98" i="26"/>
  <c r="H98" i="26" s="1"/>
  <c r="F99" i="26"/>
  <c r="H99" i="26" s="1"/>
  <c r="F100" i="26"/>
  <c r="H100" i="26" s="1"/>
  <c r="F101" i="26"/>
  <c r="H101" i="26" s="1"/>
  <c r="F102" i="26"/>
  <c r="H102" i="26" s="1"/>
  <c r="F103" i="26"/>
  <c r="H103" i="26" s="1"/>
  <c r="F104" i="26"/>
  <c r="H104" i="26" s="1"/>
  <c r="F105" i="26"/>
  <c r="H105" i="26" s="1"/>
  <c r="F106" i="26"/>
  <c r="H106" i="26" s="1"/>
  <c r="F107" i="26"/>
  <c r="H107" i="26" s="1"/>
  <c r="F108" i="26"/>
  <c r="H108" i="26" s="1"/>
  <c r="F109" i="26"/>
  <c r="H109" i="26" s="1"/>
  <c r="F110" i="26"/>
  <c r="H110" i="26" s="1"/>
  <c r="F111" i="26"/>
  <c r="H111" i="26" s="1"/>
  <c r="F112" i="26"/>
  <c r="H112" i="26" s="1"/>
  <c r="F113" i="26"/>
  <c r="H113" i="26" s="1"/>
  <c r="F114" i="26"/>
  <c r="H114" i="26" s="1"/>
  <c r="F115" i="26"/>
  <c r="H115" i="26" s="1"/>
  <c r="F116" i="26"/>
  <c r="H116" i="26" s="1"/>
  <c r="F117" i="26"/>
  <c r="H117" i="26" s="1"/>
  <c r="F118" i="26"/>
  <c r="H118" i="26" s="1"/>
  <c r="F119" i="26"/>
  <c r="H119" i="26" s="1"/>
  <c r="F120" i="26"/>
  <c r="H120" i="26" s="1"/>
  <c r="F121" i="26"/>
  <c r="H121" i="26" s="1"/>
  <c r="F122" i="26"/>
  <c r="H122" i="26" s="1"/>
  <c r="F123" i="26"/>
  <c r="H123" i="26" s="1"/>
  <c r="F124" i="26"/>
  <c r="H124" i="26" s="1"/>
  <c r="F125" i="26"/>
  <c r="H125" i="26" s="1"/>
  <c r="F126" i="26"/>
  <c r="H126" i="26" s="1"/>
  <c r="F127" i="26"/>
  <c r="H127" i="26" s="1"/>
  <c r="F128" i="26"/>
  <c r="H128" i="26" s="1"/>
  <c r="F129" i="26"/>
  <c r="H129" i="26" s="1"/>
  <c r="F130" i="26"/>
  <c r="H130" i="26" s="1"/>
  <c r="F131" i="26"/>
  <c r="H131" i="26" s="1"/>
  <c r="F132" i="26"/>
  <c r="H132" i="26" s="1"/>
  <c r="F133" i="26"/>
  <c r="H133" i="26" s="1"/>
  <c r="F134" i="26"/>
  <c r="H134" i="26" s="1"/>
  <c r="F135" i="26"/>
  <c r="H135" i="26" s="1"/>
  <c r="F136" i="26"/>
  <c r="H136" i="26" s="1"/>
  <c r="F137" i="26"/>
  <c r="H137" i="26" s="1"/>
  <c r="F138" i="26"/>
  <c r="H138" i="26" s="1"/>
  <c r="F139" i="26"/>
  <c r="H139" i="26" s="1"/>
  <c r="F140" i="26"/>
  <c r="H140" i="26" s="1"/>
  <c r="F141" i="26"/>
  <c r="H141" i="26" s="1"/>
  <c r="F142" i="26"/>
  <c r="H142" i="26" s="1"/>
  <c r="F143" i="26"/>
  <c r="H143" i="26" s="1"/>
  <c r="F144" i="26"/>
  <c r="H144" i="26" s="1"/>
  <c r="F145" i="26"/>
  <c r="H145" i="26" s="1"/>
  <c r="F146" i="26"/>
  <c r="H146" i="26" s="1"/>
  <c r="F147" i="26"/>
  <c r="H147" i="26" s="1"/>
  <c r="F148" i="26"/>
  <c r="H148" i="26" s="1"/>
  <c r="F149" i="26"/>
  <c r="H149" i="26" s="1"/>
  <c r="F150" i="26"/>
  <c r="H150" i="26" s="1"/>
  <c r="F151" i="26"/>
  <c r="H151" i="26" s="1"/>
  <c r="F152" i="26"/>
  <c r="H152" i="26" s="1"/>
  <c r="F153" i="26"/>
  <c r="H153" i="26" s="1"/>
  <c r="F154" i="26"/>
  <c r="H154" i="26" s="1"/>
  <c r="F155" i="26"/>
  <c r="H155" i="26" s="1"/>
  <c r="F156" i="26"/>
  <c r="H156" i="26" s="1"/>
  <c r="F157" i="26"/>
  <c r="H157" i="26" s="1"/>
  <c r="F158" i="26"/>
  <c r="H158" i="26" s="1"/>
  <c r="F159" i="26"/>
  <c r="H159" i="26" s="1"/>
  <c r="F160" i="26"/>
  <c r="H160" i="26" s="1"/>
  <c r="F161" i="26"/>
  <c r="H161" i="26" s="1"/>
  <c r="F162" i="26"/>
  <c r="H162" i="26" s="1"/>
  <c r="F163" i="26"/>
  <c r="H163" i="26" s="1"/>
  <c r="F164" i="26"/>
  <c r="H164" i="26" s="1"/>
  <c r="F165" i="26"/>
  <c r="H165" i="26" s="1"/>
  <c r="F166" i="26"/>
  <c r="H166" i="26" s="1"/>
  <c r="F167" i="26"/>
  <c r="H167" i="26" s="1"/>
  <c r="F168" i="26"/>
  <c r="H168" i="26" s="1"/>
  <c r="F169" i="26"/>
  <c r="H169" i="26" s="1"/>
  <c r="F170" i="26"/>
  <c r="H170" i="26" s="1"/>
  <c r="F171" i="26"/>
  <c r="H171" i="26" s="1"/>
  <c r="F172" i="26"/>
  <c r="H172" i="26" s="1"/>
  <c r="F173" i="26"/>
  <c r="H173" i="26" s="1"/>
  <c r="F174" i="26"/>
  <c r="H174" i="26" s="1"/>
  <c r="F175" i="26"/>
  <c r="H175" i="26" s="1"/>
  <c r="F176" i="26"/>
  <c r="H176" i="26" s="1"/>
  <c r="F177" i="26"/>
  <c r="H177" i="26" s="1"/>
  <c r="F178" i="26"/>
  <c r="H178" i="26" s="1"/>
  <c r="F179" i="26"/>
  <c r="H179" i="26" s="1"/>
  <c r="F180" i="26"/>
  <c r="H180" i="26" s="1"/>
  <c r="F181" i="26"/>
  <c r="H181" i="26" s="1"/>
  <c r="F182" i="26"/>
  <c r="H182" i="26" s="1"/>
  <c r="F183" i="26"/>
  <c r="H183" i="26" s="1"/>
  <c r="F184" i="26"/>
  <c r="H184" i="26" s="1"/>
  <c r="F185" i="26"/>
  <c r="H185" i="26" s="1"/>
  <c r="F186" i="26"/>
  <c r="H186" i="26" s="1"/>
  <c r="F187" i="26"/>
  <c r="H187" i="26" s="1"/>
  <c r="F188" i="26"/>
  <c r="H188" i="26" s="1"/>
  <c r="F189" i="26"/>
  <c r="H189" i="26" s="1"/>
  <c r="F190" i="26"/>
  <c r="H190" i="26" s="1"/>
  <c r="F191" i="26"/>
  <c r="H191" i="26" s="1"/>
  <c r="F192" i="26"/>
  <c r="H192" i="26" s="1"/>
  <c r="F193" i="26"/>
  <c r="H193" i="26" s="1"/>
  <c r="F194" i="26"/>
  <c r="H194" i="26" s="1"/>
  <c r="F195" i="26"/>
  <c r="H195" i="26" s="1"/>
  <c r="F196" i="26"/>
  <c r="H196" i="26" s="1"/>
  <c r="F197" i="26"/>
  <c r="H197" i="26" s="1"/>
  <c r="F198" i="26"/>
  <c r="H198" i="26" s="1"/>
  <c r="F199" i="26"/>
  <c r="H199" i="26" s="1"/>
  <c r="F200" i="26"/>
  <c r="H200" i="26" s="1"/>
  <c r="F201" i="26"/>
  <c r="H201" i="26" s="1"/>
  <c r="F202" i="26"/>
  <c r="H202" i="26" s="1"/>
  <c r="F203" i="26"/>
  <c r="H203" i="26" s="1"/>
  <c r="F204" i="26"/>
  <c r="H204" i="26" s="1"/>
  <c r="F205" i="26"/>
  <c r="H205" i="26" s="1"/>
  <c r="F206" i="26"/>
  <c r="H206" i="26" s="1"/>
  <c r="F207" i="26"/>
  <c r="H207" i="26" s="1"/>
  <c r="F208" i="26"/>
  <c r="H208" i="26" s="1"/>
  <c r="F209" i="26"/>
  <c r="H209" i="26" s="1"/>
  <c r="F210" i="26"/>
  <c r="H210" i="26" s="1"/>
  <c r="F211" i="26"/>
  <c r="H211" i="26" s="1"/>
  <c r="F212" i="26"/>
  <c r="H212" i="26" s="1"/>
  <c r="F213" i="26"/>
  <c r="H213" i="26" s="1"/>
  <c r="F214" i="26"/>
  <c r="H214" i="26" s="1"/>
  <c r="F215" i="26"/>
  <c r="H215" i="26" s="1"/>
  <c r="F216" i="26"/>
  <c r="H216" i="26" s="1"/>
  <c r="F217" i="26"/>
  <c r="H217" i="26" s="1"/>
  <c r="F218" i="26"/>
  <c r="H218" i="26" s="1"/>
  <c r="F219" i="26"/>
  <c r="H219" i="26" s="1"/>
  <c r="F220" i="26"/>
  <c r="H220" i="26" s="1"/>
  <c r="F221" i="26"/>
  <c r="H221" i="26" s="1"/>
  <c r="F222" i="26"/>
  <c r="H222" i="26" s="1"/>
  <c r="F223" i="26"/>
  <c r="H223" i="26" s="1"/>
  <c r="F224" i="26"/>
  <c r="H224" i="26" s="1"/>
  <c r="F225" i="26"/>
  <c r="H225" i="26" s="1"/>
  <c r="F226" i="26"/>
  <c r="H226" i="26" s="1"/>
  <c r="F227" i="26"/>
  <c r="H227" i="26" s="1"/>
  <c r="F228" i="26"/>
  <c r="H228" i="26" s="1"/>
  <c r="F229" i="26"/>
  <c r="H229" i="26" s="1"/>
  <c r="F230" i="26"/>
  <c r="H230" i="26" s="1"/>
  <c r="F231" i="26"/>
  <c r="H231" i="26" s="1"/>
  <c r="F232" i="26"/>
  <c r="H232" i="26" s="1"/>
  <c r="F233" i="26"/>
  <c r="H233" i="26" s="1"/>
  <c r="F234" i="26"/>
  <c r="H234" i="26" s="1"/>
  <c r="F235" i="26"/>
  <c r="H235" i="26" s="1"/>
  <c r="F236" i="26"/>
  <c r="H236" i="26" s="1"/>
  <c r="F237" i="26"/>
  <c r="H237" i="26" s="1"/>
  <c r="F238" i="26"/>
  <c r="H238" i="26" s="1"/>
  <c r="F239" i="26"/>
  <c r="H239" i="26" s="1"/>
  <c r="F240" i="26"/>
  <c r="H240" i="26" s="1"/>
  <c r="F241" i="26"/>
  <c r="H241" i="26" s="1"/>
  <c r="F242" i="26"/>
  <c r="H242" i="26" s="1"/>
  <c r="F243" i="26"/>
  <c r="H243" i="26" s="1"/>
  <c r="F244" i="26"/>
  <c r="H244" i="26" s="1"/>
  <c r="F245" i="26"/>
  <c r="H245" i="26" s="1"/>
  <c r="F246" i="26"/>
  <c r="H246" i="26" s="1"/>
  <c r="F247" i="26"/>
  <c r="H247" i="26" s="1"/>
  <c r="F248" i="26"/>
  <c r="H248" i="26" s="1"/>
  <c r="F249" i="26"/>
  <c r="H249" i="26" s="1"/>
  <c r="F250" i="26"/>
  <c r="H250" i="26" s="1"/>
  <c r="F251" i="26"/>
  <c r="H251" i="26" s="1"/>
  <c r="F252" i="26"/>
  <c r="H252" i="26" s="1"/>
  <c r="F253" i="26"/>
  <c r="H253" i="26" s="1"/>
  <c r="F254" i="26"/>
  <c r="H254" i="26" s="1"/>
  <c r="F255" i="26"/>
  <c r="H255" i="26" s="1"/>
  <c r="F256" i="26"/>
  <c r="H256" i="26" s="1"/>
  <c r="F257" i="26"/>
  <c r="H257" i="26" s="1"/>
  <c r="F258" i="26"/>
  <c r="H258" i="26" s="1"/>
  <c r="F259" i="26"/>
  <c r="H259" i="26" s="1"/>
  <c r="F260" i="26"/>
  <c r="H260" i="26" s="1"/>
  <c r="F261" i="26"/>
  <c r="H261" i="26" s="1"/>
  <c r="F262" i="26"/>
  <c r="H262" i="26" s="1"/>
  <c r="F263" i="26"/>
  <c r="H263" i="26" s="1"/>
  <c r="F264" i="26"/>
  <c r="H264" i="26" s="1"/>
  <c r="F265" i="26"/>
  <c r="H265" i="26" s="1"/>
  <c r="F266" i="26"/>
  <c r="H266" i="26" s="1"/>
  <c r="F267" i="26"/>
  <c r="H267" i="26" s="1"/>
  <c r="F268" i="26"/>
  <c r="H268" i="26" s="1"/>
  <c r="F269" i="26"/>
  <c r="H269" i="26" s="1"/>
  <c r="F270" i="26"/>
  <c r="H270" i="26" s="1"/>
  <c r="F271" i="26"/>
  <c r="H271" i="26" s="1"/>
  <c r="F272" i="26"/>
  <c r="H272" i="26" s="1"/>
  <c r="F273" i="26"/>
  <c r="H273" i="26" s="1"/>
  <c r="F274" i="26"/>
  <c r="H274" i="26" s="1"/>
  <c r="F275" i="26"/>
  <c r="H275" i="26" s="1"/>
  <c r="F276" i="26"/>
  <c r="H276" i="26" s="1"/>
  <c r="F277" i="26"/>
  <c r="H277" i="26" s="1"/>
  <c r="F278" i="26"/>
  <c r="H278" i="26" s="1"/>
  <c r="F279" i="26"/>
  <c r="H279" i="26" s="1"/>
  <c r="F280" i="26"/>
  <c r="H280" i="26" s="1"/>
  <c r="F281" i="26"/>
  <c r="H281" i="26" s="1"/>
  <c r="F282" i="26"/>
  <c r="H282" i="26" s="1"/>
  <c r="F283" i="26"/>
  <c r="H283" i="26" s="1"/>
  <c r="F284" i="26"/>
  <c r="H284" i="26" s="1"/>
  <c r="F285" i="26"/>
  <c r="H285" i="26" s="1"/>
  <c r="F286" i="26"/>
  <c r="H286" i="26" s="1"/>
  <c r="F287" i="26"/>
  <c r="H287" i="26" s="1"/>
  <c r="F288" i="26"/>
  <c r="H288" i="26" s="1"/>
  <c r="F289" i="26"/>
  <c r="H289" i="26" s="1"/>
  <c r="F290" i="26"/>
  <c r="H290" i="26" s="1"/>
  <c r="F291" i="26"/>
  <c r="H291" i="26" s="1"/>
  <c r="F292" i="26"/>
  <c r="H292" i="26" s="1"/>
  <c r="F293" i="26"/>
  <c r="H293" i="26" s="1"/>
  <c r="F294" i="26"/>
  <c r="H294" i="26" s="1"/>
  <c r="F295" i="26"/>
  <c r="H295" i="26" s="1"/>
  <c r="F296" i="26"/>
  <c r="H296" i="26" s="1"/>
  <c r="F297" i="26"/>
  <c r="H297" i="26" s="1"/>
  <c r="F298" i="26"/>
  <c r="H298" i="26" s="1"/>
  <c r="F299" i="26"/>
  <c r="H299" i="26" s="1"/>
  <c r="F300" i="26"/>
  <c r="H300" i="26" s="1"/>
  <c r="F301" i="26"/>
  <c r="H301" i="26" s="1"/>
  <c r="F302" i="26"/>
  <c r="H302" i="26" s="1"/>
  <c r="F303" i="26"/>
  <c r="H303" i="26" s="1"/>
  <c r="F304" i="26"/>
  <c r="H304" i="26" s="1"/>
  <c r="F305" i="26"/>
  <c r="H305" i="26" s="1"/>
  <c r="F306" i="26"/>
  <c r="H306" i="26" s="1"/>
  <c r="F307" i="26"/>
  <c r="H307" i="26" s="1"/>
  <c r="F308" i="26"/>
  <c r="H308" i="26" s="1"/>
  <c r="F309" i="26"/>
  <c r="H309" i="26" s="1"/>
  <c r="F310" i="26"/>
  <c r="H310" i="26" s="1"/>
  <c r="F311" i="26"/>
  <c r="H311" i="26" s="1"/>
  <c r="F312" i="26"/>
  <c r="H312" i="26" s="1"/>
  <c r="F313" i="26"/>
  <c r="H313" i="26" s="1"/>
  <c r="F314" i="26"/>
  <c r="H314" i="26" s="1"/>
  <c r="F315" i="26"/>
  <c r="H315" i="26" s="1"/>
  <c r="F316" i="26"/>
  <c r="H316" i="26" s="1"/>
  <c r="F317" i="26"/>
  <c r="H317" i="26" s="1"/>
  <c r="F318" i="26"/>
  <c r="H318" i="26" s="1"/>
  <c r="F319" i="26"/>
  <c r="H319" i="26" s="1"/>
  <c r="F320" i="26"/>
  <c r="H320" i="26" s="1"/>
  <c r="F321" i="26"/>
  <c r="H321" i="26" s="1"/>
  <c r="F322" i="26"/>
  <c r="H322" i="26" s="1"/>
  <c r="F323" i="26"/>
  <c r="H323" i="26" s="1"/>
  <c r="F324" i="26"/>
  <c r="H324" i="26" s="1"/>
  <c r="F325" i="26"/>
  <c r="H325" i="26" s="1"/>
  <c r="F326" i="26"/>
  <c r="H326" i="26" s="1"/>
  <c r="F327" i="26"/>
  <c r="H327" i="26" s="1"/>
  <c r="F328" i="26"/>
  <c r="H328" i="26" s="1"/>
  <c r="F329" i="26"/>
  <c r="H329" i="26" s="1"/>
  <c r="F330" i="26"/>
  <c r="H330" i="26" s="1"/>
  <c r="F331" i="26"/>
  <c r="H331" i="26" s="1"/>
  <c r="F332" i="26"/>
  <c r="H332" i="26" s="1"/>
  <c r="F333" i="26"/>
  <c r="H333" i="26" s="1"/>
  <c r="F334" i="26"/>
  <c r="H334" i="26" s="1"/>
  <c r="F335" i="26"/>
  <c r="H335" i="26" s="1"/>
  <c r="F336" i="26"/>
  <c r="H336" i="26" s="1"/>
  <c r="F337" i="26"/>
  <c r="H337" i="26" s="1"/>
  <c r="F338" i="26"/>
  <c r="H338" i="26" s="1"/>
  <c r="F339" i="26"/>
  <c r="H339" i="26" s="1"/>
  <c r="F340" i="26"/>
  <c r="H340" i="26" s="1"/>
  <c r="F341" i="26"/>
  <c r="H341" i="26" s="1"/>
  <c r="F342" i="26"/>
  <c r="H342" i="26" s="1"/>
  <c r="F343" i="26"/>
  <c r="H343" i="26" s="1"/>
  <c r="F344" i="26"/>
  <c r="H344" i="26" s="1"/>
  <c r="F345" i="26"/>
  <c r="H345" i="26" s="1"/>
  <c r="F346" i="26"/>
  <c r="H346" i="26" s="1"/>
  <c r="F347" i="26"/>
  <c r="H347" i="26" s="1"/>
  <c r="F348" i="26"/>
  <c r="H348" i="26" s="1"/>
  <c r="F349" i="26"/>
  <c r="H349" i="26" s="1"/>
  <c r="F350" i="26"/>
  <c r="H350" i="26" s="1"/>
  <c r="F351" i="26"/>
  <c r="H351" i="26" s="1"/>
  <c r="F352" i="26"/>
  <c r="H352" i="26" s="1"/>
  <c r="F353" i="26"/>
  <c r="H353" i="26" s="1"/>
  <c r="F354" i="26"/>
  <c r="H354" i="26" s="1"/>
  <c r="F355" i="26"/>
  <c r="H355" i="26" s="1"/>
  <c r="F356" i="26"/>
  <c r="H356" i="26" s="1"/>
  <c r="F357" i="26"/>
  <c r="H357" i="26" s="1"/>
  <c r="F358" i="26"/>
  <c r="H358" i="26" s="1"/>
  <c r="F359" i="26"/>
  <c r="H359" i="26" s="1"/>
  <c r="F360" i="26"/>
  <c r="H360" i="26" s="1"/>
  <c r="F361" i="26"/>
  <c r="H361" i="26" s="1"/>
  <c r="F362" i="26"/>
  <c r="H362" i="26" s="1"/>
  <c r="F363" i="26"/>
  <c r="H363" i="26" s="1"/>
  <c r="F364" i="26"/>
  <c r="H364" i="26" s="1"/>
  <c r="F365" i="26"/>
  <c r="H365" i="26" s="1"/>
  <c r="F366" i="26"/>
  <c r="H366" i="26" s="1"/>
  <c r="F367" i="26"/>
  <c r="H367" i="26" s="1"/>
  <c r="F368" i="26"/>
  <c r="H368" i="26" s="1"/>
  <c r="F369" i="26"/>
  <c r="H369" i="26" s="1"/>
  <c r="F370" i="26"/>
  <c r="H370" i="26" s="1"/>
  <c r="F371" i="26"/>
  <c r="H371" i="26" s="1"/>
  <c r="F372" i="26"/>
  <c r="H372" i="26" s="1"/>
  <c r="F373" i="26"/>
  <c r="H373" i="26" s="1"/>
  <c r="F374" i="26"/>
  <c r="H374" i="26" s="1"/>
  <c r="F375" i="26"/>
  <c r="H375" i="26" s="1"/>
  <c r="F376" i="26"/>
  <c r="H376" i="26" s="1"/>
  <c r="F377" i="26"/>
  <c r="H377" i="26" s="1"/>
  <c r="F378" i="26"/>
  <c r="H378" i="26" s="1"/>
  <c r="F379" i="26"/>
  <c r="H379" i="26" s="1"/>
  <c r="F380" i="26"/>
  <c r="H380" i="26" s="1"/>
  <c r="F381" i="26"/>
  <c r="H381" i="26" s="1"/>
  <c r="F382" i="26"/>
  <c r="H382" i="26" s="1"/>
  <c r="F383" i="26"/>
  <c r="H383" i="26" s="1"/>
  <c r="F384" i="26"/>
  <c r="H384" i="26" s="1"/>
  <c r="F385" i="26"/>
  <c r="H385" i="26" s="1"/>
  <c r="F386" i="26"/>
  <c r="H386" i="26" s="1"/>
  <c r="F387" i="26"/>
  <c r="H387" i="26" s="1"/>
  <c r="F388" i="26"/>
  <c r="H388" i="26" s="1"/>
  <c r="F389" i="26"/>
  <c r="H389" i="26" s="1"/>
  <c r="F390" i="26"/>
  <c r="H390" i="26" s="1"/>
  <c r="F391" i="26"/>
  <c r="H391" i="26" s="1"/>
  <c r="F392" i="26"/>
  <c r="H392" i="26" s="1"/>
  <c r="F393" i="26"/>
  <c r="H393" i="26" s="1"/>
  <c r="F394" i="26"/>
  <c r="H394" i="26" s="1"/>
  <c r="F395" i="26"/>
  <c r="H395" i="26" s="1"/>
  <c r="F396" i="26"/>
  <c r="H396" i="26" s="1"/>
  <c r="F397" i="26"/>
  <c r="H397" i="26" s="1"/>
  <c r="F398" i="26"/>
  <c r="H398" i="26" s="1"/>
  <c r="F399" i="26"/>
  <c r="H399" i="26" s="1"/>
  <c r="F8" i="26"/>
  <c r="H8" i="26" s="1"/>
  <c r="A1" i="2" l="1"/>
  <c r="Q4" i="26" l="1"/>
  <c r="R4" i="26"/>
  <c r="S4" i="26"/>
  <c r="T4" i="26"/>
  <c r="U4" i="26"/>
  <c r="A1" i="22" l="1"/>
  <c r="I42" i="18"/>
  <c r="C12" i="31" l="1"/>
  <c r="C16" i="28"/>
  <c r="C10" i="31"/>
  <c r="C14" i="31"/>
  <c r="C26" i="28"/>
  <c r="C8" i="31"/>
  <c r="C12" i="28"/>
  <c r="C18" i="31"/>
  <c r="C30" i="28"/>
  <c r="C16" i="31"/>
  <c r="C31" i="10"/>
  <c r="C29" i="10"/>
  <c r="C27" i="10"/>
  <c r="C25" i="10"/>
  <c r="C23" i="10"/>
  <c r="C21" i="10"/>
  <c r="C18" i="10"/>
  <c r="C16" i="10"/>
  <c r="C14" i="10"/>
  <c r="C12" i="10"/>
  <c r="C10" i="10"/>
  <c r="C8" i="10"/>
  <c r="I25" i="18" l="1"/>
  <c r="C8" i="2" s="1"/>
  <c r="I16" i="18"/>
  <c r="C4" i="2" s="1"/>
  <c r="I9" i="18"/>
  <c r="I5" i="18"/>
  <c r="C12" i="14" l="1"/>
  <c r="C4" i="14"/>
  <c r="C4" i="13"/>
  <c r="C37" i="13"/>
  <c r="C17" i="11"/>
  <c r="C4" i="10"/>
  <c r="C14" i="9"/>
  <c r="C4" i="9"/>
  <c r="C34" i="8"/>
  <c r="C34" i="4"/>
  <c r="C4" i="8"/>
  <c r="C17" i="7"/>
  <c r="C12" i="6"/>
  <c r="C19" i="5"/>
  <c r="C20" i="4"/>
  <c r="C4" i="11"/>
  <c r="C34" i="10"/>
  <c r="C4" i="7"/>
  <c r="C4" i="6"/>
  <c r="C4" i="5"/>
  <c r="C4" i="4"/>
  <c r="C12" i="2"/>
  <c r="D21" i="27"/>
  <c r="D20" i="27"/>
  <c r="D19" i="27"/>
  <c r="D18" i="27"/>
  <c r="D17" i="27"/>
  <c r="R5" i="26"/>
  <c r="E18" i="27" s="1"/>
  <c r="G6" i="26"/>
  <c r="F15" i="27" s="1"/>
  <c r="J6" i="26" l="1"/>
  <c r="F11" i="27" s="1"/>
  <c r="J5" i="26"/>
  <c r="E11" i="27" s="1"/>
  <c r="A2" i="47" l="1"/>
  <c r="A1" i="47"/>
  <c r="A5" i="47"/>
  <c r="A6" i="47" s="1"/>
  <c r="A8" i="47" s="1"/>
  <c r="A9" i="47" s="1"/>
  <c r="A10" i="47" s="1"/>
  <c r="A11" i="47" s="1"/>
  <c r="A12" i="47" s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7" i="47" s="1"/>
  <c r="A2" i="46"/>
  <c r="A1" i="46"/>
  <c r="A5" i="46"/>
  <c r="A6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58" i="47" l="1"/>
  <c r="E46" i="1" s="1"/>
  <c r="A31" i="46"/>
  <c r="A32" i="46" s="1"/>
  <c r="M102" i="26"/>
  <c r="A1" i="45" l="1"/>
  <c r="A2" i="45"/>
  <c r="A5" i="45"/>
  <c r="A6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8" i="45" s="1"/>
  <c r="A39" i="45" l="1"/>
  <c r="E44" i="1" s="1"/>
  <c r="A1" i="44"/>
  <c r="A2" i="44"/>
  <c r="A5" i="44"/>
  <c r="A6" i="44" s="1"/>
  <c r="A8" i="44" s="1"/>
  <c r="A9" i="44" s="1"/>
  <c r="A10" i="44" s="1"/>
  <c r="A11" i="44" s="1"/>
  <c r="A12" i="44" s="1"/>
  <c r="A13" i="44" s="1"/>
  <c r="A14" i="44" s="1"/>
  <c r="A15" i="44" s="1"/>
  <c r="A16" i="44" s="1"/>
  <c r="A17" i="44" s="1"/>
  <c r="A18" i="44" s="1"/>
  <c r="A19" i="44" s="1"/>
  <c r="A20" i="44" s="1"/>
  <c r="A21" i="44" s="1"/>
  <c r="A22" i="44" s="1"/>
  <c r="A23" i="44" s="1"/>
  <c r="A24" i="44" s="1"/>
  <c r="A25" i="44" s="1"/>
  <c r="A26" i="44" s="1"/>
  <c r="A27" i="44" s="1"/>
  <c r="A28" i="44" s="1"/>
  <c r="A29" i="44" s="1"/>
  <c r="A30" i="44" s="1"/>
  <c r="A31" i="44" s="1"/>
  <c r="A33" i="44" s="1"/>
  <c r="A2" i="43"/>
  <c r="A1" i="43"/>
  <c r="A5" i="43"/>
  <c r="A6" i="43" s="1"/>
  <c r="A8" i="43" s="1"/>
  <c r="A9" i="43" s="1"/>
  <c r="A10" i="43" s="1"/>
  <c r="A11" i="43" s="1"/>
  <c r="A12" i="43" s="1"/>
  <c r="A13" i="43" s="1"/>
  <c r="A14" i="43" s="1"/>
  <c r="A15" i="43" s="1"/>
  <c r="A16" i="43" s="1"/>
  <c r="A17" i="43" s="1"/>
  <c r="A18" i="43" s="1"/>
  <c r="A19" i="43" s="1"/>
  <c r="A20" i="43" s="1"/>
  <c r="A21" i="43" s="1"/>
  <c r="A22" i="43" s="1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A36" i="43" s="1"/>
  <c r="A37" i="43" s="1"/>
  <c r="A38" i="43" s="1"/>
  <c r="A39" i="43" s="1"/>
  <c r="A41" i="43" l="1"/>
  <c r="A42" i="43" s="1"/>
  <c r="E42" i="1" s="1"/>
  <c r="A34" i="44"/>
  <c r="E43" i="1" s="1"/>
  <c r="A2" i="42"/>
  <c r="A1" i="42"/>
  <c r="A5" i="42"/>
  <c r="A6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A36" i="42" s="1"/>
  <c r="A37" i="42" s="1"/>
  <c r="A38" i="42" s="1"/>
  <c r="A39" i="42" s="1"/>
  <c r="A40" i="42" s="1"/>
  <c r="A41" i="42" s="1"/>
  <c r="A42" i="42" s="1"/>
  <c r="A43" i="42" l="1"/>
  <c r="A44" i="42" s="1"/>
  <c r="A45" i="42" s="1"/>
  <c r="A46" i="42" s="1"/>
  <c r="A47" i="42" s="1"/>
  <c r="A48" i="42" s="1"/>
  <c r="A49" i="42" s="1"/>
  <c r="A51" i="42" s="1"/>
  <c r="A52" i="42" s="1"/>
  <c r="E41" i="1" s="1"/>
  <c r="A2" i="41"/>
  <c r="A1" i="41"/>
  <c r="A5" i="41"/>
  <c r="A6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5" i="41" l="1"/>
  <c r="A46" i="41" s="1"/>
  <c r="E40" i="1" s="1"/>
  <c r="A2" i="40"/>
  <c r="A1" i="40"/>
  <c r="A1" i="39"/>
  <c r="A2" i="39"/>
  <c r="A2" i="38"/>
  <c r="A1" i="38"/>
  <c r="A5" i="40"/>
  <c r="A6" i="40" s="1"/>
  <c r="A8" i="40" s="1"/>
  <c r="A9" i="40" s="1"/>
  <c r="A5" i="39"/>
  <c r="A6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10" i="40" l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40" i="40" s="1"/>
  <c r="A41" i="40" s="1"/>
  <c r="E39" i="1" s="1"/>
  <c r="A43" i="39"/>
  <c r="A44" i="39" s="1"/>
  <c r="A45" i="39" s="1"/>
  <c r="A46" i="39" s="1"/>
  <c r="A1" i="37"/>
  <c r="A2" i="37"/>
  <c r="A5" i="38"/>
  <c r="A6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5" i="37"/>
  <c r="A6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49" i="39" l="1"/>
  <c r="A50" i="39" s="1"/>
  <c r="E38" i="1" s="1"/>
  <c r="A47" i="39"/>
  <c r="A42" i="38"/>
  <c r="A43" i="38" s="1"/>
  <c r="A44" i="38" s="1"/>
  <c r="A45" i="38" s="1"/>
  <c r="A46" i="38" s="1"/>
  <c r="A47" i="38" s="1"/>
  <c r="A19" i="37"/>
  <c r="A20" i="37" s="1"/>
  <c r="A21" i="37" s="1"/>
  <c r="A22" i="37" s="1"/>
  <c r="A23" i="37" s="1"/>
  <c r="A24" i="37" s="1"/>
  <c r="A25" i="37" s="1"/>
  <c r="A26" i="37" s="1"/>
  <c r="A27" i="37" s="1"/>
  <c r="A49" i="38" l="1"/>
  <c r="A50" i="38" s="1"/>
  <c r="E37" i="1" s="1"/>
  <c r="A28" i="37"/>
  <c r="A29" i="37" s="1"/>
  <c r="A30" i="37" s="1"/>
  <c r="A31" i="37" s="1"/>
  <c r="A32" i="37" l="1"/>
  <c r="A33" i="37" s="1"/>
  <c r="A34" i="37" s="1"/>
  <c r="A35" i="37" s="1"/>
  <c r="A36" i="37" s="1"/>
  <c r="A37" i="37" s="1"/>
  <c r="A39" i="37" s="1"/>
  <c r="A40" i="37" s="1"/>
  <c r="E36" i="1" s="1"/>
  <c r="A5" i="36"/>
  <c r="A2" i="36"/>
  <c r="A1" i="36"/>
  <c r="A2" i="35"/>
  <c r="A1" i="35"/>
  <c r="A5" i="35"/>
  <c r="A6" i="36" l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6" i="35"/>
  <c r="A8" i="35" s="1"/>
  <c r="A9" i="35" s="1"/>
  <c r="A10" i="35" s="1"/>
  <c r="A11" i="35" s="1"/>
  <c r="A12" i="35" s="1"/>
  <c r="A13" i="35" s="1"/>
  <c r="A2" i="34"/>
  <c r="A1" i="34"/>
  <c r="A15" i="35" l="1"/>
  <c r="A16" i="35" s="1"/>
  <c r="E34" i="1" s="1"/>
  <c r="A18" i="36"/>
  <c r="A19" i="36" s="1"/>
  <c r="A20" i="36" s="1"/>
  <c r="A21" i="36" s="1"/>
  <c r="A22" i="36" s="1"/>
  <c r="A23" i="36" s="1"/>
  <c r="A25" i="36" s="1"/>
  <c r="A26" i="36" s="1"/>
  <c r="E35" i="1" s="1"/>
  <c r="A5" i="34"/>
  <c r="A6" i="34" s="1"/>
  <c r="A8" i="34" s="1"/>
  <c r="A9" i="34" s="1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4" i="34" l="1"/>
  <c r="A35" i="34" s="1"/>
  <c r="E33" i="1" s="1"/>
  <c r="A2" i="33"/>
  <c r="A1" i="33"/>
  <c r="A5" i="33"/>
  <c r="A5" i="32"/>
  <c r="A2" i="32"/>
  <c r="A1" i="32"/>
  <c r="A5" i="31"/>
  <c r="A2" i="31"/>
  <c r="A1" i="31"/>
  <c r="A6" i="33" l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6" i="32"/>
  <c r="A8" i="32" s="1"/>
  <c r="A9" i="32" s="1"/>
  <c r="A10" i="32" s="1"/>
  <c r="A6" i="3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5" i="31" s="1"/>
  <c r="A36" i="31" s="1"/>
  <c r="E30" i="1" s="1"/>
  <c r="A21" i="33" l="1"/>
  <c r="A22" i="33" s="1"/>
  <c r="E32" i="1" s="1"/>
  <c r="A12" i="32"/>
  <c r="A13" i="32" s="1"/>
  <c r="E31" i="1" s="1"/>
  <c r="D9" i="27" l="1"/>
  <c r="A2" i="30" l="1"/>
  <c r="A1" i="30"/>
  <c r="A2" i="29"/>
  <c r="A5" i="30"/>
  <c r="A6" i="30" s="1"/>
  <c r="A8" i="30" s="1"/>
  <c r="A5" i="29"/>
  <c r="A1" i="29"/>
  <c r="A6" i="29" l="1"/>
  <c r="A8" i="29" s="1"/>
  <c r="A9" i="29" s="1"/>
  <c r="A10" i="29" s="1"/>
  <c r="A11" i="29" s="1"/>
  <c r="A13" i="29" l="1"/>
  <c r="A14" i="29" s="1"/>
  <c r="E28" i="1" s="1"/>
  <c r="A5" i="28"/>
  <c r="A2" i="28"/>
  <c r="A1" i="28"/>
  <c r="A1" i="19"/>
  <c r="A1" i="20"/>
  <c r="A1" i="23"/>
  <c r="A1" i="21"/>
  <c r="A1" i="13"/>
  <c r="A1" i="16"/>
  <c r="A1" i="15"/>
  <c r="A1" i="5"/>
  <c r="A1" i="4"/>
  <c r="A6" i="28" l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7" i="28" s="1"/>
  <c r="A38" i="28" s="1"/>
  <c r="E27" i="1" s="1"/>
  <c r="A1" i="7" l="1"/>
  <c r="M399" i="26" l="1"/>
  <c r="M398" i="26"/>
  <c r="M397" i="26"/>
  <c r="M396" i="26"/>
  <c r="M395" i="26"/>
  <c r="M394" i="26"/>
  <c r="M393" i="26"/>
  <c r="M392" i="26"/>
  <c r="M391" i="26"/>
  <c r="M390" i="26"/>
  <c r="M389" i="26"/>
  <c r="M388" i="26"/>
  <c r="M387" i="26"/>
  <c r="M386" i="26"/>
  <c r="M385" i="26"/>
  <c r="M384" i="26"/>
  <c r="M383" i="26"/>
  <c r="M382" i="26"/>
  <c r="M381" i="26"/>
  <c r="M380" i="26"/>
  <c r="M379" i="26"/>
  <c r="M378" i="26"/>
  <c r="M377" i="26"/>
  <c r="M376" i="26"/>
  <c r="M375" i="26"/>
  <c r="M374" i="26"/>
  <c r="M373" i="26"/>
  <c r="M372" i="26"/>
  <c r="M371" i="26"/>
  <c r="M370" i="26"/>
  <c r="M369" i="26"/>
  <c r="M368" i="26"/>
  <c r="M367" i="26"/>
  <c r="M366" i="26"/>
  <c r="M365" i="26"/>
  <c r="M364" i="26"/>
  <c r="M363" i="26"/>
  <c r="M362" i="26"/>
  <c r="M361" i="26"/>
  <c r="M360" i="26"/>
  <c r="M359" i="26"/>
  <c r="M358" i="26"/>
  <c r="M357" i="26"/>
  <c r="M356" i="26"/>
  <c r="M355" i="26"/>
  <c r="M354" i="26"/>
  <c r="M353" i="26"/>
  <c r="M352" i="26"/>
  <c r="M351" i="26"/>
  <c r="M350" i="26"/>
  <c r="M349" i="26"/>
  <c r="M348" i="26"/>
  <c r="M347" i="26"/>
  <c r="M346" i="26"/>
  <c r="M345" i="26"/>
  <c r="M344" i="26"/>
  <c r="M343" i="26"/>
  <c r="M342" i="26"/>
  <c r="M341" i="26"/>
  <c r="M340" i="26"/>
  <c r="M339" i="26"/>
  <c r="M338" i="26"/>
  <c r="M337" i="26"/>
  <c r="M336" i="26"/>
  <c r="M335" i="26"/>
  <c r="M334" i="26"/>
  <c r="M333" i="26"/>
  <c r="M332" i="26"/>
  <c r="M331" i="26"/>
  <c r="M330" i="26"/>
  <c r="M329" i="26"/>
  <c r="M328" i="26"/>
  <c r="M327" i="26"/>
  <c r="M326" i="26"/>
  <c r="M325" i="26"/>
  <c r="M324" i="26"/>
  <c r="M323" i="26"/>
  <c r="M322" i="26"/>
  <c r="M321" i="26"/>
  <c r="M320" i="26"/>
  <c r="M319" i="26"/>
  <c r="M318" i="26"/>
  <c r="M317" i="26"/>
  <c r="M316" i="26"/>
  <c r="M315" i="26"/>
  <c r="M314" i="26"/>
  <c r="M313" i="26"/>
  <c r="M312" i="26"/>
  <c r="M311" i="26"/>
  <c r="M310" i="26"/>
  <c r="M309" i="26"/>
  <c r="M308" i="26"/>
  <c r="M307" i="26"/>
  <c r="M306" i="26"/>
  <c r="M305" i="26"/>
  <c r="M304" i="26"/>
  <c r="M303" i="26"/>
  <c r="M302" i="26"/>
  <c r="M301" i="26"/>
  <c r="M300" i="26"/>
  <c r="M299" i="26"/>
  <c r="M298" i="26"/>
  <c r="M297" i="26"/>
  <c r="M296" i="26"/>
  <c r="M295" i="26"/>
  <c r="M294" i="26"/>
  <c r="M293" i="26"/>
  <c r="M292" i="26"/>
  <c r="M291" i="26"/>
  <c r="M290" i="26"/>
  <c r="M289" i="26"/>
  <c r="M288" i="26"/>
  <c r="M287" i="26"/>
  <c r="M286" i="26"/>
  <c r="M285" i="26"/>
  <c r="M284" i="26"/>
  <c r="M283" i="26"/>
  <c r="M282" i="26"/>
  <c r="M281" i="26"/>
  <c r="M280" i="26"/>
  <c r="M279" i="26"/>
  <c r="M278" i="26"/>
  <c r="M277" i="26"/>
  <c r="M276" i="26"/>
  <c r="M275" i="26"/>
  <c r="M274" i="26"/>
  <c r="M273" i="26"/>
  <c r="M272" i="26"/>
  <c r="M271" i="26"/>
  <c r="M270" i="26"/>
  <c r="M269" i="26"/>
  <c r="M268" i="26"/>
  <c r="M267" i="26"/>
  <c r="M266" i="26"/>
  <c r="M265" i="26"/>
  <c r="M264" i="26"/>
  <c r="M263" i="26"/>
  <c r="M262" i="26"/>
  <c r="M261" i="26"/>
  <c r="M260" i="26"/>
  <c r="M259" i="26"/>
  <c r="M258" i="26"/>
  <c r="M257" i="26"/>
  <c r="M256" i="26"/>
  <c r="M255" i="26"/>
  <c r="M254" i="26"/>
  <c r="M253" i="26"/>
  <c r="M252" i="26"/>
  <c r="M251" i="26"/>
  <c r="M250" i="26"/>
  <c r="M249" i="26"/>
  <c r="M248" i="26"/>
  <c r="M247" i="26"/>
  <c r="M246" i="26"/>
  <c r="M245" i="26"/>
  <c r="M244" i="26"/>
  <c r="M243" i="26"/>
  <c r="M242" i="26"/>
  <c r="M241" i="26"/>
  <c r="M240" i="26"/>
  <c r="M239" i="26"/>
  <c r="M238" i="26"/>
  <c r="M237" i="26"/>
  <c r="M236" i="26"/>
  <c r="M235" i="26"/>
  <c r="M234" i="26"/>
  <c r="M233" i="26"/>
  <c r="M232" i="26"/>
  <c r="M231" i="26"/>
  <c r="M230" i="26"/>
  <c r="M229" i="26"/>
  <c r="M228" i="26"/>
  <c r="M227" i="26"/>
  <c r="M226" i="26"/>
  <c r="M225" i="26"/>
  <c r="M224" i="26"/>
  <c r="M223" i="26"/>
  <c r="M222" i="26"/>
  <c r="M221" i="26"/>
  <c r="M220" i="26"/>
  <c r="M219" i="26"/>
  <c r="M218" i="26"/>
  <c r="M217" i="26"/>
  <c r="M216" i="26"/>
  <c r="M215" i="26"/>
  <c r="M214" i="26"/>
  <c r="M213" i="26"/>
  <c r="M212" i="26"/>
  <c r="M211" i="26"/>
  <c r="M210" i="26"/>
  <c r="M209" i="26"/>
  <c r="M208" i="26"/>
  <c r="M207" i="26"/>
  <c r="M206" i="26"/>
  <c r="M205" i="26"/>
  <c r="M204" i="26"/>
  <c r="M203" i="26"/>
  <c r="M202" i="26"/>
  <c r="M201" i="26"/>
  <c r="M200" i="26"/>
  <c r="M199" i="26"/>
  <c r="M198" i="26"/>
  <c r="M197" i="26"/>
  <c r="M196" i="26"/>
  <c r="M195" i="26"/>
  <c r="M194" i="26"/>
  <c r="M193" i="26"/>
  <c r="M192" i="26"/>
  <c r="M191" i="26"/>
  <c r="M190" i="26"/>
  <c r="M189" i="26"/>
  <c r="M188" i="26"/>
  <c r="M187" i="26"/>
  <c r="M186" i="26"/>
  <c r="M185" i="26"/>
  <c r="M184" i="26"/>
  <c r="M183" i="26"/>
  <c r="M182" i="26"/>
  <c r="M181" i="26"/>
  <c r="M180" i="26"/>
  <c r="M179" i="26"/>
  <c r="M178" i="26"/>
  <c r="M177" i="26"/>
  <c r="M176" i="26"/>
  <c r="M175" i="26"/>
  <c r="M174" i="26"/>
  <c r="M173" i="26"/>
  <c r="M172" i="26"/>
  <c r="M171" i="26"/>
  <c r="M170" i="26"/>
  <c r="M169" i="26"/>
  <c r="M168" i="26"/>
  <c r="M167" i="26"/>
  <c r="M166" i="26"/>
  <c r="M165" i="26"/>
  <c r="M164" i="26"/>
  <c r="M163" i="26"/>
  <c r="M162" i="26"/>
  <c r="M161" i="26"/>
  <c r="M160" i="26"/>
  <c r="M159" i="26"/>
  <c r="M158" i="26"/>
  <c r="M157" i="26"/>
  <c r="M156" i="26"/>
  <c r="M155" i="26"/>
  <c r="M154" i="26"/>
  <c r="M153" i="26"/>
  <c r="M152" i="26"/>
  <c r="M151" i="26"/>
  <c r="M150" i="26"/>
  <c r="M149" i="26"/>
  <c r="M148" i="26"/>
  <c r="M147" i="26"/>
  <c r="M146" i="26"/>
  <c r="M145" i="26"/>
  <c r="M144" i="26"/>
  <c r="M143" i="26"/>
  <c r="M142" i="26"/>
  <c r="M141" i="26"/>
  <c r="M140" i="26"/>
  <c r="M139" i="26"/>
  <c r="M138" i="26"/>
  <c r="M137" i="26"/>
  <c r="M136" i="26"/>
  <c r="M135" i="26"/>
  <c r="M134" i="26"/>
  <c r="M133" i="26"/>
  <c r="M132" i="26"/>
  <c r="M131" i="26"/>
  <c r="M130" i="26"/>
  <c r="M129" i="26"/>
  <c r="M128" i="26"/>
  <c r="M127" i="26"/>
  <c r="M126" i="26"/>
  <c r="M125" i="26"/>
  <c r="M124" i="26"/>
  <c r="M123" i="26"/>
  <c r="M122" i="26"/>
  <c r="M121" i="26"/>
  <c r="M120" i="26"/>
  <c r="M119" i="26"/>
  <c r="M118" i="26"/>
  <c r="M117" i="26"/>
  <c r="M116" i="26"/>
  <c r="M115" i="26"/>
  <c r="M114" i="26"/>
  <c r="M113" i="26"/>
  <c r="M112" i="26"/>
  <c r="M111" i="26"/>
  <c r="M110" i="26"/>
  <c r="M109" i="26"/>
  <c r="M108" i="26"/>
  <c r="M107" i="26"/>
  <c r="M106" i="26"/>
  <c r="M105" i="26"/>
  <c r="M104" i="26"/>
  <c r="M103" i="26"/>
  <c r="M101" i="26"/>
  <c r="M100" i="26"/>
  <c r="M99" i="26"/>
  <c r="M98" i="26"/>
  <c r="M97" i="26"/>
  <c r="M96" i="26"/>
  <c r="M95" i="26"/>
  <c r="M94" i="26"/>
  <c r="M93" i="26"/>
  <c r="M92" i="26"/>
  <c r="M91" i="26"/>
  <c r="M90" i="26"/>
  <c r="M89" i="26"/>
  <c r="M88" i="26"/>
  <c r="M87" i="26"/>
  <c r="M86" i="26"/>
  <c r="M85" i="26"/>
  <c r="M84" i="26"/>
  <c r="M83" i="26"/>
  <c r="M82" i="26"/>
  <c r="M81" i="26"/>
  <c r="M80" i="26"/>
  <c r="M79" i="26"/>
  <c r="M78" i="26"/>
  <c r="M77" i="26"/>
  <c r="M76" i="26"/>
  <c r="M75" i="26"/>
  <c r="M74" i="26"/>
  <c r="M73" i="26"/>
  <c r="M72" i="26"/>
  <c r="M71" i="26"/>
  <c r="M70" i="26"/>
  <c r="M69" i="26"/>
  <c r="M68" i="26"/>
  <c r="M67" i="26"/>
  <c r="M66" i="26"/>
  <c r="M65" i="26"/>
  <c r="M64" i="26"/>
  <c r="M63" i="26"/>
  <c r="M62" i="26"/>
  <c r="M61" i="26"/>
  <c r="M60" i="26"/>
  <c r="M59" i="26"/>
  <c r="M58" i="26"/>
  <c r="M57" i="26"/>
  <c r="M56" i="26"/>
  <c r="M55" i="26"/>
  <c r="M54" i="26"/>
  <c r="M53" i="26"/>
  <c r="M52" i="26"/>
  <c r="M51" i="26"/>
  <c r="M50" i="26"/>
  <c r="M49" i="26"/>
  <c r="M48" i="26"/>
  <c r="M47" i="26"/>
  <c r="M46" i="26"/>
  <c r="M45" i="26"/>
  <c r="M44" i="26"/>
  <c r="M43" i="26"/>
  <c r="M42" i="26"/>
  <c r="M41" i="26"/>
  <c r="M40" i="26"/>
  <c r="M39" i="26"/>
  <c r="M38" i="26"/>
  <c r="M37" i="26"/>
  <c r="M36" i="26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V6" i="26"/>
  <c r="F13" i="27" s="1"/>
  <c r="L6" i="26"/>
  <c r="F14" i="27" s="1"/>
  <c r="H6" i="26"/>
  <c r="F10" i="27" s="1"/>
  <c r="U6" i="26"/>
  <c r="F21" i="27" s="1"/>
  <c r="T6" i="26"/>
  <c r="F20" i="27" s="1"/>
  <c r="S6" i="26"/>
  <c r="F19" i="27" s="1"/>
  <c r="R6" i="26"/>
  <c r="F18" i="27" s="1"/>
  <c r="Q6" i="26"/>
  <c r="F17" i="27" s="1"/>
  <c r="C6" i="26"/>
  <c r="F9" i="27" s="1"/>
  <c r="G5" i="26"/>
  <c r="E15" i="27" s="1"/>
  <c r="V5" i="26"/>
  <c r="E13" i="27" s="1"/>
  <c r="L5" i="26"/>
  <c r="E14" i="27" s="1"/>
  <c r="U5" i="26"/>
  <c r="E21" i="27" s="1"/>
  <c r="T5" i="26"/>
  <c r="E20" i="27" s="1"/>
  <c r="S5" i="26"/>
  <c r="E19" i="27" s="1"/>
  <c r="Q5" i="26"/>
  <c r="E17" i="27" s="1"/>
  <c r="C5" i="26"/>
  <c r="E9" i="27" s="1"/>
  <c r="G4" i="26"/>
  <c r="D15" i="27" s="1"/>
  <c r="L4" i="26"/>
  <c r="D14" i="27" s="1"/>
  <c r="B2" i="26"/>
  <c r="D8" i="27" s="1"/>
  <c r="A5" i="24" l="1"/>
  <c r="A2" i="24"/>
  <c r="A1" i="24"/>
  <c r="A5" i="23"/>
  <c r="A6" i="23" s="1"/>
  <c r="A2" i="23"/>
  <c r="A5" i="22"/>
  <c r="A2" i="22"/>
  <c r="A6" i="24" l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8" i="23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1" i="23" s="1"/>
  <c r="A6" i="22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3" i="22" s="1"/>
  <c r="A24" i="22" s="1"/>
  <c r="E24" i="1" s="1"/>
  <c r="A2" i="21" l="1"/>
  <c r="A5" i="21"/>
  <c r="A2" i="20"/>
  <c r="A5" i="20"/>
  <c r="A6" i="21" l="1"/>
  <c r="A8" i="21" s="1"/>
  <c r="A9" i="21" s="1"/>
  <c r="A10" i="21" s="1"/>
  <c r="A11" i="21" s="1"/>
  <c r="A12" i="21" s="1"/>
  <c r="A14" i="21" s="1"/>
  <c r="A6" i="20"/>
  <c r="A8" i="20" s="1"/>
  <c r="A2" i="19"/>
  <c r="A5" i="19" l="1"/>
  <c r="A6" i="19" l="1"/>
  <c r="A8" i="19" s="1"/>
  <c r="A2" i="17"/>
  <c r="A1" i="17"/>
  <c r="A2" i="16"/>
  <c r="A2" i="15"/>
  <c r="A2" i="14"/>
  <c r="A1" i="14"/>
  <c r="A2" i="13"/>
  <c r="A2" i="11"/>
  <c r="A1" i="11"/>
  <c r="A2" i="10"/>
  <c r="A1" i="10"/>
  <c r="A2" i="9"/>
  <c r="A1" i="9"/>
  <c r="A2" i="8"/>
  <c r="A1" i="8"/>
  <c r="A2" i="7"/>
  <c r="A2" i="6"/>
  <c r="A1" i="6"/>
  <c r="A2" i="5"/>
  <c r="A2" i="4"/>
  <c r="A2" i="2"/>
  <c r="A22" i="23"/>
  <c r="E25" i="1" s="1"/>
  <c r="A5" i="17"/>
  <c r="A5" i="16"/>
  <c r="A5" i="15"/>
  <c r="A5" i="14"/>
  <c r="A5" i="13"/>
  <c r="A5" i="11"/>
  <c r="A5" i="10"/>
  <c r="A5" i="9"/>
  <c r="A5" i="8"/>
  <c r="A5" i="7"/>
  <c r="A5" i="6"/>
  <c r="A5" i="5"/>
  <c r="A5" i="4"/>
  <c r="A5" i="2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B69" i="18"/>
  <c r="R68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E68" i="18"/>
  <c r="D68" i="18"/>
  <c r="B68" i="18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B67" i="18"/>
  <c r="R66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E66" i="18"/>
  <c r="D66" i="18"/>
  <c r="B66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E65" i="18"/>
  <c r="D65" i="18"/>
  <c r="B65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B64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B63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E62" i="18"/>
  <c r="D62" i="18"/>
  <c r="B62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E61" i="18"/>
  <c r="D61" i="18"/>
  <c r="B61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E60" i="18"/>
  <c r="D60" i="18"/>
  <c r="B60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E59" i="18"/>
  <c r="D59" i="18"/>
  <c r="B59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D58" i="18"/>
  <c r="B58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B57" i="18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B56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E55" i="18"/>
  <c r="D55" i="18"/>
  <c r="B55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B54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B53" i="18"/>
  <c r="R52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E52" i="18"/>
  <c r="D52" i="18"/>
  <c r="B52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B51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B50" i="18"/>
  <c r="R49" i="18"/>
  <c r="Q49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B49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B48" i="18"/>
  <c r="R47" i="18"/>
  <c r="Q47" i="18"/>
  <c r="P47" i="18"/>
  <c r="O47" i="18"/>
  <c r="N47" i="18"/>
  <c r="M47" i="18"/>
  <c r="L47" i="18"/>
  <c r="K47" i="18"/>
  <c r="J47" i="18"/>
  <c r="I47" i="18"/>
  <c r="H47" i="18"/>
  <c r="G47" i="18"/>
  <c r="F47" i="18"/>
  <c r="E47" i="18"/>
  <c r="D47" i="18"/>
  <c r="B47" i="18"/>
  <c r="R46" i="18"/>
  <c r="Q46" i="18"/>
  <c r="P46" i="18"/>
  <c r="O46" i="18"/>
  <c r="N46" i="18"/>
  <c r="M46" i="18"/>
  <c r="L46" i="18"/>
  <c r="K46" i="18"/>
  <c r="J46" i="18"/>
  <c r="I46" i="18"/>
  <c r="H46" i="18"/>
  <c r="G46" i="18"/>
  <c r="F46" i="18"/>
  <c r="E46" i="18"/>
  <c r="D46" i="18"/>
  <c r="B46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B45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F44" i="18"/>
  <c r="E44" i="18"/>
  <c r="D44" i="18"/>
  <c r="B44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B43" i="18"/>
  <c r="R42" i="18"/>
  <c r="Q42" i="18"/>
  <c r="P42" i="18"/>
  <c r="O42" i="18"/>
  <c r="N42" i="18"/>
  <c r="M42" i="18"/>
  <c r="L42" i="18"/>
  <c r="K42" i="18"/>
  <c r="J42" i="18"/>
  <c r="H42" i="18"/>
  <c r="G42" i="18"/>
  <c r="F42" i="18"/>
  <c r="E42" i="18"/>
  <c r="D42" i="18"/>
  <c r="B42" i="18"/>
  <c r="R41" i="18"/>
  <c r="Q41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41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B40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B39" i="18"/>
  <c r="R38" i="18"/>
  <c r="Q38" i="18"/>
  <c r="P38" i="18"/>
  <c r="O38" i="18"/>
  <c r="N38" i="18"/>
  <c r="M38" i="18"/>
  <c r="L38" i="18"/>
  <c r="K38" i="18"/>
  <c r="J38" i="18"/>
  <c r="I38" i="18"/>
  <c r="C12" i="21" s="1"/>
  <c r="H38" i="18"/>
  <c r="G38" i="18"/>
  <c r="F38" i="18"/>
  <c r="E38" i="18"/>
  <c r="D38" i="18"/>
  <c r="B38" i="18"/>
  <c r="D12" i="21" s="1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B37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B36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B35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B34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B33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B32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B31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B30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B29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B28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B27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B26" i="18"/>
  <c r="R25" i="18"/>
  <c r="Q25" i="18"/>
  <c r="P25" i="18"/>
  <c r="O25" i="18"/>
  <c r="N25" i="18"/>
  <c r="M25" i="18"/>
  <c r="L25" i="18"/>
  <c r="K25" i="18"/>
  <c r="J25" i="18"/>
  <c r="H25" i="18"/>
  <c r="G25" i="18"/>
  <c r="F25" i="18"/>
  <c r="E25" i="18"/>
  <c r="D25" i="18"/>
  <c r="B25" i="18"/>
  <c r="D8" i="2" s="1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B24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B23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B22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B21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B20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B19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B18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B17" i="18"/>
  <c r="R16" i="18"/>
  <c r="Q16" i="18"/>
  <c r="P16" i="18"/>
  <c r="O16" i="18"/>
  <c r="N16" i="18"/>
  <c r="M16" i="18"/>
  <c r="L16" i="18"/>
  <c r="K16" i="18"/>
  <c r="J16" i="18"/>
  <c r="H16" i="18"/>
  <c r="G16" i="18"/>
  <c r="F16" i="18"/>
  <c r="E16" i="18"/>
  <c r="D16" i="18"/>
  <c r="B16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B15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B14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B13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B12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B11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B10" i="18"/>
  <c r="R9" i="18"/>
  <c r="Q9" i="18"/>
  <c r="P9" i="18"/>
  <c r="O9" i="18"/>
  <c r="N9" i="18"/>
  <c r="M9" i="18"/>
  <c r="L9" i="18"/>
  <c r="K9" i="18"/>
  <c r="J9" i="18"/>
  <c r="H9" i="18"/>
  <c r="G9" i="18"/>
  <c r="F9" i="18"/>
  <c r="E9" i="18"/>
  <c r="D9" i="18"/>
  <c r="B9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B8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B7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B6" i="18"/>
  <c r="R5" i="18"/>
  <c r="Q5" i="18"/>
  <c r="P5" i="18"/>
  <c r="O5" i="18"/>
  <c r="N5" i="18"/>
  <c r="M5" i="18"/>
  <c r="L5" i="18"/>
  <c r="K5" i="18"/>
  <c r="J5" i="18"/>
  <c r="H5" i="18"/>
  <c r="G5" i="18"/>
  <c r="F5" i="18"/>
  <c r="E5" i="18"/>
  <c r="D5" i="18"/>
  <c r="B5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B4" i="18"/>
  <c r="C5" i="47" l="1"/>
  <c r="C5" i="46"/>
  <c r="C5" i="45"/>
  <c r="C5" i="44"/>
  <c r="C5" i="42"/>
  <c r="C5" i="41"/>
  <c r="C5" i="40"/>
  <c r="C5" i="39"/>
  <c r="C5" i="38"/>
  <c r="C5" i="35"/>
  <c r="C5" i="34"/>
  <c r="C5" i="33"/>
  <c r="C5" i="30"/>
  <c r="C5" i="29"/>
  <c r="C5" i="28"/>
  <c r="C5" i="43"/>
  <c r="C5" i="37"/>
  <c r="C5" i="31"/>
  <c r="C5" i="36"/>
  <c r="C5" i="32"/>
  <c r="C5" i="21"/>
  <c r="C5" i="24"/>
  <c r="C5" i="23"/>
  <c r="C5" i="17"/>
  <c r="C5" i="16"/>
  <c r="C6" i="14"/>
  <c r="C6" i="13"/>
  <c r="C5" i="22"/>
  <c r="C5" i="20"/>
  <c r="C5" i="19"/>
  <c r="C5" i="15"/>
  <c r="C6" i="10"/>
  <c r="C6" i="9"/>
  <c r="C6" i="8"/>
  <c r="C6" i="7"/>
  <c r="C6" i="5"/>
  <c r="C6" i="11"/>
  <c r="C6" i="6"/>
  <c r="C6" i="4"/>
  <c r="C6" i="2"/>
  <c r="C6" i="45"/>
  <c r="C6" i="44"/>
  <c r="C6" i="47"/>
  <c r="C6" i="46"/>
  <c r="C6" i="43"/>
  <c r="C6" i="37"/>
  <c r="C6" i="36"/>
  <c r="C6" i="32"/>
  <c r="C6" i="31"/>
  <c r="C6" i="42"/>
  <c r="C6" i="40"/>
  <c r="C6" i="29"/>
  <c r="C6" i="28"/>
  <c r="C6" i="41"/>
  <c r="C6" i="38"/>
  <c r="C6" i="33"/>
  <c r="C6" i="39"/>
  <c r="C6" i="35"/>
  <c r="C6" i="34"/>
  <c r="C6" i="30"/>
  <c r="C6" i="22"/>
  <c r="C6" i="20"/>
  <c r="C6" i="19"/>
  <c r="C6" i="15"/>
  <c r="C6" i="21"/>
  <c r="C6" i="24"/>
  <c r="C6" i="17"/>
  <c r="C6" i="16"/>
  <c r="C6" i="23"/>
  <c r="C7" i="9"/>
  <c r="C8" i="29"/>
  <c r="C8" i="9"/>
  <c r="C11" i="9"/>
  <c r="C20" i="24"/>
  <c r="C25" i="19"/>
  <c r="C16" i="19"/>
  <c r="C18" i="37"/>
  <c r="C28" i="37"/>
  <c r="C9" i="9"/>
  <c r="D20" i="36"/>
  <c r="E20" i="36" s="1"/>
  <c r="D12" i="36"/>
  <c r="E12" i="36" s="1"/>
  <c r="D22" i="36"/>
  <c r="D10" i="36"/>
  <c r="E10" i="36" s="1"/>
  <c r="D14" i="36"/>
  <c r="E14" i="36" s="1"/>
  <c r="D8" i="36"/>
  <c r="E8" i="36" s="1"/>
  <c r="D18" i="36"/>
  <c r="D16" i="36"/>
  <c r="E16" i="36" s="1"/>
  <c r="D11" i="21"/>
  <c r="D12" i="17"/>
  <c r="D16" i="17"/>
  <c r="D8" i="40"/>
  <c r="E8" i="40" s="1"/>
  <c r="D8" i="21"/>
  <c r="D12" i="7"/>
  <c r="D10" i="7"/>
  <c r="D9" i="6"/>
  <c r="D8" i="7"/>
  <c r="D10" i="20"/>
  <c r="D10" i="14"/>
  <c r="D8" i="20"/>
  <c r="D9" i="16"/>
  <c r="D12" i="5"/>
  <c r="D14" i="7"/>
  <c r="D16" i="39"/>
  <c r="E16" i="39" s="1"/>
  <c r="D18" i="39"/>
  <c r="E18" i="39" s="1"/>
  <c r="D22" i="39"/>
  <c r="D20" i="39"/>
  <c r="D12" i="20"/>
  <c r="D14" i="17"/>
  <c r="D10" i="16"/>
  <c r="D9" i="22"/>
  <c r="D10" i="5"/>
  <c r="D14" i="5"/>
  <c r="C14" i="22"/>
  <c r="C20" i="22"/>
  <c r="C12" i="22"/>
  <c r="C18" i="22"/>
  <c r="C16" i="22"/>
  <c r="C8" i="28"/>
  <c r="C34" i="28"/>
  <c r="C22" i="28"/>
  <c r="C20" i="28"/>
  <c r="C30" i="19"/>
  <c r="C28" i="19"/>
  <c r="C26" i="19"/>
  <c r="C32" i="19"/>
  <c r="C60" i="46"/>
  <c r="C52" i="46"/>
  <c r="C44" i="46"/>
  <c r="C30" i="46"/>
  <c r="C22" i="46"/>
  <c r="C14" i="46"/>
  <c r="C34" i="45"/>
  <c r="C16" i="45"/>
  <c r="C58" i="46"/>
  <c r="C50" i="46"/>
  <c r="C42" i="46"/>
  <c r="C28" i="46"/>
  <c r="C46" i="46"/>
  <c r="C24" i="46"/>
  <c r="C12" i="46"/>
  <c r="C28" i="45"/>
  <c r="C12" i="45"/>
  <c r="C28" i="44"/>
  <c r="C56" i="46"/>
  <c r="C40" i="46"/>
  <c r="C20" i="46"/>
  <c r="C10" i="46"/>
  <c r="C10" i="45"/>
  <c r="C26" i="44"/>
  <c r="C54" i="46"/>
  <c r="C38" i="46"/>
  <c r="C18" i="46"/>
  <c r="C8" i="46"/>
  <c r="C32" i="45"/>
  <c r="C48" i="46"/>
  <c r="C26" i="46"/>
  <c r="C30" i="44"/>
  <c r="C16" i="46"/>
  <c r="C30" i="45"/>
  <c r="C14" i="45"/>
  <c r="C36" i="43"/>
  <c r="C48" i="42"/>
  <c r="C28" i="42"/>
  <c r="C42" i="38"/>
  <c r="C26" i="38"/>
  <c r="C10" i="38"/>
  <c r="C34" i="43"/>
  <c r="C20" i="42"/>
  <c r="C38" i="42"/>
  <c r="C30" i="42"/>
  <c r="C46" i="38"/>
  <c r="C22" i="38"/>
  <c r="C32" i="43"/>
  <c r="C40" i="42"/>
  <c r="C18" i="42"/>
  <c r="C18" i="38"/>
  <c r="C38" i="38"/>
  <c r="C14" i="38"/>
  <c r="C34" i="38"/>
  <c r="C38" i="43"/>
  <c r="C10" i="42"/>
  <c r="C30" i="38"/>
  <c r="C40" i="39"/>
  <c r="C44" i="39"/>
  <c r="C46" i="39"/>
  <c r="C42" i="39"/>
  <c r="D57" i="47"/>
  <c r="D4" i="46"/>
  <c r="E4" i="46" s="1"/>
  <c r="D38" i="45"/>
  <c r="E38" i="45" s="1"/>
  <c r="D33" i="44"/>
  <c r="D63" i="46"/>
  <c r="E63" i="46" s="1"/>
  <c r="D4" i="45"/>
  <c r="E4" i="45" s="1"/>
  <c r="D4" i="44"/>
  <c r="E4" i="44" s="1"/>
  <c r="D4" i="47"/>
  <c r="D41" i="43"/>
  <c r="E41" i="43" s="1"/>
  <c r="D51" i="42"/>
  <c r="E51" i="42" s="1"/>
  <c r="D4" i="42"/>
  <c r="E4" i="42" s="1"/>
  <c r="D45" i="41"/>
  <c r="D4" i="41"/>
  <c r="E4" i="41" s="1"/>
  <c r="D4" i="34"/>
  <c r="E4" i="34" s="1"/>
  <c r="D4" i="39"/>
  <c r="E4" i="39" s="1"/>
  <c r="D4" i="35"/>
  <c r="D4" i="33"/>
  <c r="E4" i="33" s="1"/>
  <c r="D4" i="32"/>
  <c r="E4" i="32" s="1"/>
  <c r="D4" i="31"/>
  <c r="E4" i="31" s="1"/>
  <c r="D4" i="30"/>
  <c r="D4" i="40"/>
  <c r="E4" i="40" s="1"/>
  <c r="D39" i="37"/>
  <c r="E39" i="37" s="1"/>
  <c r="D25" i="36"/>
  <c r="D4" i="36"/>
  <c r="D12" i="32"/>
  <c r="E12" i="32" s="1"/>
  <c r="D35" i="31"/>
  <c r="E35" i="31" s="1"/>
  <c r="D4" i="29"/>
  <c r="D49" i="38"/>
  <c r="D15" i="35"/>
  <c r="E15" i="35" s="1"/>
  <c r="D34" i="34"/>
  <c r="E34" i="34" s="1"/>
  <c r="D21" i="33"/>
  <c r="D23" i="30"/>
  <c r="D13" i="29"/>
  <c r="D4" i="28"/>
  <c r="D4" i="43"/>
  <c r="E4" i="43" s="1"/>
  <c r="D40" i="40"/>
  <c r="D49" i="39"/>
  <c r="E49" i="39" s="1"/>
  <c r="D4" i="38"/>
  <c r="E4" i="38" s="1"/>
  <c r="D4" i="37"/>
  <c r="D37" i="28"/>
  <c r="D23" i="17"/>
  <c r="D33" i="15"/>
  <c r="D4" i="15"/>
  <c r="D21" i="23"/>
  <c r="D23" i="22"/>
  <c r="D14" i="21"/>
  <c r="D4" i="21"/>
  <c r="D35" i="19"/>
  <c r="D13" i="16"/>
  <c r="D34" i="24"/>
  <c r="D4" i="24"/>
  <c r="D4" i="23"/>
  <c r="D4" i="22"/>
  <c r="D4" i="20"/>
  <c r="D4" i="17"/>
  <c r="D4" i="16"/>
  <c r="D5" i="13"/>
  <c r="D15" i="20"/>
  <c r="D4" i="19"/>
  <c r="D5" i="14"/>
  <c r="D5" i="5"/>
  <c r="D5" i="10"/>
  <c r="D5" i="9"/>
  <c r="D5" i="8"/>
  <c r="D5" i="7"/>
  <c r="D5" i="11"/>
  <c r="D5" i="6"/>
  <c r="D5" i="4"/>
  <c r="D5" i="2"/>
  <c r="D5" i="47"/>
  <c r="E5" i="47" s="1"/>
  <c r="D5" i="45"/>
  <c r="D5" i="44"/>
  <c r="D5" i="46"/>
  <c r="E5" i="46" s="1"/>
  <c r="D5" i="43"/>
  <c r="E5" i="43" s="1"/>
  <c r="D5" i="40"/>
  <c r="D5" i="39"/>
  <c r="D5" i="38"/>
  <c r="E5" i="38" s="1"/>
  <c r="D5" i="35"/>
  <c r="E5" i="35" s="1"/>
  <c r="D5" i="32"/>
  <c r="D5" i="30"/>
  <c r="D5" i="29"/>
  <c r="D5" i="34"/>
  <c r="E5" i="34" s="1"/>
  <c r="D5" i="42"/>
  <c r="D5" i="28"/>
  <c r="D5" i="41"/>
  <c r="E5" i="41" s="1"/>
  <c r="D5" i="37"/>
  <c r="E5" i="37" s="1"/>
  <c r="D5" i="36"/>
  <c r="D5" i="33"/>
  <c r="D5" i="31"/>
  <c r="E5" i="31" s="1"/>
  <c r="D5" i="24"/>
  <c r="D5" i="23"/>
  <c r="D5" i="17"/>
  <c r="D5" i="16"/>
  <c r="D6" i="14"/>
  <c r="D6" i="13"/>
  <c r="D5" i="22"/>
  <c r="D5" i="20"/>
  <c r="D5" i="19"/>
  <c r="D5" i="15"/>
  <c r="D5" i="21"/>
  <c r="D6" i="11"/>
  <c r="D6" i="6"/>
  <c r="D6" i="4"/>
  <c r="D6" i="10"/>
  <c r="D6" i="9"/>
  <c r="D6" i="8"/>
  <c r="D6" i="7"/>
  <c r="D6" i="5"/>
  <c r="D6" i="2"/>
  <c r="D6" i="46"/>
  <c r="E6" i="46" s="1"/>
  <c r="D6" i="47"/>
  <c r="D6" i="45"/>
  <c r="D6" i="44"/>
  <c r="E6" i="44" s="1"/>
  <c r="D6" i="42"/>
  <c r="E6" i="42" s="1"/>
  <c r="D6" i="41"/>
  <c r="D6" i="36"/>
  <c r="D6" i="33"/>
  <c r="E6" i="33" s="1"/>
  <c r="D6" i="38"/>
  <c r="E6" i="38" s="1"/>
  <c r="D6" i="37"/>
  <c r="D6" i="43"/>
  <c r="D6" i="39"/>
  <c r="E6" i="39" s="1"/>
  <c r="D6" i="35"/>
  <c r="E6" i="35" s="1"/>
  <c r="D6" i="34"/>
  <c r="D6" i="32"/>
  <c r="D6" i="31"/>
  <c r="E6" i="31" s="1"/>
  <c r="D6" i="30"/>
  <c r="D6" i="40"/>
  <c r="D6" i="29"/>
  <c r="D6" i="28"/>
  <c r="D6" i="21"/>
  <c r="D6" i="24"/>
  <c r="D6" i="23"/>
  <c r="D6" i="22"/>
  <c r="D6" i="20"/>
  <c r="D6" i="19"/>
  <c r="D6" i="17"/>
  <c r="D6" i="16"/>
  <c r="D6" i="15"/>
  <c r="D7" i="9"/>
  <c r="D8" i="29"/>
  <c r="D8" i="9"/>
  <c r="D11" i="9"/>
  <c r="D20" i="24"/>
  <c r="D16" i="19"/>
  <c r="D25" i="19"/>
  <c r="D18" i="37"/>
  <c r="E18" i="37" s="1"/>
  <c r="D28" i="37"/>
  <c r="D9" i="9"/>
  <c r="C53" i="47"/>
  <c r="C45" i="47"/>
  <c r="C37" i="47"/>
  <c r="C29" i="47"/>
  <c r="C21" i="47"/>
  <c r="C13" i="47"/>
  <c r="C41" i="47"/>
  <c r="C25" i="47"/>
  <c r="C9" i="47"/>
  <c r="C36" i="45"/>
  <c r="C49" i="47"/>
  <c r="C33" i="47"/>
  <c r="C17" i="47"/>
  <c r="C8" i="45"/>
  <c r="C8" i="42"/>
  <c r="C21" i="37"/>
  <c r="C12" i="37"/>
  <c r="C23" i="37"/>
  <c r="C10" i="37"/>
  <c r="C25" i="37"/>
  <c r="C8" i="37"/>
  <c r="C19" i="37"/>
  <c r="C16" i="37"/>
  <c r="C27" i="37"/>
  <c r="C14" i="37"/>
  <c r="C11" i="29"/>
  <c r="C20" i="36"/>
  <c r="C12" i="36"/>
  <c r="C16" i="36"/>
  <c r="C14" i="36"/>
  <c r="C10" i="36"/>
  <c r="C22" i="36"/>
  <c r="C8" i="36"/>
  <c r="C18" i="36"/>
  <c r="C16" i="17"/>
  <c r="C11" i="21"/>
  <c r="C12" i="17"/>
  <c r="C10" i="23"/>
  <c r="C8" i="23"/>
  <c r="C14" i="23"/>
  <c r="C12" i="23"/>
  <c r="C20" i="44"/>
  <c r="C18" i="44"/>
  <c r="C16" i="44"/>
  <c r="C24" i="44"/>
  <c r="C22" i="44"/>
  <c r="C14" i="44"/>
  <c r="C24" i="39"/>
  <c r="C40" i="38"/>
  <c r="C24" i="38"/>
  <c r="C8" i="38"/>
  <c r="C28" i="39"/>
  <c r="C36" i="38"/>
  <c r="C16" i="38"/>
  <c r="C26" i="39"/>
  <c r="C44" i="38"/>
  <c r="C12" i="38"/>
  <c r="C32" i="38"/>
  <c r="C28" i="38"/>
  <c r="C30" i="39"/>
  <c r="C20" i="38"/>
  <c r="C10" i="32"/>
  <c r="C11" i="16"/>
  <c r="C10" i="22"/>
  <c r="C16" i="5"/>
  <c r="C8" i="5"/>
  <c r="C24" i="45"/>
  <c r="C22" i="45"/>
  <c r="C20" i="45"/>
  <c r="C18" i="45"/>
  <c r="C26" i="45"/>
  <c r="C28" i="43"/>
  <c r="C20" i="43"/>
  <c r="C44" i="42"/>
  <c r="C24" i="42"/>
  <c r="C14" i="41"/>
  <c r="C26" i="43"/>
  <c r="C18" i="43"/>
  <c r="C30" i="41"/>
  <c r="C22" i="41"/>
  <c r="C24" i="43"/>
  <c r="C14" i="42"/>
  <c r="C30" i="43"/>
  <c r="C34" i="41"/>
  <c r="C14" i="28"/>
  <c r="C22" i="43"/>
  <c r="C26" i="41"/>
  <c r="C16" i="43"/>
  <c r="C34" i="42"/>
  <c r="C18" i="41"/>
  <c r="C28" i="28"/>
  <c r="C10" i="15"/>
  <c r="C8" i="15"/>
  <c r="C10" i="17"/>
  <c r="C12" i="15"/>
  <c r="C18" i="17"/>
  <c r="C29" i="8"/>
  <c r="C21" i="8"/>
  <c r="C12" i="8"/>
  <c r="C27" i="8"/>
  <c r="C18" i="8"/>
  <c r="C10" i="8"/>
  <c r="C25" i="8"/>
  <c r="C16" i="8"/>
  <c r="C8" i="8"/>
  <c r="C31" i="8"/>
  <c r="C23" i="8"/>
  <c r="C14" i="8"/>
  <c r="C33" i="37"/>
  <c r="C16" i="33"/>
  <c r="C8" i="33"/>
  <c r="C37" i="37"/>
  <c r="C18" i="33"/>
  <c r="C12" i="33"/>
  <c r="C35" i="37"/>
  <c r="C10" i="33"/>
  <c r="C31" i="37"/>
  <c r="C29" i="37"/>
  <c r="C14" i="33"/>
  <c r="C16" i="23"/>
  <c r="C18" i="23"/>
  <c r="C29" i="4"/>
  <c r="C21" i="4"/>
  <c r="C12" i="4"/>
  <c r="C27" i="4"/>
  <c r="C18" i="4"/>
  <c r="C10" i="4"/>
  <c r="C25" i="4"/>
  <c r="C16" i="4"/>
  <c r="C8" i="4"/>
  <c r="C31" i="4"/>
  <c r="C23" i="4"/>
  <c r="C14" i="4"/>
  <c r="C57" i="47"/>
  <c r="C4" i="47"/>
  <c r="C63" i="46"/>
  <c r="C33" i="44"/>
  <c r="C4" i="46"/>
  <c r="C38" i="45"/>
  <c r="C4" i="45"/>
  <c r="C4" i="44"/>
  <c r="C4" i="43"/>
  <c r="C49" i="39"/>
  <c r="C49" i="38"/>
  <c r="C39" i="37"/>
  <c r="C4" i="37"/>
  <c r="C4" i="36"/>
  <c r="C34" i="34"/>
  <c r="C21" i="33"/>
  <c r="C12" i="32"/>
  <c r="C4" i="32"/>
  <c r="C4" i="31"/>
  <c r="C13" i="29"/>
  <c r="C45" i="41"/>
  <c r="C4" i="41"/>
  <c r="C15" i="35"/>
  <c r="C4" i="33"/>
  <c r="C35" i="31"/>
  <c r="C51" i="42"/>
  <c r="C4" i="38"/>
  <c r="C25" i="36"/>
  <c r="C37" i="28"/>
  <c r="C41" i="43"/>
  <c r="C4" i="39"/>
  <c r="C4" i="35"/>
  <c r="C4" i="34"/>
  <c r="C23" i="30"/>
  <c r="C4" i="30"/>
  <c r="C4" i="42"/>
  <c r="C40" i="40"/>
  <c r="C4" i="40"/>
  <c r="C4" i="29"/>
  <c r="C4" i="28"/>
  <c r="C23" i="22"/>
  <c r="C4" i="22"/>
  <c r="C4" i="20"/>
  <c r="C4" i="19"/>
  <c r="C13" i="16"/>
  <c r="C23" i="17"/>
  <c r="C33" i="15"/>
  <c r="C21" i="23"/>
  <c r="C14" i="21"/>
  <c r="C4" i="21"/>
  <c r="C35" i="19"/>
  <c r="C5" i="14"/>
  <c r="C34" i="24"/>
  <c r="C4" i="24"/>
  <c r="C4" i="23"/>
  <c r="C4" i="17"/>
  <c r="C4" i="16"/>
  <c r="C4" i="15"/>
  <c r="C5" i="13"/>
  <c r="C15" i="20"/>
  <c r="C5" i="11"/>
  <c r="C5" i="6"/>
  <c r="C5" i="4"/>
  <c r="C5" i="10"/>
  <c r="C5" i="9"/>
  <c r="C5" i="8"/>
  <c r="C5" i="7"/>
  <c r="C5" i="5"/>
  <c r="C5" i="2"/>
  <c r="D14" i="23"/>
  <c r="E14" i="23" s="1"/>
  <c r="D10" i="23"/>
  <c r="D8" i="23"/>
  <c r="E8" i="23" s="1"/>
  <c r="D12" i="23"/>
  <c r="E12" i="23" s="1"/>
  <c r="D24" i="44"/>
  <c r="E24" i="44" s="1"/>
  <c r="D16" i="44"/>
  <c r="D18" i="44"/>
  <c r="E18" i="44" s="1"/>
  <c r="D14" i="44"/>
  <c r="E14" i="44" s="1"/>
  <c r="D22" i="44"/>
  <c r="D20" i="44"/>
  <c r="D24" i="39"/>
  <c r="E24" i="39" s="1"/>
  <c r="D32" i="38"/>
  <c r="E32" i="38" s="1"/>
  <c r="D16" i="38"/>
  <c r="E16" i="38" s="1"/>
  <c r="D30" i="39"/>
  <c r="D40" i="38"/>
  <c r="E40" i="38" s="1"/>
  <c r="D20" i="38"/>
  <c r="E20" i="38" s="1"/>
  <c r="D28" i="38"/>
  <c r="E28" i="38" s="1"/>
  <c r="D28" i="39"/>
  <c r="D24" i="38"/>
  <c r="E24" i="38" s="1"/>
  <c r="D26" i="39"/>
  <c r="E26" i="39" s="1"/>
  <c r="D44" i="38"/>
  <c r="E44" i="38" s="1"/>
  <c r="D12" i="38"/>
  <c r="D10" i="32"/>
  <c r="E10" i="32" s="1"/>
  <c r="D36" i="38"/>
  <c r="E36" i="38" s="1"/>
  <c r="D8" i="38"/>
  <c r="E8" i="38" s="1"/>
  <c r="D11" i="16"/>
  <c r="D10" i="22"/>
  <c r="E10" i="22" s="1"/>
  <c r="D16" i="5"/>
  <c r="D8" i="5"/>
  <c r="D22" i="45"/>
  <c r="D24" i="45"/>
  <c r="E24" i="45" s="1"/>
  <c r="D20" i="45"/>
  <c r="E20" i="45" s="1"/>
  <c r="D18" i="45"/>
  <c r="E18" i="45" s="1"/>
  <c r="D26" i="45"/>
  <c r="D28" i="43"/>
  <c r="E28" i="43" s="1"/>
  <c r="D20" i="43"/>
  <c r="E20" i="43" s="1"/>
  <c r="D34" i="41"/>
  <c r="D18" i="41"/>
  <c r="D26" i="43"/>
  <c r="E26" i="43" s="1"/>
  <c r="D18" i="43"/>
  <c r="E18" i="43" s="1"/>
  <c r="D34" i="42"/>
  <c r="E34" i="42" s="1"/>
  <c r="D14" i="42"/>
  <c r="D30" i="41"/>
  <c r="E30" i="41" s="1"/>
  <c r="D14" i="41"/>
  <c r="E14" i="41" s="1"/>
  <c r="D24" i="43"/>
  <c r="D26" i="41"/>
  <c r="D22" i="41"/>
  <c r="E22" i="41" s="1"/>
  <c r="D28" i="28"/>
  <c r="E28" i="28" s="1"/>
  <c r="D14" i="28"/>
  <c r="E14" i="28" s="1"/>
  <c r="D30" i="43"/>
  <c r="D22" i="43"/>
  <c r="E22" i="43" s="1"/>
  <c r="D44" i="42"/>
  <c r="E44" i="42" s="1"/>
  <c r="D24" i="42"/>
  <c r="D16" i="43"/>
  <c r="D12" i="15"/>
  <c r="D10" i="15"/>
  <c r="D18" i="17"/>
  <c r="D10" i="17"/>
  <c r="D8" i="15"/>
  <c r="D27" i="8"/>
  <c r="D18" i="8"/>
  <c r="D10" i="8"/>
  <c r="D25" i="8"/>
  <c r="D16" i="8"/>
  <c r="D8" i="8"/>
  <c r="D31" i="8"/>
  <c r="D23" i="8"/>
  <c r="D14" i="8"/>
  <c r="D29" i="8"/>
  <c r="D21" i="8"/>
  <c r="D12" i="8"/>
  <c r="D31" i="37"/>
  <c r="E31" i="37" s="1"/>
  <c r="D12" i="33"/>
  <c r="E12" i="33" s="1"/>
  <c r="D37" i="37"/>
  <c r="D16" i="33"/>
  <c r="E16" i="33" s="1"/>
  <c r="D29" i="37"/>
  <c r="E29" i="37" s="1"/>
  <c r="D14" i="33"/>
  <c r="D10" i="33"/>
  <c r="D35" i="37"/>
  <c r="E35" i="37" s="1"/>
  <c r="D8" i="33"/>
  <c r="E8" i="33" s="1"/>
  <c r="D33" i="37"/>
  <c r="D18" i="33"/>
  <c r="D18" i="23"/>
  <c r="E18" i="23" s="1"/>
  <c r="D16" i="23"/>
  <c r="E16" i="23" s="1"/>
  <c r="D27" i="4"/>
  <c r="D18" i="4"/>
  <c r="D10" i="4"/>
  <c r="D25" i="4"/>
  <c r="D16" i="4"/>
  <c r="D8" i="4"/>
  <c r="D31" i="4"/>
  <c r="D23" i="4"/>
  <c r="D14" i="4"/>
  <c r="D29" i="4"/>
  <c r="D21" i="4"/>
  <c r="D12" i="4"/>
  <c r="D16" i="31"/>
  <c r="D8" i="31"/>
  <c r="D16" i="28"/>
  <c r="D10" i="31"/>
  <c r="E10" i="31" s="1"/>
  <c r="D30" i="28"/>
  <c r="D14" i="31"/>
  <c r="D12" i="31"/>
  <c r="E12" i="31" s="1"/>
  <c r="D26" i="28"/>
  <c r="D12" i="28"/>
  <c r="D18" i="31"/>
  <c r="D29" i="10"/>
  <c r="D21" i="10"/>
  <c r="D12" i="10"/>
  <c r="D27" i="10"/>
  <c r="D18" i="10"/>
  <c r="D10" i="10"/>
  <c r="D25" i="10"/>
  <c r="D16" i="10"/>
  <c r="D8" i="10"/>
  <c r="D31" i="10"/>
  <c r="D23" i="10"/>
  <c r="D14" i="10"/>
  <c r="D29" i="31"/>
  <c r="E29" i="31" s="1"/>
  <c r="D20" i="31"/>
  <c r="E20" i="31" s="1"/>
  <c r="D8" i="14"/>
  <c r="D10" i="9"/>
  <c r="D20" i="8"/>
  <c r="D12" i="9"/>
  <c r="D20" i="10"/>
  <c r="D8" i="6"/>
  <c r="D8" i="22"/>
  <c r="E8" i="22" s="1"/>
  <c r="D8" i="16"/>
  <c r="D9" i="14"/>
  <c r="D9" i="2"/>
  <c r="D48" i="47"/>
  <c r="E48" i="47" s="1"/>
  <c r="D40" i="47"/>
  <c r="E40" i="47" s="1"/>
  <c r="D32" i="47"/>
  <c r="E32" i="47" s="1"/>
  <c r="D24" i="47"/>
  <c r="D16" i="47"/>
  <c r="E16" i="47" s="1"/>
  <c r="D8" i="47"/>
  <c r="E8" i="47" s="1"/>
  <c r="D36" i="46"/>
  <c r="D12" i="44"/>
  <c r="D34" i="46"/>
  <c r="D8" i="44"/>
  <c r="E8" i="44" s="1"/>
  <c r="D44" i="47"/>
  <c r="E44" i="47" s="1"/>
  <c r="D28" i="47"/>
  <c r="D12" i="47"/>
  <c r="E12" i="47" s="1"/>
  <c r="D32" i="46"/>
  <c r="D20" i="47"/>
  <c r="D36" i="47"/>
  <c r="D52" i="47"/>
  <c r="E52" i="47" s="1"/>
  <c r="D10" i="44"/>
  <c r="E10" i="44" s="1"/>
  <c r="D24" i="34"/>
  <c r="D8" i="32"/>
  <c r="D15" i="34"/>
  <c r="E15" i="34" s="1"/>
  <c r="D10" i="2"/>
  <c r="E10" i="2" s="1"/>
  <c r="D8" i="39"/>
  <c r="E8" i="39" s="1"/>
  <c r="D10" i="35"/>
  <c r="D8" i="30"/>
  <c r="D14" i="39"/>
  <c r="E14" i="39" s="1"/>
  <c r="D14" i="30"/>
  <c r="D8" i="35"/>
  <c r="D9" i="29"/>
  <c r="D12" i="39"/>
  <c r="E12" i="39" s="1"/>
  <c r="D12" i="30"/>
  <c r="D10" i="39"/>
  <c r="D12" i="35"/>
  <c r="E12" i="35" s="1"/>
  <c r="D10" i="30"/>
  <c r="D9" i="21"/>
  <c r="D12" i="11"/>
  <c r="D10" i="11"/>
  <c r="D8" i="11"/>
  <c r="D14" i="11"/>
  <c r="D10" i="6"/>
  <c r="D9" i="32"/>
  <c r="E9" i="32" s="1"/>
  <c r="D10" i="29"/>
  <c r="D10" i="21"/>
  <c r="D53" i="47"/>
  <c r="D45" i="47"/>
  <c r="E45" i="47" s="1"/>
  <c r="D37" i="47"/>
  <c r="E37" i="47" s="1"/>
  <c r="D29" i="47"/>
  <c r="E29" i="47" s="1"/>
  <c r="D21" i="47"/>
  <c r="D13" i="47"/>
  <c r="E13" i="47" s="1"/>
  <c r="D8" i="45"/>
  <c r="E8" i="45" s="1"/>
  <c r="D36" i="45"/>
  <c r="D49" i="47"/>
  <c r="D33" i="47"/>
  <c r="E33" i="47" s="1"/>
  <c r="D17" i="47"/>
  <c r="E17" i="47" s="1"/>
  <c r="D41" i="47"/>
  <c r="D9" i="47"/>
  <c r="D25" i="47"/>
  <c r="E25" i="47" s="1"/>
  <c r="D25" i="37"/>
  <c r="E25" i="37" s="1"/>
  <c r="D16" i="37"/>
  <c r="E16" i="37" s="1"/>
  <c r="D8" i="37"/>
  <c r="D27" i="37"/>
  <c r="E27" i="37" s="1"/>
  <c r="D14" i="37"/>
  <c r="E14" i="37" s="1"/>
  <c r="D11" i="29"/>
  <c r="D8" i="42"/>
  <c r="D23" i="37"/>
  <c r="E23" i="37" s="1"/>
  <c r="D10" i="37"/>
  <c r="E10" i="37" s="1"/>
  <c r="D21" i="37"/>
  <c r="E21" i="37" s="1"/>
  <c r="D19" i="37"/>
  <c r="D12" i="37"/>
  <c r="E12" i="37" s="1"/>
  <c r="C50" i="47"/>
  <c r="C42" i="47"/>
  <c r="C34" i="47"/>
  <c r="C26" i="47"/>
  <c r="C18" i="47"/>
  <c r="C10" i="47"/>
  <c r="C46" i="47"/>
  <c r="C30" i="47"/>
  <c r="C14" i="47"/>
  <c r="C54" i="47"/>
  <c r="C38" i="47"/>
  <c r="C22" i="47"/>
  <c r="C12" i="43"/>
  <c r="C36" i="42"/>
  <c r="C32" i="42"/>
  <c r="C16" i="42"/>
  <c r="C12" i="42"/>
  <c r="C40" i="41"/>
  <c r="C32" i="41"/>
  <c r="C24" i="41"/>
  <c r="C8" i="41"/>
  <c r="C33" i="40"/>
  <c r="C25" i="40"/>
  <c r="C17" i="40"/>
  <c r="C9" i="40"/>
  <c r="C32" i="39"/>
  <c r="C23" i="31"/>
  <c r="C10" i="43"/>
  <c r="C38" i="41"/>
  <c r="C16" i="41"/>
  <c r="C46" i="42"/>
  <c r="C22" i="42"/>
  <c r="C28" i="41"/>
  <c r="C12" i="41"/>
  <c r="C35" i="40"/>
  <c r="C23" i="40"/>
  <c r="C13" i="40"/>
  <c r="C14" i="43"/>
  <c r="C10" i="41"/>
  <c r="C31" i="40"/>
  <c r="C19" i="40"/>
  <c r="C34" i="39"/>
  <c r="C27" i="31"/>
  <c r="C8" i="43"/>
  <c r="C26" i="42"/>
  <c r="C29" i="40"/>
  <c r="C15" i="40"/>
  <c r="C25" i="31"/>
  <c r="C42" i="41"/>
  <c r="C20" i="41"/>
  <c r="C27" i="40"/>
  <c r="C11" i="40"/>
  <c r="C38" i="39"/>
  <c r="C21" i="31"/>
  <c r="C42" i="42"/>
  <c r="C36" i="41"/>
  <c r="C37" i="40"/>
  <c r="C21" i="40"/>
  <c r="C36" i="39"/>
  <c r="C8" i="17"/>
  <c r="C20" i="15"/>
  <c r="C22" i="13"/>
  <c r="C18" i="15"/>
  <c r="C20" i="13"/>
  <c r="C14" i="15"/>
  <c r="C16" i="13"/>
  <c r="C26" i="13"/>
  <c r="C20" i="17"/>
  <c r="C24" i="13"/>
  <c r="C16" i="15"/>
  <c r="C18" i="13"/>
  <c r="C25" i="34"/>
  <c r="C16" i="34"/>
  <c r="C8" i="34"/>
  <c r="C32" i="28"/>
  <c r="C24" i="28"/>
  <c r="C31" i="34"/>
  <c r="C20" i="34"/>
  <c r="C10" i="34"/>
  <c r="C29" i="34"/>
  <c r="C14" i="34"/>
  <c r="C30" i="31"/>
  <c r="C27" i="34"/>
  <c r="C12" i="34"/>
  <c r="C22" i="34"/>
  <c r="C10" i="28"/>
  <c r="C18" i="34"/>
  <c r="C32" i="31"/>
  <c r="C18" i="28"/>
  <c r="C12" i="19"/>
  <c r="C10" i="19"/>
  <c r="C8" i="19"/>
  <c r="C14" i="19"/>
  <c r="C18" i="24"/>
  <c r="C10" i="24"/>
  <c r="C16" i="24"/>
  <c r="C8" i="24"/>
  <c r="C14" i="24"/>
  <c r="C12" i="24"/>
  <c r="C16" i="30"/>
  <c r="C20" i="30"/>
  <c r="C18" i="30"/>
  <c r="C27" i="24"/>
  <c r="C21" i="19"/>
  <c r="C28" i="15"/>
  <c r="C34" i="13"/>
  <c r="C14" i="13"/>
  <c r="C25" i="24"/>
  <c r="C19" i="19"/>
  <c r="C26" i="15"/>
  <c r="C32" i="13"/>
  <c r="C12" i="13"/>
  <c r="C31" i="24"/>
  <c r="C23" i="24"/>
  <c r="C17" i="19"/>
  <c r="C21" i="24"/>
  <c r="C30" i="15"/>
  <c r="C8" i="13"/>
  <c r="C23" i="19"/>
  <c r="C24" i="15"/>
  <c r="C30" i="13"/>
  <c r="C22" i="15"/>
  <c r="C28" i="13"/>
  <c r="C29" i="24"/>
  <c r="C10" i="13"/>
  <c r="D12" i="14"/>
  <c r="D4" i="14"/>
  <c r="D4" i="13"/>
  <c r="D37" i="13"/>
  <c r="D4" i="7"/>
  <c r="D4" i="6"/>
  <c r="D4" i="5"/>
  <c r="D20" i="4"/>
  <c r="D4" i="11"/>
  <c r="D34" i="10"/>
  <c r="D14" i="9"/>
  <c r="D4" i="4"/>
  <c r="D34" i="8"/>
  <c r="D17" i="11"/>
  <c r="D4" i="10"/>
  <c r="D4" i="9"/>
  <c r="D4" i="8"/>
  <c r="D17" i="7"/>
  <c r="D12" i="6"/>
  <c r="D19" i="5"/>
  <c r="E19" i="5" s="1"/>
  <c r="D34" i="4"/>
  <c r="D12" i="2"/>
  <c r="D4" i="2"/>
  <c r="C29" i="31"/>
  <c r="C20" i="31"/>
  <c r="C8" i="14"/>
  <c r="C20" i="10"/>
  <c r="C8" i="6"/>
  <c r="C12" i="9"/>
  <c r="C20" i="8"/>
  <c r="C10" i="9"/>
  <c r="C9" i="14"/>
  <c r="C8" i="22"/>
  <c r="C8" i="16"/>
  <c r="C9" i="2"/>
  <c r="C8" i="40"/>
  <c r="C8" i="21"/>
  <c r="C12" i="7"/>
  <c r="C10" i="7"/>
  <c r="C8" i="7"/>
  <c r="C9" i="6"/>
  <c r="C34" i="46"/>
  <c r="C10" i="44"/>
  <c r="C48" i="47"/>
  <c r="C40" i="47"/>
  <c r="C32" i="47"/>
  <c r="C24" i="47"/>
  <c r="C16" i="47"/>
  <c r="C8" i="47"/>
  <c r="C32" i="46"/>
  <c r="C52" i="47"/>
  <c r="C36" i="47"/>
  <c r="C20" i="47"/>
  <c r="C12" i="44"/>
  <c r="C44" i="47"/>
  <c r="C28" i="47"/>
  <c r="C12" i="47"/>
  <c r="C36" i="46"/>
  <c r="C8" i="44"/>
  <c r="C24" i="34"/>
  <c r="C8" i="32"/>
  <c r="C15" i="34"/>
  <c r="C10" i="2"/>
  <c r="C10" i="20"/>
  <c r="C10" i="14"/>
  <c r="C8" i="20"/>
  <c r="C9" i="16"/>
  <c r="C12" i="5"/>
  <c r="C14" i="7"/>
  <c r="C8" i="39"/>
  <c r="C8" i="35"/>
  <c r="C8" i="30"/>
  <c r="C12" i="39"/>
  <c r="C12" i="35"/>
  <c r="C12" i="30"/>
  <c r="C9" i="29"/>
  <c r="C14" i="39"/>
  <c r="C14" i="30"/>
  <c r="C10" i="39"/>
  <c r="C10" i="35"/>
  <c r="C10" i="30"/>
  <c r="C9" i="21"/>
  <c r="C12" i="11"/>
  <c r="C10" i="6"/>
  <c r="C10" i="11"/>
  <c r="C8" i="11"/>
  <c r="C14" i="11"/>
  <c r="C16" i="39"/>
  <c r="C20" i="39"/>
  <c r="C18" i="39"/>
  <c r="C22" i="39"/>
  <c r="C12" i="20"/>
  <c r="C14" i="17"/>
  <c r="C10" i="16"/>
  <c r="C9" i="22"/>
  <c r="C10" i="5"/>
  <c r="C14" i="5"/>
  <c r="C9" i="32"/>
  <c r="C10" i="29"/>
  <c r="C10" i="21"/>
  <c r="D20" i="22"/>
  <c r="E20" i="22" s="1"/>
  <c r="D12" i="22"/>
  <c r="E12" i="22" s="1"/>
  <c r="D18" i="22"/>
  <c r="E18" i="22" s="1"/>
  <c r="D16" i="22"/>
  <c r="E16" i="22" s="1"/>
  <c r="D14" i="22"/>
  <c r="D50" i="47"/>
  <c r="D42" i="47"/>
  <c r="E42" i="47" s="1"/>
  <c r="D34" i="47"/>
  <c r="E34" i="47" s="1"/>
  <c r="D26" i="47"/>
  <c r="E26" i="47" s="1"/>
  <c r="D18" i="47"/>
  <c r="D10" i="47"/>
  <c r="D54" i="47"/>
  <c r="D38" i="47"/>
  <c r="D22" i="47"/>
  <c r="D14" i="47"/>
  <c r="E14" i="47" s="1"/>
  <c r="D30" i="47"/>
  <c r="E30" i="47" s="1"/>
  <c r="D46" i="47"/>
  <c r="E46" i="47" s="1"/>
  <c r="D12" i="43"/>
  <c r="D36" i="41"/>
  <c r="E36" i="41" s="1"/>
  <c r="D20" i="41"/>
  <c r="E20" i="41" s="1"/>
  <c r="D8" i="41"/>
  <c r="E8" i="41" s="1"/>
  <c r="D37" i="40"/>
  <c r="D29" i="40"/>
  <c r="E29" i="40" s="1"/>
  <c r="D21" i="40"/>
  <c r="E21" i="40" s="1"/>
  <c r="D13" i="40"/>
  <c r="E13" i="40" s="1"/>
  <c r="D32" i="39"/>
  <c r="D23" i="31"/>
  <c r="E23" i="31" s="1"/>
  <c r="D10" i="43"/>
  <c r="E10" i="43" s="1"/>
  <c r="D46" i="42"/>
  <c r="E46" i="42" s="1"/>
  <c r="D42" i="42"/>
  <c r="D26" i="42"/>
  <c r="E26" i="42" s="1"/>
  <c r="D22" i="42"/>
  <c r="E22" i="42" s="1"/>
  <c r="D32" i="41"/>
  <c r="E32" i="41" s="1"/>
  <c r="D16" i="41"/>
  <c r="D35" i="40"/>
  <c r="E35" i="40" s="1"/>
  <c r="D27" i="40"/>
  <c r="E27" i="40" s="1"/>
  <c r="D19" i="40"/>
  <c r="D11" i="40"/>
  <c r="D8" i="43"/>
  <c r="E8" i="43" s="1"/>
  <c r="D28" i="41"/>
  <c r="E28" i="41" s="1"/>
  <c r="D25" i="40"/>
  <c r="E25" i="40" s="1"/>
  <c r="D9" i="40"/>
  <c r="D34" i="39"/>
  <c r="E34" i="39" s="1"/>
  <c r="D21" i="31"/>
  <c r="E21" i="31" s="1"/>
  <c r="D12" i="41"/>
  <c r="E12" i="41" s="1"/>
  <c r="D33" i="40"/>
  <c r="D15" i="40"/>
  <c r="E15" i="40" s="1"/>
  <c r="D38" i="39"/>
  <c r="E38" i="39" s="1"/>
  <c r="D36" i="42"/>
  <c r="E36" i="42" s="1"/>
  <c r="D16" i="42"/>
  <c r="D42" i="41"/>
  <c r="E42" i="41" s="1"/>
  <c r="D10" i="41"/>
  <c r="E10" i="41" s="1"/>
  <c r="D31" i="40"/>
  <c r="E31" i="40" s="1"/>
  <c r="D36" i="39"/>
  <c r="D12" i="42"/>
  <c r="E12" i="42" s="1"/>
  <c r="D40" i="41"/>
  <c r="E40" i="41" s="1"/>
  <c r="D23" i="40"/>
  <c r="E23" i="40" s="1"/>
  <c r="D27" i="31"/>
  <c r="D14" i="43"/>
  <c r="E14" i="43" s="1"/>
  <c r="D32" i="42"/>
  <c r="E32" i="42" s="1"/>
  <c r="D38" i="41"/>
  <c r="E38" i="41" s="1"/>
  <c r="D24" i="41"/>
  <c r="D17" i="40"/>
  <c r="E17" i="40" s="1"/>
  <c r="D25" i="31"/>
  <c r="E25" i="31" s="1"/>
  <c r="D18" i="15"/>
  <c r="D26" i="13"/>
  <c r="D18" i="13"/>
  <c r="D20" i="17"/>
  <c r="D16" i="15"/>
  <c r="D24" i="13"/>
  <c r="D16" i="13"/>
  <c r="D20" i="13"/>
  <c r="D8" i="17"/>
  <c r="D20" i="15"/>
  <c r="D14" i="15"/>
  <c r="D22" i="13"/>
  <c r="D31" i="34"/>
  <c r="E31" i="34" s="1"/>
  <c r="D22" i="34"/>
  <c r="E22" i="34" s="1"/>
  <c r="D14" i="34"/>
  <c r="E14" i="34" s="1"/>
  <c r="D30" i="31"/>
  <c r="E30" i="31" s="1"/>
  <c r="D32" i="28"/>
  <c r="D24" i="28"/>
  <c r="D29" i="34"/>
  <c r="E29" i="34" s="1"/>
  <c r="D18" i="34"/>
  <c r="E18" i="34" s="1"/>
  <c r="D8" i="34"/>
  <c r="E8" i="34" s="1"/>
  <c r="D25" i="34"/>
  <c r="E25" i="34" s="1"/>
  <c r="D10" i="34"/>
  <c r="E10" i="34" s="1"/>
  <c r="D20" i="34"/>
  <c r="E20" i="34" s="1"/>
  <c r="D16" i="34"/>
  <c r="E16" i="34" s="1"/>
  <c r="D32" i="31"/>
  <c r="D10" i="28"/>
  <c r="D27" i="34"/>
  <c r="E27" i="34" s="1"/>
  <c r="D12" i="34"/>
  <c r="E12" i="34" s="1"/>
  <c r="D18" i="28"/>
  <c r="D12" i="19"/>
  <c r="D10" i="19"/>
  <c r="D8" i="19"/>
  <c r="D14" i="19"/>
  <c r="D14" i="24"/>
  <c r="E14" i="24" s="1"/>
  <c r="D12" i="24"/>
  <c r="E12" i="24" s="1"/>
  <c r="D18" i="24"/>
  <c r="E18" i="24" s="1"/>
  <c r="D10" i="24"/>
  <c r="D16" i="24"/>
  <c r="E16" i="24" s="1"/>
  <c r="D8" i="24"/>
  <c r="E8" i="24" s="1"/>
  <c r="D18" i="30"/>
  <c r="D20" i="30"/>
  <c r="D16" i="30"/>
  <c r="D31" i="24"/>
  <c r="E31" i="24" s="1"/>
  <c r="D23" i="24"/>
  <c r="D21" i="19"/>
  <c r="D26" i="15"/>
  <c r="D34" i="13"/>
  <c r="D14" i="13"/>
  <c r="D29" i="24"/>
  <c r="E29" i="24" s="1"/>
  <c r="D21" i="24"/>
  <c r="D19" i="19"/>
  <c r="D24" i="15"/>
  <c r="D32" i="13"/>
  <c r="D12" i="13"/>
  <c r="D27" i="24"/>
  <c r="D17" i="19"/>
  <c r="D23" i="19"/>
  <c r="D28" i="15"/>
  <c r="D8" i="13"/>
  <c r="D22" i="15"/>
  <c r="D30" i="13"/>
  <c r="D25" i="24"/>
  <c r="E25" i="24" s="1"/>
  <c r="D28" i="13"/>
  <c r="D30" i="15"/>
  <c r="D10" i="13"/>
  <c r="D8" i="28"/>
  <c r="D20" i="28"/>
  <c r="D22" i="28"/>
  <c r="D34" i="28"/>
  <c r="D30" i="19"/>
  <c r="D28" i="19"/>
  <c r="E28" i="19" s="1"/>
  <c r="D26" i="19"/>
  <c r="D32" i="19"/>
  <c r="D60" i="46"/>
  <c r="E60" i="46" s="1"/>
  <c r="D52" i="46"/>
  <c r="E52" i="46" s="1"/>
  <c r="D44" i="46"/>
  <c r="E44" i="46" s="1"/>
  <c r="D30" i="46"/>
  <c r="D22" i="46"/>
  <c r="E22" i="46" s="1"/>
  <c r="D14" i="46"/>
  <c r="E14" i="46" s="1"/>
  <c r="D34" i="45"/>
  <c r="E34" i="45" s="1"/>
  <c r="D16" i="45"/>
  <c r="D26" i="44"/>
  <c r="E26" i="44" s="1"/>
  <c r="D58" i="46"/>
  <c r="E58" i="46" s="1"/>
  <c r="D50" i="46"/>
  <c r="E50" i="46" s="1"/>
  <c r="D42" i="46"/>
  <c r="D28" i="46"/>
  <c r="E28" i="46" s="1"/>
  <c r="D20" i="46"/>
  <c r="E20" i="46" s="1"/>
  <c r="D12" i="46"/>
  <c r="E12" i="46" s="1"/>
  <c r="D54" i="46"/>
  <c r="D38" i="46"/>
  <c r="E38" i="46" s="1"/>
  <c r="D16" i="46"/>
  <c r="E16" i="46" s="1"/>
  <c r="D14" i="45"/>
  <c r="E14" i="45" s="1"/>
  <c r="D48" i="46"/>
  <c r="D26" i="46"/>
  <c r="E26" i="46" s="1"/>
  <c r="D10" i="46"/>
  <c r="E10" i="46" s="1"/>
  <c r="D32" i="45"/>
  <c r="E32" i="45" s="1"/>
  <c r="D12" i="45"/>
  <c r="D30" i="44"/>
  <c r="E30" i="44" s="1"/>
  <c r="D46" i="46"/>
  <c r="E46" i="46" s="1"/>
  <c r="D24" i="46"/>
  <c r="E24" i="46" s="1"/>
  <c r="D8" i="46"/>
  <c r="D18" i="46"/>
  <c r="E18" i="46" s="1"/>
  <c r="D30" i="45"/>
  <c r="E30" i="45" s="1"/>
  <c r="D28" i="44"/>
  <c r="E28" i="44" s="1"/>
  <c r="D28" i="45"/>
  <c r="D56" i="46"/>
  <c r="E56" i="46" s="1"/>
  <c r="D10" i="45"/>
  <c r="E10" i="45" s="1"/>
  <c r="D40" i="46"/>
  <c r="E40" i="46" s="1"/>
  <c r="D36" i="43"/>
  <c r="D40" i="42"/>
  <c r="E40" i="42" s="1"/>
  <c r="D18" i="42"/>
  <c r="E18" i="42" s="1"/>
  <c r="D34" i="38"/>
  <c r="E34" i="38" s="1"/>
  <c r="D18" i="38"/>
  <c r="D34" i="43"/>
  <c r="E34" i="43" s="1"/>
  <c r="D38" i="42"/>
  <c r="E38" i="42" s="1"/>
  <c r="D30" i="42"/>
  <c r="E30" i="42" s="1"/>
  <c r="D10" i="42"/>
  <c r="D32" i="43"/>
  <c r="E32" i="43" s="1"/>
  <c r="D46" i="38"/>
  <c r="E46" i="38" s="1"/>
  <c r="D26" i="38"/>
  <c r="E26" i="38" s="1"/>
  <c r="D28" i="42"/>
  <c r="D38" i="38"/>
  <c r="E38" i="38" s="1"/>
  <c r="D10" i="38"/>
  <c r="E10" i="38" s="1"/>
  <c r="D48" i="42"/>
  <c r="E48" i="42" s="1"/>
  <c r="D30" i="38"/>
  <c r="D38" i="43"/>
  <c r="E38" i="43" s="1"/>
  <c r="D22" i="38"/>
  <c r="E22" i="38" s="1"/>
  <c r="D20" i="42"/>
  <c r="E20" i="42" s="1"/>
  <c r="D42" i="38"/>
  <c r="D14" i="38"/>
  <c r="E14" i="38" s="1"/>
  <c r="D40" i="39"/>
  <c r="E40" i="39" s="1"/>
  <c r="D46" i="39"/>
  <c r="E46" i="39" s="1"/>
  <c r="D44" i="39"/>
  <c r="D42" i="39"/>
  <c r="E42" i="39" s="1"/>
  <c r="E54" i="47"/>
  <c r="E38" i="47"/>
  <c r="E22" i="47"/>
  <c r="E10" i="47"/>
  <c r="E50" i="47"/>
  <c r="E18" i="47"/>
  <c r="E54" i="46"/>
  <c r="E8" i="46"/>
  <c r="E48" i="46"/>
  <c r="E30" i="46"/>
  <c r="E42" i="46"/>
  <c r="E6" i="47"/>
  <c r="E28" i="47"/>
  <c r="E36" i="47"/>
  <c r="E24" i="47"/>
  <c r="E20" i="47"/>
  <c r="E49" i="47"/>
  <c r="E53" i="47"/>
  <c r="E9" i="47"/>
  <c r="E41" i="47"/>
  <c r="E21" i="47"/>
  <c r="E57" i="47"/>
  <c r="E4" i="47"/>
  <c r="B36" i="46"/>
  <c r="B34" i="46"/>
  <c r="B32" i="46"/>
  <c r="E33" i="44"/>
  <c r="E5" i="45"/>
  <c r="E5" i="44"/>
  <c r="E6" i="45"/>
  <c r="E12" i="44"/>
  <c r="E36" i="45"/>
  <c r="E20" i="44"/>
  <c r="E16" i="44"/>
  <c r="E22" i="44"/>
  <c r="E22" i="45"/>
  <c r="E26" i="45"/>
  <c r="E16" i="45"/>
  <c r="E28" i="45"/>
  <c r="E12" i="45"/>
  <c r="E22" i="36"/>
  <c r="E18" i="36"/>
  <c r="E28" i="39"/>
  <c r="E30" i="39"/>
  <c r="E12" i="38"/>
  <c r="E24" i="43"/>
  <c r="E16" i="43"/>
  <c r="E30" i="43"/>
  <c r="E24" i="42"/>
  <c r="E14" i="42"/>
  <c r="E34" i="41"/>
  <c r="E26" i="41"/>
  <c r="E18" i="41"/>
  <c r="E18" i="31"/>
  <c r="E16" i="31"/>
  <c r="E8" i="31"/>
  <c r="E14" i="31"/>
  <c r="E32" i="31"/>
  <c r="E44" i="39"/>
  <c r="E17" i="11"/>
  <c r="E45" i="41"/>
  <c r="E40" i="40"/>
  <c r="E49" i="38"/>
  <c r="E23" i="30"/>
  <c r="E4" i="36"/>
  <c r="E4" i="35"/>
  <c r="E4" i="37"/>
  <c r="E5" i="42"/>
  <c r="E5" i="40"/>
  <c r="E5" i="39"/>
  <c r="E5" i="36"/>
  <c r="E5" i="33"/>
  <c r="E5" i="32"/>
  <c r="E6" i="43"/>
  <c r="E6" i="41"/>
  <c r="E6" i="40"/>
  <c r="E6" i="36"/>
  <c r="E6" i="32"/>
  <c r="E6" i="37"/>
  <c r="E6" i="34"/>
  <c r="E8" i="29"/>
  <c r="E28" i="37"/>
  <c r="E24" i="34"/>
  <c r="E8" i="32"/>
  <c r="E10" i="39"/>
  <c r="E10" i="35"/>
  <c r="E8" i="35"/>
  <c r="E20" i="39"/>
  <c r="E22" i="39"/>
  <c r="E9" i="22"/>
  <c r="E10" i="21"/>
  <c r="E8" i="42"/>
  <c r="E8" i="37"/>
  <c r="E11" i="29"/>
  <c r="E19" i="37"/>
  <c r="E10" i="23"/>
  <c r="E33" i="37"/>
  <c r="E14" i="33"/>
  <c r="E10" i="33"/>
  <c r="E18" i="33"/>
  <c r="E37" i="37"/>
  <c r="E14" i="22"/>
  <c r="E12" i="43"/>
  <c r="E42" i="42"/>
  <c r="E16" i="42"/>
  <c r="E24" i="41"/>
  <c r="E16" i="41"/>
  <c r="E19" i="40"/>
  <c r="E11" i="40"/>
  <c r="E36" i="39"/>
  <c r="E33" i="40"/>
  <c r="E9" i="40"/>
  <c r="E32" i="39"/>
  <c r="E37" i="40"/>
  <c r="E27" i="31"/>
  <c r="E10" i="24"/>
  <c r="E36" i="43"/>
  <c r="E28" i="42"/>
  <c r="E10" i="42"/>
  <c r="E42" i="38"/>
  <c r="E18" i="38"/>
  <c r="E30" i="38"/>
  <c r="A6" i="2"/>
  <c r="A8" i="2" s="1"/>
  <c r="A9" i="2" s="1"/>
  <c r="A10" i="2" s="1"/>
  <c r="A12" i="2" s="1"/>
  <c r="A13" i="2" s="1"/>
  <c r="E6" i="1" s="1"/>
  <c r="G6" i="1" s="1"/>
  <c r="A6" i="13"/>
  <c r="A8" i="13" s="1"/>
  <c r="A9" i="13" s="1"/>
  <c r="A6" i="4"/>
  <c r="A8" i="4" s="1"/>
  <c r="A9" i="4" s="1"/>
  <c r="A6" i="6"/>
  <c r="A8" i="6" s="1"/>
  <c r="A9" i="6" s="1"/>
  <c r="A10" i="6" s="1"/>
  <c r="A12" i="6" s="1"/>
  <c r="A13" i="6" s="1"/>
  <c r="E10" i="1" s="1"/>
  <c r="A6" i="9"/>
  <c r="A7" i="9" s="1"/>
  <c r="A8" i="9" s="1"/>
  <c r="A9" i="9" s="1"/>
  <c r="A10" i="9" s="1"/>
  <c r="A11" i="9" s="1"/>
  <c r="A12" i="9" s="1"/>
  <c r="A14" i="9" s="1"/>
  <c r="A15" i="9" s="1"/>
  <c r="E13" i="1" s="1"/>
  <c r="A6" i="16"/>
  <c r="A8" i="16" s="1"/>
  <c r="A9" i="16" s="1"/>
  <c r="A10" i="16" s="1"/>
  <c r="A11" i="16" s="1"/>
  <c r="A13" i="16" s="1"/>
  <c r="A14" i="16" s="1"/>
  <c r="E19" i="1" s="1"/>
  <c r="A6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6" i="5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9" i="5" s="1"/>
  <c r="A20" i="5" s="1"/>
  <c r="E9" i="1" s="1"/>
  <c r="A6" i="10"/>
  <c r="A8" i="10" s="1"/>
  <c r="A9" i="10" s="1"/>
  <c r="A9" i="19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5" i="19" s="1"/>
  <c r="A6" i="15"/>
  <c r="A8" i="15" s="1"/>
  <c r="A6" i="14"/>
  <c r="A8" i="14" s="1"/>
  <c r="A9" i="14" s="1"/>
  <c r="A10" i="14" s="1"/>
  <c r="A12" i="14" s="1"/>
  <c r="A13" i="14" s="1"/>
  <c r="E17" i="1" s="1"/>
  <c r="A6" i="11"/>
  <c r="A8" i="11" s="1"/>
  <c r="A9" i="11" s="1"/>
  <c r="A6" i="8"/>
  <c r="A8" i="8" s="1"/>
  <c r="A6" i="7"/>
  <c r="A8" i="7" s="1"/>
  <c r="A9" i="7" s="1"/>
  <c r="A10" i="7" s="1"/>
  <c r="A11" i="7" s="1"/>
  <c r="A12" i="7" s="1"/>
  <c r="A13" i="7" s="1"/>
  <c r="A14" i="7" s="1"/>
  <c r="A15" i="7" s="1"/>
  <c r="A17" i="7" s="1"/>
  <c r="A18" i="7" s="1"/>
  <c r="E11" i="1" s="1"/>
  <c r="A34" i="24"/>
  <c r="A35" i="24" s="1"/>
  <c r="E26" i="1" s="1"/>
  <c r="E12" i="21"/>
  <c r="E9" i="9"/>
  <c r="A9" i="20"/>
  <c r="A10" i="20" s="1"/>
  <c r="A15" i="21"/>
  <c r="E23" i="1" s="1"/>
  <c r="E34" i="46" l="1"/>
  <c r="E36" i="46"/>
  <c r="E32" i="46"/>
  <c r="A33" i="46"/>
  <c r="A34" i="46" s="1"/>
  <c r="A35" i="46" s="1"/>
  <c r="A36" i="46" s="1"/>
  <c r="A37" i="46" s="1"/>
  <c r="E58" i="47"/>
  <c r="D46" i="1" s="1"/>
  <c r="E39" i="45"/>
  <c r="D44" i="1" s="1"/>
  <c r="E34" i="44"/>
  <c r="D43" i="1" s="1"/>
  <c r="E36" i="31"/>
  <c r="D30" i="1" s="1"/>
  <c r="E46" i="41"/>
  <c r="D40" i="1" s="1"/>
  <c r="E13" i="32"/>
  <c r="D31" i="1" s="1"/>
  <c r="E41" i="40"/>
  <c r="D39" i="1" s="1"/>
  <c r="E50" i="39"/>
  <c r="D38" i="1" s="1"/>
  <c r="E35" i="34"/>
  <c r="D33" i="1" s="1"/>
  <c r="E42" i="43"/>
  <c r="D42" i="1" s="1"/>
  <c r="E16" i="35"/>
  <c r="D34" i="1" s="1"/>
  <c r="E40" i="37"/>
  <c r="D36" i="1" s="1"/>
  <c r="E50" i="38"/>
  <c r="D37" i="1" s="1"/>
  <c r="E52" i="42"/>
  <c r="D41" i="1" s="1"/>
  <c r="A23" i="17"/>
  <c r="E32" i="19"/>
  <c r="E26" i="19"/>
  <c r="E30" i="19"/>
  <c r="E25" i="36"/>
  <c r="E26" i="36" s="1"/>
  <c r="D35" i="1" s="1"/>
  <c r="E21" i="33"/>
  <c r="E22" i="33" s="1"/>
  <c r="D32" i="1" s="1"/>
  <c r="A11" i="20"/>
  <c r="A12" i="20" s="1"/>
  <c r="A13" i="20" s="1"/>
  <c r="A15" i="20" s="1"/>
  <c r="A16" i="20" s="1"/>
  <c r="E22" i="1" s="1"/>
  <c r="E5" i="29"/>
  <c r="E27" i="24"/>
  <c r="E12" i="30"/>
  <c r="E20" i="28"/>
  <c r="E34" i="28"/>
  <c r="E24" i="28"/>
  <c r="E10" i="28"/>
  <c r="E6" i="29"/>
  <c r="E5" i="30"/>
  <c r="E4" i="29"/>
  <c r="E8" i="28"/>
  <c r="E22" i="28"/>
  <c r="E30" i="28"/>
  <c r="E16" i="28"/>
  <c r="E9" i="29"/>
  <c r="E6" i="28"/>
  <c r="E23" i="24"/>
  <c r="E21" i="24"/>
  <c r="E32" i="28"/>
  <c r="E18" i="28"/>
  <c r="E10" i="29"/>
  <c r="E6" i="30"/>
  <c r="E37" i="28"/>
  <c r="E4" i="30"/>
  <c r="E13" i="29"/>
  <c r="A24" i="17"/>
  <c r="E20" i="1" s="1"/>
  <c r="E16" i="30"/>
  <c r="E20" i="30"/>
  <c r="E18" i="30"/>
  <c r="E26" i="28"/>
  <c r="E12" i="28"/>
  <c r="E5" i="28"/>
  <c r="E4" i="28"/>
  <c r="E35" i="19"/>
  <c r="A10" i="4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4" i="4" s="1"/>
  <c r="A35" i="4" s="1"/>
  <c r="E7" i="1" s="1"/>
  <c r="G7" i="1" s="1"/>
  <c r="G8" i="1" s="1"/>
  <c r="G9" i="1" s="1"/>
  <c r="G10" i="1" s="1"/>
  <c r="G11" i="1" s="1"/>
  <c r="E12" i="10"/>
  <c r="E14" i="10"/>
  <c r="E8" i="10"/>
  <c r="E10" i="10"/>
  <c r="E5" i="24"/>
  <c r="E27" i="10"/>
  <c r="E29" i="10"/>
  <c r="E31" i="10"/>
  <c r="A36" i="19"/>
  <c r="E21" i="1" s="1"/>
  <c r="A9" i="15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3" i="15" s="1"/>
  <c r="A34" i="15" s="1"/>
  <c r="E18" i="1" s="1"/>
  <c r="A10" i="13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7" i="13" s="1"/>
  <c r="A38" i="13" s="1"/>
  <c r="E16" i="1" s="1"/>
  <c r="A10" i="11"/>
  <c r="A11" i="11" s="1"/>
  <c r="A12" i="11" s="1"/>
  <c r="A13" i="11" s="1"/>
  <c r="A14" i="11" s="1"/>
  <c r="A15" i="11" s="1"/>
  <c r="A17" i="11" s="1"/>
  <c r="A18" i="11" s="1"/>
  <c r="E15" i="1" s="1"/>
  <c r="A10" i="10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4" i="10" s="1"/>
  <c r="A35" i="10" s="1"/>
  <c r="E14" i="1" s="1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4" i="8" s="1"/>
  <c r="A35" i="8" s="1"/>
  <c r="E12" i="1" s="1"/>
  <c r="E23" i="22"/>
  <c r="E10" i="19"/>
  <c r="E8" i="19"/>
  <c r="E20" i="24"/>
  <c r="E6" i="22"/>
  <c r="E4" i="22"/>
  <c r="E34" i="24"/>
  <c r="E6" i="24"/>
  <c r="E14" i="19"/>
  <c r="E5" i="22"/>
  <c r="E4" i="23"/>
  <c r="E4" i="24"/>
  <c r="E12" i="19"/>
  <c r="E6" i="23"/>
  <c r="E5" i="23"/>
  <c r="E21" i="23"/>
  <c r="E14" i="9"/>
  <c r="E20" i="17"/>
  <c r="E18" i="17"/>
  <c r="E12" i="9"/>
  <c r="E16" i="5"/>
  <c r="E16" i="17"/>
  <c r="E13" i="16"/>
  <c r="E17" i="7"/>
  <c r="E11" i="9"/>
  <c r="E25" i="19"/>
  <c r="E34" i="10"/>
  <c r="E34" i="4"/>
  <c r="E12" i="14"/>
  <c r="E11" i="21"/>
  <c r="E14" i="5"/>
  <c r="E14" i="7"/>
  <c r="E10" i="9"/>
  <c r="E37" i="13"/>
  <c r="E33" i="15"/>
  <c r="E12" i="6"/>
  <c r="E34" i="8"/>
  <c r="E11" i="16"/>
  <c r="E14" i="17"/>
  <c r="E12" i="2"/>
  <c r="E28" i="15"/>
  <c r="E10" i="6"/>
  <c r="E12" i="17"/>
  <c r="E10" i="16"/>
  <c r="E10" i="14"/>
  <c r="E15" i="20"/>
  <c r="E21" i="8"/>
  <c r="E28" i="13"/>
  <c r="E31" i="4"/>
  <c r="E12" i="20"/>
  <c r="E12" i="5"/>
  <c r="E12" i="7"/>
  <c r="E9" i="14"/>
  <c r="E20" i="8"/>
  <c r="E16" i="19"/>
  <c r="E9" i="21"/>
  <c r="E9" i="6"/>
  <c r="E8" i="9"/>
  <c r="E20" i="15"/>
  <c r="E9" i="2"/>
  <c r="E20" i="13"/>
  <c r="E10" i="17"/>
  <c r="E10" i="5"/>
  <c r="E9" i="16"/>
  <c r="E10" i="7"/>
  <c r="E20" i="10"/>
  <c r="E20" i="4"/>
  <c r="E12" i="8"/>
  <c r="E12" i="13"/>
  <c r="E8" i="16"/>
  <c r="E10" i="15"/>
  <c r="E8" i="21"/>
  <c r="E8" i="14"/>
  <c r="E7" i="9"/>
  <c r="E8" i="5"/>
  <c r="E10" i="11"/>
  <c r="E8" i="7"/>
  <c r="E8" i="17"/>
  <c r="E14" i="4"/>
  <c r="E8" i="6"/>
  <c r="E8" i="2"/>
  <c r="E8" i="4"/>
  <c r="E10" i="4"/>
  <c r="E29" i="8"/>
  <c r="E8" i="13"/>
  <c r="E25" i="8"/>
  <c r="E6" i="19"/>
  <c r="E6" i="6"/>
  <c r="E5" i="15"/>
  <c r="E5" i="6"/>
  <c r="E4" i="21"/>
  <c r="E6" i="21"/>
  <c r="E6" i="10"/>
  <c r="E6" i="4"/>
  <c r="E5" i="19"/>
  <c r="E5" i="7"/>
  <c r="E4" i="16"/>
  <c r="E5" i="4"/>
  <c r="E4" i="19"/>
  <c r="E4" i="13"/>
  <c r="E4" i="11"/>
  <c r="E4" i="5"/>
  <c r="E4" i="6"/>
  <c r="E21" i="10"/>
  <c r="E23" i="8"/>
  <c r="E6" i="16"/>
  <c r="E6" i="5"/>
  <c r="E6" i="9"/>
  <c r="E5" i="16"/>
  <c r="E6" i="8"/>
  <c r="E5" i="20"/>
  <c r="E5" i="5"/>
  <c r="E5" i="11"/>
  <c r="E5" i="9"/>
  <c r="E5" i="8"/>
  <c r="E4" i="20"/>
  <c r="E4" i="7"/>
  <c r="E4" i="9"/>
  <c r="E4" i="10"/>
  <c r="E6" i="15"/>
  <c r="E6" i="7"/>
  <c r="E5" i="21"/>
  <c r="E5" i="2"/>
  <c r="E4" i="15"/>
  <c r="E4" i="8"/>
  <c r="E6" i="17"/>
  <c r="E6" i="11"/>
  <c r="E5" i="10"/>
  <c r="E14" i="13"/>
  <c r="E18" i="4"/>
  <c r="E27" i="8"/>
  <c r="E6" i="20"/>
  <c r="E5" i="17"/>
  <c r="E6" i="2"/>
  <c r="E6" i="14"/>
  <c r="E6" i="13"/>
  <c r="E4" i="17"/>
  <c r="E5" i="14"/>
  <c r="E5" i="13"/>
  <c r="E4" i="4"/>
  <c r="E4" i="14"/>
  <c r="E4" i="2"/>
  <c r="E31" i="8"/>
  <c r="E27" i="4"/>
  <c r="E23" i="10"/>
  <c r="E14" i="15"/>
  <c r="E25" i="4"/>
  <c r="E30" i="13"/>
  <c r="E14" i="11"/>
  <c r="E8" i="11"/>
  <c r="E18" i="13"/>
  <c r="E12" i="4"/>
  <c r="E30" i="15"/>
  <c r="E18" i="8"/>
  <c r="E16" i="10"/>
  <c r="E22" i="13"/>
  <c r="E18" i="10"/>
  <c r="E24" i="15"/>
  <c r="E26" i="13"/>
  <c r="E10" i="8"/>
  <c r="E22" i="15"/>
  <c r="E8" i="15"/>
  <c r="E10" i="13"/>
  <c r="E12" i="11"/>
  <c r="E14" i="8"/>
  <c r="E26" i="15"/>
  <c r="E16" i="4"/>
  <c r="E12" i="15"/>
  <c r="E24" i="13"/>
  <c r="E25" i="10"/>
  <c r="E16" i="8"/>
  <c r="E8" i="20"/>
  <c r="E10" i="20"/>
  <c r="E34" i="13"/>
  <c r="E29" i="4"/>
  <c r="E18" i="15"/>
  <c r="E32" i="13"/>
  <c r="E21" i="19"/>
  <c r="E17" i="19"/>
  <c r="E19" i="19"/>
  <c r="E23" i="19"/>
  <c r="E23" i="17"/>
  <c r="E14" i="21"/>
  <c r="E16" i="15"/>
  <c r="E21" i="4"/>
  <c r="E8" i="8"/>
  <c r="E23" i="4"/>
  <c r="E16" i="13"/>
  <c r="G12" i="1" l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E64" i="46"/>
  <c r="D45" i="1" s="1"/>
  <c r="A38" i="46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3" i="46" s="1"/>
  <c r="A64" i="46" s="1"/>
  <c r="E45" i="1" s="1"/>
  <c r="E38" i="13"/>
  <c r="D16" i="1" s="1"/>
  <c r="E10" i="30"/>
  <c r="E38" i="28"/>
  <c r="D27" i="1" s="1"/>
  <c r="E8" i="30"/>
  <c r="A9" i="30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3" i="30" s="1"/>
  <c r="A24" i="30" s="1"/>
  <c r="E29" i="1" s="1"/>
  <c r="E14" i="29"/>
  <c r="D28" i="1" s="1"/>
  <c r="E14" i="30"/>
  <c r="E22" i="23"/>
  <c r="D25" i="1" s="1"/>
  <c r="E24" i="22"/>
  <c r="D24" i="1" s="1"/>
  <c r="E35" i="24"/>
  <c r="D26" i="1" s="1"/>
  <c r="E18" i="7"/>
  <c r="D11" i="1" s="1"/>
  <c r="E13" i="6"/>
  <c r="D10" i="1" s="1"/>
  <c r="E14" i="16"/>
  <c r="D19" i="1" s="1"/>
  <c r="E15" i="9"/>
  <c r="D13" i="1" s="1"/>
  <c r="E13" i="2"/>
  <c r="D6" i="1" s="1"/>
  <c r="F6" i="1" s="1"/>
  <c r="E13" i="14"/>
  <c r="D17" i="1" s="1"/>
  <c r="E20" i="5"/>
  <c r="D9" i="1" s="1"/>
  <c r="E15" i="21"/>
  <c r="D23" i="1" s="1"/>
  <c r="E24" i="17"/>
  <c r="D20" i="1" s="1"/>
  <c r="E36" i="19"/>
  <c r="D21" i="1" s="1"/>
  <c r="E16" i="20"/>
  <c r="D22" i="1" s="1"/>
  <c r="E34" i="15"/>
  <c r="D18" i="1" s="1"/>
  <c r="E35" i="10"/>
  <c r="D14" i="1" s="1"/>
  <c r="E18" i="11"/>
  <c r="D15" i="1" s="1"/>
  <c r="E35" i="8"/>
  <c r="D12" i="1" s="1"/>
  <c r="E35" i="4"/>
  <c r="D7" i="1" s="1"/>
  <c r="E24" i="30" l="1"/>
  <c r="D29" i="1" s="1"/>
  <c r="G29" i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F7" i="1"/>
  <c r="F5" i="26"/>
  <c r="E12" i="27" s="1"/>
  <c r="F6" i="26"/>
  <c r="F12" i="27" s="1"/>
  <c r="F4" i="26"/>
  <c r="D12" i="27" s="1"/>
  <c r="H5" i="26" l="1"/>
  <c r="E10" i="27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</calcChain>
</file>

<file path=xl/comments1.xml><?xml version="1.0" encoding="utf-8"?>
<comments xmlns="http://schemas.openxmlformats.org/spreadsheetml/2006/main">
  <authors>
    <author>Public</author>
  </authors>
  <commentList>
    <comment ref="H7" authorId="0" shapeId="0">
      <text>
        <r>
          <rPr>
            <b/>
            <sz val="9"/>
            <color indexed="81"/>
            <rFont val="Tahoma"/>
            <family val="2"/>
          </rPr>
          <t>Ne rien taper dans ces cellules.
Remplissage Automatique</t>
        </r>
      </text>
    </comment>
  </commentList>
</comments>
</file>

<file path=xl/sharedStrings.xml><?xml version="1.0" encoding="utf-8"?>
<sst xmlns="http://schemas.openxmlformats.org/spreadsheetml/2006/main" count="704" uniqueCount="252">
  <si>
    <t>Endurance Fondamentale</t>
  </si>
  <si>
    <t>Endurance Active</t>
  </si>
  <si>
    <t>Footing Progressif</t>
  </si>
  <si>
    <t>Séance VMA</t>
  </si>
  <si>
    <t>VMA Longue</t>
  </si>
  <si>
    <t>Travail VMA</t>
  </si>
  <si>
    <t>Footing avec Variation d'Allures</t>
  </si>
  <si>
    <t>VMA Courte</t>
  </si>
  <si>
    <t>VMA Pyramidale</t>
  </si>
  <si>
    <t>Footing Actif Progressif</t>
  </si>
  <si>
    <t>Travail Allure</t>
  </si>
  <si>
    <t>Echauffement</t>
  </si>
  <si>
    <t>Cœur de séance</t>
  </si>
  <si>
    <t>Retour au calme</t>
  </si>
  <si>
    <t>Semi</t>
    <phoneticPr fontId="1" type="noConversion"/>
  </si>
  <si>
    <t>Marathon</t>
    <phoneticPr fontId="1" type="noConversion"/>
  </si>
  <si>
    <t>Vitesse en km/h</t>
    <phoneticPr fontId="1" type="noConversion"/>
  </si>
  <si>
    <t>ALLURE</t>
  </si>
  <si>
    <t>VMA - km/h</t>
  </si>
  <si>
    <t>Chronos en fonction de votre VMA</t>
  </si>
  <si>
    <t>10km</t>
  </si>
  <si>
    <t>Difficulté</t>
  </si>
  <si>
    <t>Resistance</t>
  </si>
  <si>
    <t>Resistance dure</t>
  </si>
  <si>
    <t>Travail D'allure 1200m</t>
  </si>
  <si>
    <t>Distance par séance</t>
  </si>
  <si>
    <t>Cumul des seances Km</t>
  </si>
  <si>
    <t>Variation d'allure Progressive</t>
  </si>
  <si>
    <t>Travail VMA Longue</t>
  </si>
  <si>
    <t>Travail VMA Courte</t>
  </si>
  <si>
    <t>Date</t>
  </si>
  <si>
    <t>Durée</t>
  </si>
  <si>
    <t>Nombre de sorties :</t>
  </si>
  <si>
    <t>Distance</t>
  </si>
  <si>
    <t>Zones de Fréquence cardiaque</t>
  </si>
  <si>
    <t>Vitesse</t>
  </si>
  <si>
    <t>Allure</t>
  </si>
  <si>
    <t>Dénivelé</t>
  </si>
  <si>
    <t>Fréquence Cardiaque</t>
  </si>
  <si>
    <t>Calories</t>
  </si>
  <si>
    <t>Zone 1</t>
  </si>
  <si>
    <t>Zone 2</t>
  </si>
  <si>
    <t>Zone 3</t>
  </si>
  <si>
    <t>Zone 4</t>
  </si>
  <si>
    <t>Zone 5</t>
  </si>
  <si>
    <t>Total</t>
  </si>
  <si>
    <t>Moyenne…</t>
  </si>
  <si>
    <t>Plus…</t>
  </si>
  <si>
    <t>Activité</t>
  </si>
  <si>
    <t>Vitesse moyenne de la sortie</t>
  </si>
  <si>
    <t>Vitesse maximum de la sortie</t>
  </si>
  <si>
    <t>Allure moyenne</t>
  </si>
  <si>
    <t>Meilleure allure</t>
  </si>
  <si>
    <t>Moyenne FC</t>
  </si>
  <si>
    <t>FC maximum</t>
  </si>
  <si>
    <t>Calories par sortie</t>
  </si>
  <si>
    <t>Vélo</t>
  </si>
  <si>
    <t>Running</t>
  </si>
  <si>
    <t>Stade de Mandelieu</t>
  </si>
  <si>
    <t>Stade de Grasse</t>
  </si>
  <si>
    <t>Home-Trainer</t>
  </si>
  <si>
    <t>Florian Brunelet - runwithflo - Coaching 
runwithflo.coach@gmail.com</t>
  </si>
  <si>
    <t>www.facebook.com/defilepsie</t>
  </si>
  <si>
    <t>mailto:runwithflo.coach@gmail.com</t>
  </si>
  <si>
    <t>Semaine - jour</t>
  </si>
  <si>
    <t>Maximum</t>
  </si>
  <si>
    <t>Moyenne</t>
  </si>
  <si>
    <t>Sem 1 - jour 1</t>
  </si>
  <si>
    <t>Sem 1 - jour 3</t>
  </si>
  <si>
    <t>Sem 1 - jour 5</t>
  </si>
  <si>
    <t>Sem 2 - jour 1</t>
  </si>
  <si>
    <t>Sem 2 - jour 3</t>
  </si>
  <si>
    <t>Sem 2 - jour 5</t>
  </si>
  <si>
    <t>Sem 3 - jour 1</t>
  </si>
  <si>
    <t>Sem 3 - jour 3</t>
  </si>
  <si>
    <t>Sem 3 - jour 5</t>
  </si>
  <si>
    <t>Sem 4 - jour 1</t>
  </si>
  <si>
    <t>Sem 4 - jour 3</t>
  </si>
  <si>
    <t>Sem 4 - jour 5</t>
  </si>
  <si>
    <t>Sem 5 - jour 1</t>
  </si>
  <si>
    <t>Sem 5 - jour 3</t>
  </si>
  <si>
    <t>Sem 5 - jour 5</t>
  </si>
  <si>
    <t>Sem 6 - jour 1</t>
  </si>
  <si>
    <t>Sem 6 - jour 3</t>
  </si>
  <si>
    <t>Sem 6 - jour 5</t>
  </si>
  <si>
    <t>Sem 7 - jour 1</t>
  </si>
  <si>
    <t>Sem 7 - jour 3</t>
  </si>
  <si>
    <t>Sem 7 - jour 5</t>
  </si>
  <si>
    <t>Sem 8 - jour 1</t>
  </si>
  <si>
    <t>Sem 8 - jour 3</t>
  </si>
  <si>
    <t>Sem 8 - jour 5</t>
  </si>
  <si>
    <t>Footing actif progressif</t>
  </si>
  <si>
    <t>Travail allure 1000 m</t>
  </si>
  <si>
    <t>Travail pyramidal VMA (à faire 2x)</t>
  </si>
  <si>
    <t>Départ</t>
  </si>
  <si>
    <t>Tel: 06 42 05 72 71</t>
  </si>
  <si>
    <t>Piscine</t>
  </si>
  <si>
    <t xml:space="preserve">Piscine </t>
  </si>
  <si>
    <t>Piscine Le grand bleu - Cannes-Mandelieu</t>
  </si>
  <si>
    <t>Etang de Mougins entrainement #R-1</t>
  </si>
  <si>
    <t>Etang de Mougins entrainement #R-5</t>
  </si>
  <si>
    <t>Tapis à la maison entrainement #R-2</t>
  </si>
  <si>
    <t>Tapis à la maison entrainement #R-3</t>
  </si>
  <si>
    <t>Tapis à la maison entrainement #R-4</t>
  </si>
  <si>
    <t>Tapis à la maison entrainement #R-5</t>
  </si>
  <si>
    <t>Tapis à la maison entrainement #R-6</t>
  </si>
  <si>
    <t>Tapis à la maison entrainement #R-7</t>
  </si>
  <si>
    <t>Tapis à la maison entrainement #R-8</t>
  </si>
  <si>
    <t>Tapis à la maison entrainement #R-9</t>
  </si>
  <si>
    <t>Tapis à la maison entrainement #R-10</t>
  </si>
  <si>
    <t>Tapis à la maison entrainement #R-11</t>
  </si>
  <si>
    <t>Tapis à la maison entrainement #R-12</t>
  </si>
  <si>
    <t>Tapis à la maison entrainement #R-13</t>
  </si>
  <si>
    <t>Tapis à la maison entrainement #R-14</t>
  </si>
  <si>
    <t>Tapis à la maison entrainement #R-15</t>
  </si>
  <si>
    <t>Tapis à la maison entrainement #R-16</t>
  </si>
  <si>
    <t>Tapis à la maison entrainement #R-17</t>
  </si>
  <si>
    <t>Tapis à la maison entrainement #R-18</t>
  </si>
  <si>
    <t>Tapis à la maison entrainement #R-19</t>
  </si>
  <si>
    <t>Tapis à la maison entrainement #R-20</t>
  </si>
  <si>
    <t>Tapis à la maison entrainement #R-21</t>
  </si>
  <si>
    <t>Tapis à la maison entrainement #R-22</t>
  </si>
  <si>
    <t>Tapis à la maison entrainement #R-23</t>
  </si>
  <si>
    <t>Tapis à la maison entrainement</t>
  </si>
  <si>
    <t>Sem 9 - jour 1</t>
  </si>
  <si>
    <t>Footing pogressif 50 min</t>
  </si>
  <si>
    <t>Sem 9 - jour 3</t>
  </si>
  <si>
    <t>Travail allure 800 m</t>
  </si>
  <si>
    <t>Sem 9 - jour 5</t>
  </si>
  <si>
    <t>Tapis à la maison entrainement #R-24</t>
  </si>
  <si>
    <t>dénivelé moyen/km</t>
  </si>
  <si>
    <t>Pluie</t>
  </si>
  <si>
    <t>Aller retour Agay sous pluie avec Ben</t>
  </si>
  <si>
    <t>Soleil</t>
  </si>
  <si>
    <t>La Roquette - Capitou en courant</t>
  </si>
  <si>
    <t>Aller retour Cagnes sur mer en petit groupe.</t>
  </si>
  <si>
    <t>Tanneron par Mandelieu, Auribeau, Grasse, Mouans-Sartoux, La Roquette sur Siagne</t>
  </si>
  <si>
    <t>Running bord de mer</t>
  </si>
  <si>
    <t>Travail VMA courte</t>
  </si>
  <si>
    <t>Sem 10 - jour 1</t>
  </si>
  <si>
    <t>Travail d'allure 1500 m</t>
  </si>
  <si>
    <t>Sem 10 - jour 3</t>
  </si>
  <si>
    <t>Travail allure 400 m (VMA longue)</t>
  </si>
  <si>
    <t>Pégomas, Mandelieu, Cannes, Mougins, Mouans-Sartoux</t>
  </si>
  <si>
    <t>Stade de Mandelieu en club</t>
  </si>
  <si>
    <t>Bord de mer</t>
  </si>
  <si>
    <t>Vent</t>
  </si>
  <si>
    <t>Aller-Retour Cannes - Mandelieu</t>
  </si>
  <si>
    <t>Stade de Mandelieu en club - 3x Renforcement musculaire puis diagonales de terrain, récup. largeur 6 minutes</t>
  </si>
  <si>
    <t>Temps</t>
  </si>
  <si>
    <t>Cumul Temps</t>
  </si>
  <si>
    <t>Travail VMA court</t>
  </si>
  <si>
    <t>Sem 11 - jour 1</t>
  </si>
  <si>
    <t>Sem 10 - jour 5</t>
  </si>
  <si>
    <t>Sem 11 - jour 3</t>
  </si>
  <si>
    <t>Sem 11 - jour 5</t>
  </si>
  <si>
    <t>Sem 12 - jour 1</t>
  </si>
  <si>
    <t>Aller-Retour Agay</t>
  </si>
  <si>
    <t>Auribeau - Grasse - Gagnes sur mer - Bord de mer pour rentrer</t>
  </si>
  <si>
    <t>Sem 12 - jour 3</t>
  </si>
  <si>
    <t>Bord de mer jusqu'à Antibes (tournage avec Enzo)</t>
  </si>
  <si>
    <t>Col de Vence avec Ben</t>
  </si>
  <si>
    <t>Travail VMA pyramidal (à faire 4x)</t>
  </si>
  <si>
    <t>Sem 12 - jour 5</t>
  </si>
  <si>
    <t>Sem 13 - jour 1</t>
  </si>
  <si>
    <t>Sem 13 - jour 3</t>
  </si>
  <si>
    <t>Travail VMA court (6"=diag+récup 133m + 75 m)</t>
  </si>
  <si>
    <t>Sem 13 - jour 5</t>
  </si>
  <si>
    <t>Anneau de Mandelieu</t>
  </si>
  <si>
    <t>Madelieu - Pégomas - La Roquette</t>
  </si>
  <si>
    <t>Aller-retour Saint-Raphaël</t>
  </si>
  <si>
    <t>Couvert</t>
  </si>
  <si>
    <t>15,6 km à Pagny</t>
  </si>
  <si>
    <t>Sem 14 - jour 1</t>
  </si>
  <si>
    <t>VMA Progressive</t>
  </si>
  <si>
    <t>Sem 14 - jour 3</t>
  </si>
  <si>
    <t>Nage en mer</t>
  </si>
  <si>
    <t>Tapis de course</t>
  </si>
  <si>
    <t>Zones</t>
  </si>
  <si>
    <t>%VMA</t>
  </si>
  <si>
    <t>Jour</t>
  </si>
  <si>
    <t>Lieu</t>
  </si>
  <si>
    <t>Distance parcourue Km</t>
  </si>
  <si>
    <t>Durée de la séance H:mn</t>
  </si>
  <si>
    <t>Autres sports pratiqués</t>
  </si>
  <si>
    <t>Equilibre alimentaire</t>
  </si>
  <si>
    <t>Lundi</t>
  </si>
  <si>
    <t>Route</t>
  </si>
  <si>
    <t>VMA</t>
  </si>
  <si>
    <t>Très bon</t>
  </si>
  <si>
    <t>Piste</t>
  </si>
  <si>
    <t>Seuil</t>
  </si>
  <si>
    <t>Correct</t>
  </si>
  <si>
    <t>Nature</t>
  </si>
  <si>
    <t>Endurance</t>
  </si>
  <si>
    <t>Insatisfaisant</t>
  </si>
  <si>
    <t>Mardi</t>
  </si>
  <si>
    <t>Mercredi</t>
  </si>
  <si>
    <t>Jeudi</t>
  </si>
  <si>
    <t>Vendredi</t>
  </si>
  <si>
    <t>Samedi</t>
  </si>
  <si>
    <t>Dimanche</t>
  </si>
  <si>
    <t>Semaine</t>
  </si>
  <si>
    <t>Mois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</si>
  <si>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</si>
  <si>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</si>
  <si>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</si>
  <si>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</si>
  <si>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</si>
  <si>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</si>
  <si>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</si>
  <si>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</si>
  <si>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</si>
  <si>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</si>
  <si>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</si>
  <si>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</si>
  <si>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Objectif poids</t>
  </si>
  <si>
    <t>Type de Séance</t>
  </si>
  <si>
    <t>Objectifs</t>
  </si>
  <si>
    <t>Poids actuel</t>
  </si>
  <si>
    <t>Remarques</t>
  </si>
  <si>
    <t>Durée de la séance</t>
  </si>
  <si>
    <t>Distance parcouru Km</t>
  </si>
  <si>
    <t>Climat</t>
  </si>
  <si>
    <t>Nuageux</t>
  </si>
  <si>
    <t>Létape du Tour de France</t>
  </si>
  <si>
    <t>Marathon Nice-Cannes</t>
  </si>
  <si>
    <t>Trigames de Mandelieu</t>
  </si>
  <si>
    <t>IronMan Nice France</t>
  </si>
  <si>
    <t>Cannes International triathlon</t>
  </si>
  <si>
    <t>La 8ème édition du Cannes International Triathlon se déroulera le</t>
  </si>
  <si>
    <t>Soit dans</t>
  </si>
  <si>
    <t xml:space="preserve">soit dans </t>
  </si>
  <si>
    <t>Le Marathon des Alpes Maritimes Nice Cannes 2021 se déroulera le</t>
  </si>
  <si>
    <t>Après avoir été reporté, suite aux évènements sanitaire Covid 19 de 2020, l'étape du Tour de déroulera le</t>
  </si>
  <si>
    <t>Skoda Tri-Games de Mandelieu se déroulera le</t>
  </si>
  <si>
    <t>soit dans</t>
  </si>
  <si>
    <t>L'objectif pour lequel l'association Défilepsie a été créer IRONMAN NICE 2022 se déroulera le</t>
  </si>
  <si>
    <t>Distance parcouru</t>
  </si>
  <si>
    <t>Vitesse maximum</t>
  </si>
  <si>
    <t>Temps passé en Zone</t>
  </si>
  <si>
    <t>Programme  d'entrainement établi par                    Florian BRUNELET</t>
  </si>
  <si>
    <t>Type de séance</t>
  </si>
  <si>
    <t>Note Aérobie</t>
  </si>
  <si>
    <t>Note Anaérobie</t>
  </si>
  <si>
    <t>Nombre de Calories</t>
  </si>
  <si>
    <t>Carnet d'entrainement</t>
  </si>
  <si>
    <t>Mer</t>
  </si>
  <si>
    <t>Nombre de sorties</t>
  </si>
  <si>
    <t>Rameur</t>
  </si>
  <si>
    <t>Maison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</si>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</sst>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164" formatCode="_-* #,##0.00\ _€_-;\-* #,##0.00\ _€_-;_-* &quot;-&quot;??\ _€_-;_-@_-"/>
    <numFmt numFmtId="165" formatCode="0.0"/>
    <numFmt numFmtId="166" formatCode="[$-F400]h:mm:ss\ AM/PM"/>
    <numFmt numFmtId="167" formatCode="h:mm:ss"/>
    <numFmt numFmtId="168" formatCode="0.000"/>
    <numFmt numFmtId="169" formatCode="###,###&quot; Calories&quot;"/>
    <numFmt numFmtId="170" formatCode="#,##0&quot; km&quot;"/>
    <numFmt numFmtId="171" formatCode="[h]:mm:ss;@"/>
    <numFmt numFmtId="172" formatCode="[h]&quot; h &quot;mm&quot; mn&quot;;@"/>
    <numFmt numFmtId="173" formatCode="#,##0&quot;  mètres&quot;"/>
    <numFmt numFmtId="174" formatCode="0.0&quot; km&quot;"/>
    <numFmt numFmtId="175" formatCode="[h]&quot;h &quot;mm&quot;mn&quot;;@"/>
    <numFmt numFmtId="176" formatCode="0.0&quot; km/h&quot;"/>
    <numFmt numFmtId="177" formatCode="m:ss&quot;/Km&quot;"/>
    <numFmt numFmtId="178" formatCode="###&quot; bpm&quot;"/>
    <numFmt numFmtId="179" formatCode="[$-F800]dddd\,\ mmmm\ dd\,\ yyyy"/>
    <numFmt numFmtId="180" formatCode="#,###&quot;  m&quot;"/>
    <numFmt numFmtId="181" formatCode="0&quot;  m&quot;"/>
    <numFmt numFmtId="182" formatCode="h:mm:ss;@"/>
    <numFmt numFmtId="183" formatCode="#,##0&quot; mètres&quot;"/>
    <numFmt numFmtId="184" formatCode="##&quot; kg&quot;"/>
    <numFmt numFmtId="185" formatCode="ddd\ dd\ mmm\ yyyy\ hh:mm:ss"/>
    <numFmt numFmtId="186" formatCode="###&quot; jours&quot;"/>
  </numFmts>
  <fonts count="6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Verdana"/>
      <family val="2"/>
    </font>
    <font>
      <sz val="12"/>
      <color theme="1"/>
      <name val="Verdana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Verdana"/>
      <family val="2"/>
    </font>
    <font>
      <b/>
      <sz val="12"/>
      <color theme="0"/>
      <name val="Verdana"/>
      <family val="2"/>
    </font>
    <font>
      <b/>
      <sz val="10"/>
      <color theme="1"/>
      <name val="Arial Black"/>
      <family val="2"/>
    </font>
    <font>
      <b/>
      <sz val="11"/>
      <color theme="1"/>
      <name val="Arial Black"/>
      <family val="2"/>
    </font>
    <font>
      <b/>
      <sz val="10"/>
      <color theme="0"/>
      <name val="Arial Black"/>
      <family val="2"/>
    </font>
    <font>
      <b/>
      <sz val="9"/>
      <color theme="0"/>
      <name val="Arial Black"/>
      <family val="2"/>
    </font>
    <font>
      <b/>
      <sz val="48"/>
      <color rgb="FF3C65AF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Black"/>
      <family val="2"/>
    </font>
    <font>
      <sz val="10"/>
      <color theme="0"/>
      <name val="Arial Black"/>
      <family val="2"/>
    </font>
    <font>
      <b/>
      <sz val="11"/>
      <color theme="0"/>
      <name val="Arial Black"/>
      <family val="2"/>
    </font>
    <font>
      <sz val="20"/>
      <color theme="0"/>
      <name val="Arial Black"/>
      <family val="2"/>
    </font>
    <font>
      <b/>
      <sz val="20"/>
      <color theme="0"/>
      <name val="Arial Black"/>
      <family val="2"/>
    </font>
    <font>
      <sz val="12"/>
      <color theme="1"/>
      <name val="Arial Black"/>
      <family val="2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Arial Black"/>
      <family val="2"/>
    </font>
    <font>
      <sz val="14"/>
      <color theme="1"/>
      <name val="Arial Black"/>
      <family val="2"/>
    </font>
    <font>
      <b/>
      <sz val="14"/>
      <color theme="1"/>
      <name val="Arial Black"/>
      <family val="2"/>
    </font>
    <font>
      <b/>
      <sz val="14"/>
      <color theme="0"/>
      <name val="Arial Black"/>
      <family val="2"/>
    </font>
    <font>
      <sz val="14"/>
      <color theme="0"/>
      <name val="Arial Black"/>
      <family val="2"/>
    </font>
    <font>
      <sz val="14"/>
      <color rgb="FF3C65AF"/>
      <name val="Arial Black"/>
      <family val="2"/>
    </font>
    <font>
      <sz val="14"/>
      <color rgb="FF3C65AF"/>
      <name val="Calibri"/>
      <family val="2"/>
      <scheme val="minor"/>
    </font>
    <font>
      <b/>
      <sz val="17"/>
      <color theme="0"/>
      <name val="Arial Black"/>
      <family val="2"/>
    </font>
    <font>
      <sz val="11"/>
      <color rgb="FFFFFFFF"/>
      <name val="Calibri"/>
      <family val="2"/>
    </font>
    <font>
      <sz val="11"/>
      <color rgb="FFFFFFFF"/>
      <name val="Arial Black"/>
      <family val="2"/>
    </font>
    <font>
      <b/>
      <sz val="10"/>
      <color rgb="FFFFFFFF"/>
      <name val="Arial Black"/>
      <family val="2"/>
    </font>
    <font>
      <sz val="10"/>
      <color rgb="FFFFFFFF"/>
      <name val="Arial Black"/>
      <family val="2"/>
    </font>
    <font>
      <sz val="10"/>
      <color rgb="FFFFFFFF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Verdana"/>
      <family val="2"/>
    </font>
    <font>
      <b/>
      <sz val="11"/>
      <color theme="1"/>
      <name val="Verdana"/>
      <family val="2"/>
    </font>
    <font>
      <b/>
      <sz val="26"/>
      <color theme="0"/>
      <name val="Verdana"/>
      <family val="2"/>
    </font>
    <font>
      <b/>
      <sz val="14"/>
      <color theme="0"/>
      <name val="Verdana"/>
      <family val="2"/>
    </font>
    <font>
      <b/>
      <sz val="16"/>
      <name val="Verdana"/>
      <family val="2"/>
    </font>
    <font>
      <b/>
      <sz val="48"/>
      <color theme="1"/>
      <name val="Verdana"/>
      <family val="2"/>
    </font>
    <font>
      <b/>
      <sz val="48"/>
      <name val="Verdana"/>
      <family val="2"/>
    </font>
    <font>
      <b/>
      <sz val="11"/>
      <name val="Verdana"/>
      <family val="2"/>
    </font>
    <font>
      <b/>
      <sz val="11"/>
      <color theme="0"/>
      <name val="Verdana"/>
      <family val="2"/>
    </font>
    <font>
      <b/>
      <sz val="14"/>
      <color theme="10"/>
      <name val="Verdana"/>
      <family val="2"/>
    </font>
    <font>
      <b/>
      <sz val="28"/>
      <color theme="0"/>
      <name val="Verdana"/>
      <family val="2"/>
    </font>
    <font>
      <b/>
      <sz val="10"/>
      <color rgb="FFFF0000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CC99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2" tint="-9.9978637043366805E-2"/>
        <bgColor theme="0" tint="-0.3499862666707357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rgb="FFDBDBDB"/>
        <bgColor rgb="FF000000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3C65AF"/>
        <bgColor rgb="FF000000"/>
      </patternFill>
    </fill>
    <fill>
      <patternFill patternType="solid">
        <fgColor rgb="FFBF1E2E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3C65AF"/>
        <bgColor indexed="64"/>
      </patternFill>
    </fill>
    <fill>
      <patternFill patternType="solid">
        <fgColor rgb="FFBF1E2E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9847407452621"/>
        <bgColor theme="0" tint="-0.14999847407452621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rgb="FF3C65AF"/>
      </left>
      <right/>
      <top style="thick">
        <color rgb="FF3C65AF"/>
      </top>
      <bottom/>
      <diagonal/>
    </border>
    <border>
      <left/>
      <right/>
      <top style="thick">
        <color rgb="FF3C65AF"/>
      </top>
      <bottom/>
      <diagonal/>
    </border>
    <border>
      <left/>
      <right style="thick">
        <color rgb="FF3C65AF"/>
      </right>
      <top style="thick">
        <color rgb="FF3C65AF"/>
      </top>
      <bottom/>
      <diagonal/>
    </border>
    <border>
      <left style="thick">
        <color rgb="FF3C65AF"/>
      </left>
      <right/>
      <top/>
      <bottom/>
      <diagonal/>
    </border>
    <border>
      <left/>
      <right style="thick">
        <color rgb="FF3C65AF"/>
      </right>
      <top/>
      <bottom/>
      <diagonal/>
    </border>
    <border>
      <left style="thick">
        <color rgb="FF3C65AF"/>
      </left>
      <right style="thick">
        <color rgb="FF3C65AF"/>
      </right>
      <top style="thick">
        <color rgb="FF3C65AF"/>
      </top>
      <bottom style="thick">
        <color rgb="FF3C65AF"/>
      </bottom>
      <diagonal/>
    </border>
    <border>
      <left style="thick">
        <color rgb="FF3C65AF"/>
      </left>
      <right/>
      <top/>
      <bottom style="thick">
        <color rgb="FF3C65AF"/>
      </bottom>
      <diagonal/>
    </border>
    <border>
      <left/>
      <right/>
      <top/>
      <bottom style="thick">
        <color rgb="FF3C65AF"/>
      </bottom>
      <diagonal/>
    </border>
    <border>
      <left/>
      <right style="thick">
        <color rgb="FF3C65AF"/>
      </right>
      <top/>
      <bottom style="thick">
        <color rgb="FF3C65AF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164" fontId="7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735">
    <xf numFmtId="0" fontId="0" fillId="0" borderId="0" xfId="0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5" fontId="0" fillId="0" borderId="0" xfId="0" applyNumberFormat="1" applyAlignment="1">
      <alignment horizontal="center" vertical="center" wrapText="1"/>
    </xf>
    <xf numFmtId="45" fontId="0" fillId="2" borderId="16" xfId="0" applyNumberFormat="1" applyFill="1" applyBorder="1" applyAlignment="1">
      <alignment horizontal="center" vertical="center" wrapText="1"/>
    </xf>
    <xf numFmtId="45" fontId="0" fillId="2" borderId="17" xfId="0" applyNumberFormat="1" applyFill="1" applyBorder="1" applyAlignment="1">
      <alignment horizontal="center" vertical="center" wrapText="1"/>
    </xf>
    <xf numFmtId="45" fontId="0" fillId="2" borderId="32" xfId="0" applyNumberFormat="1" applyFill="1" applyBorder="1" applyAlignment="1">
      <alignment horizontal="center" vertical="center" wrapText="1"/>
    </xf>
    <xf numFmtId="45" fontId="0" fillId="2" borderId="42" xfId="0" applyNumberFormat="1" applyFill="1" applyBorder="1" applyAlignment="1">
      <alignment horizontal="center" vertical="center" wrapText="1"/>
    </xf>
    <xf numFmtId="45" fontId="0" fillId="2" borderId="5" xfId="0" applyNumberFormat="1" applyFill="1" applyBorder="1" applyAlignment="1">
      <alignment horizontal="center" vertical="center" wrapText="1"/>
    </xf>
    <xf numFmtId="45" fontId="0" fillId="2" borderId="41" xfId="0" applyNumberFormat="1" applyFill="1" applyBorder="1" applyAlignment="1">
      <alignment horizontal="center" vertical="center" wrapText="1"/>
    </xf>
    <xf numFmtId="45" fontId="0" fillId="2" borderId="49" xfId="0" applyNumberFormat="1" applyFill="1" applyBorder="1" applyAlignment="1">
      <alignment horizontal="center" vertical="center" wrapText="1"/>
    </xf>
    <xf numFmtId="45" fontId="0" fillId="2" borderId="20" xfId="0" applyNumberFormat="1" applyFill="1" applyBorder="1" applyAlignment="1">
      <alignment horizontal="center" vertical="center" wrapText="1"/>
    </xf>
    <xf numFmtId="45" fontId="0" fillId="2" borderId="50" xfId="0" applyNumberFormat="1" applyFill="1" applyBorder="1" applyAlignment="1">
      <alignment horizontal="center" vertical="center" wrapText="1"/>
    </xf>
    <xf numFmtId="45" fontId="0" fillId="3" borderId="42" xfId="0" applyNumberFormat="1" applyFill="1" applyBorder="1" applyAlignment="1">
      <alignment horizontal="center" vertical="center" wrapText="1"/>
    </xf>
    <xf numFmtId="45" fontId="0" fillId="3" borderId="5" xfId="0" applyNumberFormat="1" applyFill="1" applyBorder="1" applyAlignment="1">
      <alignment horizontal="center" vertical="center" wrapText="1"/>
    </xf>
    <xf numFmtId="45" fontId="0" fillId="3" borderId="41" xfId="0" applyNumberFormat="1" applyFill="1" applyBorder="1" applyAlignment="1">
      <alignment horizontal="center" vertical="center" wrapText="1"/>
    </xf>
    <xf numFmtId="45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45" fontId="0" fillId="0" borderId="0" xfId="0" applyNumberFormat="1" applyAlignment="1">
      <alignment vertical="center"/>
    </xf>
    <xf numFmtId="45" fontId="6" fillId="0" borderId="17" xfId="0" applyNumberFormat="1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45" fontId="6" fillId="0" borderId="5" xfId="0" applyNumberFormat="1" applyFont="1" applyBorder="1" applyAlignment="1">
      <alignment horizontal="center" vertical="center"/>
    </xf>
    <xf numFmtId="165" fontId="3" fillId="0" borderId="5" xfId="0" applyNumberFormat="1" applyFont="1" applyBorder="1" applyAlignment="1">
      <alignment horizontal="center" vertical="center"/>
    </xf>
    <xf numFmtId="165" fontId="3" fillId="4" borderId="5" xfId="0" applyNumberFormat="1" applyFont="1" applyFill="1" applyBorder="1" applyAlignment="1">
      <alignment horizontal="center" vertical="center"/>
    </xf>
    <xf numFmtId="45" fontId="6" fillId="0" borderId="27" xfId="0" applyNumberFormat="1" applyFont="1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45" fontId="6" fillId="0" borderId="24" xfId="0" applyNumberFormat="1" applyFont="1" applyBorder="1" applyAlignment="1">
      <alignment horizontal="center" vertical="center"/>
    </xf>
    <xf numFmtId="45" fontId="6" fillId="4" borderId="5" xfId="0" applyNumberFormat="1" applyFont="1" applyFill="1" applyBorder="1" applyAlignment="1">
      <alignment horizontal="center" vertical="center"/>
    </xf>
    <xf numFmtId="165" fontId="3" fillId="0" borderId="2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68" fontId="6" fillId="0" borderId="25" xfId="0" applyNumberFormat="1" applyFont="1" applyBorder="1" applyAlignment="1">
      <alignment horizontal="center" vertical="center"/>
    </xf>
    <xf numFmtId="168" fontId="6" fillId="0" borderId="15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168" fontId="6" fillId="0" borderId="28" xfId="0" applyNumberFormat="1" applyFont="1" applyBorder="1" applyAlignment="1">
      <alignment horizontal="center" vertical="center"/>
    </xf>
    <xf numFmtId="168" fontId="3" fillId="0" borderId="54" xfId="0" applyNumberFormat="1" applyFon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45" fontId="0" fillId="4" borderId="0" xfId="0" applyNumberForma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168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0" fontId="9" fillId="4" borderId="0" xfId="0" applyFont="1" applyFill="1" applyAlignment="1">
      <alignment vertical="center" wrapText="1"/>
    </xf>
    <xf numFmtId="171" fontId="13" fillId="8" borderId="24" xfId="0" applyNumberFormat="1" applyFont="1" applyFill="1" applyBorder="1" applyAlignment="1" applyProtection="1">
      <alignment horizontal="center" vertical="center"/>
      <protection locked="0"/>
    </xf>
    <xf numFmtId="21" fontId="13" fillId="8" borderId="24" xfId="0" applyNumberFormat="1" applyFont="1" applyFill="1" applyBorder="1" applyAlignment="1" applyProtection="1">
      <alignment horizontal="center" vertical="center" wrapText="1"/>
    </xf>
    <xf numFmtId="21" fontId="13" fillId="8" borderId="25" xfId="0" applyNumberFormat="1" applyFont="1" applyFill="1" applyBorder="1" applyAlignment="1" applyProtection="1">
      <alignment horizontal="center" vertical="center" wrapText="1"/>
    </xf>
    <xf numFmtId="171" fontId="13" fillId="14" borderId="24" xfId="0" applyNumberFormat="1" applyFont="1" applyFill="1" applyBorder="1" applyAlignment="1" applyProtection="1">
      <alignment horizontal="center" vertical="center"/>
      <protection locked="0"/>
    </xf>
    <xf numFmtId="21" fontId="13" fillId="14" borderId="24" xfId="0" applyNumberFormat="1" applyFont="1" applyFill="1" applyBorder="1" applyAlignment="1" applyProtection="1">
      <alignment horizontal="center" vertical="center" wrapText="1"/>
    </xf>
    <xf numFmtId="21" fontId="13" fillId="14" borderId="25" xfId="0" applyNumberFormat="1" applyFont="1" applyFill="1" applyBorder="1" applyAlignment="1" applyProtection="1">
      <alignment horizontal="center" vertical="center" wrapText="1"/>
    </xf>
    <xf numFmtId="171" fontId="13" fillId="15" borderId="24" xfId="0" applyNumberFormat="1" applyFont="1" applyFill="1" applyBorder="1" applyAlignment="1" applyProtection="1">
      <alignment horizontal="center" vertical="center"/>
      <protection locked="0"/>
    </xf>
    <xf numFmtId="21" fontId="13" fillId="15" borderId="24" xfId="0" applyNumberFormat="1" applyFont="1" applyFill="1" applyBorder="1" applyAlignment="1" applyProtection="1">
      <alignment horizontal="center" vertical="center" wrapText="1"/>
    </xf>
    <xf numFmtId="21" fontId="13" fillId="15" borderId="25" xfId="0" applyNumberFormat="1" applyFont="1" applyFill="1" applyBorder="1" applyAlignment="1" applyProtection="1">
      <alignment horizontal="center" vertical="center" wrapText="1"/>
    </xf>
    <xf numFmtId="171" fontId="13" fillId="3" borderId="24" xfId="0" applyNumberFormat="1" applyFont="1" applyFill="1" applyBorder="1" applyAlignment="1" applyProtection="1">
      <alignment horizontal="center" vertical="center"/>
      <protection locked="0"/>
    </xf>
    <xf numFmtId="21" fontId="13" fillId="3" borderId="24" xfId="0" applyNumberFormat="1" applyFont="1" applyFill="1" applyBorder="1" applyAlignment="1" applyProtection="1">
      <alignment horizontal="center" vertical="center" wrapText="1"/>
    </xf>
    <xf numFmtId="21" fontId="13" fillId="3" borderId="25" xfId="0" applyNumberFormat="1" applyFont="1" applyFill="1" applyBorder="1" applyAlignment="1" applyProtection="1">
      <alignment horizontal="center" vertical="center" wrapText="1"/>
    </xf>
    <xf numFmtId="169" fontId="13" fillId="6" borderId="24" xfId="0" applyNumberFormat="1" applyFont="1" applyFill="1" applyBorder="1" applyAlignment="1" applyProtection="1">
      <alignment horizontal="center" vertical="center"/>
      <protection locked="0"/>
    </xf>
    <xf numFmtId="169" fontId="13" fillId="6" borderId="24" xfId="0" applyNumberFormat="1" applyFont="1" applyFill="1" applyBorder="1" applyAlignment="1" applyProtection="1">
      <alignment horizontal="center" vertical="center"/>
    </xf>
    <xf numFmtId="169" fontId="13" fillId="6" borderId="25" xfId="0" applyNumberFormat="1" applyFont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174" fontId="13" fillId="5" borderId="37" xfId="0" applyNumberFormat="1" applyFont="1" applyFill="1" applyBorder="1" applyAlignment="1" applyProtection="1">
      <alignment horizontal="center" vertical="center" wrapText="1"/>
    </xf>
    <xf numFmtId="174" fontId="13" fillId="5" borderId="38" xfId="0" applyNumberFormat="1" applyFont="1" applyFill="1" applyBorder="1" applyAlignment="1" applyProtection="1">
      <alignment horizontal="center" vertical="center" wrapText="1"/>
    </xf>
    <xf numFmtId="172" fontId="13" fillId="9" borderId="37" xfId="0" applyNumberFormat="1" applyFont="1" applyFill="1" applyBorder="1" applyAlignment="1" applyProtection="1">
      <alignment horizontal="center" vertical="center"/>
    </xf>
    <xf numFmtId="175" fontId="13" fillId="9" borderId="37" xfId="0" applyNumberFormat="1" applyFont="1" applyFill="1" applyBorder="1" applyAlignment="1" applyProtection="1">
      <alignment horizontal="center" vertical="center" wrapText="1"/>
    </xf>
    <xf numFmtId="175" fontId="13" fillId="9" borderId="38" xfId="0" applyNumberFormat="1" applyFont="1" applyFill="1" applyBorder="1" applyAlignment="1" applyProtection="1">
      <alignment horizontal="center" vertical="center" wrapText="1"/>
    </xf>
    <xf numFmtId="0" fontId="8" fillId="7" borderId="6" xfId="0" applyFont="1" applyFill="1" applyBorder="1" applyAlignment="1" applyProtection="1">
      <alignment horizontal="center" vertical="center" wrapText="1"/>
      <protection locked="0"/>
    </xf>
    <xf numFmtId="0" fontId="12" fillId="7" borderId="7" xfId="0" applyFont="1" applyFill="1" applyBorder="1" applyAlignment="1">
      <alignment horizontal="center" vertical="center"/>
    </xf>
    <xf numFmtId="0" fontId="13" fillId="7" borderId="38" xfId="0" applyFont="1" applyFill="1" applyBorder="1" applyAlignment="1" applyProtection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5" borderId="6" xfId="0" applyFont="1" applyFill="1" applyBorder="1" applyAlignment="1" applyProtection="1">
      <alignment horizontal="center" vertical="center"/>
      <protection locked="0"/>
    </xf>
    <xf numFmtId="0" fontId="12" fillId="5" borderId="7" xfId="0" applyFont="1" applyFill="1" applyBorder="1" applyAlignment="1">
      <alignment horizontal="center" vertical="center"/>
    </xf>
    <xf numFmtId="170" fontId="8" fillId="5" borderId="37" xfId="0" applyNumberFormat="1" applyFont="1" applyFill="1" applyBorder="1" applyAlignment="1" applyProtection="1">
      <alignment horizontal="center" vertical="center"/>
    </xf>
    <xf numFmtId="0" fontId="8" fillId="10" borderId="6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>
      <alignment horizontal="center" vertical="center"/>
    </xf>
    <xf numFmtId="176" fontId="13" fillId="10" borderId="37" xfId="0" applyNumberFormat="1" applyFont="1" applyFill="1" applyBorder="1" applyAlignment="1" applyProtection="1">
      <alignment horizontal="center" vertical="center"/>
    </xf>
    <xf numFmtId="176" fontId="13" fillId="10" borderId="38" xfId="0" applyNumberFormat="1" applyFont="1" applyFill="1" applyBorder="1" applyAlignment="1" applyProtection="1">
      <alignment horizontal="center" vertical="center"/>
    </xf>
    <xf numFmtId="0" fontId="8" fillId="16" borderId="6" xfId="0" applyFont="1" applyFill="1" applyBorder="1" applyAlignment="1" applyProtection="1">
      <alignment horizontal="center" vertical="center" wrapText="1"/>
      <protection locked="0"/>
    </xf>
    <xf numFmtId="0" fontId="12" fillId="16" borderId="7" xfId="0" applyFont="1" applyFill="1" applyBorder="1" applyAlignment="1">
      <alignment horizontal="center" vertical="center"/>
    </xf>
    <xf numFmtId="177" fontId="8" fillId="16" borderId="37" xfId="0" applyNumberFormat="1" applyFont="1" applyFill="1" applyBorder="1" applyAlignment="1" applyProtection="1">
      <alignment horizontal="center" vertical="center"/>
    </xf>
    <xf numFmtId="177" fontId="8" fillId="16" borderId="38" xfId="0" applyNumberFormat="1" applyFont="1" applyFill="1" applyBorder="1" applyAlignment="1" applyProtection="1">
      <alignment horizontal="center" vertical="center"/>
    </xf>
    <xf numFmtId="0" fontId="8" fillId="9" borderId="6" xfId="0" applyFont="1" applyFill="1" applyBorder="1" applyAlignment="1" applyProtection="1">
      <alignment horizontal="center" vertical="center"/>
      <protection locked="0"/>
    </xf>
    <xf numFmtId="0" fontId="12" fillId="9" borderId="7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8" fillId="12" borderId="6" xfId="0" applyFont="1" applyFill="1" applyBorder="1" applyAlignment="1" applyProtection="1">
      <alignment horizontal="center" vertical="center"/>
      <protection locked="0"/>
    </xf>
    <xf numFmtId="0" fontId="12" fillId="12" borderId="7" xfId="0" applyFont="1" applyFill="1" applyBorder="1" applyAlignment="1">
      <alignment horizontal="center" vertical="center"/>
    </xf>
    <xf numFmtId="178" fontId="13" fillId="12" borderId="37" xfId="0" applyNumberFormat="1" applyFont="1" applyFill="1" applyBorder="1" applyAlignment="1" applyProtection="1">
      <alignment horizontal="center" vertical="center"/>
    </xf>
    <xf numFmtId="178" fontId="13" fillId="12" borderId="38" xfId="0" applyNumberFormat="1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 wrapText="1"/>
      <protection locked="0"/>
    </xf>
    <xf numFmtId="0" fontId="12" fillId="11" borderId="7" xfId="0" applyFont="1" applyFill="1" applyBorder="1" applyAlignment="1">
      <alignment horizontal="center" vertical="center"/>
    </xf>
    <xf numFmtId="171" fontId="13" fillId="13" borderId="39" xfId="0" applyNumberFormat="1" applyFont="1" applyFill="1" applyBorder="1" applyAlignment="1" applyProtection="1">
      <alignment horizontal="center" vertical="center"/>
      <protection locked="0"/>
    </xf>
    <xf numFmtId="21" fontId="13" fillId="13" borderId="39" xfId="0" applyNumberFormat="1" applyFont="1" applyFill="1" applyBorder="1" applyAlignment="1" applyProtection="1">
      <alignment horizontal="center" vertical="center" wrapText="1"/>
    </xf>
    <xf numFmtId="21" fontId="13" fillId="13" borderId="40" xfId="0" applyNumberFormat="1" applyFont="1" applyFill="1" applyBorder="1" applyAlignment="1" applyProtection="1">
      <alignment horizontal="center" vertical="center" wrapText="1"/>
    </xf>
    <xf numFmtId="169" fontId="8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>
      <alignment horizontal="center" vertical="center"/>
    </xf>
    <xf numFmtId="1" fontId="9" fillId="4" borderId="0" xfId="0" applyNumberFormat="1" applyFont="1" applyFill="1" applyAlignment="1">
      <alignment vertical="center" wrapText="1"/>
    </xf>
    <xf numFmtId="45" fontId="6" fillId="0" borderId="37" xfId="0" applyNumberFormat="1" applyFont="1" applyBorder="1" applyAlignment="1">
      <alignment horizontal="center" vertical="center"/>
    </xf>
    <xf numFmtId="165" fontId="3" fillId="0" borderId="37" xfId="0" applyNumberFormat="1" applyFont="1" applyBorder="1" applyAlignment="1">
      <alignment horizontal="center" vertical="center"/>
    </xf>
    <xf numFmtId="168" fontId="6" fillId="0" borderId="38" xfId="0" applyNumberFormat="1" applyFont="1" applyBorder="1" applyAlignment="1">
      <alignment horizontal="center" vertical="center"/>
    </xf>
    <xf numFmtId="45" fontId="3" fillId="0" borderId="21" xfId="0" applyNumberFormat="1" applyFont="1" applyBorder="1" applyAlignment="1">
      <alignment horizontal="center" vertical="center"/>
    </xf>
    <xf numFmtId="45" fontId="3" fillId="0" borderId="9" xfId="0" applyNumberFormat="1" applyFont="1" applyBorder="1" applyAlignment="1">
      <alignment horizontal="center" vertical="center"/>
    </xf>
    <xf numFmtId="45" fontId="3" fillId="0" borderId="26" xfId="0" applyNumberFormat="1" applyFont="1" applyBorder="1" applyAlignment="1">
      <alignment horizontal="center" vertical="center"/>
    </xf>
    <xf numFmtId="45" fontId="3" fillId="0" borderId="14" xfId="0" applyNumberFormat="1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45" fontId="3" fillId="0" borderId="54" xfId="0" applyNumberFormat="1" applyFont="1" applyBorder="1" applyAlignment="1">
      <alignment horizontal="center" vertical="center"/>
    </xf>
    <xf numFmtId="45" fontId="3" fillId="4" borderId="9" xfId="0" applyNumberFormat="1" applyFont="1" applyFill="1" applyBorder="1" applyAlignment="1">
      <alignment horizontal="center" vertical="center"/>
    </xf>
    <xf numFmtId="168" fontId="6" fillId="4" borderId="10" xfId="0" applyNumberFormat="1" applyFont="1" applyFill="1" applyBorder="1" applyAlignment="1">
      <alignment horizontal="center" vertical="center"/>
    </xf>
    <xf numFmtId="45" fontId="3" fillId="4" borderId="14" xfId="0" applyNumberFormat="1" applyFont="1" applyFill="1" applyBorder="1" applyAlignment="1">
      <alignment horizontal="center" vertical="center"/>
    </xf>
    <xf numFmtId="45" fontId="6" fillId="4" borderId="17" xfId="0" applyNumberFormat="1" applyFont="1" applyFill="1" applyBorder="1" applyAlignment="1">
      <alignment horizontal="center" vertical="center"/>
    </xf>
    <xf numFmtId="165" fontId="3" fillId="4" borderId="17" xfId="0" applyNumberFormat="1" applyFont="1" applyFill="1" applyBorder="1" applyAlignment="1">
      <alignment horizontal="center" vertical="center"/>
    </xf>
    <xf numFmtId="168" fontId="6" fillId="4" borderId="15" xfId="0" applyNumberFormat="1" applyFont="1" applyFill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83" fontId="13" fillId="11" borderId="37" xfId="0" applyNumberFormat="1" applyFont="1" applyFill="1" applyBorder="1" applyAlignment="1" applyProtection="1">
      <alignment horizontal="center" vertical="center"/>
    </xf>
    <xf numFmtId="183" fontId="13" fillId="11" borderId="38" xfId="0" applyNumberFormat="1" applyFont="1" applyFill="1" applyBorder="1" applyAlignment="1" applyProtection="1">
      <alignment horizontal="center" vertical="center"/>
    </xf>
    <xf numFmtId="169" fontId="13" fillId="4" borderId="24" xfId="0" applyNumberFormat="1" applyFont="1" applyFill="1" applyBorder="1" applyAlignment="1" applyProtection="1">
      <alignment horizontal="center" vertical="center"/>
      <protection locked="0"/>
    </xf>
    <xf numFmtId="169" fontId="13" fillId="4" borderId="24" xfId="0" applyNumberFormat="1" applyFont="1" applyFill="1" applyBorder="1" applyAlignment="1" applyProtection="1">
      <alignment horizontal="center" vertical="center"/>
    </xf>
    <xf numFmtId="169" fontId="13" fillId="4" borderId="25" xfId="0" applyNumberFormat="1" applyFont="1" applyFill="1" applyBorder="1" applyAlignment="1" applyProtection="1">
      <alignment horizontal="center" vertical="center"/>
    </xf>
    <xf numFmtId="0" fontId="8" fillId="13" borderId="79" xfId="0" applyFont="1" applyFill="1" applyBorder="1" applyAlignment="1" applyProtection="1">
      <alignment horizontal="center" vertical="center"/>
      <protection locked="0"/>
    </xf>
    <xf numFmtId="0" fontId="8" fillId="8" borderId="34" xfId="0" applyFont="1" applyFill="1" applyBorder="1" applyAlignment="1" applyProtection="1">
      <alignment horizontal="center" vertical="center"/>
    </xf>
    <xf numFmtId="0" fontId="8" fillId="14" borderId="34" xfId="0" applyFont="1" applyFill="1" applyBorder="1" applyAlignment="1" applyProtection="1">
      <alignment horizontal="center" vertical="center"/>
      <protection locked="0"/>
    </xf>
    <xf numFmtId="0" fontId="8" fillId="15" borderId="34" xfId="0" applyFont="1" applyFill="1" applyBorder="1" applyAlignment="1" applyProtection="1">
      <alignment horizontal="center" vertical="center"/>
      <protection locked="0"/>
    </xf>
    <xf numFmtId="0" fontId="8" fillId="3" borderId="34" xfId="0" applyFont="1" applyFill="1" applyBorder="1" applyAlignment="1" applyProtection="1">
      <alignment horizontal="center" vertical="center"/>
      <protection locked="0"/>
    </xf>
    <xf numFmtId="0" fontId="15" fillId="24" borderId="0" xfId="0" applyFont="1" applyFill="1" applyBorder="1"/>
    <xf numFmtId="45" fontId="0" fillId="2" borderId="84" xfId="0" applyNumberFormat="1" applyFill="1" applyBorder="1" applyAlignment="1">
      <alignment horizontal="center" vertical="center" wrapText="1"/>
    </xf>
    <xf numFmtId="45" fontId="0" fillId="2" borderId="29" xfId="0" applyNumberFormat="1" applyFill="1" applyBorder="1" applyAlignment="1">
      <alignment horizontal="center" vertical="center" wrapText="1"/>
    </xf>
    <xf numFmtId="45" fontId="0" fillId="2" borderId="56" xfId="0" applyNumberFormat="1" applyFill="1" applyBorder="1" applyAlignment="1">
      <alignment horizontal="center" vertical="center" wrapText="1"/>
    </xf>
    <xf numFmtId="45" fontId="0" fillId="15" borderId="9" xfId="0" applyNumberFormat="1" applyFill="1" applyBorder="1" applyAlignment="1">
      <alignment horizontal="center" vertical="center" wrapText="1"/>
    </xf>
    <xf numFmtId="0" fontId="0" fillId="21" borderId="4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84" fontId="0" fillId="0" borderId="5" xfId="0" applyNumberFormat="1" applyBorder="1" applyAlignment="1">
      <alignment horizontal="center" vertical="center"/>
    </xf>
    <xf numFmtId="184" fontId="0" fillId="0" borderId="86" xfId="0" applyNumberFormat="1" applyBorder="1" applyAlignment="1">
      <alignment horizontal="center" vertical="center"/>
    </xf>
    <xf numFmtId="184" fontId="0" fillId="0" borderId="41" xfId="0" applyNumberFormat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 wrapText="1"/>
    </xf>
    <xf numFmtId="0" fontId="15" fillId="21" borderId="3" xfId="0" applyFont="1" applyFill="1" applyBorder="1" applyAlignment="1">
      <alignment horizontal="center" vertical="center" wrapText="1"/>
    </xf>
    <xf numFmtId="0" fontId="15" fillId="0" borderId="87" xfId="0" applyFont="1" applyFill="1" applyBorder="1" applyAlignment="1">
      <alignment horizontal="center" vertical="center"/>
    </xf>
    <xf numFmtId="0" fontId="15" fillId="0" borderId="71" xfId="0" applyFont="1" applyFill="1" applyBorder="1" applyAlignment="1">
      <alignment horizontal="center" vertical="center"/>
    </xf>
    <xf numFmtId="0" fontId="15" fillId="27" borderId="0" xfId="0" applyFont="1" applyFill="1" applyBorder="1"/>
    <xf numFmtId="0" fontId="15" fillId="28" borderId="0" xfId="0" applyFont="1" applyFill="1" applyBorder="1"/>
    <xf numFmtId="0" fontId="21" fillId="4" borderId="1" xfId="0" applyFont="1" applyFill="1" applyBorder="1" applyAlignment="1">
      <alignment horizontal="center" vertical="center"/>
    </xf>
    <xf numFmtId="0" fontId="23" fillId="30" borderId="1" xfId="0" applyFont="1" applyFill="1" applyBorder="1" applyAlignment="1">
      <alignment horizontal="center" vertical="center"/>
    </xf>
    <xf numFmtId="1" fontId="20" fillId="29" borderId="1" xfId="0" applyNumberFormat="1" applyFont="1" applyFill="1" applyBorder="1" applyAlignment="1">
      <alignment horizontal="center" vertical="center" wrapText="1"/>
    </xf>
    <xf numFmtId="0" fontId="20" fillId="30" borderId="52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4" borderId="44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45" fontId="0" fillId="14" borderId="16" xfId="0" applyNumberFormat="1" applyFill="1" applyBorder="1" applyAlignment="1">
      <alignment horizontal="center" vertical="center" wrapText="1"/>
    </xf>
    <xf numFmtId="45" fontId="0" fillId="14" borderId="17" xfId="0" applyNumberFormat="1" applyFill="1" applyBorder="1" applyAlignment="1">
      <alignment horizontal="center" vertical="center" wrapText="1"/>
    </xf>
    <xf numFmtId="45" fontId="0" fillId="14" borderId="32" xfId="0" applyNumberFormat="1" applyFill="1" applyBorder="1" applyAlignment="1">
      <alignment horizontal="center" vertical="center" wrapText="1"/>
    </xf>
    <xf numFmtId="45" fontId="0" fillId="14" borderId="42" xfId="0" applyNumberFormat="1" applyFill="1" applyBorder="1" applyAlignment="1">
      <alignment horizontal="center" vertical="center" wrapText="1"/>
    </xf>
    <xf numFmtId="45" fontId="0" fillId="14" borderId="5" xfId="0" applyNumberFormat="1" applyFill="1" applyBorder="1" applyAlignment="1">
      <alignment horizontal="center" vertical="center" wrapText="1"/>
    </xf>
    <xf numFmtId="45" fontId="0" fillId="14" borderId="41" xfId="0" applyNumberFormat="1" applyFill="1" applyBorder="1" applyAlignment="1">
      <alignment horizontal="center" vertical="center" wrapText="1"/>
    </xf>
    <xf numFmtId="45" fontId="0" fillId="14" borderId="49" xfId="0" applyNumberFormat="1" applyFill="1" applyBorder="1" applyAlignment="1">
      <alignment horizontal="center" vertical="center" wrapText="1"/>
    </xf>
    <xf numFmtId="45" fontId="0" fillId="14" borderId="20" xfId="0" applyNumberFormat="1" applyFill="1" applyBorder="1" applyAlignment="1">
      <alignment horizontal="center" vertical="center" wrapText="1"/>
    </xf>
    <xf numFmtId="45" fontId="0" fillId="14" borderId="50" xfId="0" applyNumberFormat="1" applyFill="1" applyBorder="1" applyAlignment="1">
      <alignment horizontal="center" vertical="center" wrapText="1"/>
    </xf>
    <xf numFmtId="45" fontId="0" fillId="15" borderId="16" xfId="0" applyNumberFormat="1" applyFill="1" applyBorder="1" applyAlignment="1">
      <alignment horizontal="center" vertical="center" wrapText="1"/>
    </xf>
    <xf numFmtId="45" fontId="0" fillId="15" borderId="17" xfId="0" applyNumberFormat="1" applyFill="1" applyBorder="1" applyAlignment="1">
      <alignment horizontal="center" vertical="center" wrapText="1"/>
    </xf>
    <xf numFmtId="45" fontId="0" fillId="15" borderId="32" xfId="0" applyNumberFormat="1" applyFill="1" applyBorder="1" applyAlignment="1">
      <alignment horizontal="center" vertical="center" wrapText="1"/>
    </xf>
    <xf numFmtId="45" fontId="0" fillId="15" borderId="42" xfId="0" applyNumberFormat="1" applyFill="1" applyBorder="1" applyAlignment="1">
      <alignment horizontal="center" vertical="center" wrapText="1"/>
    </xf>
    <xf numFmtId="45" fontId="0" fillId="15" borderId="5" xfId="0" applyNumberFormat="1" applyFill="1" applyBorder="1" applyAlignment="1">
      <alignment horizontal="center" vertical="center" wrapText="1"/>
    </xf>
    <xf numFmtId="45" fontId="0" fillId="15" borderId="41" xfId="0" applyNumberFormat="1" applyFill="1" applyBorder="1" applyAlignment="1">
      <alignment horizontal="center" vertical="center" wrapText="1"/>
    </xf>
    <xf numFmtId="45" fontId="0" fillId="15" borderId="49" xfId="0" applyNumberFormat="1" applyFill="1" applyBorder="1" applyAlignment="1">
      <alignment horizontal="center" vertical="center" wrapText="1"/>
    </xf>
    <xf numFmtId="45" fontId="0" fillId="15" borderId="20" xfId="0" applyNumberFormat="1" applyFill="1" applyBorder="1" applyAlignment="1">
      <alignment horizontal="center" vertical="center" wrapText="1"/>
    </xf>
    <xf numFmtId="45" fontId="0" fillId="15" borderId="50" xfId="0" applyNumberFormat="1" applyFill="1" applyBorder="1" applyAlignment="1">
      <alignment horizontal="center" vertical="center" wrapText="1"/>
    </xf>
    <xf numFmtId="45" fontId="24" fillId="31" borderId="54" xfId="0" applyNumberFormat="1" applyFont="1" applyFill="1" applyBorder="1" applyAlignment="1">
      <alignment horizontal="center" vertical="center" wrapText="1"/>
    </xf>
    <xf numFmtId="45" fontId="20" fillId="31" borderId="47" xfId="0" applyNumberFormat="1" applyFont="1" applyFill="1" applyBorder="1" applyAlignment="1">
      <alignment horizontal="center" vertical="center" wrapText="1"/>
    </xf>
    <xf numFmtId="45" fontId="20" fillId="31" borderId="51" xfId="0" applyNumberFormat="1" applyFont="1" applyFill="1" applyBorder="1" applyAlignment="1">
      <alignment horizontal="center" vertical="center" wrapText="1"/>
    </xf>
    <xf numFmtId="45" fontId="20" fillId="31" borderId="48" xfId="0" applyNumberFormat="1" applyFont="1" applyFill="1" applyBorder="1" applyAlignment="1">
      <alignment horizontal="center" vertical="center" wrapText="1"/>
    </xf>
    <xf numFmtId="45" fontId="20" fillId="31" borderId="82" xfId="0" applyNumberFormat="1" applyFont="1" applyFill="1" applyBorder="1" applyAlignment="1">
      <alignment horizontal="center" vertical="center" wrapText="1"/>
    </xf>
    <xf numFmtId="45" fontId="20" fillId="31" borderId="83" xfId="0" applyNumberFormat="1" applyFont="1" applyFill="1" applyBorder="1" applyAlignment="1">
      <alignment horizontal="center" vertical="center" wrapText="1"/>
    </xf>
    <xf numFmtId="45" fontId="20" fillId="29" borderId="47" xfId="0" applyNumberFormat="1" applyFont="1" applyFill="1" applyBorder="1" applyAlignment="1">
      <alignment horizontal="center" vertical="center" wrapText="1"/>
    </xf>
    <xf numFmtId="45" fontId="20" fillId="29" borderId="51" xfId="0" applyNumberFormat="1" applyFont="1" applyFill="1" applyBorder="1" applyAlignment="1">
      <alignment horizontal="center" vertical="center" wrapText="1"/>
    </xf>
    <xf numFmtId="45" fontId="20" fillId="29" borderId="48" xfId="0" applyNumberFormat="1" applyFont="1" applyFill="1" applyBorder="1" applyAlignment="1">
      <alignment horizontal="center" vertical="center" wrapText="1"/>
    </xf>
    <xf numFmtId="45" fontId="0" fillId="15" borderId="14" xfId="0" applyNumberFormat="1" applyFill="1" applyBorder="1" applyAlignment="1">
      <alignment horizontal="center" vertical="center" wrapText="1"/>
    </xf>
    <xf numFmtId="45" fontId="0" fillId="15" borderId="15" xfId="0" applyNumberFormat="1" applyFill="1" applyBorder="1" applyAlignment="1">
      <alignment horizontal="center" vertical="center" wrapText="1"/>
    </xf>
    <xf numFmtId="45" fontId="0" fillId="15" borderId="10" xfId="0" applyNumberFormat="1" applyFill="1" applyBorder="1" applyAlignment="1">
      <alignment horizontal="center" vertical="center" wrapText="1"/>
    </xf>
    <xf numFmtId="45" fontId="0" fillId="15" borderId="18" xfId="0" applyNumberFormat="1" applyFill="1" applyBorder="1" applyAlignment="1">
      <alignment horizontal="center" vertical="center" wrapText="1"/>
    </xf>
    <xf numFmtId="45" fontId="0" fillId="15" borderId="19" xfId="0" applyNumberFormat="1" applyFill="1" applyBorder="1" applyAlignment="1">
      <alignment horizontal="center" vertical="center" wrapText="1"/>
    </xf>
    <xf numFmtId="45" fontId="0" fillId="15" borderId="85" xfId="0" applyNumberFormat="1" applyFill="1" applyBorder="1" applyAlignment="1">
      <alignment horizontal="center" vertical="center" wrapText="1"/>
    </xf>
    <xf numFmtId="45" fontId="0" fillId="15" borderId="13" xfId="0" applyNumberFormat="1" applyFill="1" applyBorder="1" applyAlignment="1">
      <alignment horizontal="center" vertical="center" wrapText="1"/>
    </xf>
    <xf numFmtId="45" fontId="0" fillId="15" borderId="86" xfId="0" applyNumberFormat="1" applyFill="1" applyBorder="1" applyAlignment="1">
      <alignment horizontal="center" vertical="center" wrapText="1"/>
    </xf>
    <xf numFmtId="45" fontId="0" fillId="3" borderId="16" xfId="0" applyNumberFormat="1" applyFill="1" applyBorder="1" applyAlignment="1">
      <alignment horizontal="center" vertical="center" wrapText="1"/>
    </xf>
    <xf numFmtId="45" fontId="0" fillId="3" borderId="17" xfId="0" applyNumberFormat="1" applyFill="1" applyBorder="1" applyAlignment="1">
      <alignment horizontal="center" vertical="center" wrapText="1"/>
    </xf>
    <xf numFmtId="45" fontId="0" fillId="3" borderId="32" xfId="0" applyNumberFormat="1" applyFill="1" applyBorder="1" applyAlignment="1">
      <alignment horizontal="center" vertical="center" wrapText="1"/>
    </xf>
    <xf numFmtId="45" fontId="0" fillId="3" borderId="49" xfId="0" applyNumberFormat="1" applyFill="1" applyBorder="1" applyAlignment="1">
      <alignment horizontal="center" vertical="center" wrapText="1"/>
    </xf>
    <xf numFmtId="45" fontId="0" fillId="3" borderId="20" xfId="0" applyNumberFormat="1" applyFill="1" applyBorder="1" applyAlignment="1">
      <alignment horizontal="center" vertical="center" wrapText="1"/>
    </xf>
    <xf numFmtId="45" fontId="0" fillId="3" borderId="50" xfId="0" applyNumberFormat="1" applyFill="1" applyBorder="1" applyAlignment="1">
      <alignment horizontal="center" vertical="center" wrapText="1"/>
    </xf>
    <xf numFmtId="165" fontId="20" fillId="30" borderId="47" xfId="0" applyNumberFormat="1" applyFont="1" applyFill="1" applyBorder="1" applyAlignment="1">
      <alignment horizontal="center" vertical="center"/>
    </xf>
    <xf numFmtId="9" fontId="20" fillId="30" borderId="47" xfId="0" applyNumberFormat="1" applyFont="1" applyFill="1" applyBorder="1" applyAlignment="1">
      <alignment horizontal="center" vertical="center" wrapText="1"/>
    </xf>
    <xf numFmtId="165" fontId="20" fillId="30" borderId="51" xfId="0" applyNumberFormat="1" applyFont="1" applyFill="1" applyBorder="1" applyAlignment="1">
      <alignment horizontal="center" vertical="center"/>
    </xf>
    <xf numFmtId="9" fontId="20" fillId="30" borderId="51" xfId="0" applyNumberFormat="1" applyFont="1" applyFill="1" applyBorder="1" applyAlignment="1">
      <alignment horizontal="center" vertical="center" wrapText="1"/>
    </xf>
    <xf numFmtId="165" fontId="20" fillId="30" borderId="48" xfId="0" applyNumberFormat="1" applyFont="1" applyFill="1" applyBorder="1" applyAlignment="1">
      <alignment horizontal="center" vertical="center"/>
    </xf>
    <xf numFmtId="9" fontId="20" fillId="30" borderId="48" xfId="0" applyNumberFormat="1" applyFont="1" applyFill="1" applyBorder="1" applyAlignment="1">
      <alignment horizontal="center" vertical="center" wrapText="1"/>
    </xf>
    <xf numFmtId="9" fontId="20" fillId="30" borderId="80" xfId="0" applyNumberFormat="1" applyFont="1" applyFill="1" applyBorder="1" applyAlignment="1">
      <alignment horizontal="center" vertical="center" wrapText="1"/>
    </xf>
    <xf numFmtId="9" fontId="20" fillId="30" borderId="81" xfId="0" applyNumberFormat="1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/>
    </xf>
    <xf numFmtId="0" fontId="23" fillId="29" borderId="1" xfId="0" applyFont="1" applyFill="1" applyBorder="1" applyAlignment="1">
      <alignment horizontal="center" vertical="center"/>
    </xf>
    <xf numFmtId="0" fontId="20" fillId="29" borderId="55" xfId="0" applyFont="1" applyFill="1" applyBorder="1" applyAlignment="1">
      <alignment horizontal="center" vertical="center" wrapText="1"/>
    </xf>
    <xf numFmtId="0" fontId="20" fillId="30" borderId="55" xfId="0" applyFont="1" applyFill="1" applyBorder="1" applyAlignment="1">
      <alignment horizontal="center" vertical="center" wrapText="1"/>
    </xf>
    <xf numFmtId="0" fontId="16" fillId="4" borderId="54" xfId="0" applyFont="1" applyFill="1" applyBorder="1" applyAlignment="1">
      <alignment horizontal="center" vertical="center" wrapText="1"/>
    </xf>
    <xf numFmtId="167" fontId="20" fillId="30" borderId="47" xfId="0" applyNumberFormat="1" applyFont="1" applyFill="1" applyBorder="1" applyAlignment="1">
      <alignment horizontal="center" vertical="center" wrapText="1"/>
    </xf>
    <xf numFmtId="167" fontId="16" fillId="4" borderId="47" xfId="0" applyNumberFormat="1" applyFont="1" applyFill="1" applyBorder="1" applyAlignment="1">
      <alignment horizontal="center" vertical="center" wrapText="1"/>
    </xf>
    <xf numFmtId="167" fontId="20" fillId="30" borderId="51" xfId="0" applyNumberFormat="1" applyFont="1" applyFill="1" applyBorder="1" applyAlignment="1">
      <alignment horizontal="center" vertical="center" wrapText="1"/>
    </xf>
    <xf numFmtId="167" fontId="16" fillId="4" borderId="51" xfId="0" applyNumberFormat="1" applyFont="1" applyFill="1" applyBorder="1" applyAlignment="1">
      <alignment horizontal="center" vertical="center" wrapText="1"/>
    </xf>
    <xf numFmtId="167" fontId="20" fillId="30" borderId="48" xfId="0" applyNumberFormat="1" applyFont="1" applyFill="1" applyBorder="1" applyAlignment="1">
      <alignment horizontal="center" vertical="center" wrapText="1"/>
    </xf>
    <xf numFmtId="167" fontId="16" fillId="4" borderId="48" xfId="0" applyNumberFormat="1" applyFont="1" applyFill="1" applyBorder="1" applyAlignment="1">
      <alignment horizontal="center" vertical="center" wrapText="1"/>
    </xf>
    <xf numFmtId="0" fontId="0" fillId="31" borderId="0" xfId="0" applyFill="1"/>
    <xf numFmtId="0" fontId="27" fillId="30" borderId="0" xfId="0" applyFont="1" applyFill="1"/>
    <xf numFmtId="45" fontId="18" fillId="31" borderId="21" xfId="0" applyNumberFormat="1" applyFont="1" applyFill="1" applyBorder="1" applyAlignment="1">
      <alignment horizontal="center" vertical="center"/>
    </xf>
    <xf numFmtId="45" fontId="35" fillId="31" borderId="24" xfId="0" applyNumberFormat="1" applyFont="1" applyFill="1" applyBorder="1" applyAlignment="1">
      <alignment horizontal="center" vertical="center"/>
    </xf>
    <xf numFmtId="165" fontId="18" fillId="31" borderId="24" xfId="0" applyNumberFormat="1" applyFont="1" applyFill="1" applyBorder="1" applyAlignment="1">
      <alignment horizontal="center" vertical="center"/>
    </xf>
    <xf numFmtId="168" fontId="35" fillId="31" borderId="25" xfId="0" applyNumberFormat="1" applyFont="1" applyFill="1" applyBorder="1" applyAlignment="1">
      <alignment horizontal="center" vertical="center"/>
    </xf>
    <xf numFmtId="45" fontId="18" fillId="31" borderId="9" xfId="0" applyNumberFormat="1" applyFont="1" applyFill="1" applyBorder="1" applyAlignment="1">
      <alignment horizontal="center" vertical="center"/>
    </xf>
    <xf numFmtId="45" fontId="35" fillId="31" borderId="5" xfId="0" applyNumberFormat="1" applyFont="1" applyFill="1" applyBorder="1" applyAlignment="1">
      <alignment horizontal="center" vertical="center"/>
    </xf>
    <xf numFmtId="0" fontId="35" fillId="31" borderId="5" xfId="0" applyFont="1" applyFill="1" applyBorder="1" applyAlignment="1">
      <alignment horizontal="center" vertical="center"/>
    </xf>
    <xf numFmtId="165" fontId="18" fillId="31" borderId="5" xfId="0" applyNumberFormat="1" applyFont="1" applyFill="1" applyBorder="1" applyAlignment="1">
      <alignment horizontal="center" vertical="center"/>
    </xf>
    <xf numFmtId="168" fontId="35" fillId="31" borderId="10" xfId="0" applyNumberFormat="1" applyFont="1" applyFill="1" applyBorder="1" applyAlignment="1">
      <alignment horizontal="center" vertical="center"/>
    </xf>
    <xf numFmtId="45" fontId="18" fillId="31" borderId="18" xfId="0" applyNumberFormat="1" applyFont="1" applyFill="1" applyBorder="1" applyAlignment="1">
      <alignment horizontal="center" vertical="center"/>
    </xf>
    <xf numFmtId="45" fontId="35" fillId="31" borderId="20" xfId="0" applyNumberFormat="1" applyFont="1" applyFill="1" applyBorder="1" applyAlignment="1">
      <alignment horizontal="center" vertical="center"/>
    </xf>
    <xf numFmtId="165" fontId="18" fillId="31" borderId="20" xfId="0" applyNumberFormat="1" applyFont="1" applyFill="1" applyBorder="1" applyAlignment="1">
      <alignment horizontal="center" vertical="center"/>
    </xf>
    <xf numFmtId="168" fontId="35" fillId="31" borderId="19" xfId="0" applyNumberFormat="1" applyFont="1" applyFill="1" applyBorder="1" applyAlignment="1">
      <alignment horizontal="center" vertical="center"/>
    </xf>
    <xf numFmtId="0" fontId="36" fillId="0" borderId="0" xfId="0" applyFont="1"/>
    <xf numFmtId="0" fontId="38" fillId="0" borderId="21" xfId="0" applyFont="1" applyBorder="1" applyAlignment="1">
      <alignment horizontal="center" vertical="center"/>
    </xf>
    <xf numFmtId="45" fontId="37" fillId="0" borderId="24" xfId="0" applyNumberFormat="1" applyFont="1" applyBorder="1" applyAlignment="1">
      <alignment horizontal="center" vertical="center"/>
    </xf>
    <xf numFmtId="45" fontId="37" fillId="0" borderId="37" xfId="0" applyNumberFormat="1" applyFont="1" applyBorder="1" applyAlignment="1">
      <alignment horizontal="center" vertical="center"/>
    </xf>
    <xf numFmtId="165" fontId="38" fillId="0" borderId="37" xfId="0" applyNumberFormat="1" applyFont="1" applyBorder="1" applyAlignment="1">
      <alignment horizontal="center" vertical="center"/>
    </xf>
    <xf numFmtId="168" fontId="37" fillId="0" borderId="25" xfId="0" applyNumberFormat="1" applyFont="1" applyBorder="1" applyAlignment="1">
      <alignment horizontal="center" vertical="center"/>
    </xf>
    <xf numFmtId="45" fontId="39" fillId="31" borderId="21" xfId="0" applyNumberFormat="1" applyFont="1" applyFill="1" applyBorder="1" applyAlignment="1">
      <alignment horizontal="center" vertical="center"/>
    </xf>
    <xf numFmtId="45" fontId="40" fillId="31" borderId="24" xfId="0" applyNumberFormat="1" applyFont="1" applyFill="1" applyBorder="1" applyAlignment="1">
      <alignment horizontal="center" vertical="center"/>
    </xf>
    <xf numFmtId="165" fontId="39" fillId="31" borderId="24" xfId="0" applyNumberFormat="1" applyFont="1" applyFill="1" applyBorder="1" applyAlignment="1">
      <alignment horizontal="center" vertical="center"/>
    </xf>
    <xf numFmtId="168" fontId="40" fillId="31" borderId="25" xfId="0" applyNumberFormat="1" applyFont="1" applyFill="1" applyBorder="1" applyAlignment="1">
      <alignment horizontal="center" vertical="center"/>
    </xf>
    <xf numFmtId="45" fontId="38" fillId="0" borderId="21" xfId="0" applyNumberFormat="1" applyFont="1" applyBorder="1" applyAlignment="1">
      <alignment horizontal="center" vertical="center"/>
    </xf>
    <xf numFmtId="45" fontId="37" fillId="0" borderId="27" xfId="0" applyNumberFormat="1" applyFont="1" applyBorder="1" applyAlignment="1">
      <alignment horizontal="center" vertical="center"/>
    </xf>
    <xf numFmtId="165" fontId="38" fillId="0" borderId="27" xfId="0" applyNumberFormat="1" applyFont="1" applyBorder="1" applyAlignment="1">
      <alignment horizontal="center" vertical="center"/>
    </xf>
    <xf numFmtId="45" fontId="37" fillId="4" borderId="24" xfId="0" applyNumberFormat="1" applyFont="1" applyFill="1" applyBorder="1" applyAlignment="1">
      <alignment horizontal="center" vertical="center"/>
    </xf>
    <xf numFmtId="165" fontId="38" fillId="4" borderId="24" xfId="0" applyNumberFormat="1" applyFont="1" applyFill="1" applyBorder="1" applyAlignment="1">
      <alignment horizontal="center" vertical="center"/>
    </xf>
    <xf numFmtId="165" fontId="38" fillId="0" borderId="24" xfId="0" applyNumberFormat="1" applyFont="1" applyBorder="1" applyAlignment="1">
      <alignment horizontal="center" vertical="center"/>
    </xf>
    <xf numFmtId="167" fontId="38" fillId="0" borderId="1" xfId="0" applyNumberFormat="1" applyFont="1" applyBorder="1" applyAlignment="1">
      <alignment horizontal="center" vertical="center"/>
    </xf>
    <xf numFmtId="45" fontId="36" fillId="0" borderId="0" xfId="0" applyNumberFormat="1" applyFont="1"/>
    <xf numFmtId="168" fontId="38" fillId="0" borderId="54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37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45" fontId="38" fillId="0" borderId="36" xfId="0" applyNumberFormat="1" applyFont="1" applyBorder="1" applyAlignment="1">
      <alignment horizontal="center" vertical="center"/>
    </xf>
    <xf numFmtId="168" fontId="37" fillId="0" borderId="38" xfId="1" applyNumberFormat="1" applyFont="1" applyBorder="1" applyAlignment="1">
      <alignment horizontal="center" vertical="center"/>
    </xf>
    <xf numFmtId="2" fontId="36" fillId="0" borderId="0" xfId="0" applyNumberFormat="1" applyFont="1" applyAlignment="1">
      <alignment vertical="center"/>
    </xf>
    <xf numFmtId="168" fontId="40" fillId="31" borderId="25" xfId="1" applyNumberFormat="1" applyFont="1" applyFill="1" applyBorder="1" applyAlignment="1">
      <alignment horizontal="center" vertical="center"/>
    </xf>
    <xf numFmtId="45" fontId="38" fillId="4" borderId="26" xfId="0" applyNumberFormat="1" applyFont="1" applyFill="1" applyBorder="1" applyAlignment="1">
      <alignment horizontal="center" vertical="center"/>
    </xf>
    <xf numFmtId="168" fontId="37" fillId="0" borderId="28" xfId="1" applyNumberFormat="1" applyFont="1" applyBorder="1" applyAlignment="1">
      <alignment horizontal="center" vertical="center"/>
    </xf>
    <xf numFmtId="45" fontId="38" fillId="0" borderId="26" xfId="0" applyNumberFormat="1" applyFont="1" applyBorder="1" applyAlignment="1">
      <alignment horizontal="center" vertical="center"/>
    </xf>
    <xf numFmtId="0" fontId="36" fillId="0" borderId="0" xfId="0" quotePrefix="1" applyFont="1" applyAlignment="1">
      <alignment vertical="center"/>
    </xf>
    <xf numFmtId="45" fontId="38" fillId="0" borderId="24" xfId="0" applyNumberFormat="1" applyFont="1" applyBorder="1" applyAlignment="1">
      <alignment horizontal="center" vertical="center"/>
    </xf>
    <xf numFmtId="45" fontId="37" fillId="0" borderId="21" xfId="0" applyNumberFormat="1" applyFont="1" applyBorder="1" applyAlignment="1">
      <alignment horizontal="center" vertical="center"/>
    </xf>
    <xf numFmtId="168" fontId="37" fillId="0" borderId="25" xfId="1" applyNumberFormat="1" applyFont="1" applyBorder="1" applyAlignment="1">
      <alignment horizontal="center" vertical="center"/>
    </xf>
    <xf numFmtId="45" fontId="38" fillId="0" borderId="1" xfId="0" applyNumberFormat="1" applyFont="1" applyBorder="1" applyAlignment="1">
      <alignment horizontal="center" vertical="center"/>
    </xf>
    <xf numFmtId="165" fontId="36" fillId="0" borderId="0" xfId="0" applyNumberFormat="1" applyFont="1"/>
    <xf numFmtId="168" fontId="38" fillId="0" borderId="1" xfId="0" applyNumberFormat="1" applyFont="1" applyBorder="1" applyAlignment="1">
      <alignment horizontal="center" vertical="center"/>
    </xf>
    <xf numFmtId="0" fontId="38" fillId="0" borderId="0" xfId="0" applyFont="1"/>
    <xf numFmtId="0" fontId="36" fillId="0" borderId="0" xfId="0" applyFont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168" fontId="37" fillId="0" borderId="38" xfId="0" applyNumberFormat="1" applyFont="1" applyBorder="1" applyAlignment="1">
      <alignment horizontal="center" vertical="center"/>
    </xf>
    <xf numFmtId="168" fontId="37" fillId="0" borderId="28" xfId="0" applyNumberFormat="1" applyFont="1" applyBorder="1" applyAlignment="1">
      <alignment horizontal="center" vertical="center"/>
    </xf>
    <xf numFmtId="45" fontId="38" fillId="0" borderId="14" xfId="0" applyNumberFormat="1" applyFont="1" applyBorder="1" applyAlignment="1">
      <alignment horizontal="center" vertical="center"/>
    </xf>
    <xf numFmtId="45" fontId="37" fillId="0" borderId="17" xfId="0" applyNumberFormat="1" applyFont="1" applyBorder="1" applyAlignment="1">
      <alignment horizontal="center" vertical="center"/>
    </xf>
    <xf numFmtId="165" fontId="38" fillId="0" borderId="17" xfId="0" applyNumberFormat="1" applyFont="1" applyBorder="1" applyAlignment="1">
      <alignment horizontal="center" vertical="center"/>
    </xf>
    <xf numFmtId="168" fontId="37" fillId="0" borderId="15" xfId="0" applyNumberFormat="1" applyFont="1" applyBorder="1" applyAlignment="1">
      <alignment horizontal="center" vertical="center"/>
    </xf>
    <xf numFmtId="45" fontId="39" fillId="31" borderId="9" xfId="0" applyNumberFormat="1" applyFont="1" applyFill="1" applyBorder="1" applyAlignment="1">
      <alignment horizontal="center" vertical="center"/>
    </xf>
    <xf numFmtId="45" fontId="40" fillId="31" borderId="5" xfId="0" applyNumberFormat="1" applyFont="1" applyFill="1" applyBorder="1" applyAlignment="1">
      <alignment horizontal="center" vertical="center"/>
    </xf>
    <xf numFmtId="0" fontId="40" fillId="31" borderId="5" xfId="0" applyFont="1" applyFill="1" applyBorder="1" applyAlignment="1">
      <alignment horizontal="center" vertical="center"/>
    </xf>
    <xf numFmtId="165" fontId="39" fillId="31" borderId="5" xfId="0" applyNumberFormat="1" applyFont="1" applyFill="1" applyBorder="1" applyAlignment="1">
      <alignment horizontal="center" vertical="center"/>
    </xf>
    <xf numFmtId="168" fontId="40" fillId="31" borderId="10" xfId="0" applyNumberFormat="1" applyFont="1" applyFill="1" applyBorder="1" applyAlignment="1">
      <alignment horizontal="center" vertical="center"/>
    </xf>
    <xf numFmtId="166" fontId="36" fillId="0" borderId="0" xfId="0" applyNumberFormat="1" applyFont="1" applyAlignment="1">
      <alignment horizontal="center" vertical="center"/>
    </xf>
    <xf numFmtId="45" fontId="38" fillId="0" borderId="9" xfId="0" applyNumberFormat="1" applyFont="1" applyBorder="1" applyAlignment="1">
      <alignment horizontal="center" vertical="center"/>
    </xf>
    <xf numFmtId="45" fontId="37" fillId="0" borderId="5" xfId="0" applyNumberFormat="1" applyFont="1" applyBorder="1" applyAlignment="1">
      <alignment horizontal="center" vertical="center"/>
    </xf>
    <xf numFmtId="165" fontId="38" fillId="0" borderId="5" xfId="0" applyNumberFormat="1" applyFont="1" applyBorder="1" applyAlignment="1">
      <alignment horizontal="center" vertical="center"/>
    </xf>
    <xf numFmtId="168" fontId="37" fillId="0" borderId="10" xfId="0" applyNumberFormat="1" applyFont="1" applyBorder="1" applyAlignment="1">
      <alignment horizontal="center" vertical="center"/>
    </xf>
    <xf numFmtId="45" fontId="39" fillId="31" borderId="18" xfId="0" applyNumberFormat="1" applyFont="1" applyFill="1" applyBorder="1" applyAlignment="1">
      <alignment horizontal="center" vertical="center"/>
    </xf>
    <xf numFmtId="45" fontId="40" fillId="31" borderId="20" xfId="0" applyNumberFormat="1" applyFont="1" applyFill="1" applyBorder="1" applyAlignment="1">
      <alignment horizontal="center" vertical="center"/>
    </xf>
    <xf numFmtId="0" fontId="40" fillId="31" borderId="20" xfId="0" applyFont="1" applyFill="1" applyBorder="1" applyAlignment="1">
      <alignment horizontal="center" vertical="center"/>
    </xf>
    <xf numFmtId="165" fontId="39" fillId="31" borderId="20" xfId="0" applyNumberFormat="1" applyFont="1" applyFill="1" applyBorder="1" applyAlignment="1">
      <alignment horizontal="center" vertical="center"/>
    </xf>
    <xf numFmtId="168" fontId="40" fillId="31" borderId="19" xfId="0" applyNumberFormat="1" applyFont="1" applyFill="1" applyBorder="1" applyAlignment="1">
      <alignment horizontal="center" vertical="center"/>
    </xf>
    <xf numFmtId="45" fontId="39" fillId="31" borderId="14" xfId="0" applyNumberFormat="1" applyFont="1" applyFill="1" applyBorder="1" applyAlignment="1">
      <alignment horizontal="center" vertical="center"/>
    </xf>
    <xf numFmtId="45" fontId="40" fillId="31" borderId="17" xfId="0" applyNumberFormat="1" applyFont="1" applyFill="1" applyBorder="1" applyAlignment="1">
      <alignment horizontal="center" vertical="center"/>
    </xf>
    <xf numFmtId="165" fontId="39" fillId="31" borderId="17" xfId="0" applyNumberFormat="1" applyFont="1" applyFill="1" applyBorder="1" applyAlignment="1">
      <alignment horizontal="center" vertical="center"/>
    </xf>
    <xf numFmtId="168" fontId="40" fillId="31" borderId="15" xfId="0" applyNumberFormat="1" applyFont="1" applyFill="1" applyBorder="1" applyAlignment="1">
      <alignment horizontal="center" vertical="center"/>
    </xf>
    <xf numFmtId="45" fontId="37" fillId="4" borderId="5" xfId="0" applyNumberFormat="1" applyFont="1" applyFill="1" applyBorder="1" applyAlignment="1">
      <alignment horizontal="center" vertical="center"/>
    </xf>
    <xf numFmtId="0" fontId="37" fillId="4" borderId="5" xfId="0" applyFont="1" applyFill="1" applyBorder="1" applyAlignment="1">
      <alignment horizontal="center" vertical="center"/>
    </xf>
    <xf numFmtId="165" fontId="38" fillId="4" borderId="5" xfId="0" applyNumberFormat="1" applyFont="1" applyFill="1" applyBorder="1" applyAlignment="1">
      <alignment horizontal="center" vertical="center"/>
    </xf>
    <xf numFmtId="45" fontId="38" fillId="0" borderId="18" xfId="0" applyNumberFormat="1" applyFont="1" applyBorder="1" applyAlignment="1">
      <alignment horizontal="center" vertical="center"/>
    </xf>
    <xf numFmtId="45" fontId="37" fillId="4" borderId="20" xfId="0" applyNumberFormat="1" applyFont="1" applyFill="1" applyBorder="1" applyAlignment="1">
      <alignment horizontal="center" vertical="center"/>
    </xf>
    <xf numFmtId="0" fontId="37" fillId="4" borderId="20" xfId="0" applyFont="1" applyFill="1" applyBorder="1" applyAlignment="1">
      <alignment horizontal="center" vertical="center"/>
    </xf>
    <xf numFmtId="165" fontId="38" fillId="4" borderId="20" xfId="0" applyNumberFormat="1" applyFont="1" applyFill="1" applyBorder="1" applyAlignment="1">
      <alignment horizontal="center" vertical="center"/>
    </xf>
    <xf numFmtId="168" fontId="37" fillId="0" borderId="19" xfId="0" applyNumberFormat="1" applyFont="1" applyBorder="1" applyAlignment="1">
      <alignment horizontal="center" vertical="center"/>
    </xf>
    <xf numFmtId="45" fontId="38" fillId="0" borderId="2" xfId="0" applyNumberFormat="1" applyFont="1" applyBorder="1" applyAlignment="1">
      <alignment horizontal="center" vertical="center"/>
    </xf>
    <xf numFmtId="45" fontId="36" fillId="0" borderId="0" xfId="0" applyNumberFormat="1" applyFont="1" applyAlignment="1">
      <alignment horizontal="center" vertical="center"/>
    </xf>
    <xf numFmtId="168" fontId="36" fillId="0" borderId="0" xfId="0" applyNumberFormat="1" applyFont="1" applyAlignment="1">
      <alignment horizontal="center" vertical="center"/>
    </xf>
    <xf numFmtId="45" fontId="39" fillId="31" borderId="35" xfId="0" applyNumberFormat="1" applyFont="1" applyFill="1" applyBorder="1" applyAlignment="1">
      <alignment horizontal="center" vertical="center"/>
    </xf>
    <xf numFmtId="45" fontId="40" fillId="31" borderId="39" xfId="0" applyNumberFormat="1" applyFont="1" applyFill="1" applyBorder="1" applyAlignment="1">
      <alignment horizontal="center" vertical="center"/>
    </xf>
    <xf numFmtId="0" fontId="40" fillId="31" borderId="39" xfId="0" applyFont="1" applyFill="1" applyBorder="1" applyAlignment="1">
      <alignment horizontal="center" vertical="center"/>
    </xf>
    <xf numFmtId="165" fontId="39" fillId="31" borderId="39" xfId="0" applyNumberFormat="1" applyFont="1" applyFill="1" applyBorder="1" applyAlignment="1">
      <alignment horizontal="center" vertical="center"/>
    </xf>
    <xf numFmtId="168" fontId="40" fillId="31" borderId="40" xfId="0" applyNumberFormat="1" applyFont="1" applyFill="1" applyBorder="1" applyAlignment="1">
      <alignment horizontal="center" vertical="center"/>
    </xf>
    <xf numFmtId="45" fontId="39" fillId="31" borderId="26" xfId="0" applyNumberFormat="1" applyFont="1" applyFill="1" applyBorder="1" applyAlignment="1">
      <alignment horizontal="center" vertical="center"/>
    </xf>
    <xf numFmtId="45" fontId="40" fillId="31" borderId="27" xfId="0" applyNumberFormat="1" applyFont="1" applyFill="1" applyBorder="1" applyAlignment="1">
      <alignment horizontal="center" vertical="center"/>
    </xf>
    <xf numFmtId="0" fontId="40" fillId="31" borderId="27" xfId="0" applyFont="1" applyFill="1" applyBorder="1" applyAlignment="1">
      <alignment horizontal="center" vertical="center"/>
    </xf>
    <xf numFmtId="165" fontId="39" fillId="31" borderId="27" xfId="0" applyNumberFormat="1" applyFont="1" applyFill="1" applyBorder="1" applyAlignment="1">
      <alignment horizontal="center" vertical="center"/>
    </xf>
    <xf numFmtId="168" fontId="40" fillId="31" borderId="28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/>
    </xf>
    <xf numFmtId="168" fontId="36" fillId="0" borderId="0" xfId="0" applyNumberFormat="1" applyFont="1"/>
    <xf numFmtId="168" fontId="37" fillId="0" borderId="0" xfId="0" applyNumberFormat="1" applyFont="1"/>
    <xf numFmtId="45" fontId="38" fillId="0" borderId="22" xfId="0" applyNumberFormat="1" applyFont="1" applyBorder="1" applyAlignment="1">
      <alignment horizontal="center" vertical="center"/>
    </xf>
    <xf numFmtId="45" fontId="37" fillId="0" borderId="13" xfId="0" applyNumberFormat="1" applyFont="1" applyBorder="1" applyAlignment="1">
      <alignment horizontal="center" vertical="center"/>
    </xf>
    <xf numFmtId="165" fontId="38" fillId="0" borderId="13" xfId="0" applyNumberFormat="1" applyFont="1" applyBorder="1" applyAlignment="1">
      <alignment horizontal="center" vertical="center"/>
    </xf>
    <xf numFmtId="168" fontId="37" fillId="0" borderId="23" xfId="0" applyNumberFormat="1" applyFont="1" applyBorder="1" applyAlignment="1">
      <alignment horizontal="center" vertical="center"/>
    </xf>
    <xf numFmtId="45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68" fontId="37" fillId="0" borderId="0" xfId="0" applyNumberFormat="1" applyFont="1" applyAlignment="1">
      <alignment horizontal="center"/>
    </xf>
    <xf numFmtId="45" fontId="39" fillId="31" borderId="22" xfId="0" applyNumberFormat="1" applyFont="1" applyFill="1" applyBorder="1" applyAlignment="1">
      <alignment horizontal="center" vertical="center"/>
    </xf>
    <xf numFmtId="45" fontId="40" fillId="31" borderId="13" xfId="0" applyNumberFormat="1" applyFont="1" applyFill="1" applyBorder="1" applyAlignment="1">
      <alignment horizontal="center" vertical="center"/>
    </xf>
    <xf numFmtId="165" fontId="39" fillId="31" borderId="13" xfId="0" applyNumberFormat="1" applyFont="1" applyFill="1" applyBorder="1" applyAlignment="1">
      <alignment horizontal="center" vertical="center"/>
    </xf>
    <xf numFmtId="168" fontId="40" fillId="31" borderId="23" xfId="0" applyNumberFormat="1" applyFont="1" applyFill="1" applyBorder="1" applyAlignment="1">
      <alignment horizontal="center" vertical="center"/>
    </xf>
    <xf numFmtId="45" fontId="38" fillId="0" borderId="54" xfId="0" applyNumberFormat="1" applyFont="1" applyBorder="1" applyAlignment="1">
      <alignment horizontal="center" vertical="center"/>
    </xf>
    <xf numFmtId="45" fontId="36" fillId="0" borderId="0" xfId="0" applyNumberFormat="1" applyFont="1" applyAlignment="1">
      <alignment vertical="center"/>
    </xf>
    <xf numFmtId="165" fontId="36" fillId="0" borderId="0" xfId="0" applyNumberFormat="1" applyFont="1" applyAlignment="1">
      <alignment vertical="center"/>
    </xf>
    <xf numFmtId="45" fontId="38" fillId="4" borderId="9" xfId="0" applyNumberFormat="1" applyFont="1" applyFill="1" applyBorder="1" applyAlignment="1">
      <alignment horizontal="center" vertical="center"/>
    </xf>
    <xf numFmtId="45" fontId="37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165" fontId="37" fillId="0" borderId="0" xfId="0" applyNumberFormat="1" applyFont="1" applyAlignment="1">
      <alignment vertical="center"/>
    </xf>
    <xf numFmtId="45" fontId="37" fillId="4" borderId="13" xfId="0" applyNumberFormat="1" applyFont="1" applyFill="1" applyBorder="1" applyAlignment="1">
      <alignment horizontal="center" vertical="center"/>
    </xf>
    <xf numFmtId="165" fontId="38" fillId="4" borderId="13" xfId="0" applyNumberFormat="1" applyFont="1" applyFill="1" applyBorder="1" applyAlignment="1">
      <alignment horizontal="center" vertical="center"/>
    </xf>
    <xf numFmtId="45" fontId="37" fillId="0" borderId="20" xfId="0" applyNumberFormat="1" applyFont="1" applyBorder="1" applyAlignment="1">
      <alignment horizontal="center" vertical="center"/>
    </xf>
    <xf numFmtId="165" fontId="38" fillId="0" borderId="20" xfId="0" applyNumberFormat="1" applyFont="1" applyBorder="1" applyAlignment="1">
      <alignment horizontal="center" vertical="center"/>
    </xf>
    <xf numFmtId="45" fontId="18" fillId="31" borderId="30" xfId="0" applyNumberFormat="1" applyFont="1" applyFill="1" applyBorder="1" applyAlignment="1">
      <alignment horizontal="center" vertical="center"/>
    </xf>
    <xf numFmtId="45" fontId="35" fillId="31" borderId="29" xfId="0" applyNumberFormat="1" applyFont="1" applyFill="1" applyBorder="1" applyAlignment="1">
      <alignment horizontal="center" vertical="center"/>
    </xf>
    <xf numFmtId="165" fontId="18" fillId="31" borderId="29" xfId="0" applyNumberFormat="1" applyFont="1" applyFill="1" applyBorder="1" applyAlignment="1">
      <alignment horizontal="center" vertical="center"/>
    </xf>
    <xf numFmtId="168" fontId="35" fillId="31" borderId="31" xfId="0" applyNumberFormat="1" applyFont="1" applyFill="1" applyBorder="1" applyAlignment="1">
      <alignment horizontal="center" vertical="center"/>
    </xf>
    <xf numFmtId="0" fontId="38" fillId="0" borderId="35" xfId="0" applyFont="1" applyBorder="1" applyAlignment="1">
      <alignment horizontal="center" vertical="center"/>
    </xf>
    <xf numFmtId="45" fontId="37" fillId="0" borderId="39" xfId="0" applyNumberFormat="1" applyFont="1" applyBorder="1" applyAlignment="1">
      <alignment horizontal="center" vertical="center"/>
    </xf>
    <xf numFmtId="168" fontId="37" fillId="0" borderId="40" xfId="0" applyNumberFormat="1" applyFont="1" applyBorder="1" applyAlignment="1">
      <alignment horizontal="center" vertical="center"/>
    </xf>
    <xf numFmtId="45" fontId="38" fillId="0" borderId="35" xfId="0" applyNumberFormat="1" applyFont="1" applyBorder="1" applyAlignment="1">
      <alignment horizontal="center" vertical="center"/>
    </xf>
    <xf numFmtId="45" fontId="39" fillId="31" borderId="30" xfId="0" applyNumberFormat="1" applyFont="1" applyFill="1" applyBorder="1" applyAlignment="1">
      <alignment horizontal="center" vertical="center"/>
    </xf>
    <xf numFmtId="45" fontId="40" fillId="31" borderId="29" xfId="0" applyNumberFormat="1" applyFont="1" applyFill="1" applyBorder="1" applyAlignment="1">
      <alignment horizontal="center" vertical="center"/>
    </xf>
    <xf numFmtId="0" fontId="40" fillId="31" borderId="29" xfId="0" applyFont="1" applyFill="1" applyBorder="1" applyAlignment="1">
      <alignment horizontal="center" vertical="center"/>
    </xf>
    <xf numFmtId="165" fontId="39" fillId="31" borderId="29" xfId="0" applyNumberFormat="1" applyFont="1" applyFill="1" applyBorder="1" applyAlignment="1">
      <alignment horizontal="center" vertical="center"/>
    </xf>
    <xf numFmtId="168" fontId="40" fillId="31" borderId="31" xfId="0" applyNumberFormat="1" applyFont="1" applyFill="1" applyBorder="1" applyAlignment="1">
      <alignment horizontal="center" vertical="center"/>
    </xf>
    <xf numFmtId="165" fontId="38" fillId="0" borderId="39" xfId="0" applyNumberFormat="1" applyFont="1" applyBorder="1" applyAlignment="1">
      <alignment horizontal="center" vertical="center"/>
    </xf>
    <xf numFmtId="168" fontId="37" fillId="4" borderId="10" xfId="0" applyNumberFormat="1" applyFont="1" applyFill="1" applyBorder="1" applyAlignment="1">
      <alignment horizontal="center" vertical="center"/>
    </xf>
    <xf numFmtId="45" fontId="38" fillId="4" borderId="18" xfId="0" applyNumberFormat="1" applyFont="1" applyFill="1" applyBorder="1" applyAlignment="1">
      <alignment horizontal="center" vertical="center"/>
    </xf>
    <xf numFmtId="168" fontId="37" fillId="4" borderId="19" xfId="0" applyNumberFormat="1" applyFont="1" applyFill="1" applyBorder="1" applyAlignment="1">
      <alignment horizontal="center" vertical="center"/>
    </xf>
    <xf numFmtId="45" fontId="38" fillId="4" borderId="30" xfId="0" applyNumberFormat="1" applyFont="1" applyFill="1" applyBorder="1" applyAlignment="1">
      <alignment horizontal="center" vertical="center"/>
    </xf>
    <xf numFmtId="45" fontId="37" fillId="4" borderId="37" xfId="0" applyNumberFormat="1" applyFont="1" applyFill="1" applyBorder="1" applyAlignment="1">
      <alignment horizontal="center" vertical="center"/>
    </xf>
    <xf numFmtId="165" fontId="38" fillId="4" borderId="37" xfId="0" applyNumberFormat="1" applyFont="1" applyFill="1" applyBorder="1" applyAlignment="1">
      <alignment horizontal="center" vertical="center"/>
    </xf>
    <xf numFmtId="45" fontId="38" fillId="4" borderId="14" xfId="0" applyNumberFormat="1" applyFont="1" applyFill="1" applyBorder="1" applyAlignment="1">
      <alignment horizontal="center" vertical="center"/>
    </xf>
    <xf numFmtId="45" fontId="37" fillId="4" borderId="17" xfId="0" applyNumberFormat="1" applyFont="1" applyFill="1" applyBorder="1" applyAlignment="1">
      <alignment horizontal="center" vertical="center"/>
    </xf>
    <xf numFmtId="165" fontId="38" fillId="4" borderId="17" xfId="0" applyNumberFormat="1" applyFont="1" applyFill="1" applyBorder="1" applyAlignment="1">
      <alignment horizontal="center" vertical="center"/>
    </xf>
    <xf numFmtId="168" fontId="37" fillId="4" borderId="15" xfId="0" applyNumberFormat="1" applyFont="1" applyFill="1" applyBorder="1" applyAlignment="1">
      <alignment horizontal="center" vertical="center"/>
    </xf>
    <xf numFmtId="21" fontId="38" fillId="0" borderId="1" xfId="0" applyNumberFormat="1" applyFont="1" applyBorder="1" applyAlignment="1">
      <alignment horizontal="center" vertical="center"/>
    </xf>
    <xf numFmtId="45" fontId="39" fillId="31" borderId="36" xfId="0" applyNumberFormat="1" applyFont="1" applyFill="1" applyBorder="1" applyAlignment="1">
      <alignment horizontal="center" vertical="center"/>
    </xf>
    <xf numFmtId="45" fontId="40" fillId="31" borderId="37" xfId="0" applyNumberFormat="1" applyFont="1" applyFill="1" applyBorder="1" applyAlignment="1">
      <alignment horizontal="center" vertical="center"/>
    </xf>
    <xf numFmtId="165" fontId="39" fillId="31" borderId="37" xfId="0" applyNumberFormat="1" applyFont="1" applyFill="1" applyBorder="1" applyAlignment="1">
      <alignment horizontal="center" vertical="center"/>
    </xf>
    <xf numFmtId="168" fontId="40" fillId="31" borderId="38" xfId="0" applyNumberFormat="1" applyFont="1" applyFill="1" applyBorder="1" applyAlignment="1">
      <alignment horizontal="center" vertical="center"/>
    </xf>
    <xf numFmtId="168" fontId="37" fillId="4" borderId="31" xfId="0" applyNumberFormat="1" applyFont="1" applyFill="1" applyBorder="1" applyAlignment="1">
      <alignment horizontal="center" vertical="center"/>
    </xf>
    <xf numFmtId="165" fontId="39" fillId="31" borderId="50" xfId="0" applyNumberFormat="1" applyFont="1" applyFill="1" applyBorder="1" applyAlignment="1">
      <alignment horizontal="center" vertical="center"/>
    </xf>
    <xf numFmtId="45" fontId="38" fillId="4" borderId="36" xfId="0" applyNumberFormat="1" applyFont="1" applyFill="1" applyBorder="1" applyAlignment="1">
      <alignment horizontal="center" vertical="center"/>
    </xf>
    <xf numFmtId="168" fontId="37" fillId="4" borderId="38" xfId="0" applyNumberFormat="1" applyFont="1" applyFill="1" applyBorder="1" applyAlignment="1">
      <alignment horizontal="center" vertical="center"/>
    </xf>
    <xf numFmtId="45" fontId="37" fillId="0" borderId="5" xfId="0" applyNumberFormat="1" applyFont="1" applyFill="1" applyBorder="1" applyAlignment="1">
      <alignment horizontal="center" vertical="center"/>
    </xf>
    <xf numFmtId="45" fontId="38" fillId="4" borderId="5" xfId="0" applyNumberFormat="1" applyFont="1" applyFill="1" applyBorder="1" applyAlignment="1">
      <alignment horizontal="center" vertical="center"/>
    </xf>
    <xf numFmtId="168" fontId="37" fillId="4" borderId="5" xfId="0" applyNumberFormat="1" applyFont="1" applyFill="1" applyBorder="1" applyAlignment="1">
      <alignment horizontal="center" vertical="center"/>
    </xf>
    <xf numFmtId="45" fontId="39" fillId="31" borderId="5" xfId="0" applyNumberFormat="1" applyFont="1" applyFill="1" applyBorder="1" applyAlignment="1">
      <alignment horizontal="center" vertical="center"/>
    </xf>
    <xf numFmtId="168" fontId="40" fillId="31" borderId="5" xfId="0" applyNumberFormat="1" applyFont="1" applyFill="1" applyBorder="1" applyAlignment="1">
      <alignment horizontal="center" vertical="center"/>
    </xf>
    <xf numFmtId="45" fontId="38" fillId="4" borderId="22" xfId="0" applyNumberFormat="1" applyFont="1" applyFill="1" applyBorder="1" applyAlignment="1">
      <alignment horizontal="center" vertical="center"/>
    </xf>
    <xf numFmtId="168" fontId="37" fillId="4" borderId="23" xfId="0" applyNumberFormat="1" applyFont="1" applyFill="1" applyBorder="1" applyAlignment="1">
      <alignment horizontal="center" vertical="center"/>
    </xf>
    <xf numFmtId="45" fontId="37" fillId="0" borderId="29" xfId="0" applyNumberFormat="1" applyFont="1" applyBorder="1" applyAlignment="1">
      <alignment horizontal="center" vertical="center"/>
    </xf>
    <xf numFmtId="45" fontId="37" fillId="4" borderId="29" xfId="0" applyNumberFormat="1" applyFont="1" applyFill="1" applyBorder="1" applyAlignment="1">
      <alignment horizontal="center" vertical="center"/>
    </xf>
    <xf numFmtId="165" fontId="38" fillId="4" borderId="29" xfId="0" applyNumberFormat="1" applyFont="1" applyFill="1" applyBorder="1" applyAlignment="1">
      <alignment horizontal="center" vertical="center"/>
    </xf>
    <xf numFmtId="45" fontId="38" fillId="0" borderId="30" xfId="0" applyNumberFormat="1" applyFont="1" applyBorder="1" applyAlignment="1">
      <alignment horizontal="center" vertical="center"/>
    </xf>
    <xf numFmtId="165" fontId="38" fillId="0" borderId="29" xfId="0" applyNumberFormat="1" applyFont="1" applyBorder="1" applyAlignment="1">
      <alignment horizontal="center" vertical="center"/>
    </xf>
    <xf numFmtId="166" fontId="38" fillId="0" borderId="36" xfId="0" applyNumberFormat="1" applyFont="1" applyBorder="1" applyAlignment="1">
      <alignment horizontal="center" vertical="center"/>
    </xf>
    <xf numFmtId="166" fontId="39" fillId="31" borderId="21" xfId="0" applyNumberFormat="1" applyFont="1" applyFill="1" applyBorder="1" applyAlignment="1">
      <alignment horizontal="center" vertical="center"/>
    </xf>
    <xf numFmtId="166" fontId="38" fillId="0" borderId="26" xfId="0" applyNumberFormat="1" applyFont="1" applyBorder="1" applyAlignment="1">
      <alignment horizontal="center" vertical="center"/>
    </xf>
    <xf numFmtId="166" fontId="39" fillId="31" borderId="14" xfId="0" applyNumberFormat="1" applyFont="1" applyFill="1" applyBorder="1" applyAlignment="1">
      <alignment horizontal="center" vertical="center"/>
    </xf>
    <xf numFmtId="166" fontId="38" fillId="0" borderId="9" xfId="0" applyNumberFormat="1" applyFont="1" applyBorder="1" applyAlignment="1">
      <alignment horizontal="center" vertical="center"/>
    </xf>
    <xf numFmtId="166" fontId="39" fillId="31" borderId="9" xfId="0" applyNumberFormat="1" applyFont="1" applyFill="1" applyBorder="1" applyAlignment="1">
      <alignment horizontal="center" vertical="center"/>
    </xf>
    <xf numFmtId="166" fontId="38" fillId="4" borderId="9" xfId="0" applyNumberFormat="1" applyFont="1" applyFill="1" applyBorder="1" applyAlignment="1">
      <alignment horizontal="center" vertical="center"/>
    </xf>
    <xf numFmtId="166" fontId="38" fillId="4" borderId="30" xfId="0" applyNumberFormat="1" applyFont="1" applyFill="1" applyBorder="1" applyAlignment="1">
      <alignment horizontal="center" vertical="center"/>
    </xf>
    <xf numFmtId="166" fontId="38" fillId="4" borderId="18" xfId="0" applyNumberFormat="1" applyFont="1" applyFill="1" applyBorder="1" applyAlignment="1">
      <alignment horizontal="center" vertical="center"/>
    </xf>
    <xf numFmtId="166" fontId="39" fillId="31" borderId="36" xfId="0" applyNumberFormat="1" applyFont="1" applyFill="1" applyBorder="1" applyAlignment="1">
      <alignment horizontal="center" vertical="center"/>
    </xf>
    <xf numFmtId="166" fontId="39" fillId="31" borderId="30" xfId="0" applyNumberFormat="1" applyFont="1" applyFill="1" applyBorder="1" applyAlignment="1">
      <alignment horizontal="center" vertical="center"/>
    </xf>
    <xf numFmtId="166" fontId="38" fillId="0" borderId="21" xfId="0" applyNumberFormat="1" applyFont="1" applyBorder="1" applyAlignment="1">
      <alignment horizontal="center" vertical="center"/>
    </xf>
    <xf numFmtId="166" fontId="38" fillId="0" borderId="54" xfId="0" applyNumberFormat="1" applyFont="1" applyBorder="1" applyAlignment="1">
      <alignment horizontal="center" vertical="center"/>
    </xf>
    <xf numFmtId="166" fontId="36" fillId="0" borderId="0" xfId="0" applyNumberFormat="1" applyFont="1"/>
    <xf numFmtId="166" fontId="38" fillId="0" borderId="30" xfId="0" applyNumberFormat="1" applyFont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33" fillId="0" borderId="0" xfId="0" applyFont="1" applyBorder="1" applyAlignment="1">
      <alignment horizontal="center" vertical="center" wrapText="1"/>
    </xf>
    <xf numFmtId="0" fontId="33" fillId="4" borderId="0" xfId="0" applyFont="1" applyFill="1" applyBorder="1" applyAlignment="1">
      <alignment horizontal="center" vertical="center" wrapText="1"/>
    </xf>
    <xf numFmtId="0" fontId="44" fillId="32" borderId="0" xfId="0" applyFont="1" applyFill="1" applyBorder="1"/>
    <xf numFmtId="0" fontId="44" fillId="28" borderId="88" xfId="0" applyFont="1" applyFill="1" applyBorder="1"/>
    <xf numFmtId="0" fontId="44" fillId="28" borderId="89" xfId="0" applyFont="1" applyFill="1" applyBorder="1"/>
    <xf numFmtId="0" fontId="44" fillId="28" borderId="90" xfId="0" applyFont="1" applyFill="1" applyBorder="1"/>
    <xf numFmtId="0" fontId="44" fillId="28" borderId="91" xfId="0" applyFont="1" applyFill="1" applyBorder="1"/>
    <xf numFmtId="0" fontId="44" fillId="28" borderId="0" xfId="0" applyFont="1" applyFill="1" applyBorder="1"/>
    <xf numFmtId="0" fontId="44" fillId="28" borderId="92" xfId="0" applyFont="1" applyFill="1" applyBorder="1"/>
    <xf numFmtId="0" fontId="45" fillId="32" borderId="0" xfId="0" applyFont="1" applyFill="1" applyBorder="1"/>
    <xf numFmtId="0" fontId="45" fillId="28" borderId="91" xfId="0" applyFont="1" applyFill="1" applyBorder="1"/>
    <xf numFmtId="0" fontId="46" fillId="27" borderId="93" xfId="0" applyFont="1" applyFill="1" applyBorder="1" applyAlignment="1" applyProtection="1">
      <alignment horizontal="center" vertical="center" wrapText="1"/>
    </xf>
    <xf numFmtId="0" fontId="47" fillId="32" borderId="93" xfId="0" applyFont="1" applyFill="1" applyBorder="1" applyAlignment="1">
      <alignment horizontal="center" vertical="center"/>
    </xf>
    <xf numFmtId="0" fontId="47" fillId="28" borderId="0" xfId="0" applyFont="1" applyFill="1" applyBorder="1" applyAlignment="1">
      <alignment horizontal="center" vertical="center"/>
    </xf>
    <xf numFmtId="176" fontId="46" fillId="27" borderId="93" xfId="0" applyNumberFormat="1" applyFont="1" applyFill="1" applyBorder="1" applyAlignment="1" applyProtection="1">
      <alignment horizontal="center" vertical="center" wrapText="1"/>
    </xf>
    <xf numFmtId="0" fontId="47" fillId="27" borderId="1" xfId="0" applyFont="1" applyFill="1" applyBorder="1" applyAlignment="1">
      <alignment horizontal="center" vertical="center"/>
    </xf>
    <xf numFmtId="0" fontId="45" fillId="28" borderId="92" xfId="0" applyFont="1" applyFill="1" applyBorder="1"/>
    <xf numFmtId="0" fontId="46" fillId="28" borderId="0" xfId="0" applyFont="1" applyFill="1" applyBorder="1" applyAlignment="1" applyProtection="1">
      <alignment horizontal="center" vertical="center" wrapText="1"/>
    </xf>
    <xf numFmtId="176" fontId="46" fillId="28" borderId="0" xfId="0" applyNumberFormat="1" applyFont="1" applyFill="1" applyBorder="1" applyAlignment="1" applyProtection="1">
      <alignment horizontal="center" vertical="center" wrapText="1"/>
    </xf>
    <xf numFmtId="179" fontId="46" fillId="27" borderId="93" xfId="0" applyNumberFormat="1" applyFont="1" applyFill="1" applyBorder="1" applyAlignment="1" applyProtection="1">
      <alignment horizontal="center" vertical="center" wrapText="1"/>
    </xf>
    <xf numFmtId="21" fontId="46" fillId="27" borderId="93" xfId="0" applyNumberFormat="1" applyFont="1" applyFill="1" applyBorder="1" applyAlignment="1" applyProtection="1">
      <alignment horizontal="center" vertical="center" wrapText="1"/>
    </xf>
    <xf numFmtId="179" fontId="46" fillId="28" borderId="0" xfId="0" applyNumberFormat="1" applyFont="1" applyFill="1" applyBorder="1" applyAlignment="1" applyProtection="1">
      <alignment horizontal="center" vertical="center" wrapText="1"/>
    </xf>
    <xf numFmtId="21" fontId="46" fillId="28" borderId="0" xfId="0" applyNumberFormat="1" applyFont="1" applyFill="1" applyBorder="1" applyAlignment="1" applyProtection="1">
      <alignment horizontal="center" vertical="center" wrapText="1"/>
    </xf>
    <xf numFmtId="174" fontId="46" fillId="27" borderId="93" xfId="0" applyNumberFormat="1" applyFont="1" applyFill="1" applyBorder="1" applyAlignment="1" applyProtection="1">
      <alignment horizontal="center" vertical="center" wrapText="1"/>
    </xf>
    <xf numFmtId="174" fontId="46" fillId="28" borderId="0" xfId="0" applyNumberFormat="1" applyFont="1" applyFill="1" applyBorder="1" applyAlignment="1" applyProtection="1">
      <alignment horizontal="center" vertical="center" wrapText="1"/>
    </xf>
    <xf numFmtId="46" fontId="46" fillId="27" borderId="93" xfId="0" applyNumberFormat="1" applyFont="1" applyFill="1" applyBorder="1" applyAlignment="1" applyProtection="1">
      <alignment horizontal="center" vertical="center" wrapText="1"/>
    </xf>
    <xf numFmtId="180" fontId="46" fillId="27" borderId="93" xfId="0" applyNumberFormat="1" applyFont="1" applyFill="1" applyBorder="1" applyAlignment="1" applyProtection="1">
      <alignment horizontal="center" vertical="center" wrapText="1"/>
    </xf>
    <xf numFmtId="46" fontId="46" fillId="28" borderId="0" xfId="0" applyNumberFormat="1" applyFont="1" applyFill="1" applyBorder="1" applyAlignment="1" applyProtection="1">
      <alignment horizontal="center" vertical="center" wrapText="1"/>
    </xf>
    <xf numFmtId="180" fontId="46" fillId="28" borderId="0" xfId="0" applyNumberFormat="1" applyFont="1" applyFill="1" applyBorder="1" applyAlignment="1" applyProtection="1">
      <alignment horizontal="center" vertical="center" wrapText="1"/>
    </xf>
    <xf numFmtId="169" fontId="46" fillId="27" borderId="93" xfId="0" applyNumberFormat="1" applyFont="1" applyFill="1" applyBorder="1" applyAlignment="1" applyProtection="1">
      <alignment horizontal="center" vertical="center" wrapText="1"/>
    </xf>
    <xf numFmtId="169" fontId="46" fillId="28" borderId="0" xfId="0" applyNumberFormat="1" applyFont="1" applyFill="1" applyBorder="1" applyAlignment="1" applyProtection="1">
      <alignment horizontal="center" vertical="center" wrapText="1"/>
    </xf>
    <xf numFmtId="0" fontId="47" fillId="27" borderId="93" xfId="0" applyFont="1" applyFill="1" applyBorder="1" applyAlignment="1">
      <alignment horizontal="center" vertical="center"/>
    </xf>
    <xf numFmtId="178" fontId="46" fillId="27" borderId="93" xfId="0" applyNumberFormat="1" applyFont="1" applyFill="1" applyBorder="1" applyAlignment="1" applyProtection="1">
      <alignment horizontal="center" vertical="center" wrapText="1"/>
    </xf>
    <xf numFmtId="0" fontId="48" fillId="28" borderId="0" xfId="0" applyFont="1" applyFill="1" applyBorder="1" applyAlignment="1">
      <alignment horizontal="center" vertical="center"/>
    </xf>
    <xf numFmtId="178" fontId="46" fillId="28" borderId="0" xfId="0" applyNumberFormat="1" applyFont="1" applyFill="1" applyBorder="1" applyAlignment="1" applyProtection="1">
      <alignment horizontal="center" vertical="center" wrapText="1"/>
    </xf>
    <xf numFmtId="0" fontId="48" fillId="32" borderId="93" xfId="0" applyFont="1" applyFill="1" applyBorder="1" applyAlignment="1">
      <alignment horizontal="center" vertical="center"/>
    </xf>
    <xf numFmtId="0" fontId="44" fillId="28" borderId="94" xfId="0" applyFont="1" applyFill="1" applyBorder="1"/>
    <xf numFmtId="0" fontId="44" fillId="28" borderId="95" xfId="0" applyFont="1" applyFill="1" applyBorder="1"/>
    <xf numFmtId="0" fontId="44" fillId="28" borderId="96" xfId="0" applyFont="1" applyFill="1" applyBorder="1"/>
    <xf numFmtId="0" fontId="0" fillId="30" borderId="0" xfId="0" applyFill="1"/>
    <xf numFmtId="0" fontId="50" fillId="20" borderId="97" xfId="0" applyFont="1" applyFill="1" applyBorder="1" applyAlignment="1" applyProtection="1">
      <alignment horizontal="left" vertical="center"/>
      <protection locked="0"/>
    </xf>
    <xf numFmtId="179" fontId="50" fillId="18" borderId="97" xfId="0" applyNumberFormat="1" applyFont="1" applyFill="1" applyBorder="1" applyAlignment="1" applyProtection="1">
      <alignment horizontal="left" vertical="center"/>
      <protection locked="0"/>
    </xf>
    <xf numFmtId="0" fontId="50" fillId="20" borderId="98" xfId="0" applyFont="1" applyFill="1" applyBorder="1" applyAlignment="1" applyProtection="1">
      <alignment horizontal="left" vertical="center"/>
      <protection locked="0"/>
    </xf>
    <xf numFmtId="179" fontId="50" fillId="18" borderId="98" xfId="0" applyNumberFormat="1" applyFont="1" applyFill="1" applyBorder="1" applyAlignment="1" applyProtection="1">
      <alignment horizontal="left" vertical="center"/>
      <protection locked="0"/>
    </xf>
    <xf numFmtId="0" fontId="50" fillId="22" borderId="98" xfId="0" applyFont="1" applyFill="1" applyBorder="1" applyAlignment="1" applyProtection="1">
      <alignment horizontal="left" vertical="center"/>
      <protection locked="0"/>
    </xf>
    <xf numFmtId="14" fontId="50" fillId="20" borderId="98" xfId="0" applyNumberFormat="1" applyFont="1" applyFill="1" applyBorder="1" applyAlignment="1" applyProtection="1">
      <alignment horizontal="left" vertical="center"/>
      <protection locked="0"/>
    </xf>
    <xf numFmtId="21" fontId="50" fillId="20" borderId="98" xfId="0" applyNumberFormat="1" applyFont="1" applyFill="1" applyBorder="1" applyAlignment="1" applyProtection="1">
      <alignment horizontal="left" vertical="center"/>
      <protection locked="0"/>
    </xf>
    <xf numFmtId="0" fontId="50" fillId="33" borderId="98" xfId="0" applyFont="1" applyFill="1" applyBorder="1" applyAlignment="1" applyProtection="1">
      <alignment horizontal="left" vertical="center"/>
      <protection locked="0"/>
    </xf>
    <xf numFmtId="0" fontId="50" fillId="31" borderId="0" xfId="0" applyFont="1" applyFill="1" applyBorder="1" applyAlignment="1">
      <alignment horizontal="center" vertical="center"/>
    </xf>
    <xf numFmtId="0" fontId="50" fillId="31" borderId="0" xfId="2" applyFont="1" applyFill="1" applyBorder="1" applyAlignment="1">
      <alignment horizontal="center" vertical="center"/>
    </xf>
    <xf numFmtId="49" fontId="50" fillId="31" borderId="1" xfId="0" applyNumberFormat="1" applyFont="1" applyFill="1" applyBorder="1" applyAlignment="1">
      <alignment horizontal="center" vertical="center"/>
    </xf>
    <xf numFmtId="168" fontId="50" fillId="31" borderId="1" xfId="0" applyNumberFormat="1" applyFont="1" applyFill="1" applyBorder="1" applyAlignment="1">
      <alignment horizontal="center" vertical="center"/>
    </xf>
    <xf numFmtId="182" fontId="50" fillId="31" borderId="1" xfId="0" applyNumberFormat="1" applyFont="1" applyFill="1" applyBorder="1" applyAlignment="1">
      <alignment horizontal="center" vertical="center"/>
    </xf>
    <xf numFmtId="171" fontId="50" fillId="31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0" fillId="30" borderId="0" xfId="0" applyFont="1" applyFill="1" applyBorder="1" applyAlignment="1">
      <alignment horizontal="center" vertical="center"/>
    </xf>
    <xf numFmtId="0" fontId="50" fillId="30" borderId="0" xfId="2" applyFont="1" applyFill="1" applyBorder="1" applyAlignment="1">
      <alignment horizontal="center" vertical="center"/>
    </xf>
    <xf numFmtId="49" fontId="50" fillId="30" borderId="1" xfId="0" applyNumberFormat="1" applyFont="1" applyFill="1" applyBorder="1" applyAlignment="1">
      <alignment horizontal="center" vertical="center"/>
    </xf>
    <xf numFmtId="168" fontId="50" fillId="30" borderId="1" xfId="0" applyNumberFormat="1" applyFont="1" applyFill="1" applyBorder="1" applyAlignment="1">
      <alignment horizontal="center" vertical="center"/>
    </xf>
    <xf numFmtId="182" fontId="50" fillId="30" borderId="55" xfId="0" applyNumberFormat="1" applyFont="1" applyFill="1" applyBorder="1" applyAlignment="1">
      <alignment horizontal="center" vertical="center"/>
    </xf>
    <xf numFmtId="171" fontId="50" fillId="30" borderId="1" xfId="0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22" fontId="16" fillId="4" borderId="0" xfId="0" applyNumberFormat="1" applyFont="1" applyFill="1" applyAlignment="1">
      <alignment horizontal="center" vertical="center"/>
    </xf>
    <xf numFmtId="168" fontId="50" fillId="30" borderId="55" xfId="0" applyNumberFormat="1" applyFont="1" applyFill="1" applyBorder="1" applyAlignment="1">
      <alignment horizontal="center" vertical="center"/>
    </xf>
    <xf numFmtId="168" fontId="50" fillId="30" borderId="52" xfId="0" applyNumberFormat="1" applyFont="1" applyFill="1" applyBorder="1" applyAlignment="1">
      <alignment horizontal="center" vertical="center"/>
    </xf>
    <xf numFmtId="0" fontId="50" fillId="30" borderId="55" xfId="0" applyFont="1" applyFill="1" applyBorder="1" applyAlignment="1">
      <alignment horizontal="center" vertical="center"/>
    </xf>
    <xf numFmtId="0" fontId="50" fillId="31" borderId="1" xfId="0" applyFont="1" applyFill="1" applyBorder="1" applyAlignment="1">
      <alignment horizontal="center" vertical="center"/>
    </xf>
    <xf numFmtId="0" fontId="50" fillId="30" borderId="54" xfId="0" applyFont="1" applyFill="1" applyBorder="1" applyAlignment="1">
      <alignment horizontal="center" vertical="center"/>
    </xf>
    <xf numFmtId="168" fontId="50" fillId="30" borderId="54" xfId="0" applyNumberFormat="1" applyFont="1" applyFill="1" applyBorder="1" applyAlignment="1">
      <alignment horizontal="center" vertical="center"/>
    </xf>
    <xf numFmtId="182" fontId="50" fillId="30" borderId="5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0" fillId="30" borderId="0" xfId="2" quotePrefix="1" applyFont="1" applyFill="1" applyBorder="1" applyAlignment="1">
      <alignment horizontal="center" vertical="center"/>
    </xf>
    <xf numFmtId="0" fontId="50" fillId="3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0" borderId="54" xfId="0" applyFont="1" applyBorder="1" applyAlignment="1">
      <alignment horizontal="center" vertical="center" wrapText="1"/>
    </xf>
    <xf numFmtId="182" fontId="16" fillId="0" borderId="54" xfId="0" applyNumberFormat="1" applyFont="1" applyBorder="1" applyAlignment="1">
      <alignment horizontal="center" vertical="center" wrapText="1"/>
    </xf>
    <xf numFmtId="171" fontId="16" fillId="0" borderId="1" xfId="0" applyNumberFormat="1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57" fillId="13" borderId="65" xfId="0" applyFont="1" applyFill="1" applyBorder="1" applyAlignment="1" applyProtection="1">
      <alignment horizontal="center" vertical="center"/>
      <protection locked="0"/>
    </xf>
    <xf numFmtId="0" fontId="57" fillId="8" borderId="5" xfId="0" applyFont="1" applyFill="1" applyBorder="1" applyAlignment="1" applyProtection="1">
      <alignment horizontal="center" vertical="center"/>
    </xf>
    <xf numFmtId="0" fontId="57" fillId="14" borderId="5" xfId="0" applyFont="1" applyFill="1" applyBorder="1" applyAlignment="1" applyProtection="1">
      <alignment horizontal="center" vertical="center"/>
      <protection locked="0"/>
    </xf>
    <xf numFmtId="0" fontId="57" fillId="15" borderId="5" xfId="0" applyFont="1" applyFill="1" applyBorder="1" applyAlignment="1" applyProtection="1">
      <alignment horizontal="center" vertical="center"/>
      <protection locked="0"/>
    </xf>
    <xf numFmtId="0" fontId="57" fillId="3" borderId="41" xfId="0" applyFont="1" applyFill="1" applyBorder="1" applyAlignment="1" applyProtection="1">
      <alignment horizontal="center" vertical="center"/>
      <protection locked="0"/>
    </xf>
    <xf numFmtId="172" fontId="51" fillId="9" borderId="64" xfId="0" applyNumberFormat="1" applyFont="1" applyFill="1" applyBorder="1" applyAlignment="1" applyProtection="1">
      <alignment horizontal="center" vertical="center"/>
    </xf>
    <xf numFmtId="169" fontId="51" fillId="6" borderId="64" xfId="0" applyNumberFormat="1" applyFont="1" applyFill="1" applyBorder="1" applyAlignment="1" applyProtection="1">
      <alignment horizontal="center" vertical="center"/>
      <protection locked="0"/>
    </xf>
    <xf numFmtId="0" fontId="57" fillId="10" borderId="66" xfId="0" applyFont="1" applyFill="1" applyBorder="1" applyAlignment="1" applyProtection="1">
      <alignment vertical="center"/>
      <protection locked="0"/>
    </xf>
    <xf numFmtId="0" fontId="57" fillId="10" borderId="67" xfId="0" applyFont="1" applyFill="1" applyBorder="1" applyAlignment="1" applyProtection="1">
      <alignment vertical="center"/>
      <protection locked="0"/>
    </xf>
    <xf numFmtId="171" fontId="51" fillId="13" borderId="65" xfId="0" applyNumberFormat="1" applyFont="1" applyFill="1" applyBorder="1" applyAlignment="1" applyProtection="1">
      <alignment horizontal="center" vertical="center"/>
      <protection locked="0"/>
    </xf>
    <xf numFmtId="171" fontId="51" fillId="8" borderId="5" xfId="0" applyNumberFormat="1" applyFont="1" applyFill="1" applyBorder="1" applyAlignment="1" applyProtection="1">
      <alignment horizontal="center" vertical="center"/>
      <protection locked="0"/>
    </xf>
    <xf numFmtId="171" fontId="51" fillId="14" borderId="5" xfId="0" applyNumberFormat="1" applyFont="1" applyFill="1" applyBorder="1" applyAlignment="1" applyProtection="1">
      <alignment horizontal="center" vertical="center"/>
      <protection locked="0"/>
    </xf>
    <xf numFmtId="171" fontId="51" fillId="15" borderId="5" xfId="0" applyNumberFormat="1" applyFont="1" applyFill="1" applyBorder="1" applyAlignment="1" applyProtection="1">
      <alignment horizontal="center" vertical="center"/>
      <protection locked="0"/>
    </xf>
    <xf numFmtId="171" fontId="51" fillId="3" borderId="41" xfId="0" applyNumberFormat="1" applyFont="1" applyFill="1" applyBorder="1" applyAlignment="1" applyProtection="1">
      <alignment horizontal="center" vertical="center"/>
      <protection locked="0"/>
    </xf>
    <xf numFmtId="0" fontId="57" fillId="12" borderId="66" xfId="0" applyFont="1" applyFill="1" applyBorder="1" applyAlignment="1" applyProtection="1">
      <alignment vertical="center" wrapText="1"/>
      <protection locked="0"/>
    </xf>
    <xf numFmtId="0" fontId="57" fillId="12" borderId="67" xfId="0" applyFont="1" applyFill="1" applyBorder="1" applyAlignment="1" applyProtection="1">
      <alignment vertical="center" wrapText="1"/>
      <protection locked="0"/>
    </xf>
    <xf numFmtId="175" fontId="51" fillId="9" borderId="64" xfId="0" applyNumberFormat="1" applyFont="1" applyFill="1" applyBorder="1" applyAlignment="1" applyProtection="1">
      <alignment horizontal="center" vertical="center" wrapText="1"/>
    </xf>
    <xf numFmtId="169" fontId="51" fillId="6" borderId="64" xfId="0" applyNumberFormat="1" applyFont="1" applyFill="1" applyBorder="1" applyAlignment="1" applyProtection="1">
      <alignment horizontal="center" vertical="center"/>
    </xf>
    <xf numFmtId="21" fontId="51" fillId="13" borderId="65" xfId="0" applyNumberFormat="1" applyFont="1" applyFill="1" applyBorder="1" applyAlignment="1" applyProtection="1">
      <alignment horizontal="center" vertical="center" wrapText="1"/>
    </xf>
    <xf numFmtId="21" fontId="51" fillId="8" borderId="5" xfId="0" applyNumberFormat="1" applyFont="1" applyFill="1" applyBorder="1" applyAlignment="1" applyProtection="1">
      <alignment horizontal="center" vertical="center" wrapText="1"/>
    </xf>
    <xf numFmtId="21" fontId="51" fillId="14" borderId="5" xfId="0" applyNumberFormat="1" applyFont="1" applyFill="1" applyBorder="1" applyAlignment="1" applyProtection="1">
      <alignment horizontal="center" vertical="center" wrapText="1"/>
    </xf>
    <xf numFmtId="21" fontId="51" fillId="15" borderId="5" xfId="0" applyNumberFormat="1" applyFont="1" applyFill="1" applyBorder="1" applyAlignment="1" applyProtection="1">
      <alignment horizontal="center" vertical="center" wrapText="1"/>
    </xf>
    <xf numFmtId="21" fontId="51" fillId="3" borderId="41" xfId="0" applyNumberFormat="1" applyFont="1" applyFill="1" applyBorder="1" applyAlignment="1" applyProtection="1">
      <alignment horizontal="center" vertical="center" wrapText="1"/>
    </xf>
    <xf numFmtId="174" fontId="57" fillId="16" borderId="66" xfId="0" applyNumberFormat="1" applyFont="1" applyFill="1" applyBorder="1" applyAlignment="1" applyProtection="1">
      <alignment horizontal="center" vertical="center" wrapText="1"/>
    </xf>
    <xf numFmtId="0" fontId="51" fillId="0" borderId="0" xfId="0" applyFont="1" applyAlignment="1" applyProtection="1">
      <alignment horizontal="center" vertical="center" wrapText="1"/>
    </xf>
    <xf numFmtId="46" fontId="57" fillId="9" borderId="77" xfId="0" applyNumberFormat="1" applyFont="1" applyFill="1" applyBorder="1" applyAlignment="1" applyProtection="1">
      <alignment horizontal="center" vertical="center" wrapText="1"/>
    </xf>
    <xf numFmtId="169" fontId="57" fillId="6" borderId="60" xfId="0" applyNumberFormat="1" applyFont="1" applyFill="1" applyBorder="1" applyAlignment="1" applyProtection="1">
      <alignment horizontal="center" vertical="center" wrapText="1"/>
    </xf>
    <xf numFmtId="176" fontId="57" fillId="10" borderId="77" xfId="0" applyNumberFormat="1" applyFont="1" applyFill="1" applyBorder="1" applyAlignment="1" applyProtection="1">
      <alignment horizontal="center" vertical="center" wrapText="1"/>
    </xf>
    <xf numFmtId="176" fontId="57" fillId="10" borderId="53" xfId="0" applyNumberFormat="1" applyFont="1" applyFill="1" applyBorder="1" applyAlignment="1" applyProtection="1">
      <alignment horizontal="center" vertical="center" wrapText="1"/>
    </xf>
    <xf numFmtId="176" fontId="57" fillId="5" borderId="66" xfId="0" applyNumberFormat="1" applyFont="1" applyFill="1" applyBorder="1" applyAlignment="1" applyProtection="1">
      <alignment horizontal="center" vertical="center" wrapText="1"/>
    </xf>
    <xf numFmtId="176" fontId="57" fillId="5" borderId="53" xfId="0" applyNumberFormat="1" applyFont="1" applyFill="1" applyBorder="1" applyAlignment="1" applyProtection="1">
      <alignment horizontal="center" vertical="center" wrapText="1"/>
    </xf>
    <xf numFmtId="180" fontId="57" fillId="11" borderId="66" xfId="0" applyNumberFormat="1" applyFont="1" applyFill="1" applyBorder="1" applyAlignment="1" applyProtection="1">
      <alignment horizontal="center" vertical="center" wrapText="1"/>
    </xf>
    <xf numFmtId="180" fontId="57" fillId="11" borderId="53" xfId="0" applyNumberFormat="1" applyFont="1" applyFill="1" applyBorder="1" applyAlignment="1" applyProtection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21" fontId="57" fillId="13" borderId="0" xfId="0" applyNumberFormat="1" applyFont="1" applyFill="1" applyBorder="1" applyAlignment="1" applyProtection="1">
      <alignment horizontal="center" vertical="center" wrapText="1"/>
    </xf>
    <xf numFmtId="21" fontId="57" fillId="8" borderId="53" xfId="0" applyNumberFormat="1" applyFont="1" applyFill="1" applyBorder="1" applyAlignment="1" applyProtection="1">
      <alignment horizontal="center" vertical="center" wrapText="1"/>
    </xf>
    <xf numFmtId="21" fontId="57" fillId="14" borderId="53" xfId="0" applyNumberFormat="1" applyFont="1" applyFill="1" applyBorder="1" applyAlignment="1" applyProtection="1">
      <alignment horizontal="center" vertical="center" wrapText="1"/>
    </xf>
    <xf numFmtId="21" fontId="57" fillId="15" borderId="53" xfId="0" applyNumberFormat="1" applyFont="1" applyFill="1" applyBorder="1" applyAlignment="1" applyProtection="1">
      <alignment horizontal="center" vertical="center" wrapText="1"/>
    </xf>
    <xf numFmtId="21" fontId="57" fillId="3" borderId="53" xfId="0" applyNumberFormat="1" applyFont="1" applyFill="1" applyBorder="1" applyAlignment="1" applyProtection="1">
      <alignment horizontal="center" vertical="center" wrapText="1"/>
    </xf>
    <xf numFmtId="178" fontId="57" fillId="12" borderId="66" xfId="0" applyNumberFormat="1" applyFont="1" applyFill="1" applyBorder="1" applyAlignment="1" applyProtection="1">
      <alignment horizontal="center" vertical="center" wrapText="1"/>
    </xf>
    <xf numFmtId="178" fontId="57" fillId="12" borderId="53" xfId="0" applyNumberFormat="1" applyFont="1" applyFill="1" applyBorder="1" applyAlignment="1" applyProtection="1">
      <alignment horizontal="center" vertical="center" wrapText="1"/>
    </xf>
    <xf numFmtId="0" fontId="57" fillId="19" borderId="78" xfId="0" applyFont="1" applyFill="1" applyBorder="1" applyAlignment="1" applyProtection="1">
      <alignment horizontal="center" vertical="center" wrapText="1"/>
    </xf>
    <xf numFmtId="0" fontId="58" fillId="17" borderId="0" xfId="0" applyFont="1" applyFill="1" applyBorder="1" applyAlignment="1" applyProtection="1">
      <alignment horizontal="center" vertical="center" wrapText="1"/>
    </xf>
    <xf numFmtId="179" fontId="57" fillId="18" borderId="66" xfId="0" applyNumberFormat="1" applyFont="1" applyFill="1" applyBorder="1" applyAlignment="1" applyProtection="1">
      <alignment horizontal="center" vertical="center" wrapText="1"/>
    </xf>
    <xf numFmtId="0" fontId="51" fillId="4" borderId="0" xfId="0" applyFont="1" applyFill="1" applyProtection="1"/>
    <xf numFmtId="0" fontId="51" fillId="4" borderId="0" xfId="0" applyFont="1" applyFill="1" applyAlignment="1" applyProtection="1">
      <alignment horizontal="center" vertical="center"/>
    </xf>
    <xf numFmtId="169" fontId="51" fillId="0" borderId="0" xfId="0" applyNumberFormat="1" applyFont="1" applyAlignment="1">
      <alignment horizontal="center" vertical="center"/>
    </xf>
    <xf numFmtId="0" fontId="57" fillId="5" borderId="66" xfId="0" applyFont="1" applyFill="1" applyBorder="1" applyAlignment="1" applyProtection="1">
      <alignment horizontal="center" vertical="center"/>
    </xf>
    <xf numFmtId="0" fontId="57" fillId="5" borderId="67" xfId="0" applyFont="1" applyFill="1" applyBorder="1" applyAlignment="1" applyProtection="1">
      <alignment horizontal="center" vertical="center"/>
    </xf>
    <xf numFmtId="0" fontId="57" fillId="0" borderId="0" xfId="0" applyFont="1" applyAlignment="1">
      <alignment horizontal="center" vertical="center"/>
    </xf>
    <xf numFmtId="174" fontId="50" fillId="16" borderId="97" xfId="0" applyNumberFormat="1" applyFont="1" applyFill="1" applyBorder="1" applyAlignment="1" applyProtection="1">
      <alignment horizontal="center" vertical="center"/>
      <protection locked="0"/>
    </xf>
    <xf numFmtId="0" fontId="50" fillId="0" borderId="97" xfId="0" applyFont="1" applyBorder="1" applyAlignment="1" applyProtection="1">
      <alignment horizontal="center" vertical="center"/>
      <protection locked="0"/>
    </xf>
    <xf numFmtId="46" fontId="50" fillId="9" borderId="97" xfId="0" applyNumberFormat="1" applyFont="1" applyFill="1" applyBorder="1" applyAlignment="1" applyProtection="1">
      <alignment horizontal="center" vertical="center"/>
    </xf>
    <xf numFmtId="169" fontId="50" fillId="6" borderId="97" xfId="0" applyNumberFormat="1" applyFont="1" applyFill="1" applyBorder="1" applyAlignment="1" applyProtection="1">
      <alignment horizontal="center" vertical="center"/>
      <protection locked="0"/>
    </xf>
    <xf numFmtId="176" fontId="50" fillId="10" borderId="97" xfId="0" applyNumberFormat="1" applyFont="1" applyFill="1" applyBorder="1" applyAlignment="1" applyProtection="1">
      <alignment horizontal="center" vertical="center"/>
    </xf>
    <xf numFmtId="176" fontId="50" fillId="10" borderId="97" xfId="0" applyNumberFormat="1" applyFont="1" applyFill="1" applyBorder="1" applyAlignment="1" applyProtection="1">
      <alignment horizontal="center" vertical="center"/>
      <protection locked="0"/>
    </xf>
    <xf numFmtId="177" fontId="50" fillId="5" borderId="97" xfId="0" applyNumberFormat="1" applyFont="1" applyFill="1" applyBorder="1" applyAlignment="1" applyProtection="1">
      <alignment horizontal="center" vertical="center"/>
      <protection locked="0"/>
    </xf>
    <xf numFmtId="180" fontId="50" fillId="11" borderId="97" xfId="0" applyNumberFormat="1" applyFont="1" applyFill="1" applyBorder="1" applyAlignment="1" applyProtection="1">
      <alignment horizontal="center" vertical="center"/>
      <protection locked="0"/>
    </xf>
    <xf numFmtId="180" fontId="50" fillId="11" borderId="97" xfId="0" applyNumberFormat="1" applyFont="1" applyFill="1" applyBorder="1" applyAlignment="1" applyProtection="1">
      <alignment horizontal="center" vertical="center"/>
    </xf>
    <xf numFmtId="0" fontId="50" fillId="0" borderId="97" xfId="0" applyFont="1" applyBorder="1" applyAlignment="1">
      <alignment horizontal="center" vertical="center"/>
    </xf>
    <xf numFmtId="21" fontId="50" fillId="13" borderId="97" xfId="0" applyNumberFormat="1" applyFont="1" applyFill="1" applyBorder="1" applyAlignment="1" applyProtection="1">
      <alignment horizontal="center" vertical="center"/>
      <protection locked="0"/>
    </xf>
    <xf numFmtId="21" fontId="50" fillId="8" borderId="97" xfId="0" applyNumberFormat="1" applyFont="1" applyFill="1" applyBorder="1" applyAlignment="1" applyProtection="1">
      <alignment horizontal="center" vertical="center"/>
      <protection locked="0"/>
    </xf>
    <xf numFmtId="21" fontId="50" fillId="14" borderId="97" xfId="0" applyNumberFormat="1" applyFont="1" applyFill="1" applyBorder="1" applyAlignment="1" applyProtection="1">
      <alignment horizontal="center" vertical="center"/>
      <protection locked="0"/>
    </xf>
    <xf numFmtId="21" fontId="50" fillId="15" borderId="97" xfId="0" applyNumberFormat="1" applyFont="1" applyFill="1" applyBorder="1" applyAlignment="1" applyProtection="1">
      <alignment horizontal="center" vertical="center"/>
      <protection locked="0"/>
    </xf>
    <xf numFmtId="21" fontId="50" fillId="3" borderId="97" xfId="0" applyNumberFormat="1" applyFont="1" applyFill="1" applyBorder="1" applyAlignment="1" applyProtection="1">
      <alignment horizontal="center" vertical="center"/>
      <protection locked="0"/>
    </xf>
    <xf numFmtId="178" fontId="50" fillId="12" borderId="97" xfId="0" applyNumberFormat="1" applyFont="1" applyFill="1" applyBorder="1" applyAlignment="1" applyProtection="1">
      <alignment horizontal="center" vertical="center"/>
      <protection locked="0"/>
    </xf>
    <xf numFmtId="0" fontId="50" fillId="21" borderId="97" xfId="0" applyFont="1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center" vertical="center"/>
    </xf>
    <xf numFmtId="174" fontId="50" fillId="16" borderId="98" xfId="0" applyNumberFormat="1" applyFont="1" applyFill="1" applyBorder="1" applyAlignment="1" applyProtection="1">
      <alignment horizontal="center" vertical="center"/>
      <protection locked="0"/>
    </xf>
    <xf numFmtId="0" fontId="50" fillId="0" borderId="98" xfId="0" applyFont="1" applyBorder="1" applyAlignment="1" applyProtection="1">
      <alignment horizontal="center" vertical="center"/>
      <protection locked="0"/>
    </xf>
    <xf numFmtId="46" fontId="50" fillId="9" borderId="98" xfId="0" applyNumberFormat="1" applyFont="1" applyFill="1" applyBorder="1" applyAlignment="1" applyProtection="1">
      <alignment horizontal="center" vertical="center"/>
    </xf>
    <xf numFmtId="169" fontId="50" fillId="6" borderId="98" xfId="0" applyNumberFormat="1" applyFont="1" applyFill="1" applyBorder="1" applyAlignment="1" applyProtection="1">
      <alignment horizontal="center" vertical="center"/>
      <protection locked="0"/>
    </xf>
    <xf numFmtId="176" fontId="50" fillId="10" borderId="98" xfId="0" applyNumberFormat="1" applyFont="1" applyFill="1" applyBorder="1" applyAlignment="1" applyProtection="1">
      <alignment horizontal="center" vertical="center"/>
    </xf>
    <xf numFmtId="176" fontId="50" fillId="10" borderId="98" xfId="0" applyNumberFormat="1" applyFont="1" applyFill="1" applyBorder="1" applyAlignment="1" applyProtection="1">
      <alignment horizontal="center" vertical="center"/>
      <protection locked="0"/>
    </xf>
    <xf numFmtId="177" fontId="50" fillId="5" borderId="98" xfId="0" applyNumberFormat="1" applyFont="1" applyFill="1" applyBorder="1" applyAlignment="1" applyProtection="1">
      <alignment horizontal="center" vertical="center"/>
      <protection locked="0"/>
    </xf>
    <xf numFmtId="180" fontId="50" fillId="11" borderId="98" xfId="0" applyNumberFormat="1" applyFont="1" applyFill="1" applyBorder="1" applyAlignment="1" applyProtection="1">
      <alignment horizontal="center" vertical="center"/>
      <protection locked="0"/>
    </xf>
    <xf numFmtId="180" fontId="50" fillId="11" borderId="98" xfId="0" applyNumberFormat="1" applyFont="1" applyFill="1" applyBorder="1" applyAlignment="1" applyProtection="1">
      <alignment horizontal="center" vertical="center"/>
    </xf>
    <xf numFmtId="0" fontId="50" fillId="0" borderId="98" xfId="0" applyFont="1" applyBorder="1" applyAlignment="1">
      <alignment horizontal="center" vertical="center"/>
    </xf>
    <xf numFmtId="21" fontId="50" fillId="13" borderId="98" xfId="0" applyNumberFormat="1" applyFont="1" applyFill="1" applyBorder="1" applyAlignment="1" applyProtection="1">
      <alignment horizontal="center" vertical="center"/>
      <protection locked="0"/>
    </xf>
    <xf numFmtId="21" fontId="50" fillId="8" borderId="98" xfId="0" applyNumberFormat="1" applyFont="1" applyFill="1" applyBorder="1" applyAlignment="1" applyProtection="1">
      <alignment horizontal="center" vertical="center"/>
      <protection locked="0"/>
    </xf>
    <xf numFmtId="21" fontId="50" fillId="14" borderId="98" xfId="0" applyNumberFormat="1" applyFont="1" applyFill="1" applyBorder="1" applyAlignment="1" applyProtection="1">
      <alignment horizontal="center" vertical="center"/>
      <protection locked="0"/>
    </xf>
    <xf numFmtId="21" fontId="50" fillId="15" borderId="98" xfId="0" applyNumberFormat="1" applyFont="1" applyFill="1" applyBorder="1" applyAlignment="1" applyProtection="1">
      <alignment horizontal="center" vertical="center"/>
      <protection locked="0"/>
    </xf>
    <xf numFmtId="21" fontId="50" fillId="3" borderId="98" xfId="0" applyNumberFormat="1" applyFont="1" applyFill="1" applyBorder="1" applyAlignment="1" applyProtection="1">
      <alignment horizontal="center" vertical="center"/>
      <protection locked="0"/>
    </xf>
    <xf numFmtId="178" fontId="50" fillId="12" borderId="98" xfId="0" applyNumberFormat="1" applyFont="1" applyFill="1" applyBorder="1" applyAlignment="1" applyProtection="1">
      <alignment horizontal="center" vertical="center"/>
      <protection locked="0"/>
    </xf>
    <xf numFmtId="0" fontId="50" fillId="21" borderId="98" xfId="0" applyFont="1" applyFill="1" applyBorder="1" applyAlignment="1" applyProtection="1">
      <alignment horizontal="left" vertical="center"/>
      <protection locked="0"/>
    </xf>
    <xf numFmtId="181" fontId="50" fillId="11" borderId="98" xfId="0" applyNumberFormat="1" applyFont="1" applyFill="1" applyBorder="1" applyAlignment="1" applyProtection="1">
      <alignment horizontal="center" vertical="center"/>
      <protection locked="0"/>
    </xf>
    <xf numFmtId="21" fontId="50" fillId="23" borderId="98" xfId="0" applyNumberFormat="1" applyFont="1" applyFill="1" applyBorder="1" applyAlignment="1" applyProtection="1">
      <alignment horizontal="center" vertical="center"/>
      <protection locked="0"/>
    </xf>
    <xf numFmtId="0" fontId="50" fillId="21" borderId="98" xfId="0" applyFont="1" applyFill="1" applyBorder="1" applyAlignment="1">
      <alignment horizontal="left" vertical="center"/>
    </xf>
    <xf numFmtId="0" fontId="58" fillId="0" borderId="98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169" fontId="58" fillId="0" borderId="98" xfId="0" applyNumberFormat="1" applyFont="1" applyBorder="1" applyAlignment="1">
      <alignment horizontal="center" vertical="center"/>
    </xf>
    <xf numFmtId="169" fontId="49" fillId="0" borderId="0" xfId="0" applyNumberFormat="1" applyFont="1" applyAlignment="1">
      <alignment horizontal="center" vertical="center"/>
    </xf>
    <xf numFmtId="174" fontId="51" fillId="16" borderId="66" xfId="0" applyNumberFormat="1" applyFont="1" applyFill="1" applyBorder="1" applyAlignment="1" applyProtection="1">
      <alignment horizontal="center" vertical="center" wrapText="1"/>
    </xf>
    <xf numFmtId="0" fontId="57" fillId="5" borderId="7" xfId="0" applyFont="1" applyFill="1" applyBorder="1" applyAlignment="1" applyProtection="1">
      <alignment vertical="center"/>
      <protection locked="0"/>
    </xf>
    <xf numFmtId="0" fontId="57" fillId="5" borderId="61" xfId="0" applyFont="1" applyFill="1" applyBorder="1" applyAlignment="1" applyProtection="1">
      <alignment vertical="center"/>
      <protection locked="0"/>
    </xf>
    <xf numFmtId="0" fontId="57" fillId="5" borderId="0" xfId="0" applyFont="1" applyFill="1" applyBorder="1" applyAlignment="1" applyProtection="1">
      <alignment vertical="center"/>
      <protection locked="0"/>
    </xf>
    <xf numFmtId="0" fontId="57" fillId="5" borderId="67" xfId="0" applyFont="1" applyFill="1" applyBorder="1" applyAlignment="1" applyProtection="1">
      <alignment vertical="center"/>
      <protection locked="0"/>
    </xf>
    <xf numFmtId="170" fontId="51" fillId="5" borderId="0" xfId="0" applyNumberFormat="1" applyFont="1" applyFill="1" applyBorder="1" applyAlignment="1" applyProtection="1">
      <alignment vertical="center"/>
    </xf>
    <xf numFmtId="170" fontId="51" fillId="5" borderId="67" xfId="0" applyNumberFormat="1" applyFont="1" applyFill="1" applyBorder="1" applyAlignment="1" applyProtection="1">
      <alignment vertical="center"/>
    </xf>
    <xf numFmtId="174" fontId="51" fillId="16" borderId="0" xfId="0" applyNumberFormat="1" applyFont="1" applyFill="1" applyBorder="1" applyAlignment="1" applyProtection="1">
      <alignment vertical="center" wrapText="1"/>
    </xf>
    <xf numFmtId="174" fontId="51" fillId="16" borderId="67" xfId="0" applyNumberFormat="1" applyFont="1" applyFill="1" applyBorder="1" applyAlignment="1" applyProtection="1">
      <alignment vertical="center" wrapText="1"/>
    </xf>
    <xf numFmtId="0" fontId="8" fillId="8" borderId="52" xfId="0" applyFont="1" applyFill="1" applyBorder="1" applyAlignment="1" applyProtection="1">
      <alignment horizontal="center" vertical="center" wrapText="1"/>
      <protection locked="0"/>
    </xf>
    <xf numFmtId="0" fontId="8" fillId="8" borderId="55" xfId="0" applyFont="1" applyFill="1" applyBorder="1" applyAlignment="1" applyProtection="1">
      <alignment horizontal="center" vertical="center" wrapText="1"/>
      <protection locked="0"/>
    </xf>
    <xf numFmtId="0" fontId="8" fillId="8" borderId="54" xfId="0" applyFont="1" applyFill="1" applyBorder="1" applyAlignment="1" applyProtection="1">
      <alignment horizontal="center" vertical="center" wrapText="1"/>
      <protection locked="0"/>
    </xf>
    <xf numFmtId="0" fontId="22" fillId="3" borderId="6" xfId="0" applyFont="1" applyFill="1" applyBorder="1" applyAlignment="1">
      <alignment horizontal="center" vertical="center" wrapText="1"/>
    </xf>
    <xf numFmtId="0" fontId="22" fillId="3" borderId="11" xfId="0" applyFont="1" applyFill="1" applyBorder="1" applyAlignment="1">
      <alignment horizontal="center" vertical="center" wrapText="1"/>
    </xf>
    <xf numFmtId="0" fontId="22" fillId="3" borderId="12" xfId="0" applyFont="1" applyFill="1" applyBorder="1" applyAlignment="1">
      <alignment horizontal="center" vertical="center" wrapText="1"/>
    </xf>
    <xf numFmtId="0" fontId="22" fillId="14" borderId="6" xfId="0" applyFont="1" applyFill="1" applyBorder="1" applyAlignment="1">
      <alignment horizontal="center" vertical="center" wrapText="1"/>
    </xf>
    <xf numFmtId="0" fontId="22" fillId="14" borderId="11" xfId="0" applyFont="1" applyFill="1" applyBorder="1" applyAlignment="1">
      <alignment horizontal="center" vertical="center" wrapText="1"/>
    </xf>
    <xf numFmtId="0" fontId="22" fillId="14" borderId="12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11" xfId="0" applyFont="1" applyFill="1" applyBorder="1" applyAlignment="1">
      <alignment horizontal="center" vertical="center" wrapText="1"/>
    </xf>
    <xf numFmtId="0" fontId="22" fillId="2" borderId="12" xfId="0" applyFont="1" applyFill="1" applyBorder="1" applyAlignment="1">
      <alignment horizontal="center" vertical="center" wrapText="1"/>
    </xf>
    <xf numFmtId="0" fontId="22" fillId="15" borderId="6" xfId="0" applyFont="1" applyFill="1" applyBorder="1" applyAlignment="1">
      <alignment horizontal="center" vertical="center" wrapText="1"/>
    </xf>
    <xf numFmtId="0" fontId="22" fillId="15" borderId="11" xfId="0" applyFont="1" applyFill="1" applyBorder="1" applyAlignment="1">
      <alignment horizontal="center" vertical="center" wrapText="1"/>
    </xf>
    <xf numFmtId="0" fontId="22" fillId="15" borderId="12" xfId="0" applyFont="1" applyFill="1" applyBorder="1" applyAlignment="1">
      <alignment horizontal="center" vertical="center" wrapText="1"/>
    </xf>
    <xf numFmtId="0" fontId="19" fillId="30" borderId="2" xfId="0" applyFont="1" applyFill="1" applyBorder="1" applyAlignment="1">
      <alignment horizontal="center" vertical="center" wrapText="1"/>
    </xf>
    <xf numFmtId="0" fontId="19" fillId="30" borderId="3" xfId="0" applyFont="1" applyFill="1" applyBorder="1" applyAlignment="1">
      <alignment horizontal="center" vertical="center" wrapText="1"/>
    </xf>
    <xf numFmtId="0" fontId="19" fillId="30" borderId="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4" borderId="2" xfId="2" applyFont="1" applyFill="1" applyBorder="1" applyAlignment="1">
      <alignment horizontal="center" vertical="center" wrapText="1"/>
    </xf>
    <xf numFmtId="0" fontId="14" fillId="4" borderId="3" xfId="2" applyFont="1" applyFill="1" applyBorder="1" applyAlignment="1">
      <alignment horizontal="center" vertical="center" wrapText="1"/>
    </xf>
    <xf numFmtId="0" fontId="14" fillId="4" borderId="4" xfId="2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19" fillId="31" borderId="2" xfId="0" applyFont="1" applyFill="1" applyBorder="1" applyAlignment="1">
      <alignment horizontal="center" vertical="center" wrapText="1"/>
    </xf>
    <xf numFmtId="0" fontId="19" fillId="31" borderId="4" xfId="0" applyFont="1" applyFill="1" applyBorder="1" applyAlignment="1">
      <alignment horizontal="center" vertical="center" wrapText="1"/>
    </xf>
    <xf numFmtId="0" fontId="16" fillId="4" borderId="33" xfId="0" applyFont="1" applyFill="1" applyBorder="1" applyAlignment="1">
      <alignment horizontal="center" wrapText="1"/>
    </xf>
    <xf numFmtId="0" fontId="2" fillId="4" borderId="43" xfId="0" applyFont="1" applyFill="1" applyBorder="1" applyAlignment="1">
      <alignment horizontal="center" wrapText="1"/>
    </xf>
    <xf numFmtId="0" fontId="51" fillId="0" borderId="45" xfId="0" applyFont="1" applyBorder="1" applyAlignment="1" applyProtection="1">
      <alignment horizontal="center"/>
    </xf>
    <xf numFmtId="0" fontId="59" fillId="0" borderId="45" xfId="2" applyFont="1" applyBorder="1" applyAlignment="1">
      <alignment horizontal="center" vertical="center" wrapText="1"/>
    </xf>
    <xf numFmtId="0" fontId="54" fillId="7" borderId="46" xfId="0" applyFont="1" applyFill="1" applyBorder="1" applyAlignment="1" applyProtection="1">
      <alignment horizontal="center" vertical="center" wrapText="1"/>
      <protection locked="0"/>
    </xf>
    <xf numFmtId="0" fontId="54" fillId="7" borderId="44" xfId="0" applyFont="1" applyFill="1" applyBorder="1" applyAlignment="1" applyProtection="1">
      <alignment horizontal="center" vertical="center" wrapText="1"/>
      <protection locked="0"/>
    </xf>
    <xf numFmtId="0" fontId="55" fillId="7" borderId="57" xfId="0" applyFont="1" applyFill="1" applyBorder="1" applyAlignment="1" applyProtection="1">
      <alignment horizontal="center" vertical="center"/>
    </xf>
    <xf numFmtId="0" fontId="56" fillId="7" borderId="63" xfId="0" applyFont="1" applyFill="1" applyBorder="1" applyAlignment="1" applyProtection="1">
      <alignment horizontal="center" vertical="center"/>
    </xf>
    <xf numFmtId="0" fontId="57" fillId="16" borderId="75" xfId="0" applyFont="1" applyFill="1" applyBorder="1" applyAlignment="1" applyProtection="1">
      <alignment horizontal="center" vertical="center"/>
    </xf>
    <xf numFmtId="0" fontId="57" fillId="16" borderId="76" xfId="0" applyFont="1" applyFill="1" applyBorder="1" applyAlignment="1" applyProtection="1">
      <alignment horizontal="center" vertical="center"/>
    </xf>
    <xf numFmtId="176" fontId="51" fillId="10" borderId="65" xfId="0" applyNumberFormat="1" applyFont="1" applyFill="1" applyBorder="1" applyAlignment="1" applyProtection="1">
      <alignment horizontal="center" vertical="center"/>
    </xf>
    <xf numFmtId="176" fontId="57" fillId="10" borderId="73" xfId="0" applyNumberFormat="1" applyFont="1" applyFill="1" applyBorder="1" applyAlignment="1" applyProtection="1">
      <alignment horizontal="center" vertical="center"/>
    </xf>
    <xf numFmtId="177" fontId="57" fillId="5" borderId="74" xfId="0" applyNumberFormat="1" applyFont="1" applyFill="1" applyBorder="1" applyAlignment="1" applyProtection="1">
      <alignment horizontal="center" vertical="center"/>
    </xf>
    <xf numFmtId="177" fontId="57" fillId="5" borderId="72" xfId="0" applyNumberFormat="1" applyFont="1" applyFill="1" applyBorder="1" applyAlignment="1" applyProtection="1">
      <alignment horizontal="center" vertical="center"/>
    </xf>
    <xf numFmtId="173" fontId="51" fillId="11" borderId="71" xfId="0" applyNumberFormat="1" applyFont="1" applyFill="1" applyBorder="1" applyAlignment="1" applyProtection="1">
      <alignment horizontal="center" vertical="center"/>
    </xf>
    <xf numFmtId="173" fontId="57" fillId="11" borderId="71" xfId="0" applyNumberFormat="1" applyFont="1" applyFill="1" applyBorder="1" applyAlignment="1" applyProtection="1">
      <alignment horizontal="center" vertical="center"/>
    </xf>
    <xf numFmtId="0" fontId="57" fillId="5" borderId="60" xfId="0" applyFont="1" applyFill="1" applyBorder="1" applyAlignment="1" applyProtection="1">
      <alignment horizontal="center" vertical="center"/>
      <protection locked="0"/>
    </xf>
    <xf numFmtId="0" fontId="57" fillId="5" borderId="66" xfId="0" applyFont="1" applyFill="1" applyBorder="1" applyAlignment="1" applyProtection="1">
      <alignment horizontal="center" vertical="center"/>
      <protection locked="0"/>
    </xf>
    <xf numFmtId="0" fontId="60" fillId="30" borderId="45" xfId="0" applyFont="1" applyFill="1" applyBorder="1" applyAlignment="1" applyProtection="1">
      <alignment horizontal="center" vertical="center" wrapText="1"/>
      <protection locked="0"/>
    </xf>
    <xf numFmtId="0" fontId="60" fillId="30" borderId="43" xfId="0" applyFont="1" applyFill="1" applyBorder="1" applyAlignment="1" applyProtection="1">
      <alignment horizontal="center" vertical="center" wrapText="1"/>
      <protection locked="0"/>
    </xf>
    <xf numFmtId="178" fontId="51" fillId="12" borderId="65" xfId="0" applyNumberFormat="1" applyFont="1" applyFill="1" applyBorder="1" applyAlignment="1" applyProtection="1">
      <alignment horizontal="center" vertical="center"/>
    </xf>
    <xf numFmtId="178" fontId="57" fillId="12" borderId="73" xfId="0" applyNumberFormat="1" applyFont="1" applyFill="1" applyBorder="1" applyAlignment="1" applyProtection="1">
      <alignment horizontal="center" vertical="center"/>
    </xf>
    <xf numFmtId="0" fontId="57" fillId="12" borderId="60" xfId="0" applyFont="1" applyFill="1" applyBorder="1" applyAlignment="1" applyProtection="1">
      <alignment horizontal="center" vertical="center" wrapText="1"/>
      <protection locked="0"/>
    </xf>
    <xf numFmtId="0" fontId="57" fillId="12" borderId="61" xfId="0" applyFont="1" applyFill="1" applyBorder="1" applyAlignment="1" applyProtection="1">
      <alignment horizontal="center" vertical="center" wrapText="1"/>
      <protection locked="0"/>
    </xf>
    <xf numFmtId="0" fontId="57" fillId="12" borderId="66" xfId="0" applyFont="1" applyFill="1" applyBorder="1" applyAlignment="1" applyProtection="1">
      <alignment horizontal="center" vertical="center" wrapText="1"/>
      <protection locked="0"/>
    </xf>
    <xf numFmtId="0" fontId="57" fillId="12" borderId="67" xfId="0" applyFont="1" applyFill="1" applyBorder="1" applyAlignment="1" applyProtection="1">
      <alignment horizontal="center" vertical="center" wrapText="1"/>
      <protection locked="0"/>
    </xf>
    <xf numFmtId="169" fontId="57" fillId="6" borderId="62" xfId="0" applyNumberFormat="1" applyFont="1" applyFill="1" applyBorder="1" applyAlignment="1" applyProtection="1">
      <alignment horizontal="center" vertical="center" wrapText="1"/>
      <protection locked="0"/>
    </xf>
    <xf numFmtId="169" fontId="57" fillId="6" borderId="68" xfId="0" applyNumberFormat="1" applyFont="1" applyFill="1" applyBorder="1" applyAlignment="1" applyProtection="1">
      <alignment horizontal="center" vertical="center" wrapText="1"/>
      <protection locked="0"/>
    </xf>
    <xf numFmtId="0" fontId="57" fillId="5" borderId="69" xfId="0" applyFont="1" applyFill="1" applyBorder="1" applyAlignment="1" applyProtection="1">
      <alignment horizontal="center" vertical="center"/>
      <protection locked="0"/>
    </xf>
    <xf numFmtId="0" fontId="57" fillId="5" borderId="70" xfId="0" applyFont="1" applyFill="1" applyBorder="1" applyAlignment="1" applyProtection="1">
      <alignment horizontal="center" vertical="center"/>
      <protection locked="0"/>
    </xf>
    <xf numFmtId="173" fontId="51" fillId="11" borderId="42" xfId="0" applyNumberFormat="1" applyFont="1" applyFill="1" applyBorder="1" applyAlignment="1" applyProtection="1">
      <alignment horizontal="center" vertical="center"/>
    </xf>
    <xf numFmtId="173" fontId="57" fillId="11" borderId="41" xfId="0" applyNumberFormat="1" applyFont="1" applyFill="1" applyBorder="1" applyAlignment="1" applyProtection="1">
      <alignment horizontal="center" vertical="center"/>
    </xf>
    <xf numFmtId="0" fontId="57" fillId="16" borderId="71" xfId="0" applyFont="1" applyFill="1" applyBorder="1" applyAlignment="1" applyProtection="1">
      <alignment horizontal="center" vertical="center"/>
    </xf>
    <xf numFmtId="0" fontId="57" fillId="16" borderId="72" xfId="0" applyFont="1" applyFill="1" applyBorder="1" applyAlignment="1" applyProtection="1">
      <alignment horizontal="center" vertical="center"/>
    </xf>
    <xf numFmtId="0" fontId="57" fillId="8" borderId="59" xfId="0" applyFont="1" applyFill="1" applyBorder="1" applyAlignment="1" applyProtection="1">
      <alignment horizontal="center" vertical="center"/>
      <protection locked="0"/>
    </xf>
    <xf numFmtId="0" fontId="57" fillId="8" borderId="17" xfId="0" applyFont="1" applyFill="1" applyBorder="1" applyAlignment="1" applyProtection="1">
      <alignment horizontal="center" vertical="center"/>
      <protection locked="0"/>
    </xf>
    <xf numFmtId="0" fontId="57" fillId="8" borderId="32" xfId="0" applyFont="1" applyFill="1" applyBorder="1" applyAlignment="1" applyProtection="1">
      <alignment horizontal="center" vertical="center"/>
      <protection locked="0"/>
    </xf>
    <xf numFmtId="0" fontId="57" fillId="9" borderId="58" xfId="0" applyFont="1" applyFill="1" applyBorder="1" applyAlignment="1" applyProtection="1">
      <alignment horizontal="center" vertical="center"/>
      <protection locked="0"/>
    </xf>
    <xf numFmtId="0" fontId="57" fillId="9" borderId="64" xfId="0" applyFont="1" applyFill="1" applyBorder="1" applyAlignment="1" applyProtection="1">
      <alignment horizontal="center" vertical="center"/>
      <protection locked="0"/>
    </xf>
    <xf numFmtId="0" fontId="57" fillId="10" borderId="60" xfId="0" applyFont="1" applyFill="1" applyBorder="1" applyAlignment="1" applyProtection="1">
      <alignment horizontal="center" vertical="center"/>
      <protection locked="0"/>
    </xf>
    <xf numFmtId="0" fontId="57" fillId="10" borderId="61" xfId="0" applyFont="1" applyFill="1" applyBorder="1" applyAlignment="1" applyProtection="1">
      <alignment horizontal="center" vertical="center"/>
      <protection locked="0"/>
    </xf>
    <xf numFmtId="0" fontId="57" fillId="10" borderId="66" xfId="0" applyFont="1" applyFill="1" applyBorder="1" applyAlignment="1" applyProtection="1">
      <alignment horizontal="center" vertical="center"/>
      <protection locked="0"/>
    </xf>
    <xf numFmtId="0" fontId="57" fillId="10" borderId="67" xfId="0" applyFont="1" applyFill="1" applyBorder="1" applyAlignment="1" applyProtection="1">
      <alignment horizontal="center" vertical="center"/>
      <protection locked="0"/>
    </xf>
    <xf numFmtId="0" fontId="57" fillId="5" borderId="61" xfId="0" applyFont="1" applyFill="1" applyBorder="1" applyAlignment="1" applyProtection="1">
      <alignment horizontal="center" vertical="center"/>
      <protection locked="0"/>
    </xf>
    <xf numFmtId="0" fontId="57" fillId="5" borderId="67" xfId="0" applyFont="1" applyFill="1" applyBorder="1" applyAlignment="1" applyProtection="1">
      <alignment horizontal="center" vertical="center"/>
      <protection locked="0"/>
    </xf>
    <xf numFmtId="0" fontId="57" fillId="11" borderId="16" xfId="0" applyFont="1" applyFill="1" applyBorder="1" applyAlignment="1" applyProtection="1">
      <alignment horizontal="center" vertical="center"/>
      <protection locked="0"/>
    </xf>
    <xf numFmtId="0" fontId="57" fillId="11" borderId="32" xfId="0" applyFont="1" applyFill="1" applyBorder="1" applyAlignment="1" applyProtection="1">
      <alignment horizontal="center" vertical="center"/>
      <protection locked="0"/>
    </xf>
    <xf numFmtId="0" fontId="57" fillId="11" borderId="42" xfId="0" applyFont="1" applyFill="1" applyBorder="1" applyAlignment="1" applyProtection="1">
      <alignment horizontal="center" vertical="center"/>
      <protection locked="0"/>
    </xf>
    <xf numFmtId="0" fontId="57" fillId="11" borderId="41" xfId="0" applyFont="1" applyFill="1" applyBorder="1" applyAlignment="1" applyProtection="1">
      <alignment horizontal="center" vertical="center"/>
      <protection locked="0"/>
    </xf>
    <xf numFmtId="45" fontId="52" fillId="25" borderId="2" xfId="0" applyNumberFormat="1" applyFont="1" applyFill="1" applyBorder="1" applyAlignment="1">
      <alignment horizontal="center" vertical="center" wrapText="1"/>
    </xf>
    <xf numFmtId="45" fontId="52" fillId="25" borderId="3" xfId="0" applyNumberFormat="1" applyFont="1" applyFill="1" applyBorder="1" applyAlignment="1">
      <alignment horizontal="center" vertical="center" wrapText="1"/>
    </xf>
    <xf numFmtId="45" fontId="52" fillId="25" borderId="4" xfId="0" applyNumberFormat="1" applyFont="1" applyFill="1" applyBorder="1" applyAlignment="1">
      <alignment horizontal="center" vertical="center" wrapText="1"/>
    </xf>
    <xf numFmtId="0" fontId="53" fillId="26" borderId="2" xfId="2" applyFont="1" applyFill="1" applyBorder="1" applyAlignment="1">
      <alignment horizontal="center" vertical="center"/>
    </xf>
    <xf numFmtId="0" fontId="53" fillId="26" borderId="3" xfId="2" applyFont="1" applyFill="1" applyBorder="1" applyAlignment="1">
      <alignment horizontal="center" vertical="center"/>
    </xf>
    <xf numFmtId="0" fontId="53" fillId="26" borderId="4" xfId="2" applyFont="1" applyFill="1" applyBorder="1" applyAlignment="1">
      <alignment horizontal="center" vertical="center"/>
    </xf>
    <xf numFmtId="0" fontId="53" fillId="10" borderId="2" xfId="2" applyFont="1" applyFill="1" applyBorder="1" applyAlignment="1">
      <alignment horizontal="center" vertical="center" wrapText="1"/>
    </xf>
    <xf numFmtId="0" fontId="53" fillId="10" borderId="3" xfId="2" applyFont="1" applyFill="1" applyBorder="1" applyAlignment="1">
      <alignment horizontal="center" vertical="center" wrapText="1"/>
    </xf>
    <xf numFmtId="0" fontId="53" fillId="10" borderId="4" xfId="2" applyFont="1" applyFill="1" applyBorder="1" applyAlignment="1">
      <alignment horizontal="center" vertical="center" wrapText="1"/>
    </xf>
    <xf numFmtId="0" fontId="53" fillId="31" borderId="2" xfId="2" applyFont="1" applyFill="1" applyBorder="1" applyAlignment="1">
      <alignment horizontal="center" vertical="center" wrapText="1"/>
    </xf>
    <xf numFmtId="0" fontId="53" fillId="31" borderId="3" xfId="2" applyFont="1" applyFill="1" applyBorder="1" applyAlignment="1">
      <alignment horizontal="center" vertical="center" wrapText="1"/>
    </xf>
    <xf numFmtId="0" fontId="53" fillId="31" borderId="4" xfId="2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/>
    </xf>
    <xf numFmtId="185" fontId="28" fillId="31" borderId="0" xfId="0" applyNumberFormat="1" applyFont="1" applyFill="1" applyAlignment="1">
      <alignment horizontal="center" vertical="center"/>
    </xf>
    <xf numFmtId="0" fontId="28" fillId="31" borderId="0" xfId="0" applyFont="1" applyFill="1" applyAlignment="1">
      <alignment horizontal="center" vertical="center"/>
    </xf>
    <xf numFmtId="186" fontId="32" fillId="31" borderId="0" xfId="0" applyNumberFormat="1" applyFont="1" applyFill="1" applyAlignment="1">
      <alignment horizontal="center" vertical="center"/>
    </xf>
    <xf numFmtId="0" fontId="23" fillId="30" borderId="0" xfId="0" applyFont="1" applyFill="1" applyAlignment="1">
      <alignment horizontal="center" vertical="center"/>
    </xf>
    <xf numFmtId="185" fontId="30" fillId="30" borderId="0" xfId="0" applyNumberFormat="1" applyFont="1" applyFill="1" applyAlignment="1">
      <alignment horizontal="center" vertical="center"/>
    </xf>
    <xf numFmtId="186" fontId="32" fillId="30" borderId="0" xfId="0" applyNumberFormat="1" applyFont="1" applyFill="1" applyAlignment="1">
      <alignment horizontal="center"/>
    </xf>
    <xf numFmtId="14" fontId="23" fillId="30" borderId="0" xfId="0" applyNumberFormat="1" applyFont="1" applyFill="1" applyAlignment="1">
      <alignment horizontal="center"/>
    </xf>
    <xf numFmtId="185" fontId="30" fillId="31" borderId="0" xfId="0" applyNumberFormat="1" applyFont="1" applyFill="1" applyAlignment="1">
      <alignment horizontal="center"/>
    </xf>
    <xf numFmtId="0" fontId="23" fillId="31" borderId="0" xfId="0" applyFont="1" applyFill="1" applyAlignment="1">
      <alignment horizontal="center"/>
    </xf>
    <xf numFmtId="0" fontId="23" fillId="31" borderId="0" xfId="0" applyFont="1" applyFill="1" applyAlignment="1">
      <alignment horizontal="center" vertical="center"/>
    </xf>
    <xf numFmtId="186" fontId="32" fillId="30" borderId="0" xfId="0" applyNumberFormat="1" applyFont="1" applyFill="1" applyAlignment="1">
      <alignment horizontal="center" vertical="center"/>
    </xf>
    <xf numFmtId="14" fontId="30" fillId="31" borderId="0" xfId="0" applyNumberFormat="1" applyFont="1" applyFill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186" fontId="31" fillId="31" borderId="0" xfId="0" applyNumberFormat="1" applyFont="1" applyFill="1" applyAlignment="1">
      <alignment horizontal="center" vertical="center" wrapText="1"/>
    </xf>
    <xf numFmtId="0" fontId="47" fillId="32" borderId="93" xfId="0" applyFont="1" applyFill="1" applyBorder="1" applyAlignment="1">
      <alignment horizontal="center" vertical="center"/>
    </xf>
    <xf numFmtId="0" fontId="32" fillId="31" borderId="2" xfId="0" applyFont="1" applyFill="1" applyBorder="1" applyAlignment="1">
      <alignment horizontal="center" vertical="center"/>
    </xf>
    <xf numFmtId="0" fontId="32" fillId="31" borderId="3" xfId="0" applyFont="1" applyFill="1" applyBorder="1" applyAlignment="1">
      <alignment horizontal="center" vertical="center"/>
    </xf>
    <xf numFmtId="0" fontId="32" fillId="31" borderId="4" xfId="0" applyFont="1" applyFill="1" applyBorder="1" applyAlignment="1">
      <alignment horizontal="center" vertical="center"/>
    </xf>
    <xf numFmtId="14" fontId="37" fillId="4" borderId="2" xfId="0" applyNumberFormat="1" applyFont="1" applyFill="1" applyBorder="1" applyAlignment="1">
      <alignment horizontal="center" vertical="center"/>
    </xf>
    <xf numFmtId="14" fontId="37" fillId="4" borderId="3" xfId="0" applyNumberFormat="1" applyFont="1" applyFill="1" applyBorder="1" applyAlignment="1">
      <alignment horizontal="center" vertical="center"/>
    </xf>
    <xf numFmtId="14" fontId="37" fillId="4" borderId="4" xfId="0" applyNumberFormat="1" applyFont="1" applyFill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7" xfId="0" applyFont="1" applyBorder="1" applyAlignment="1">
      <alignment horizontal="center" vertical="center"/>
    </xf>
    <xf numFmtId="0" fontId="41" fillId="0" borderId="8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1" fillId="0" borderId="33" xfId="0" applyFont="1" applyBorder="1" applyAlignment="1">
      <alignment horizontal="center" vertical="center"/>
    </xf>
    <xf numFmtId="0" fontId="41" fillId="0" borderId="12" xfId="0" applyFont="1" applyBorder="1" applyAlignment="1">
      <alignment horizontal="center" vertical="center"/>
    </xf>
    <xf numFmtId="0" fontId="41" fillId="0" borderId="45" xfId="0" applyFont="1" applyBorder="1" applyAlignment="1">
      <alignment horizontal="center" vertical="center"/>
    </xf>
    <xf numFmtId="0" fontId="41" fillId="0" borderId="43" xfId="0" applyFont="1" applyBorder="1" applyAlignment="1">
      <alignment horizontal="center" vertical="center"/>
    </xf>
    <xf numFmtId="0" fontId="34" fillId="31" borderId="2" xfId="0" applyFont="1" applyFill="1" applyBorder="1" applyAlignment="1">
      <alignment horizontal="center" vertical="center"/>
    </xf>
    <xf numFmtId="0" fontId="34" fillId="31" borderId="3" xfId="0" applyFont="1" applyFill="1" applyBorder="1" applyAlignment="1">
      <alignment horizontal="center" vertical="center"/>
    </xf>
    <xf numFmtId="0" fontId="34" fillId="31" borderId="4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" xfId="0" applyNumberFormat="1" applyFont="1" applyFill="1" applyBorder="1" applyAlignment="1">
      <alignment horizontal="center" vertical="center"/>
    </xf>
    <xf numFmtId="14" fontId="6" fillId="4" borderId="4" xfId="0" applyNumberFormat="1" applyFont="1" applyFill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45" xfId="0" applyFont="1" applyBorder="1" applyAlignment="1">
      <alignment horizontal="center" vertical="center"/>
    </xf>
    <xf numFmtId="0" fontId="42" fillId="0" borderId="43" xfId="0" applyFont="1" applyBorder="1" applyAlignment="1">
      <alignment horizontal="center" vertical="center"/>
    </xf>
    <xf numFmtId="0" fontId="43" fillId="31" borderId="2" xfId="0" applyFont="1" applyFill="1" applyBorder="1" applyAlignment="1">
      <alignment horizontal="center" vertical="center"/>
    </xf>
    <xf numFmtId="0" fontId="43" fillId="31" borderId="3" xfId="0" applyFont="1" applyFill="1" applyBorder="1" applyAlignment="1">
      <alignment horizontal="center" vertical="center"/>
    </xf>
    <xf numFmtId="0" fontId="43" fillId="31" borderId="4" xfId="0" applyFont="1" applyFill="1" applyBorder="1" applyAlignment="1">
      <alignment horizontal="center" vertical="center"/>
    </xf>
    <xf numFmtId="0" fontId="50" fillId="33" borderId="62" xfId="0" applyFont="1" applyFill="1" applyBorder="1" applyAlignment="1" applyProtection="1">
      <alignment horizontal="left" vertical="center"/>
      <protection locked="0"/>
    </xf>
    <xf numFmtId="179" fontId="50" fillId="18" borderId="62" xfId="0" applyNumberFormat="1" applyFont="1" applyFill="1" applyBorder="1" applyAlignment="1" applyProtection="1">
      <alignment horizontal="left" vertical="center"/>
      <protection locked="0"/>
    </xf>
    <xf numFmtId="174" fontId="50" fillId="16" borderId="62" xfId="0" applyNumberFormat="1" applyFont="1" applyFill="1" applyBorder="1" applyAlignment="1" applyProtection="1">
      <alignment horizontal="center" vertical="center"/>
      <protection locked="0"/>
    </xf>
    <xf numFmtId="0" fontId="58" fillId="0" borderId="62" xfId="0" applyFont="1" applyBorder="1" applyAlignment="1" applyProtection="1">
      <alignment horizontal="center" vertical="center"/>
      <protection locked="0"/>
    </xf>
    <xf numFmtId="170" fontId="0" fillId="5" borderId="66" xfId="0" applyNumberFormat="1" applyFont="1" applyFill="1" applyBorder="1" applyAlignment="1" applyProtection="1">
      <alignment horizontal="center" vertical="center"/>
    </xf>
    <xf numFmtId="0" fontId="61" fillId="33" borderId="62" xfId="0" applyFont="1" applyFill="1" applyBorder="1" applyAlignment="1" applyProtection="1">
      <alignment horizontal="left" vertical="center"/>
      <protection locked="0"/>
    </xf>
  </cellXfs>
  <cellStyles count="3">
    <cellStyle name="Lien hypertexte" xfId="2" builtinId="8"/>
    <cellStyle name="Milliers" xfId="1" builtinId="3"/>
    <cellStyle name="Normal" xfId="0" builtinId="0"/>
  </cellStyles>
  <dxfs count="10">
    <dxf>
      <font>
        <b/>
        <strike val="0"/>
        <outline val="0"/>
        <shadow val="0"/>
        <u val="none"/>
        <vertAlign val="baseline"/>
        <color theme="0"/>
        <name val="Verdana"/>
        <scheme val="none"/>
      </font>
      <border diagonalUp="0" diagonalDown="0" outline="0">
        <left style="double">
          <color auto="1"/>
        </left>
        <right style="double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color theme="0"/>
        <name val="Verdana"/>
        <scheme val="none"/>
      </font>
      <border diagonalUp="0" diagonalDown="0" outline="0">
        <left style="double">
          <color auto="1"/>
        </left>
        <right style="double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scheme val="none"/>
      </font>
      <numFmt numFmtId="174" formatCode="0.0&quot; km&quot;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scheme val="none"/>
      </font>
      <numFmt numFmtId="179" formatCode="[$-F800]dddd\,\ mmmm\ dd\,\ yyyy"/>
      <fill>
        <patternFill patternType="solid">
          <fgColor indexed="64"/>
          <bgColor rgb="FFCC99FF"/>
        </patternFill>
      </fill>
      <alignment horizontal="left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border outline="0">
        <right style="double">
          <color indexed="64"/>
        </right>
        <top style="medium">
          <color indexed="64"/>
        </top>
      </border>
    </dxf>
    <dxf>
      <font>
        <b/>
        <strike val="0"/>
        <outline val="0"/>
        <shadow val="0"/>
        <u val="none"/>
        <vertAlign val="baseline"/>
        <color theme="0"/>
        <name val="Verdana"/>
        <scheme val="none"/>
      </font>
      <protection locked="0" hidden="0"/>
    </dxf>
    <dxf>
      <font>
        <b/>
        <strike val="0"/>
        <outline val="0"/>
        <shadow val="0"/>
        <u val="none"/>
        <vertAlign val="baseline"/>
        <name val="Verdana"/>
        <scheme val="none"/>
      </font>
      <protection hidden="0"/>
    </dxf>
    <dxf>
      <fill>
        <patternFill>
          <bgColor rgb="FFBF1E2E"/>
        </patternFill>
      </fill>
    </dxf>
    <dxf>
      <fill>
        <patternFill>
          <bgColor rgb="FF3C65AF"/>
        </patternFill>
      </fill>
    </dxf>
  </dxfs>
  <tableStyles count="1" defaultTableStyle="TableStyleMedium2" defaultPivotStyle="PivotStyleLight16">
    <tableStyle name="Style de tableau croisé dynamique 1" table="0" count="0"/>
  </tableStyles>
  <colors>
    <mruColors>
      <color rgb="FF3C65AF"/>
      <color rgb="FFBF1E2E"/>
      <color rgb="FFBF1E00"/>
      <color rgb="FFFFFF99"/>
      <color rgb="FF33CC33"/>
      <color rgb="FF99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microsoft.com/office/2007/relationships/slicerCache" Target="slicerCaches/slicerCache2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8.jpeg"/><Relationship Id="rId1" Type="http://schemas.openxmlformats.org/officeDocument/2006/relationships/hyperlink" Target="https://www.facebook.com/pages/category/Athlete/Florian-Brunelet-runwithflo-Coaching-411951555617337/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hyperlink" Target="https://www.letapedutourdefrance.com/fr" TargetMode="External"/><Relationship Id="rId7" Type="http://schemas.openxmlformats.org/officeDocument/2006/relationships/hyperlink" Target="http://www.marathon06.com/" TargetMode="External"/><Relationship Id="rId2" Type="http://schemas.openxmlformats.org/officeDocument/2006/relationships/image" Target="../media/image9.png"/><Relationship Id="rId1" Type="http://schemas.openxmlformats.org/officeDocument/2006/relationships/hyperlink" Target="https://www.cannes-international-triathlon.com/" TargetMode="External"/><Relationship Id="rId6" Type="http://schemas.openxmlformats.org/officeDocument/2006/relationships/image" Target="../media/image11.png"/><Relationship Id="rId11" Type="http://schemas.openxmlformats.org/officeDocument/2006/relationships/image" Target="../media/image7.png"/><Relationship Id="rId5" Type="http://schemas.openxmlformats.org/officeDocument/2006/relationships/hyperlink" Target="https://www.ironman.com/im-france" TargetMode="External"/><Relationship Id="rId10" Type="http://schemas.openxmlformats.org/officeDocument/2006/relationships/image" Target="../media/image13.webp"/><Relationship Id="rId4" Type="http://schemas.openxmlformats.org/officeDocument/2006/relationships/image" Target="../media/image10.png"/><Relationship Id="rId9" Type="http://schemas.openxmlformats.org/officeDocument/2006/relationships/hyperlink" Target="https://www.trigames.fr/mandelieu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684000</xdr:colOff>
      <xdr:row>28</xdr:row>
      <xdr:rowOff>0</xdr:rowOff>
    </xdr:to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56000" cy="5334000"/>
        </a:xfrm>
        <a:prstGeom prst="rect">
          <a:avLst/>
        </a:prstGeom>
      </xdr:spPr>
    </xdr:pic>
    <xdr:clientData/>
  </xdr:twoCellAnchor>
  <xdr:twoCellAnchor editAs="oneCell">
    <xdr:from>
      <xdr:col>7</xdr:col>
      <xdr:colOff>618058</xdr:colOff>
      <xdr:row>8</xdr:row>
      <xdr:rowOff>81486</xdr:rowOff>
    </xdr:from>
    <xdr:to>
      <xdr:col>16</xdr:col>
      <xdr:colOff>9525</xdr:colOff>
      <xdr:row>28</xdr:row>
      <xdr:rowOff>0</xdr:rowOff>
    </xdr:to>
    <xdr:pic>
      <xdr:nvPicPr>
        <xdr:cNvPr id="35" name="Image 34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53" t="12802" r="17045" b="25384"/>
        <a:stretch/>
      </xdr:blipFill>
      <xdr:spPr>
        <a:xfrm>
          <a:off x="5952058" y="1605486"/>
          <a:ext cx="6230417" cy="3728514"/>
        </a:xfrm>
        <a:prstGeom prst="rect">
          <a:avLst/>
        </a:prstGeom>
      </xdr:spPr>
    </xdr:pic>
    <xdr:clientData/>
  </xdr:twoCellAnchor>
  <xdr:twoCellAnchor>
    <xdr:from>
      <xdr:col>8</xdr:col>
      <xdr:colOff>374298</xdr:colOff>
      <xdr:row>9</xdr:row>
      <xdr:rowOff>92076</xdr:rowOff>
    </xdr:from>
    <xdr:to>
      <xdr:col>11</xdr:col>
      <xdr:colOff>267348</xdr:colOff>
      <xdr:row>13</xdr:row>
      <xdr:rowOff>50076</xdr:rowOff>
    </xdr:to>
    <xdr:sp macro="[0]!Analysedesentrainements" textlink="">
      <xdr:nvSpPr>
        <xdr:cNvPr id="36" name="Rectangle à coins arrondis 35"/>
        <xdr:cNvSpPr/>
      </xdr:nvSpPr>
      <xdr:spPr>
        <a:xfrm>
          <a:off x="6470298" y="1806576"/>
          <a:ext cx="2160000" cy="720000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Analyse des entrainements</a:t>
          </a:r>
        </a:p>
      </xdr:txBody>
    </xdr:sp>
    <xdr:clientData/>
  </xdr:twoCellAnchor>
  <xdr:twoCellAnchor>
    <xdr:from>
      <xdr:col>12</xdr:col>
      <xdr:colOff>514350</xdr:colOff>
      <xdr:row>9</xdr:row>
      <xdr:rowOff>95250</xdr:rowOff>
    </xdr:from>
    <xdr:to>
      <xdr:col>15</xdr:col>
      <xdr:colOff>390821</xdr:colOff>
      <xdr:row>13</xdr:row>
      <xdr:rowOff>69126</xdr:rowOff>
    </xdr:to>
    <xdr:sp macro="[0]!ChronosVMA" textlink="">
      <xdr:nvSpPr>
        <xdr:cNvPr id="37" name="Rectangle à coins arrondis 36"/>
        <xdr:cNvSpPr/>
      </xdr:nvSpPr>
      <xdr:spPr>
        <a:xfrm>
          <a:off x="9639300" y="1809750"/>
          <a:ext cx="2162471" cy="735876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Chronos - VMA</a:t>
          </a:r>
          <a:endParaRPr kumimoji="0" lang="fr-FR" sz="1100" b="1" i="0" u="none" strike="noStrike" kern="0" cap="none" spc="0" normalizeH="0" baseline="0" noProof="0">
            <a:ln>
              <a:noFill/>
            </a:ln>
            <a:solidFill>
              <a:srgbClr val="3C65AF"/>
            </a:solidFill>
            <a:effectLst/>
            <a:uLnTx/>
            <a:uFillTx/>
            <a:latin typeface="Arial Black" panose="020B0A040201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374298</xdr:colOff>
      <xdr:row>18</xdr:row>
      <xdr:rowOff>135816</xdr:rowOff>
    </xdr:from>
    <xdr:to>
      <xdr:col>11</xdr:col>
      <xdr:colOff>267348</xdr:colOff>
      <xdr:row>22</xdr:row>
      <xdr:rowOff>93816</xdr:rowOff>
    </xdr:to>
    <xdr:sp macro="[0]!Objectifs" textlink="">
      <xdr:nvSpPr>
        <xdr:cNvPr id="39" name="Rectangle à coins arrondis 38"/>
        <xdr:cNvSpPr/>
      </xdr:nvSpPr>
      <xdr:spPr>
        <a:xfrm>
          <a:off x="6470298" y="3564816"/>
          <a:ext cx="2160000" cy="720000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Objectifs</a:t>
          </a:r>
        </a:p>
      </xdr:txBody>
    </xdr:sp>
    <xdr:clientData/>
  </xdr:twoCellAnchor>
  <xdr:twoCellAnchor>
    <xdr:from>
      <xdr:col>12</xdr:col>
      <xdr:colOff>516821</xdr:colOff>
      <xdr:row>23</xdr:row>
      <xdr:rowOff>25402</xdr:rowOff>
    </xdr:from>
    <xdr:to>
      <xdr:col>15</xdr:col>
      <xdr:colOff>390821</xdr:colOff>
      <xdr:row>26</xdr:row>
      <xdr:rowOff>173902</xdr:rowOff>
    </xdr:to>
    <xdr:sp macro="" textlink="">
      <xdr:nvSpPr>
        <xdr:cNvPr id="40" name="Rectangle à coins arrondis 39"/>
        <xdr:cNvSpPr/>
      </xdr:nvSpPr>
      <xdr:spPr>
        <a:xfrm>
          <a:off x="9641771" y="4406902"/>
          <a:ext cx="2160000" cy="720000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Partenaires</a:t>
          </a:r>
        </a:p>
      </xdr:txBody>
    </xdr:sp>
    <xdr:clientData/>
  </xdr:twoCellAnchor>
  <xdr:twoCellAnchor editAs="oneCell">
    <xdr:from>
      <xdr:col>7</xdr:col>
      <xdr:colOff>752475</xdr:colOff>
      <xdr:row>0</xdr:row>
      <xdr:rowOff>0</xdr:rowOff>
    </xdr:from>
    <xdr:to>
      <xdr:col>16</xdr:col>
      <xdr:colOff>114301</xdr:colOff>
      <xdr:row>11</xdr:row>
      <xdr:rowOff>494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0"/>
          <a:ext cx="6200776" cy="2095994"/>
        </a:xfrm>
        <a:prstGeom prst="rect">
          <a:avLst/>
        </a:prstGeom>
      </xdr:spPr>
    </xdr:pic>
    <xdr:clientData/>
  </xdr:twoCellAnchor>
  <xdr:twoCellAnchor>
    <xdr:from>
      <xdr:col>8</xdr:col>
      <xdr:colOff>374298</xdr:colOff>
      <xdr:row>14</xdr:row>
      <xdr:rowOff>18696</xdr:rowOff>
    </xdr:from>
    <xdr:to>
      <xdr:col>11</xdr:col>
      <xdr:colOff>267348</xdr:colOff>
      <xdr:row>17</xdr:row>
      <xdr:rowOff>167196</xdr:rowOff>
    </xdr:to>
    <xdr:sp macro="[0]!Carnetdentrainement" textlink="">
      <xdr:nvSpPr>
        <xdr:cNvPr id="41" name="Rectangle à coins arrondis 40"/>
        <xdr:cNvSpPr/>
      </xdr:nvSpPr>
      <xdr:spPr>
        <a:xfrm>
          <a:off x="6470298" y="2685696"/>
          <a:ext cx="2160000" cy="720000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Carnet d'entrainement</a:t>
          </a:r>
        </a:p>
      </xdr:txBody>
    </xdr:sp>
    <xdr:clientData/>
  </xdr:twoCellAnchor>
  <xdr:twoCellAnchor>
    <xdr:from>
      <xdr:col>12</xdr:col>
      <xdr:colOff>516821</xdr:colOff>
      <xdr:row>14</xdr:row>
      <xdr:rowOff>39689</xdr:rowOff>
    </xdr:from>
    <xdr:to>
      <xdr:col>15</xdr:col>
      <xdr:colOff>390821</xdr:colOff>
      <xdr:row>17</xdr:row>
      <xdr:rowOff>188189</xdr:rowOff>
    </xdr:to>
    <xdr:sp macro="[0]!Programmeentrainementrun" textlink="">
      <xdr:nvSpPr>
        <xdr:cNvPr id="42" name="Rectangle à coins arrondis 41"/>
        <xdr:cNvSpPr/>
      </xdr:nvSpPr>
      <xdr:spPr>
        <a:xfrm>
          <a:off x="9641771" y="2706689"/>
          <a:ext cx="2160000" cy="720000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Programme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entrainement run</a:t>
          </a:r>
        </a:p>
      </xdr:txBody>
    </xdr:sp>
    <xdr:clientData/>
  </xdr:twoCellAnchor>
  <xdr:twoCellAnchor editAs="oneCell">
    <xdr:from>
      <xdr:col>15</xdr:col>
      <xdr:colOff>589493</xdr:colOff>
      <xdr:row>25</xdr:row>
      <xdr:rowOff>55032</xdr:rowOff>
    </xdr:from>
    <xdr:to>
      <xdr:col>16</xdr:col>
      <xdr:colOff>313268</xdr:colOff>
      <xdr:row>27</xdr:row>
      <xdr:rowOff>159807</xdr:rowOff>
    </xdr:to>
    <xdr:pic macro="[0]!Paramètres"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0443" y="4817532"/>
          <a:ext cx="485775" cy="485775"/>
        </a:xfrm>
        <a:prstGeom prst="roundRect">
          <a:avLst>
            <a:gd name="adj" fmla="val 16667"/>
          </a:avLst>
        </a:prstGeom>
        <a:solidFill>
          <a:schemeClr val="bg1"/>
        </a:solidFill>
        <a:ln w="76200">
          <a:noFill/>
        </a:ln>
        <a:effectLst>
          <a:outerShdw blurRad="127000" dist="38100" dir="2700000" algn="ctr">
            <a:srgbClr val="000000">
              <a:alpha val="45000"/>
            </a:srgbClr>
          </a:outerShdw>
        </a:effectLst>
        <a:scene3d>
          <a:camera prst="perspectiveFront" fov="2700000">
            <a:rot lat="20376000" lon="1938000" rev="20112001"/>
          </a:camera>
          <a:lightRig rig="soft" dir="t">
            <a:rot lat="0" lon="0" rev="0"/>
          </a:lightRig>
        </a:scene3d>
        <a:sp3d prstMaterial="translucentPowder">
          <a:bevelT w="203200" h="50800" prst="softRound"/>
        </a:sp3d>
      </xdr:spPr>
    </xdr:pic>
    <xdr:clientData/>
  </xdr:twoCellAnchor>
  <xdr:twoCellAnchor>
    <xdr:from>
      <xdr:col>8</xdr:col>
      <xdr:colOff>374298</xdr:colOff>
      <xdr:row>23</xdr:row>
      <xdr:rowOff>62436</xdr:rowOff>
    </xdr:from>
    <xdr:to>
      <xdr:col>11</xdr:col>
      <xdr:colOff>267348</xdr:colOff>
      <xdr:row>27</xdr:row>
      <xdr:rowOff>20436</xdr:rowOff>
    </xdr:to>
    <xdr:sp macro="[0]!Objectifs" textlink="">
      <xdr:nvSpPr>
        <xdr:cNvPr id="32" name="Rectangle à coins arrondis 31"/>
        <xdr:cNvSpPr/>
      </xdr:nvSpPr>
      <xdr:spPr>
        <a:xfrm>
          <a:off x="6470298" y="4443936"/>
          <a:ext cx="2160000" cy="720000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Excercices technique</a:t>
          </a:r>
        </a:p>
      </xdr:txBody>
    </xdr:sp>
    <xdr:clientData/>
  </xdr:twoCellAnchor>
  <xdr:twoCellAnchor>
    <xdr:from>
      <xdr:col>12</xdr:col>
      <xdr:colOff>516821</xdr:colOff>
      <xdr:row>18</xdr:row>
      <xdr:rowOff>119586</xdr:rowOff>
    </xdr:from>
    <xdr:to>
      <xdr:col>15</xdr:col>
      <xdr:colOff>390821</xdr:colOff>
      <xdr:row>22</xdr:row>
      <xdr:rowOff>77586</xdr:rowOff>
    </xdr:to>
    <xdr:sp macro="[0]!Saisienouvelentrainement" textlink="">
      <xdr:nvSpPr>
        <xdr:cNvPr id="38" name="Rectangle à coins arrondis 37"/>
        <xdr:cNvSpPr/>
      </xdr:nvSpPr>
      <xdr:spPr>
        <a:xfrm>
          <a:off x="9641771" y="3548586"/>
          <a:ext cx="2160000" cy="720000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Saisie d'un nouvel entrainement</a:t>
          </a:r>
        </a:p>
      </xdr:txBody>
    </xdr:sp>
    <xdr:clientData/>
  </xdr:twoCellAnchor>
  <xdr:twoCellAnchor>
    <xdr:from>
      <xdr:col>8</xdr:col>
      <xdr:colOff>374298</xdr:colOff>
      <xdr:row>9</xdr:row>
      <xdr:rowOff>120651</xdr:rowOff>
    </xdr:from>
    <xdr:to>
      <xdr:col>11</xdr:col>
      <xdr:colOff>267348</xdr:colOff>
      <xdr:row>13</xdr:row>
      <xdr:rowOff>78651</xdr:rowOff>
    </xdr:to>
    <xdr:sp macro="[0]!Analysedesentrainements" textlink="">
      <xdr:nvSpPr>
        <xdr:cNvPr id="14" name="Rectangle à coins arrondis 13"/>
        <xdr:cNvSpPr/>
      </xdr:nvSpPr>
      <xdr:spPr>
        <a:xfrm>
          <a:off x="6470298" y="1835151"/>
          <a:ext cx="2160000" cy="720000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Analyse des entrainements</a:t>
          </a:r>
        </a:p>
      </xdr:txBody>
    </xdr:sp>
    <xdr:clientData/>
  </xdr:twoCellAnchor>
  <xdr:twoCellAnchor>
    <xdr:from>
      <xdr:col>12</xdr:col>
      <xdr:colOff>514350</xdr:colOff>
      <xdr:row>9</xdr:row>
      <xdr:rowOff>123825</xdr:rowOff>
    </xdr:from>
    <xdr:to>
      <xdr:col>15</xdr:col>
      <xdr:colOff>390821</xdr:colOff>
      <xdr:row>13</xdr:row>
      <xdr:rowOff>97701</xdr:rowOff>
    </xdr:to>
    <xdr:sp macro="[0]!ChronosVMA" textlink="">
      <xdr:nvSpPr>
        <xdr:cNvPr id="15" name="Rectangle à coins arrondis 14"/>
        <xdr:cNvSpPr/>
      </xdr:nvSpPr>
      <xdr:spPr>
        <a:xfrm>
          <a:off x="9639300" y="1838325"/>
          <a:ext cx="2162471" cy="735876"/>
        </a:xfrm>
        <a:prstGeom prst="roundRect">
          <a:avLst>
            <a:gd name="adj" fmla="val 50000"/>
          </a:avLst>
        </a:prstGeom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style>
        <a:lnRef idx="0">
          <a:scrgbClr r="0" g="0" b="0"/>
        </a:lnRef>
        <a:fillRef idx="1003">
          <a:schemeClr val="lt1"/>
        </a:fillRef>
        <a:effectRef idx="0">
          <a:scrgbClr r="0" g="0" b="0"/>
        </a:effectRef>
        <a:fontRef idx="major"/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Chronos - VMA</a:t>
          </a:r>
          <a:endParaRPr kumimoji="0" lang="fr-FR" sz="1100" b="1" i="0" u="none" strike="noStrike" kern="0" cap="none" spc="0" normalizeH="0" baseline="0" noProof="0">
            <a:ln>
              <a:noFill/>
            </a:ln>
            <a:solidFill>
              <a:srgbClr val="3C65AF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1240350</xdr:colOff>
      <xdr:row>0</xdr:row>
      <xdr:rowOff>47625</xdr:rowOff>
    </xdr:from>
    <xdr:to>
      <xdr:col>10</xdr:col>
      <xdr:colOff>346501</xdr:colOff>
      <xdr:row>4</xdr:row>
      <xdr:rowOff>142201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Activité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t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93650" y="47625"/>
              <a:ext cx="3678151" cy="8565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28575</xdr:colOff>
      <xdr:row>0</xdr:row>
      <xdr:rowOff>0</xdr:rowOff>
    </xdr:from>
    <xdr:to>
      <xdr:col>2</xdr:col>
      <xdr:colOff>780676</xdr:colOff>
      <xdr:row>7</xdr:row>
      <xdr:rowOff>247650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" y="0"/>
          <a:ext cx="3466726" cy="1714500"/>
        </a:xfrm>
        <a:prstGeom prst="rect">
          <a:avLst/>
        </a:prstGeom>
      </xdr:spPr>
    </xdr:pic>
    <xdr:clientData/>
  </xdr:twoCellAnchor>
  <xdr:twoCellAnchor editAs="absolute">
    <xdr:from>
      <xdr:col>7</xdr:col>
      <xdr:colOff>752475</xdr:colOff>
      <xdr:row>9</xdr:row>
      <xdr:rowOff>85725</xdr:rowOff>
    </xdr:from>
    <xdr:to>
      <xdr:col>10</xdr:col>
      <xdr:colOff>295275</xdr:colOff>
      <xdr:row>16</xdr:row>
      <xdr:rowOff>117450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1775" y="2181225"/>
              <a:ext cx="1828800" cy="22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238126</xdr:colOff>
      <xdr:row>1</xdr:row>
      <xdr:rowOff>76201</xdr:rowOff>
    </xdr:from>
    <xdr:to>
      <xdr:col>7</xdr:col>
      <xdr:colOff>285750</xdr:colOff>
      <xdr:row>2</xdr:row>
      <xdr:rowOff>38624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8551" y="457201"/>
          <a:ext cx="2143124" cy="724423"/>
        </a:xfrm>
        <a:prstGeom prst="rect">
          <a:avLst/>
        </a:prstGeom>
      </xdr:spPr>
    </xdr:pic>
    <xdr:clientData/>
  </xdr:twoCellAnchor>
  <xdr:twoCellAnchor>
    <xdr:from>
      <xdr:col>0</xdr:col>
      <xdr:colOff>57150</xdr:colOff>
      <xdr:row>0</xdr:row>
      <xdr:rowOff>28575</xdr:rowOff>
    </xdr:from>
    <xdr:to>
      <xdr:col>0</xdr:col>
      <xdr:colOff>1276350</xdr:colOff>
      <xdr:row>1</xdr:row>
      <xdr:rowOff>723900</xdr:rowOff>
    </xdr:to>
    <xdr:sp macro="[0]!Retouràlacceuil" textlink="">
      <xdr:nvSpPr>
        <xdr:cNvPr id="3" name="Rectangle à coins arrondis 2"/>
        <xdr:cNvSpPr/>
      </xdr:nvSpPr>
      <xdr:spPr>
        <a:xfrm>
          <a:off x="57150" y="28575"/>
          <a:ext cx="1219200" cy="107632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  <a:ln w="76200">
          <a:solidFill>
            <a:srgbClr val="3C65AF"/>
          </a:solidFill>
        </a:ln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2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 à l'acceuil</a:t>
          </a:r>
        </a:p>
      </xdr:txBody>
    </xdr:sp>
    <xdr:clientData/>
  </xdr:twoCellAnchor>
  <xdr:twoCellAnchor editAs="oneCell">
    <xdr:from>
      <xdr:col>0</xdr:col>
      <xdr:colOff>428626</xdr:colOff>
      <xdr:row>0</xdr:row>
      <xdr:rowOff>38100</xdr:rowOff>
    </xdr:from>
    <xdr:to>
      <xdr:col>0</xdr:col>
      <xdr:colOff>933450</xdr:colOff>
      <xdr:row>1</xdr:row>
      <xdr:rowOff>161924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6" y="38100"/>
          <a:ext cx="504824" cy="5048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571500</xdr:colOff>
      <xdr:row>1</xdr:row>
      <xdr:rowOff>19050</xdr:rowOff>
    </xdr:from>
    <xdr:to>
      <xdr:col>4</xdr:col>
      <xdr:colOff>838200</xdr:colOff>
      <xdr:row>4</xdr:row>
      <xdr:rowOff>100203</xdr:rowOff>
    </xdr:to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14925" y="857250"/>
          <a:ext cx="2590800" cy="87172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38100</xdr:colOff>
      <xdr:row>1</xdr:row>
      <xdr:rowOff>9524</xdr:rowOff>
    </xdr:to>
    <xdr:sp macro="[0]!Lancer_formulaire" textlink="">
      <xdr:nvSpPr>
        <xdr:cNvPr id="2" name="Rectangle 1"/>
        <xdr:cNvSpPr/>
      </xdr:nvSpPr>
      <xdr:spPr>
        <a:xfrm>
          <a:off x="0" y="0"/>
          <a:ext cx="3333750" cy="847724"/>
        </a:xfrm>
        <a:prstGeom prst="rect">
          <a:avLst/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/>
        </a:lnRef>
        <a:fillRef idx="1003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0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Verdana" panose="020B0604030504040204" pitchFamily="34" charset="0"/>
              <a:ea typeface="Verdana" panose="020B0604030504040204" pitchFamily="34" charset="0"/>
            </a:rPr>
            <a:t>Saisir un nouvel entrainement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666750</xdr:colOff>
      <xdr:row>0</xdr:row>
      <xdr:rowOff>228600</xdr:rowOff>
    </xdr:from>
    <xdr:to>
      <xdr:col>1</xdr:col>
      <xdr:colOff>2438608</xdr:colOff>
      <xdr:row>4</xdr:row>
      <xdr:rowOff>180975</xdr:rowOff>
    </xdr:to>
    <xdr:pic>
      <xdr:nvPicPr>
        <xdr:cNvPr id="3" name="Imag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1675" y="228600"/>
          <a:ext cx="1771858" cy="2314575"/>
        </a:xfrm>
        <a:prstGeom prst="rect">
          <a:avLst/>
        </a:prstGeom>
      </xdr:spPr>
    </xdr:pic>
    <xdr:clientData/>
  </xdr:twoCellAnchor>
  <xdr:twoCellAnchor>
    <xdr:from>
      <xdr:col>0</xdr:col>
      <xdr:colOff>76201</xdr:colOff>
      <xdr:row>0</xdr:row>
      <xdr:rowOff>114301</xdr:rowOff>
    </xdr:from>
    <xdr:to>
      <xdr:col>0</xdr:col>
      <xdr:colOff>1266825</xdr:colOff>
      <xdr:row>0</xdr:row>
      <xdr:rowOff>1381125</xdr:rowOff>
    </xdr:to>
    <xdr:sp macro="[0]!Retouràlacceuil" textlink="">
      <xdr:nvSpPr>
        <xdr:cNvPr id="14" name="Rectangle à coins arrondis 13"/>
        <xdr:cNvSpPr/>
      </xdr:nvSpPr>
      <xdr:spPr>
        <a:xfrm>
          <a:off x="76201" y="114301"/>
          <a:ext cx="1190624" cy="126682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  <a:ln w="76200">
          <a:solidFill>
            <a:srgbClr val="3C65AF"/>
          </a:solidFill>
        </a:ln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05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 à l'acceuil</a:t>
          </a:r>
        </a:p>
      </xdr:txBody>
    </xdr:sp>
    <xdr:clientData/>
  </xdr:twoCellAnchor>
  <xdr:twoCellAnchor editAs="oneCell">
    <xdr:from>
      <xdr:col>0</xdr:col>
      <xdr:colOff>352426</xdr:colOff>
      <xdr:row>0</xdr:row>
      <xdr:rowOff>171451</xdr:rowOff>
    </xdr:from>
    <xdr:to>
      <xdr:col>0</xdr:col>
      <xdr:colOff>990600</xdr:colOff>
      <xdr:row>0</xdr:row>
      <xdr:rowOff>809625</xdr:rowOff>
    </xdr:to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171451"/>
          <a:ext cx="638174" cy="63817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495299</xdr:rowOff>
    </xdr:from>
    <xdr:to>
      <xdr:col>0</xdr:col>
      <xdr:colOff>720000</xdr:colOff>
      <xdr:row>6</xdr:row>
      <xdr:rowOff>4349</xdr:rowOff>
    </xdr:to>
    <xdr:sp macro="" textlink="">
      <xdr:nvSpPr>
        <xdr:cNvPr id="2" name="Rectangle à coins arrondis 1"/>
        <xdr:cNvSpPr/>
      </xdr:nvSpPr>
      <xdr:spPr>
        <a:xfrm>
          <a:off x="0" y="2857499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</a:t>
          </a:r>
        </a:p>
      </xdr:txBody>
    </xdr:sp>
    <xdr:clientData/>
  </xdr:twoCellAnchor>
  <xdr:twoCellAnchor>
    <xdr:from>
      <xdr:col>0</xdr:col>
      <xdr:colOff>0</xdr:colOff>
      <xdr:row>5</xdr:row>
      <xdr:rowOff>247649</xdr:rowOff>
    </xdr:from>
    <xdr:to>
      <xdr:col>0</xdr:col>
      <xdr:colOff>720000</xdr:colOff>
      <xdr:row>7</xdr:row>
      <xdr:rowOff>4349</xdr:rowOff>
    </xdr:to>
    <xdr:sp macro="" textlink="">
      <xdr:nvSpPr>
        <xdr:cNvPr id="23" name="Rectangle à coins arrondis 22"/>
        <xdr:cNvSpPr/>
      </xdr:nvSpPr>
      <xdr:spPr>
        <a:xfrm>
          <a:off x="0" y="3105149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720000</xdr:colOff>
      <xdr:row>9</xdr:row>
      <xdr:rowOff>4350</xdr:rowOff>
    </xdr:to>
    <xdr:sp macro="" textlink="">
      <xdr:nvSpPr>
        <xdr:cNvPr id="24" name="Rectangle à coins arrondis 23"/>
        <xdr:cNvSpPr/>
      </xdr:nvSpPr>
      <xdr:spPr>
        <a:xfrm>
          <a:off x="0" y="36004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720000</xdr:colOff>
      <xdr:row>10</xdr:row>
      <xdr:rowOff>4350</xdr:rowOff>
    </xdr:to>
    <xdr:sp macro="" textlink="">
      <xdr:nvSpPr>
        <xdr:cNvPr id="25" name="Rectangle à coins arrondis 24"/>
        <xdr:cNvSpPr/>
      </xdr:nvSpPr>
      <xdr:spPr>
        <a:xfrm>
          <a:off x="0" y="38481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R-4</a:t>
          </a: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720000</xdr:colOff>
      <xdr:row>11</xdr:row>
      <xdr:rowOff>4350</xdr:rowOff>
    </xdr:to>
    <xdr:sp macro="" textlink="">
      <xdr:nvSpPr>
        <xdr:cNvPr id="26" name="Rectangle à coins arrondis 25"/>
        <xdr:cNvSpPr/>
      </xdr:nvSpPr>
      <xdr:spPr>
        <a:xfrm>
          <a:off x="0" y="40957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R-5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720000</xdr:colOff>
      <xdr:row>12</xdr:row>
      <xdr:rowOff>4350</xdr:rowOff>
    </xdr:to>
    <xdr:sp macro="" textlink="">
      <xdr:nvSpPr>
        <xdr:cNvPr id="27" name="Rectangle à coins arrondis 26"/>
        <xdr:cNvSpPr/>
      </xdr:nvSpPr>
      <xdr:spPr>
        <a:xfrm>
          <a:off x="0" y="43434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R-6</a:t>
          </a: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720000</xdr:colOff>
      <xdr:row>13</xdr:row>
      <xdr:rowOff>4350</xdr:rowOff>
    </xdr:to>
    <xdr:sp macro="" textlink="">
      <xdr:nvSpPr>
        <xdr:cNvPr id="28" name="Rectangle à coins arrondis 27"/>
        <xdr:cNvSpPr/>
      </xdr:nvSpPr>
      <xdr:spPr>
        <a:xfrm>
          <a:off x="0" y="45910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R-7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720000</xdr:colOff>
      <xdr:row>14</xdr:row>
      <xdr:rowOff>4350</xdr:rowOff>
    </xdr:to>
    <xdr:sp macro="" textlink="">
      <xdr:nvSpPr>
        <xdr:cNvPr id="29" name="Rectangle à coins arrondis 28"/>
        <xdr:cNvSpPr/>
      </xdr:nvSpPr>
      <xdr:spPr>
        <a:xfrm>
          <a:off x="0" y="48387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R-8</a:t>
          </a: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720000</xdr:colOff>
      <xdr:row>15</xdr:row>
      <xdr:rowOff>4350</xdr:rowOff>
    </xdr:to>
    <xdr:sp macro="" textlink="">
      <xdr:nvSpPr>
        <xdr:cNvPr id="30" name="Rectangle à coins arrondis 29"/>
        <xdr:cNvSpPr/>
      </xdr:nvSpPr>
      <xdr:spPr>
        <a:xfrm>
          <a:off x="0" y="50863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R-9</a:t>
          </a:r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720000</xdr:colOff>
      <xdr:row>16</xdr:row>
      <xdr:rowOff>4350</xdr:rowOff>
    </xdr:to>
    <xdr:sp macro="" textlink="">
      <xdr:nvSpPr>
        <xdr:cNvPr id="32" name="Rectangle à coins arrondis 31"/>
        <xdr:cNvSpPr/>
      </xdr:nvSpPr>
      <xdr:spPr>
        <a:xfrm>
          <a:off x="0" y="53340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R-10</a:t>
          </a: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720000</xdr:colOff>
      <xdr:row>17</xdr:row>
      <xdr:rowOff>4350</xdr:rowOff>
    </xdr:to>
    <xdr:sp macro="" textlink="">
      <xdr:nvSpPr>
        <xdr:cNvPr id="33" name="Rectangle à coins arrondis 32"/>
        <xdr:cNvSpPr/>
      </xdr:nvSpPr>
      <xdr:spPr>
        <a:xfrm>
          <a:off x="0" y="55816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R-11</a:t>
          </a: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720000</xdr:colOff>
      <xdr:row>18</xdr:row>
      <xdr:rowOff>4350</xdr:rowOff>
    </xdr:to>
    <xdr:sp macro="" textlink="">
      <xdr:nvSpPr>
        <xdr:cNvPr id="34" name="Rectangle à coins arrondis 33"/>
        <xdr:cNvSpPr/>
      </xdr:nvSpPr>
      <xdr:spPr>
        <a:xfrm>
          <a:off x="0" y="58293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R-12</a:t>
          </a: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720000</xdr:colOff>
      <xdr:row>19</xdr:row>
      <xdr:rowOff>4350</xdr:rowOff>
    </xdr:to>
    <xdr:sp macro="" textlink="">
      <xdr:nvSpPr>
        <xdr:cNvPr id="35" name="Rectangle à coins arrondis 34"/>
        <xdr:cNvSpPr/>
      </xdr:nvSpPr>
      <xdr:spPr>
        <a:xfrm>
          <a:off x="0" y="60769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R-13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720000</xdr:colOff>
      <xdr:row>20</xdr:row>
      <xdr:rowOff>4350</xdr:rowOff>
    </xdr:to>
    <xdr:sp macro="" textlink="">
      <xdr:nvSpPr>
        <xdr:cNvPr id="36" name="Rectangle à coins arrondis 35"/>
        <xdr:cNvSpPr/>
      </xdr:nvSpPr>
      <xdr:spPr>
        <a:xfrm>
          <a:off x="0" y="63246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R-14</a:t>
          </a: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720000</xdr:colOff>
      <xdr:row>21</xdr:row>
      <xdr:rowOff>4350</xdr:rowOff>
    </xdr:to>
    <xdr:sp macro="" textlink="">
      <xdr:nvSpPr>
        <xdr:cNvPr id="37" name="Rectangle à coins arrondis 36"/>
        <xdr:cNvSpPr/>
      </xdr:nvSpPr>
      <xdr:spPr>
        <a:xfrm>
          <a:off x="0" y="65722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R-15</a:t>
          </a:r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720000</xdr:colOff>
      <xdr:row>22</xdr:row>
      <xdr:rowOff>4350</xdr:rowOff>
    </xdr:to>
    <xdr:sp macro="" textlink="">
      <xdr:nvSpPr>
        <xdr:cNvPr id="38" name="Rectangle à coins arrondis 37"/>
        <xdr:cNvSpPr/>
      </xdr:nvSpPr>
      <xdr:spPr>
        <a:xfrm>
          <a:off x="0" y="68199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R-16</a:t>
          </a: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720000</xdr:colOff>
      <xdr:row>23</xdr:row>
      <xdr:rowOff>4350</xdr:rowOff>
    </xdr:to>
    <xdr:sp macro="" textlink="">
      <xdr:nvSpPr>
        <xdr:cNvPr id="40" name="Rectangle à coins arrondis 39"/>
        <xdr:cNvSpPr/>
      </xdr:nvSpPr>
      <xdr:spPr>
        <a:xfrm>
          <a:off x="0" y="70675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R-17</a:t>
          </a:r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0</xdr:col>
      <xdr:colOff>720000</xdr:colOff>
      <xdr:row>24</xdr:row>
      <xdr:rowOff>4350</xdr:rowOff>
    </xdr:to>
    <xdr:sp macro="" textlink="">
      <xdr:nvSpPr>
        <xdr:cNvPr id="41" name="Rectangle à coins arrondis 40"/>
        <xdr:cNvSpPr/>
      </xdr:nvSpPr>
      <xdr:spPr>
        <a:xfrm>
          <a:off x="0" y="73152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R-18</a:t>
          </a: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0</xdr:col>
      <xdr:colOff>720000</xdr:colOff>
      <xdr:row>25</xdr:row>
      <xdr:rowOff>4350</xdr:rowOff>
    </xdr:to>
    <xdr:sp macro="" textlink="">
      <xdr:nvSpPr>
        <xdr:cNvPr id="42" name="Rectangle à coins arrondis 41"/>
        <xdr:cNvSpPr/>
      </xdr:nvSpPr>
      <xdr:spPr>
        <a:xfrm>
          <a:off x="0" y="75628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R-19</a:t>
          </a:r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720000</xdr:colOff>
      <xdr:row>26</xdr:row>
      <xdr:rowOff>4350</xdr:rowOff>
    </xdr:to>
    <xdr:sp macro="" textlink="">
      <xdr:nvSpPr>
        <xdr:cNvPr id="43" name="Rectangle à coins arrondis 42"/>
        <xdr:cNvSpPr/>
      </xdr:nvSpPr>
      <xdr:spPr>
        <a:xfrm>
          <a:off x="0" y="78105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R-20</a:t>
          </a: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720000</xdr:colOff>
      <xdr:row>27</xdr:row>
      <xdr:rowOff>4350</xdr:rowOff>
    </xdr:to>
    <xdr:sp macro="" textlink="">
      <xdr:nvSpPr>
        <xdr:cNvPr id="44" name="Rectangle à coins arrondis 43"/>
        <xdr:cNvSpPr/>
      </xdr:nvSpPr>
      <xdr:spPr>
        <a:xfrm>
          <a:off x="0" y="80581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R-21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720000</xdr:colOff>
      <xdr:row>28</xdr:row>
      <xdr:rowOff>4350</xdr:rowOff>
    </xdr:to>
    <xdr:sp macro="" textlink="">
      <xdr:nvSpPr>
        <xdr:cNvPr id="45" name="Rectangle à coins arrondis 44"/>
        <xdr:cNvSpPr/>
      </xdr:nvSpPr>
      <xdr:spPr>
        <a:xfrm>
          <a:off x="0" y="83058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R-22</a:t>
          </a: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720000</xdr:colOff>
      <xdr:row>29</xdr:row>
      <xdr:rowOff>4350</xdr:rowOff>
    </xdr:to>
    <xdr:sp macro="" textlink="">
      <xdr:nvSpPr>
        <xdr:cNvPr id="46" name="Rectangle à coins arrondis 45"/>
        <xdr:cNvSpPr/>
      </xdr:nvSpPr>
      <xdr:spPr>
        <a:xfrm>
          <a:off x="0" y="85534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R-23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720000</xdr:colOff>
      <xdr:row>30</xdr:row>
      <xdr:rowOff>4350</xdr:rowOff>
    </xdr:to>
    <xdr:sp macro="" textlink="">
      <xdr:nvSpPr>
        <xdr:cNvPr id="47" name="Rectangle à coins arrondis 46"/>
        <xdr:cNvSpPr/>
      </xdr:nvSpPr>
      <xdr:spPr>
        <a:xfrm>
          <a:off x="0" y="88011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R-24</a:t>
          </a: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720000</xdr:colOff>
      <xdr:row>31</xdr:row>
      <xdr:rowOff>4350</xdr:rowOff>
    </xdr:to>
    <xdr:sp macro="" textlink="">
      <xdr:nvSpPr>
        <xdr:cNvPr id="49" name="Rectangle à coins arrondis 48"/>
        <xdr:cNvSpPr/>
      </xdr:nvSpPr>
      <xdr:spPr>
        <a:xfrm>
          <a:off x="0" y="90487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R-25</a:t>
          </a:r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720000</xdr:colOff>
      <xdr:row>32</xdr:row>
      <xdr:rowOff>4350</xdr:rowOff>
    </xdr:to>
    <xdr:sp macro="" textlink="">
      <xdr:nvSpPr>
        <xdr:cNvPr id="50" name="Rectangle à coins arrondis 49"/>
        <xdr:cNvSpPr/>
      </xdr:nvSpPr>
      <xdr:spPr>
        <a:xfrm>
          <a:off x="0" y="92964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R-26</a:t>
          </a: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720000</xdr:colOff>
      <xdr:row>33</xdr:row>
      <xdr:rowOff>4350</xdr:rowOff>
    </xdr:to>
    <xdr:sp macro="" textlink="">
      <xdr:nvSpPr>
        <xdr:cNvPr id="51" name="Rectangle à coins arrondis 50"/>
        <xdr:cNvSpPr/>
      </xdr:nvSpPr>
      <xdr:spPr>
        <a:xfrm>
          <a:off x="0" y="95440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R-27</a:t>
          </a:r>
        </a:p>
      </xdr:txBody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720000</xdr:colOff>
      <xdr:row>34</xdr:row>
      <xdr:rowOff>4350</xdr:rowOff>
    </xdr:to>
    <xdr:sp macro="" textlink="">
      <xdr:nvSpPr>
        <xdr:cNvPr id="52" name="Rectangle à coins arrondis 51"/>
        <xdr:cNvSpPr/>
      </xdr:nvSpPr>
      <xdr:spPr>
        <a:xfrm>
          <a:off x="0" y="97917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R-28</a:t>
          </a: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720000</xdr:colOff>
      <xdr:row>35</xdr:row>
      <xdr:rowOff>4350</xdr:rowOff>
    </xdr:to>
    <xdr:sp macro="" textlink="">
      <xdr:nvSpPr>
        <xdr:cNvPr id="53" name="Rectangle à coins arrondis 52"/>
        <xdr:cNvSpPr/>
      </xdr:nvSpPr>
      <xdr:spPr>
        <a:xfrm>
          <a:off x="0" y="100393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R-29</a:t>
          </a:r>
        </a:p>
      </xdr:txBody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720000</xdr:colOff>
      <xdr:row>36</xdr:row>
      <xdr:rowOff>4350</xdr:rowOff>
    </xdr:to>
    <xdr:sp macro="" textlink="">
      <xdr:nvSpPr>
        <xdr:cNvPr id="59" name="Rectangle à coins arrondis 58"/>
        <xdr:cNvSpPr/>
      </xdr:nvSpPr>
      <xdr:spPr>
        <a:xfrm>
          <a:off x="0" y="102870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R-30</a:t>
          </a:r>
        </a:p>
      </xdr:txBody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720000</xdr:colOff>
      <xdr:row>37</xdr:row>
      <xdr:rowOff>4350</xdr:rowOff>
    </xdr:to>
    <xdr:sp macro="" textlink="">
      <xdr:nvSpPr>
        <xdr:cNvPr id="60" name="Rectangle à coins arrondis 59"/>
        <xdr:cNvSpPr/>
      </xdr:nvSpPr>
      <xdr:spPr>
        <a:xfrm>
          <a:off x="0" y="105346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R-31</a:t>
          </a:r>
        </a:p>
      </xdr:txBody>
    </xdr:sp>
    <xdr:clientData/>
  </xdr:twoCellAnchor>
  <xdr:twoCellAnchor>
    <xdr:from>
      <xdr:col>0</xdr:col>
      <xdr:colOff>0</xdr:colOff>
      <xdr:row>37</xdr:row>
      <xdr:rowOff>0</xdr:rowOff>
    </xdr:from>
    <xdr:to>
      <xdr:col>0</xdr:col>
      <xdr:colOff>720000</xdr:colOff>
      <xdr:row>38</xdr:row>
      <xdr:rowOff>4350</xdr:rowOff>
    </xdr:to>
    <xdr:sp macro="" textlink="">
      <xdr:nvSpPr>
        <xdr:cNvPr id="61" name="Rectangle à coins arrondis 60"/>
        <xdr:cNvSpPr/>
      </xdr:nvSpPr>
      <xdr:spPr>
        <a:xfrm>
          <a:off x="0" y="107823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R-32</a:t>
          </a:r>
        </a:p>
      </xdr:txBody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720000</xdr:colOff>
      <xdr:row>39</xdr:row>
      <xdr:rowOff>4350</xdr:rowOff>
    </xdr:to>
    <xdr:sp macro="" textlink="">
      <xdr:nvSpPr>
        <xdr:cNvPr id="62" name="Rectangle à coins arrondis 61"/>
        <xdr:cNvSpPr/>
      </xdr:nvSpPr>
      <xdr:spPr>
        <a:xfrm>
          <a:off x="0" y="110299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R-33</a:t>
          </a:r>
        </a:p>
      </xdr:txBody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720000</xdr:colOff>
      <xdr:row>40</xdr:row>
      <xdr:rowOff>4350</xdr:rowOff>
    </xdr:to>
    <xdr:sp macro="" textlink="">
      <xdr:nvSpPr>
        <xdr:cNvPr id="63" name="Rectangle à coins arrondis 62"/>
        <xdr:cNvSpPr/>
      </xdr:nvSpPr>
      <xdr:spPr>
        <a:xfrm>
          <a:off x="0" y="112776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R-34</a:t>
          </a:r>
        </a:p>
      </xdr:txBody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720000</xdr:colOff>
      <xdr:row>41</xdr:row>
      <xdr:rowOff>4350</xdr:rowOff>
    </xdr:to>
    <xdr:sp macro="" textlink="">
      <xdr:nvSpPr>
        <xdr:cNvPr id="64" name="Rectangle à coins arrondis 63"/>
        <xdr:cNvSpPr/>
      </xdr:nvSpPr>
      <xdr:spPr>
        <a:xfrm>
          <a:off x="0" y="115252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R-35</a:t>
          </a:r>
        </a:p>
      </xdr:txBody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720000</xdr:colOff>
      <xdr:row>42</xdr:row>
      <xdr:rowOff>4350</xdr:rowOff>
    </xdr:to>
    <xdr:sp macro="" textlink="">
      <xdr:nvSpPr>
        <xdr:cNvPr id="65" name="Rectangle à coins arrondis 64"/>
        <xdr:cNvSpPr/>
      </xdr:nvSpPr>
      <xdr:spPr>
        <a:xfrm>
          <a:off x="0" y="117729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R-36</a:t>
          </a:r>
        </a:p>
      </xdr:txBody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720000</xdr:colOff>
      <xdr:row>43</xdr:row>
      <xdr:rowOff>4350</xdr:rowOff>
    </xdr:to>
    <xdr:sp macro="" textlink="">
      <xdr:nvSpPr>
        <xdr:cNvPr id="66" name="Rectangle à coins arrondis 65"/>
        <xdr:cNvSpPr/>
      </xdr:nvSpPr>
      <xdr:spPr>
        <a:xfrm>
          <a:off x="0" y="120205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R-37</a:t>
          </a:r>
        </a:p>
      </xdr:txBody>
    </xdr:sp>
    <xdr:clientData/>
  </xdr:twoCellAnchor>
  <xdr:twoCellAnchor>
    <xdr:from>
      <xdr:col>0</xdr:col>
      <xdr:colOff>0</xdr:colOff>
      <xdr:row>43</xdr:row>
      <xdr:rowOff>0</xdr:rowOff>
    </xdr:from>
    <xdr:to>
      <xdr:col>0</xdr:col>
      <xdr:colOff>720000</xdr:colOff>
      <xdr:row>44</xdr:row>
      <xdr:rowOff>4350</xdr:rowOff>
    </xdr:to>
    <xdr:sp macro="" textlink="">
      <xdr:nvSpPr>
        <xdr:cNvPr id="67" name="Rectangle à coins arrondis 66"/>
        <xdr:cNvSpPr/>
      </xdr:nvSpPr>
      <xdr:spPr>
        <a:xfrm>
          <a:off x="0" y="1226820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R-38</a:t>
          </a:r>
        </a:p>
      </xdr:txBody>
    </xdr:sp>
    <xdr:clientData/>
  </xdr:twoCellAnchor>
  <xdr:twoCellAnchor>
    <xdr:from>
      <xdr:col>0</xdr:col>
      <xdr:colOff>0</xdr:colOff>
      <xdr:row>44</xdr:row>
      <xdr:rowOff>0</xdr:rowOff>
    </xdr:from>
    <xdr:to>
      <xdr:col>0</xdr:col>
      <xdr:colOff>720000</xdr:colOff>
      <xdr:row>45</xdr:row>
      <xdr:rowOff>4350</xdr:rowOff>
    </xdr:to>
    <xdr:sp macro="" textlink="">
      <xdr:nvSpPr>
        <xdr:cNvPr id="68" name="Rectangle à coins arrondis 67"/>
        <xdr:cNvSpPr/>
      </xdr:nvSpPr>
      <xdr:spPr>
        <a:xfrm>
          <a:off x="0" y="12515850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R-39</a:t>
          </a:r>
        </a:p>
      </xdr:txBody>
    </xdr:sp>
    <xdr:clientData/>
  </xdr:twoCellAnchor>
  <xdr:twoCellAnchor>
    <xdr:from>
      <xdr:col>0</xdr:col>
      <xdr:colOff>0</xdr:colOff>
      <xdr:row>44</xdr:row>
      <xdr:rowOff>247649</xdr:rowOff>
    </xdr:from>
    <xdr:to>
      <xdr:col>0</xdr:col>
      <xdr:colOff>720000</xdr:colOff>
      <xdr:row>46</xdr:row>
      <xdr:rowOff>4349</xdr:rowOff>
    </xdr:to>
    <xdr:sp macro="" textlink="">
      <xdr:nvSpPr>
        <xdr:cNvPr id="69" name="Rectangle à coins arrondis 68"/>
        <xdr:cNvSpPr/>
      </xdr:nvSpPr>
      <xdr:spPr>
        <a:xfrm>
          <a:off x="0" y="12763499"/>
          <a:ext cx="720000" cy="2520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0" cap="none" spc="0">
              <a:ln w="0"/>
              <a:solidFill>
                <a:srgbClr val="BF1E2E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R-40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0</xdr:row>
      <xdr:rowOff>0</xdr:rowOff>
    </xdr:from>
    <xdr:to>
      <xdr:col>5</xdr:col>
      <xdr:colOff>295275</xdr:colOff>
      <xdr:row>5</xdr:row>
      <xdr:rowOff>13185</xdr:rowOff>
    </xdr:to>
    <xdr:pic>
      <xdr:nvPicPr>
        <xdr:cNvPr id="3" name="Imag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" y="0"/>
          <a:ext cx="3114675" cy="1060935"/>
        </a:xfrm>
        <a:prstGeom prst="rect">
          <a:avLst/>
        </a:prstGeom>
      </xdr:spPr>
    </xdr:pic>
    <xdr:clientData/>
  </xdr:twoCellAnchor>
  <xdr:twoCellAnchor editAs="oneCell">
    <xdr:from>
      <xdr:col>13</xdr:col>
      <xdr:colOff>632949</xdr:colOff>
      <xdr:row>4</xdr:row>
      <xdr:rowOff>190500</xdr:rowOff>
    </xdr:from>
    <xdr:to>
      <xdr:col>15</xdr:col>
      <xdr:colOff>156699</xdr:colOff>
      <xdr:row>9</xdr:row>
      <xdr:rowOff>190500</xdr:rowOff>
    </xdr:to>
    <xdr:pic>
      <xdr:nvPicPr>
        <xdr:cNvPr id="4" name="Image 3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8949" y="1028700"/>
          <a:ext cx="1047750" cy="1047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42117</xdr:colOff>
      <xdr:row>20</xdr:row>
      <xdr:rowOff>0</xdr:rowOff>
    </xdr:from>
    <xdr:to>
      <xdr:col>4</xdr:col>
      <xdr:colOff>481757</xdr:colOff>
      <xdr:row>25</xdr:row>
      <xdr:rowOff>38100</xdr:rowOff>
    </xdr:to>
    <xdr:pic>
      <xdr:nvPicPr>
        <xdr:cNvPr id="5" name="Image 4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6117" y="4191000"/>
          <a:ext cx="1963640" cy="1085850"/>
        </a:xfrm>
        <a:prstGeom prst="rect">
          <a:avLst/>
        </a:prstGeom>
      </xdr:spPr>
    </xdr:pic>
    <xdr:clientData/>
  </xdr:twoCellAnchor>
  <xdr:twoCellAnchor editAs="oneCell">
    <xdr:from>
      <xdr:col>2</xdr:col>
      <xdr:colOff>252412</xdr:colOff>
      <xdr:row>9</xdr:row>
      <xdr:rowOff>171450</xdr:rowOff>
    </xdr:from>
    <xdr:to>
      <xdr:col>4</xdr:col>
      <xdr:colOff>271462</xdr:colOff>
      <xdr:row>15</xdr:row>
      <xdr:rowOff>12797</xdr:rowOff>
    </xdr:to>
    <xdr:pic>
      <xdr:nvPicPr>
        <xdr:cNvPr id="6" name="Image 5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6412" y="2057400"/>
          <a:ext cx="1543050" cy="1098647"/>
        </a:xfrm>
        <a:prstGeom prst="rect">
          <a:avLst/>
        </a:prstGeom>
      </xdr:spPr>
    </xdr:pic>
    <xdr:clientData/>
  </xdr:twoCellAnchor>
  <xdr:twoCellAnchor editAs="oneCell">
    <xdr:from>
      <xdr:col>13</xdr:col>
      <xdr:colOff>314325</xdr:colOff>
      <xdr:row>13</xdr:row>
      <xdr:rowOff>161925</xdr:rowOff>
    </xdr:from>
    <xdr:to>
      <xdr:col>15</xdr:col>
      <xdr:colOff>475324</xdr:colOff>
      <xdr:row>20</xdr:row>
      <xdr:rowOff>38100</xdr:rowOff>
    </xdr:to>
    <xdr:pic>
      <xdr:nvPicPr>
        <xdr:cNvPr id="7" name="Image 6">
          <a:hlinkClick xmlns:r="http://schemas.openxmlformats.org/officeDocument/2006/relationships" r:id="rId9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912"/>
        <a:stretch/>
      </xdr:blipFill>
      <xdr:spPr>
        <a:xfrm>
          <a:off x="10220325" y="2886075"/>
          <a:ext cx="1684999" cy="1343025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0</xdr:row>
      <xdr:rowOff>19050</xdr:rowOff>
    </xdr:from>
    <xdr:to>
      <xdr:col>1</xdr:col>
      <xdr:colOff>238125</xdr:colOff>
      <xdr:row>4</xdr:row>
      <xdr:rowOff>161925</xdr:rowOff>
    </xdr:to>
    <xdr:sp macro="[0]!Retouràlacceuil" textlink="">
      <xdr:nvSpPr>
        <xdr:cNvPr id="2" name="Rectangle à coins arrondis 1"/>
        <xdr:cNvSpPr/>
      </xdr:nvSpPr>
      <xdr:spPr>
        <a:xfrm>
          <a:off x="38100" y="19050"/>
          <a:ext cx="962025" cy="98107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2">
                <a:tint val="93000"/>
                <a:satMod val="150000"/>
                <a:shade val="98000"/>
                <a:lumMod val="102000"/>
              </a:schemeClr>
            </a:gs>
            <a:gs pos="50000">
              <a:schemeClr val="lt2">
                <a:tint val="98000"/>
                <a:satMod val="130000"/>
                <a:shade val="90000"/>
                <a:lumMod val="103000"/>
              </a:schemeClr>
            </a:gs>
            <a:gs pos="100000">
              <a:schemeClr val="lt2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  <a:ln w="76200">
          <a:solidFill>
            <a:srgbClr val="3C65AF"/>
          </a:solidFill>
        </a:ln>
      </xdr:spPr>
      <xdr:style>
        <a:lnRef idx="1">
          <a:schemeClr val="accent3"/>
        </a:lnRef>
        <a:fillRef idx="1003">
          <a:schemeClr val="lt2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fr-FR" sz="800" b="0" cap="none" spc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800" b="0" cap="none" spc="0" baseline="0">
              <a:ln w="0"/>
              <a:solidFill>
                <a:srgbClr val="3C65AF"/>
              </a:soli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à l'acceuil</a:t>
          </a:r>
          <a:endParaRPr lang="fr-FR" sz="800" b="0" cap="none" spc="0">
            <a:ln w="0"/>
            <a:solidFill>
              <a:srgbClr val="3C65AF"/>
            </a:soli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276225</xdr:colOff>
      <xdr:row>0</xdr:row>
      <xdr:rowOff>66675</xdr:rowOff>
    </xdr:from>
    <xdr:to>
      <xdr:col>1</xdr:col>
      <xdr:colOff>19050</xdr:colOff>
      <xdr:row>2</xdr:row>
      <xdr:rowOff>152400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66675"/>
          <a:ext cx="504825" cy="5048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50100</xdr:colOff>
      <xdr:row>6</xdr:row>
      <xdr:rowOff>0</xdr:rowOff>
    </xdr:from>
    <xdr:to>
      <xdr:col>8</xdr:col>
      <xdr:colOff>1562100</xdr:colOff>
      <xdr:row>6</xdr:row>
      <xdr:rowOff>108000</xdr:rowOff>
    </xdr:to>
    <xdr:sp macro="" textlink="">
      <xdr:nvSpPr>
        <xdr:cNvPr id="37" name="Organigramme : Fusion 36"/>
        <xdr:cNvSpPr/>
      </xdr:nvSpPr>
      <xdr:spPr>
        <a:xfrm>
          <a:off x="8565450" y="1228725"/>
          <a:ext cx="1512000" cy="108000"/>
        </a:xfrm>
        <a:prstGeom prst="flowChartMerge">
          <a:avLst/>
        </a:prstGeom>
        <a:solidFill>
          <a:srgbClr val="3C65AF"/>
        </a:solidFill>
        <a:ln w="1270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142875</xdr:colOff>
      <xdr:row>21</xdr:row>
      <xdr:rowOff>46350</xdr:rowOff>
    </xdr:from>
    <xdr:to>
      <xdr:col>6</xdr:col>
      <xdr:colOff>1015050</xdr:colOff>
      <xdr:row>23</xdr:row>
      <xdr:rowOff>133350</xdr:rowOff>
    </xdr:to>
    <xdr:sp macro="" textlink="">
      <xdr:nvSpPr>
        <xdr:cNvPr id="38" name="Rectangle à coins arrondis 37"/>
        <xdr:cNvSpPr/>
      </xdr:nvSpPr>
      <xdr:spPr>
        <a:xfrm>
          <a:off x="4848225" y="4008750"/>
          <a:ext cx="2520000" cy="468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ysClr val="window" lastClr="FFFFFF">
                <a:tint val="93000"/>
                <a:satMod val="150000"/>
                <a:shade val="98000"/>
                <a:lumMod val="102000"/>
              </a:sysClr>
            </a:gs>
            <a:gs pos="50000">
              <a:sysClr val="window" lastClr="FFFFFF">
                <a:tint val="98000"/>
                <a:satMod val="130000"/>
                <a:shade val="90000"/>
                <a:lumMod val="103000"/>
              </a:sysClr>
            </a:gs>
            <a:gs pos="100000">
              <a:sysClr val="window" lastClr="FFFFFF">
                <a:shade val="63000"/>
                <a:satMod val="120000"/>
              </a:sysClr>
            </a:gs>
          </a:gsLst>
          <a:path path="circle">
            <a:fillToRect l="50000" t="50000" r="50000" b="50000"/>
          </a:path>
          <a:tileRect/>
        </a:gradFill>
        <a:ln w="76200" cap="flat" cmpd="sng" algn="ctr">
          <a:solidFill>
            <a:srgbClr val="3C65AF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400" b="0" i="0" u="none" strike="noStrike" kern="0" cap="none" spc="0" normalizeH="0" baseline="0" noProof="0">
              <a:ln w="0"/>
              <a:gradFill>
                <a:gsLst>
                  <a:gs pos="0">
                    <a:srgbClr val="4472C4">
                      <a:lumMod val="50000"/>
                    </a:srgbClr>
                  </a:gs>
                  <a:gs pos="50000">
                    <a:srgbClr val="4472C4"/>
                  </a:gs>
                  <a:gs pos="100000">
                    <a:srgbClr val="4472C4">
                      <a:lumMod val="60000"/>
                      <a:lumOff val="40000"/>
                    </a:srgb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Enregistrer</a:t>
          </a:r>
        </a:p>
      </xdr:txBody>
    </xdr:sp>
    <xdr:clientData/>
  </xdr:twoCellAnchor>
  <xdr:oneCellAnchor>
    <xdr:from>
      <xdr:col>6</xdr:col>
      <xdr:colOff>276225</xdr:colOff>
      <xdr:row>20</xdr:row>
      <xdr:rowOff>95250</xdr:rowOff>
    </xdr:from>
    <xdr:ext cx="184731" cy="264560"/>
    <xdr:sp macro="" textlink="">
      <xdr:nvSpPr>
        <xdr:cNvPr id="39" name="ZoneTexte 38"/>
        <xdr:cNvSpPr txBox="1"/>
      </xdr:nvSpPr>
      <xdr:spPr>
        <a:xfrm>
          <a:off x="6629400" y="3857625"/>
          <a:ext cx="184731" cy="264560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twoCellAnchor>
    <xdr:from>
      <xdr:col>3</xdr:col>
      <xdr:colOff>774525</xdr:colOff>
      <xdr:row>2</xdr:row>
      <xdr:rowOff>0</xdr:rowOff>
    </xdr:from>
    <xdr:to>
      <xdr:col>8</xdr:col>
      <xdr:colOff>695700</xdr:colOff>
      <xdr:row>3</xdr:row>
      <xdr:rowOff>220350</xdr:rowOff>
    </xdr:to>
    <xdr:sp macro="" textlink="">
      <xdr:nvSpPr>
        <xdr:cNvPr id="40" name="Rectangle à coins arrondis 39"/>
        <xdr:cNvSpPr/>
      </xdr:nvSpPr>
      <xdr:spPr>
        <a:xfrm>
          <a:off x="3317700" y="314325"/>
          <a:ext cx="5760000" cy="468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5400000" scaled="1"/>
          <a:tileRect/>
        </a:gra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400" b="0" i="0" u="none" strike="noStrike" kern="0" cap="none" spc="0" normalizeH="0" baseline="0" noProof="0">
              <a:ln w="0"/>
              <a:gradFill>
                <a:gsLst>
                  <a:gs pos="0">
                    <a:srgbClr val="4472C4">
                      <a:lumMod val="50000"/>
                    </a:srgbClr>
                  </a:gs>
                  <a:gs pos="50000">
                    <a:srgbClr val="4472C4"/>
                  </a:gs>
                  <a:gs pos="100000">
                    <a:srgbClr val="4472C4">
                      <a:lumMod val="60000"/>
                      <a:lumOff val="40000"/>
                    </a:srgb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Saisie d'un nouvel entrainement</a:t>
          </a:r>
        </a:p>
      </xdr:txBody>
    </xdr:sp>
    <xdr:clientData/>
  </xdr:twoCellAnchor>
  <xdr:twoCellAnchor>
    <xdr:from>
      <xdr:col>2</xdr:col>
      <xdr:colOff>228600</xdr:colOff>
      <xdr:row>1</xdr:row>
      <xdr:rowOff>152399</xdr:rowOff>
    </xdr:from>
    <xdr:to>
      <xdr:col>2</xdr:col>
      <xdr:colOff>1295400</xdr:colOff>
      <xdr:row>3</xdr:row>
      <xdr:rowOff>228600</xdr:rowOff>
    </xdr:to>
    <xdr:sp macro="[0]!Retouràlacceuil" textlink="">
      <xdr:nvSpPr>
        <xdr:cNvPr id="42" name="Rectangle à coins arrondis 41"/>
        <xdr:cNvSpPr/>
      </xdr:nvSpPr>
      <xdr:spPr>
        <a:xfrm>
          <a:off x="1123950" y="400049"/>
          <a:ext cx="1066800" cy="571501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  <a:ln w="76200">
          <a:solidFill>
            <a:srgbClr val="3C65AF"/>
          </a:solidFill>
        </a:ln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fr-FR" sz="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 à l'acceuil</a:t>
          </a:r>
        </a:p>
      </xdr:txBody>
    </xdr:sp>
    <xdr:clientData/>
  </xdr:twoCellAnchor>
  <xdr:twoCellAnchor editAs="oneCell">
    <xdr:from>
      <xdr:col>2</xdr:col>
      <xdr:colOff>314326</xdr:colOff>
      <xdr:row>2</xdr:row>
      <xdr:rowOff>19051</xdr:rowOff>
    </xdr:from>
    <xdr:to>
      <xdr:col>2</xdr:col>
      <xdr:colOff>628650</xdr:colOff>
      <xdr:row>3</xdr:row>
      <xdr:rowOff>85725</xdr:rowOff>
    </xdr:to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6" y="514351"/>
          <a:ext cx="314324" cy="3143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13</xdr:row>
      <xdr:rowOff>9526</xdr:rowOff>
    </xdr:from>
    <xdr:to>
      <xdr:col>3</xdr:col>
      <xdr:colOff>1370176</xdr:colOff>
      <xdr:row>14</xdr:row>
      <xdr:rowOff>18976</xdr:rowOff>
    </xdr:to>
    <xdr:sp macro="[0]!RetourProgrammeenrainementrun" textlink="">
      <xdr:nvSpPr>
        <xdr:cNvPr id="6" name="Rectangle à coins arrondis 5"/>
        <xdr:cNvSpPr/>
      </xdr:nvSpPr>
      <xdr:spPr>
        <a:xfrm>
          <a:off x="1066801" y="3362326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35</xdr:row>
      <xdr:rowOff>9525</xdr:rowOff>
    </xdr:from>
    <xdr:to>
      <xdr:col>3</xdr:col>
      <xdr:colOff>1360650</xdr:colOff>
      <xdr:row>36</xdr:row>
      <xdr:rowOff>18975</xdr:rowOff>
    </xdr:to>
    <xdr:sp macro="[0]!RetourProgrammeenrainementrun" textlink="">
      <xdr:nvSpPr>
        <xdr:cNvPr id="2" name="Rectangle à coins arrondis 1"/>
        <xdr:cNvSpPr/>
      </xdr:nvSpPr>
      <xdr:spPr>
        <a:xfrm>
          <a:off x="1057275" y="8810625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20</xdr:row>
      <xdr:rowOff>0</xdr:rowOff>
    </xdr:from>
    <xdr:to>
      <xdr:col>3</xdr:col>
      <xdr:colOff>1360650</xdr:colOff>
      <xdr:row>21</xdr:row>
      <xdr:rowOff>9450</xdr:rowOff>
    </xdr:to>
    <xdr:sp macro="[0]!RetourProgrammeenrainementrun" textlink="">
      <xdr:nvSpPr>
        <xdr:cNvPr id="2" name="Rectangle à coins arrondis 1"/>
        <xdr:cNvSpPr/>
      </xdr:nvSpPr>
      <xdr:spPr>
        <a:xfrm>
          <a:off x="1057275" y="5086350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13</xdr:row>
      <xdr:rowOff>0</xdr:rowOff>
    </xdr:from>
    <xdr:to>
      <xdr:col>3</xdr:col>
      <xdr:colOff>1360650</xdr:colOff>
      <xdr:row>14</xdr:row>
      <xdr:rowOff>9450</xdr:rowOff>
    </xdr:to>
    <xdr:sp macro="[0]!RetourProgrammeenrainementrun" textlink="">
      <xdr:nvSpPr>
        <xdr:cNvPr id="2" name="Rectangle à coins arrondis 1"/>
        <xdr:cNvSpPr/>
      </xdr:nvSpPr>
      <xdr:spPr>
        <a:xfrm>
          <a:off x="1057275" y="3352800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18</xdr:row>
      <xdr:rowOff>9525</xdr:rowOff>
    </xdr:from>
    <xdr:to>
      <xdr:col>3</xdr:col>
      <xdr:colOff>1370175</xdr:colOff>
      <xdr:row>19</xdr:row>
      <xdr:rowOff>18975</xdr:rowOff>
    </xdr:to>
    <xdr:sp macro="[0]!RetourProgrammeenrainementrun" textlink="">
      <xdr:nvSpPr>
        <xdr:cNvPr id="2" name="Rectangle à coins arrondis 1"/>
        <xdr:cNvSpPr/>
      </xdr:nvSpPr>
      <xdr:spPr>
        <a:xfrm>
          <a:off x="1066800" y="4648200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35</xdr:row>
      <xdr:rowOff>0</xdr:rowOff>
    </xdr:from>
    <xdr:to>
      <xdr:col>3</xdr:col>
      <xdr:colOff>1360650</xdr:colOff>
      <xdr:row>36</xdr:row>
      <xdr:rowOff>9450</xdr:rowOff>
    </xdr:to>
    <xdr:sp macro="[0]!RetourProgrammeenrainementrun" textlink="">
      <xdr:nvSpPr>
        <xdr:cNvPr id="2" name="Rectangle à coins arrondis 1"/>
        <xdr:cNvSpPr/>
      </xdr:nvSpPr>
      <xdr:spPr>
        <a:xfrm>
          <a:off x="1057275" y="8848725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14</xdr:row>
      <xdr:rowOff>295274</xdr:rowOff>
    </xdr:from>
    <xdr:to>
      <xdr:col>3</xdr:col>
      <xdr:colOff>1360649</xdr:colOff>
      <xdr:row>16</xdr:row>
      <xdr:rowOff>9273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3895724"/>
          <a:ext cx="3780000" cy="29502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35</xdr:row>
      <xdr:rowOff>9524</xdr:rowOff>
    </xdr:from>
    <xdr:to>
      <xdr:col>3</xdr:col>
      <xdr:colOff>1360649</xdr:colOff>
      <xdr:row>36</xdr:row>
      <xdr:rowOff>18798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8810624"/>
          <a:ext cx="3780000" cy="29502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18</xdr:row>
      <xdr:rowOff>9524</xdr:rowOff>
    </xdr:from>
    <xdr:to>
      <xdr:col>3</xdr:col>
      <xdr:colOff>1360649</xdr:colOff>
      <xdr:row>19</xdr:row>
      <xdr:rowOff>18798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4648199"/>
          <a:ext cx="3780000" cy="29502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38</xdr:row>
      <xdr:rowOff>9525</xdr:rowOff>
    </xdr:from>
    <xdr:to>
      <xdr:col>3</xdr:col>
      <xdr:colOff>1360650</xdr:colOff>
      <xdr:row>39</xdr:row>
      <xdr:rowOff>18975</xdr:rowOff>
    </xdr:to>
    <xdr:sp macro="[0]!RetourProgrammeenrainementrun" textlink="">
      <xdr:nvSpPr>
        <xdr:cNvPr id="2" name="Rectangle à coins arrondis 1"/>
        <xdr:cNvSpPr/>
      </xdr:nvSpPr>
      <xdr:spPr>
        <a:xfrm>
          <a:off x="1057275" y="9553575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13</xdr:row>
      <xdr:rowOff>9524</xdr:rowOff>
    </xdr:from>
    <xdr:to>
      <xdr:col>3</xdr:col>
      <xdr:colOff>1360649</xdr:colOff>
      <xdr:row>14</xdr:row>
      <xdr:rowOff>18798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3409949"/>
          <a:ext cx="3780000" cy="29502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34</xdr:row>
      <xdr:rowOff>9524</xdr:rowOff>
    </xdr:from>
    <xdr:to>
      <xdr:col>3</xdr:col>
      <xdr:colOff>1370174</xdr:colOff>
      <xdr:row>35</xdr:row>
      <xdr:rowOff>18798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8562974"/>
          <a:ext cx="3780000" cy="29502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14</xdr:row>
      <xdr:rowOff>9524</xdr:rowOff>
    </xdr:from>
    <xdr:to>
      <xdr:col>3</xdr:col>
      <xdr:colOff>1370174</xdr:colOff>
      <xdr:row>15</xdr:row>
      <xdr:rowOff>18798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3609974"/>
          <a:ext cx="3780000" cy="29502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24</xdr:row>
      <xdr:rowOff>9524</xdr:rowOff>
    </xdr:from>
    <xdr:to>
      <xdr:col>3</xdr:col>
      <xdr:colOff>1370174</xdr:colOff>
      <xdr:row>25</xdr:row>
      <xdr:rowOff>18798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6086474"/>
          <a:ext cx="3780000" cy="29502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35</xdr:row>
      <xdr:rowOff>247649</xdr:rowOff>
    </xdr:from>
    <xdr:to>
      <xdr:col>3</xdr:col>
      <xdr:colOff>1360649</xdr:colOff>
      <xdr:row>37</xdr:row>
      <xdr:rowOff>9273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9048749"/>
          <a:ext cx="3780000" cy="29502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16</xdr:row>
      <xdr:rowOff>9525</xdr:rowOff>
    </xdr:from>
    <xdr:to>
      <xdr:col>3</xdr:col>
      <xdr:colOff>1360650</xdr:colOff>
      <xdr:row>17</xdr:row>
      <xdr:rowOff>18975</xdr:rowOff>
    </xdr:to>
    <xdr:sp macro="[0]!RetourProgrammeenrainementrun" textlink="">
      <xdr:nvSpPr>
        <xdr:cNvPr id="2" name="Rectangle à coins arrondis 1"/>
        <xdr:cNvSpPr/>
      </xdr:nvSpPr>
      <xdr:spPr>
        <a:xfrm>
          <a:off x="1057275" y="4105275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14</xdr:row>
      <xdr:rowOff>247649</xdr:rowOff>
    </xdr:from>
    <xdr:to>
      <xdr:col>3</xdr:col>
      <xdr:colOff>1370174</xdr:colOff>
      <xdr:row>16</xdr:row>
      <xdr:rowOff>47373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3848099"/>
          <a:ext cx="3780000" cy="29502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24</xdr:row>
      <xdr:rowOff>9525</xdr:rowOff>
    </xdr:from>
    <xdr:to>
      <xdr:col>3</xdr:col>
      <xdr:colOff>1360650</xdr:colOff>
      <xdr:row>25</xdr:row>
      <xdr:rowOff>18975</xdr:rowOff>
    </xdr:to>
    <xdr:sp macro="[0]!RetourProgrammeenrainementrun" textlink="">
      <xdr:nvSpPr>
        <xdr:cNvPr id="3" name="Rectangle à coins arrondis 2"/>
        <xdr:cNvSpPr/>
      </xdr:nvSpPr>
      <xdr:spPr>
        <a:xfrm>
          <a:off x="1057275" y="6086475"/>
          <a:ext cx="3780000" cy="2952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lt1">
                <a:tint val="93000"/>
                <a:satMod val="150000"/>
                <a:shade val="98000"/>
                <a:lumMod val="102000"/>
              </a:schemeClr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1">
          <a:schemeClr val="accent3"/>
        </a:lnRef>
        <a:fillRef idx="1003">
          <a:schemeClr val="lt1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Retour</a:t>
          </a:r>
          <a:r>
            <a:rPr lang="fr-FR" sz="11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entrainement run</a:t>
          </a:r>
          <a:endParaRPr lang="fr-FR" sz="11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21</xdr:row>
      <xdr:rowOff>247649</xdr:rowOff>
    </xdr:from>
    <xdr:to>
      <xdr:col>3</xdr:col>
      <xdr:colOff>1360649</xdr:colOff>
      <xdr:row>23</xdr:row>
      <xdr:rowOff>9273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5581649"/>
          <a:ext cx="3780000" cy="295024"/>
        </a:xfrm>
        <a:prstGeom prst="rect">
          <a:avLst/>
        </a:prstGeom>
      </xdr:spPr>
    </xdr:pic>
    <xdr:clientData/>
  </xdr:twoCellAnchor>
  <xdr:oneCellAnchor>
    <xdr:from>
      <xdr:col>2</xdr:col>
      <xdr:colOff>771525</xdr:colOff>
      <xdr:row>23</xdr:row>
      <xdr:rowOff>142875</xdr:rowOff>
    </xdr:from>
    <xdr:ext cx="184731" cy="264560"/>
    <xdr:sp macro="" textlink="">
      <xdr:nvSpPr>
        <xdr:cNvPr id="2" name="ZoneTexte 1"/>
        <xdr:cNvSpPr txBox="1"/>
      </xdr:nvSpPr>
      <xdr:spPr>
        <a:xfrm>
          <a:off x="2867025" y="6010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34</xdr:row>
      <xdr:rowOff>295274</xdr:rowOff>
    </xdr:from>
    <xdr:to>
      <xdr:col>3</xdr:col>
      <xdr:colOff>1360649</xdr:colOff>
      <xdr:row>36</xdr:row>
      <xdr:rowOff>56898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8848724"/>
          <a:ext cx="3780000" cy="295024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38</xdr:row>
      <xdr:rowOff>9524</xdr:rowOff>
    </xdr:from>
    <xdr:to>
      <xdr:col>3</xdr:col>
      <xdr:colOff>1370174</xdr:colOff>
      <xdr:row>39</xdr:row>
      <xdr:rowOff>18798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9601199"/>
          <a:ext cx="3780000" cy="295024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13</xdr:row>
      <xdr:rowOff>247649</xdr:rowOff>
    </xdr:from>
    <xdr:to>
      <xdr:col>3</xdr:col>
      <xdr:colOff>1360649</xdr:colOff>
      <xdr:row>15</xdr:row>
      <xdr:rowOff>47373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3600449"/>
          <a:ext cx="3780000" cy="295024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24</xdr:row>
      <xdr:rowOff>9524</xdr:rowOff>
    </xdr:from>
    <xdr:to>
      <xdr:col>3</xdr:col>
      <xdr:colOff>1360649</xdr:colOff>
      <xdr:row>25</xdr:row>
      <xdr:rowOff>18798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6086474"/>
          <a:ext cx="3780000" cy="295024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36</xdr:row>
      <xdr:rowOff>9524</xdr:rowOff>
    </xdr:from>
    <xdr:to>
      <xdr:col>3</xdr:col>
      <xdr:colOff>1370174</xdr:colOff>
      <xdr:row>37</xdr:row>
      <xdr:rowOff>18798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9105899"/>
          <a:ext cx="3780000" cy="295024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13</xdr:row>
      <xdr:rowOff>0</xdr:rowOff>
    </xdr:from>
    <xdr:to>
      <xdr:col>3</xdr:col>
      <xdr:colOff>1370175</xdr:colOff>
      <xdr:row>14</xdr:row>
      <xdr:rowOff>9274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3400425"/>
          <a:ext cx="3780000" cy="29502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22</xdr:row>
      <xdr:rowOff>9524</xdr:rowOff>
    </xdr:from>
    <xdr:to>
      <xdr:col>3</xdr:col>
      <xdr:colOff>1360649</xdr:colOff>
      <xdr:row>23</xdr:row>
      <xdr:rowOff>18798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5591174"/>
          <a:ext cx="3780000" cy="295024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34</xdr:row>
      <xdr:rowOff>247649</xdr:rowOff>
    </xdr:from>
    <xdr:to>
      <xdr:col>3</xdr:col>
      <xdr:colOff>1370174</xdr:colOff>
      <xdr:row>36</xdr:row>
      <xdr:rowOff>9273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8801099"/>
          <a:ext cx="3780000" cy="295024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16</xdr:row>
      <xdr:rowOff>9524</xdr:rowOff>
    </xdr:from>
    <xdr:to>
      <xdr:col>3</xdr:col>
      <xdr:colOff>1370174</xdr:colOff>
      <xdr:row>17</xdr:row>
      <xdr:rowOff>18798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4152899"/>
          <a:ext cx="3780000" cy="295024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25</xdr:row>
      <xdr:rowOff>295274</xdr:rowOff>
    </xdr:from>
    <xdr:to>
      <xdr:col>3</xdr:col>
      <xdr:colOff>1370174</xdr:colOff>
      <xdr:row>27</xdr:row>
      <xdr:rowOff>9273</xdr:rowOff>
    </xdr:to>
    <xdr:pic macro="[0]!RetourProgrammeenrainementru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6619874"/>
          <a:ext cx="3780000" cy="295024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39</xdr:row>
      <xdr:rowOff>285749</xdr:rowOff>
    </xdr:from>
    <xdr:to>
      <xdr:col>3</xdr:col>
      <xdr:colOff>1370174</xdr:colOff>
      <xdr:row>41</xdr:row>
      <xdr:rowOff>47373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10648949"/>
          <a:ext cx="3780000" cy="295024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49</xdr:row>
      <xdr:rowOff>238124</xdr:rowOff>
    </xdr:from>
    <xdr:to>
      <xdr:col>3</xdr:col>
      <xdr:colOff>1379699</xdr:colOff>
      <xdr:row>51</xdr:row>
      <xdr:rowOff>47373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324" y="12792074"/>
          <a:ext cx="3780000" cy="295024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49</xdr:row>
      <xdr:rowOff>238124</xdr:rowOff>
    </xdr:from>
    <xdr:to>
      <xdr:col>3</xdr:col>
      <xdr:colOff>1370174</xdr:colOff>
      <xdr:row>51</xdr:row>
      <xdr:rowOff>94998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12506324"/>
          <a:ext cx="3780000" cy="295024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41</xdr:row>
      <xdr:rowOff>19049</xdr:rowOff>
    </xdr:from>
    <xdr:to>
      <xdr:col>3</xdr:col>
      <xdr:colOff>1370174</xdr:colOff>
      <xdr:row>42</xdr:row>
      <xdr:rowOff>75948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10306049"/>
          <a:ext cx="3780000" cy="295024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46</xdr:row>
      <xdr:rowOff>9524</xdr:rowOff>
    </xdr:from>
    <xdr:to>
      <xdr:col>3</xdr:col>
      <xdr:colOff>1360649</xdr:colOff>
      <xdr:row>47</xdr:row>
      <xdr:rowOff>66423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11534774"/>
          <a:ext cx="3780000" cy="295024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51</xdr:row>
      <xdr:rowOff>247649</xdr:rowOff>
    </xdr:from>
    <xdr:to>
      <xdr:col>3</xdr:col>
      <xdr:colOff>1370174</xdr:colOff>
      <xdr:row>53</xdr:row>
      <xdr:rowOff>56898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13011149"/>
          <a:ext cx="3780000" cy="295024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41</xdr:row>
      <xdr:rowOff>247649</xdr:rowOff>
    </xdr:from>
    <xdr:to>
      <xdr:col>3</xdr:col>
      <xdr:colOff>1370174</xdr:colOff>
      <xdr:row>43</xdr:row>
      <xdr:rowOff>56898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10534649"/>
          <a:ext cx="3780000" cy="295024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34</xdr:row>
      <xdr:rowOff>9524</xdr:rowOff>
    </xdr:from>
    <xdr:to>
      <xdr:col>3</xdr:col>
      <xdr:colOff>1370174</xdr:colOff>
      <xdr:row>35</xdr:row>
      <xdr:rowOff>66423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8562974"/>
          <a:ext cx="3780000" cy="295024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38</xdr:row>
      <xdr:rowOff>247649</xdr:rowOff>
    </xdr:from>
    <xdr:to>
      <xdr:col>3</xdr:col>
      <xdr:colOff>1360649</xdr:colOff>
      <xdr:row>40</xdr:row>
      <xdr:rowOff>56898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4" y="10077449"/>
          <a:ext cx="3780000" cy="295024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63</xdr:row>
      <xdr:rowOff>247649</xdr:rowOff>
    </xdr:from>
    <xdr:to>
      <xdr:col>3</xdr:col>
      <xdr:colOff>1370174</xdr:colOff>
      <xdr:row>65</xdr:row>
      <xdr:rowOff>56898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" y="15982949"/>
          <a:ext cx="3780000" cy="295024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1047749</xdr:colOff>
      <xdr:row>57</xdr:row>
      <xdr:rowOff>247649</xdr:rowOff>
    </xdr:from>
    <xdr:to>
      <xdr:col>3</xdr:col>
      <xdr:colOff>1351124</xdr:colOff>
      <xdr:row>59</xdr:row>
      <xdr:rowOff>56898</xdr:rowOff>
    </xdr:to>
    <xdr:pic macro="[0]!RetourProgrammeenrainementru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49" y="14497049"/>
          <a:ext cx="3780000" cy="295024"/>
        </a:xfrm>
        <a:prstGeom prst="rect">
          <a:avLst/>
        </a:prstGeom>
      </xdr:spPr>
    </xdr:pic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ctivité" sourceName="Activité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ate" sourceName="Date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ctivité" cache="Segment_Activité" columnCount="3" rowHeight="180000"/>
  <slicer name="Date" cache="Segment_Date" caption="Date" rowHeight="241300"/>
</slicers>
</file>

<file path=xl/tables/table1.xml><?xml version="1.0" encoding="utf-8"?>
<table xmlns="http://schemas.openxmlformats.org/spreadsheetml/2006/main" id="1" name="Tableau1" displayName="Tableau1" ref="A7:E405" totalsRowShown="0" headerRowDxfId="7" dataDxfId="6" tableBorderDxfId="5">
  <autoFilter ref="A7:E405"/>
  <sortState ref="A9:C400">
    <sortCondition ref="B8:B400"/>
  </sortState>
  <tableColumns count="5">
    <tableColumn id="1" name="Activité" dataDxfId="4"/>
    <tableColumn id="2" name="Date" dataDxfId="3"/>
    <tableColumn id="3" name="Distance parcouru Km" dataDxfId="2"/>
    <tableColumn id="4" name="Lieu" dataDxfId="1"/>
    <tableColumn id="5" name="Type de séanc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Défilepsi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facebook.com/defilepsie" TargetMode="External"/><Relationship Id="rId1" Type="http://schemas.openxmlformats.org/officeDocument/2006/relationships/hyperlink" Target="https://www.facebook.com/defilepsie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hyperlink" Target="http://www.facebook.com/defilepsie" TargetMode="External"/><Relationship Id="rId1" Type="http://schemas.openxmlformats.org/officeDocument/2006/relationships/hyperlink" Target="http://www.facebook.com/defilepsie" TargetMode="External"/><Relationship Id="rId6" Type="http://schemas.openxmlformats.org/officeDocument/2006/relationships/table" Target="../tables/table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runwithflo.coach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BF1E2E"/>
  </sheetPr>
  <dimension ref="A1:A39"/>
  <sheetViews>
    <sheetView zoomScaleNormal="100" workbookViewId="0">
      <selection activeCell="I30" sqref="I30"/>
    </sheetView>
  </sheetViews>
  <sheetFormatPr baseColWidth="10" defaultRowHeight="15" x14ac:dyDescent="0.25"/>
  <cols>
    <col min="1" max="9" width="11.42578125" style="130"/>
    <col min="10" max="10" width="11.140625" style="130" customWidth="1"/>
    <col min="11" max="11" width="11.42578125" style="130" customWidth="1"/>
    <col min="12" max="15" width="11.42578125" style="130"/>
    <col min="16" max="16" width="11.42578125" style="130" customWidth="1"/>
    <col min="17" max="17" width="11.5703125" style="130" customWidth="1"/>
    <col min="18" max="16384" width="11.42578125" style="130"/>
  </cols>
  <sheetData>
    <row r="1" s="151" customFormat="1" x14ac:dyDescent="0.25"/>
    <row r="2" s="151" customFormat="1" x14ac:dyDescent="0.25"/>
    <row r="3" s="151" customFormat="1" x14ac:dyDescent="0.25"/>
    <row r="4" s="151" customFormat="1" x14ac:dyDescent="0.25"/>
    <row r="5" s="151" customFormat="1" x14ac:dyDescent="0.25"/>
    <row r="6" s="151" customFormat="1" x14ac:dyDescent="0.25"/>
    <row r="7" s="151" customFormat="1" x14ac:dyDescent="0.25"/>
    <row r="8" s="151" customFormat="1" x14ac:dyDescent="0.25"/>
    <row r="9" s="151" customFormat="1" x14ac:dyDescent="0.25"/>
    <row r="10" s="151" customFormat="1" x14ac:dyDescent="0.25"/>
    <row r="11" s="151" customFormat="1" x14ac:dyDescent="0.25"/>
    <row r="12" s="151" customFormat="1" x14ac:dyDescent="0.25"/>
    <row r="13" s="151" customFormat="1" x14ac:dyDescent="0.25"/>
    <row r="14" s="152" customFormat="1" x14ac:dyDescent="0.25"/>
    <row r="15" s="152" customFormat="1" x14ac:dyDescent="0.25"/>
    <row r="16" s="152" customFormat="1" x14ac:dyDescent="0.25"/>
    <row r="17" s="152" customFormat="1" x14ac:dyDescent="0.25"/>
    <row r="18" s="152" customFormat="1" x14ac:dyDescent="0.25"/>
    <row r="19" s="152" customFormat="1" x14ac:dyDescent="0.25"/>
    <row r="20" s="152" customFormat="1" x14ac:dyDescent="0.25"/>
    <row r="21" s="152" customFormat="1" x14ac:dyDescent="0.25"/>
    <row r="22" s="152" customFormat="1" x14ac:dyDescent="0.25"/>
    <row r="23" s="152" customFormat="1" x14ac:dyDescent="0.25"/>
    <row r="24" s="152" customFormat="1" x14ac:dyDescent="0.25"/>
    <row r="25" s="152" customFormat="1" x14ac:dyDescent="0.25"/>
    <row r="26" s="152" customFormat="1" x14ac:dyDescent="0.25"/>
    <row r="27" s="152" customFormat="1" x14ac:dyDescent="0.25"/>
    <row r="28" s="152" customFormat="1" x14ac:dyDescent="0.25"/>
    <row r="29" s="152" customFormat="1" x14ac:dyDescent="0.25"/>
    <row r="30" s="152" customFormat="1" x14ac:dyDescent="0.25"/>
    <row r="31" s="152" customFormat="1" x14ac:dyDescent="0.25"/>
    <row r="32" s="152" customFormat="1" x14ac:dyDescent="0.25"/>
    <row r="33" s="152" customFormat="1" x14ac:dyDescent="0.25"/>
    <row r="34" s="152" customFormat="1" x14ac:dyDescent="0.25"/>
    <row r="35" s="152" customFormat="1" x14ac:dyDescent="0.25"/>
    <row r="36" s="152" customFormat="1" x14ac:dyDescent="0.25"/>
    <row r="37" s="152" customFormat="1" x14ac:dyDescent="0.25"/>
    <row r="38" s="152" customFormat="1" x14ac:dyDescent="0.25"/>
    <row r="39" s="15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pageSetUpPr fitToPage="1"/>
  </sheetPr>
  <dimension ref="A1:H25"/>
  <sheetViews>
    <sheetView showGridLines="0" zoomScaleNormal="100" workbookViewId="0">
      <selection activeCell="G13" sqref="G13"/>
    </sheetView>
  </sheetViews>
  <sheetFormatPr baseColWidth="10" defaultRowHeight="15" x14ac:dyDescent="0.25"/>
  <cols>
    <col min="1" max="1" width="11.42578125" style="3"/>
    <col min="2" max="2" width="40.7109375" style="3" customWidth="1"/>
    <col min="3" max="3" width="12.7109375" style="3" customWidth="1"/>
    <col min="4" max="6" width="22.7109375" style="3" customWidth="1"/>
    <col min="7" max="7" width="11.5703125" style="3" bestFit="1" customWidth="1"/>
    <col min="8" max="16384" width="11.42578125" style="3"/>
  </cols>
  <sheetData>
    <row r="1" spans="1:8" x14ac:dyDescent="0.25">
      <c r="A1" s="43"/>
      <c r="B1" s="43"/>
      <c r="C1" s="43"/>
      <c r="D1" s="43"/>
      <c r="E1" s="43"/>
      <c r="F1" s="43"/>
      <c r="G1" s="43"/>
      <c r="H1" s="43"/>
    </row>
    <row r="2" spans="1:8" x14ac:dyDescent="0.25">
      <c r="A2" s="43"/>
      <c r="B2" s="43"/>
      <c r="C2" s="43"/>
      <c r="D2" s="43"/>
      <c r="E2" s="43"/>
      <c r="F2" s="43"/>
      <c r="G2" s="43"/>
      <c r="H2" s="43"/>
    </row>
    <row r="3" spans="1:8" x14ac:dyDescent="0.25">
      <c r="A3" s="43"/>
      <c r="B3" s="43"/>
      <c r="C3" s="43"/>
      <c r="D3" s="43"/>
      <c r="E3" s="43"/>
      <c r="F3" s="43"/>
      <c r="G3" s="43"/>
      <c r="H3" s="43"/>
    </row>
    <row r="4" spans="1:8" x14ac:dyDescent="0.25">
      <c r="A4" s="43"/>
      <c r="B4" s="43"/>
      <c r="C4" s="43"/>
      <c r="D4" s="43"/>
      <c r="E4" s="43"/>
      <c r="F4" s="43"/>
      <c r="G4" s="43"/>
      <c r="H4" s="43"/>
    </row>
    <row r="5" spans="1:8" x14ac:dyDescent="0.25">
      <c r="A5" s="43"/>
      <c r="B5" s="43"/>
      <c r="C5" s="43"/>
      <c r="D5" s="43"/>
      <c r="E5" s="43"/>
      <c r="F5" s="43"/>
      <c r="G5" s="43"/>
      <c r="H5"/>
    </row>
    <row r="6" spans="1:8" ht="15.75" thickBot="1" x14ac:dyDescent="0.3">
      <c r="A6" s="43"/>
      <c r="B6" s="43"/>
      <c r="C6" s="43"/>
      <c r="D6" s="43"/>
      <c r="E6" s="43"/>
      <c r="F6" s="43"/>
      <c r="G6" s="43"/>
      <c r="H6" s="43"/>
    </row>
    <row r="7" spans="1:8" ht="24.95" customHeight="1" thickBot="1" x14ac:dyDescent="0.3">
      <c r="A7" s="43"/>
      <c r="C7" s="43"/>
      <c r="D7" s="65" t="s">
        <v>45</v>
      </c>
      <c r="E7" s="64" t="s">
        <v>66</v>
      </c>
      <c r="F7" s="64" t="s">
        <v>65</v>
      </c>
      <c r="G7" s="43"/>
      <c r="H7" s="43"/>
    </row>
    <row r="8" spans="1:8" s="76" customFormat="1" ht="24.95" customHeight="1" thickBot="1" x14ac:dyDescent="0.3">
      <c r="A8" s="74"/>
      <c r="B8" s="71" t="s">
        <v>32</v>
      </c>
      <c r="C8" s="72"/>
      <c r="D8" s="73">
        <f>Sorties</f>
        <v>121</v>
      </c>
      <c r="E8" s="74"/>
      <c r="F8" s="75"/>
      <c r="G8" s="74"/>
      <c r="H8" s="74"/>
    </row>
    <row r="9" spans="1:8" s="76" customFormat="1" ht="24.95" customHeight="1" thickBot="1" x14ac:dyDescent="0.3">
      <c r="A9" s="74"/>
      <c r="B9" s="77" t="s">
        <v>33</v>
      </c>
      <c r="C9" s="78"/>
      <c r="D9" s="79">
        <f>Distance</f>
        <v>2761.6170000000011</v>
      </c>
      <c r="E9" s="66">
        <f>DistanceMoy</f>
        <v>22.823280991735547</v>
      </c>
      <c r="F9" s="67">
        <f>DistanceMax</f>
        <v>120.4</v>
      </c>
      <c r="G9" s="74"/>
      <c r="H9" s="74"/>
    </row>
    <row r="10" spans="1:8" s="76" customFormat="1" ht="24.95" customHeight="1" thickBot="1" x14ac:dyDescent="0.3">
      <c r="A10" s="74"/>
      <c r="B10" s="80" t="s">
        <v>35</v>
      </c>
      <c r="C10" s="81"/>
      <c r="D10" s="81"/>
      <c r="E10" s="82">
        <f>VitesseMoy</f>
        <v>17.775521461693963</v>
      </c>
      <c r="F10" s="83">
        <f>VitesseMax</f>
        <v>60.7</v>
      </c>
      <c r="G10" s="74"/>
      <c r="H10" s="74"/>
    </row>
    <row r="11" spans="1:8" s="76" customFormat="1" ht="24.95" customHeight="1" thickBot="1" x14ac:dyDescent="0.3">
      <c r="A11" s="74"/>
      <c r="B11" s="84" t="s">
        <v>36</v>
      </c>
      <c r="C11" s="85"/>
      <c r="D11" s="85"/>
      <c r="E11" s="86">
        <f>AllureMoy</f>
        <v>4.4945384837962983E-3</v>
      </c>
      <c r="F11" s="87">
        <f>AllureMax</f>
        <v>1.3310185185185185E-3</v>
      </c>
      <c r="G11" s="74"/>
      <c r="H11" s="74"/>
    </row>
    <row r="12" spans="1:8" s="76" customFormat="1" ht="24.95" customHeight="1" thickBot="1" x14ac:dyDescent="0.3">
      <c r="A12" s="74"/>
      <c r="B12" s="88" t="s">
        <v>31</v>
      </c>
      <c r="C12" s="89"/>
      <c r="D12" s="68">
        <f>DuréeTot</f>
        <v>6.6207407407407395</v>
      </c>
      <c r="E12" s="69">
        <f>DuréeMoy</f>
        <v>5.6107972379158808E-2</v>
      </c>
      <c r="F12" s="70">
        <f>DuréeMax</f>
        <v>0.20657407407407408</v>
      </c>
      <c r="G12" s="74"/>
      <c r="H12" s="74"/>
    </row>
    <row r="13" spans="1:8" s="76" customFormat="1" ht="24.95" customHeight="1" thickBot="1" x14ac:dyDescent="0.3">
      <c r="A13" s="74"/>
      <c r="B13" s="91" t="s">
        <v>38</v>
      </c>
      <c r="C13" s="92"/>
      <c r="D13" s="92"/>
      <c r="E13" s="93">
        <f>FréquenceMoy</f>
        <v>142.82188034188033</v>
      </c>
      <c r="F13" s="94">
        <f>FréquenceMax</f>
        <v>176</v>
      </c>
      <c r="G13" s="74"/>
      <c r="H13" s="74"/>
    </row>
    <row r="14" spans="1:8" s="76" customFormat="1" ht="24.95" customHeight="1" thickBot="1" x14ac:dyDescent="0.3">
      <c r="A14" s="74"/>
      <c r="B14" s="95" t="s">
        <v>37</v>
      </c>
      <c r="C14" s="96"/>
      <c r="D14" s="120">
        <f>DéniveléTot</f>
        <v>19866</v>
      </c>
      <c r="E14" s="120">
        <f>DéniveléMoy</f>
        <v>272.13698630136986</v>
      </c>
      <c r="F14" s="121">
        <f>DéniveléMax</f>
        <v>1374</v>
      </c>
      <c r="G14" s="74"/>
      <c r="H14" s="74"/>
    </row>
    <row r="15" spans="1:8" s="76" customFormat="1" ht="24.95" customHeight="1" thickBot="1" x14ac:dyDescent="0.3">
      <c r="A15" s="74"/>
      <c r="B15" s="100" t="s">
        <v>39</v>
      </c>
      <c r="C15" s="101"/>
      <c r="D15" s="61">
        <f>CaloriesTot</f>
        <v>118742</v>
      </c>
      <c r="E15" s="62">
        <f>CaloriesMoy</f>
        <v>989.51666666666665</v>
      </c>
      <c r="F15" s="63">
        <f>CaloriesMax</f>
        <v>3763</v>
      </c>
      <c r="G15" s="74"/>
      <c r="H15" s="74"/>
    </row>
    <row r="16" spans="1:8" s="76" customFormat="1" ht="24.95" customHeight="1" thickBot="1" x14ac:dyDescent="0.3">
      <c r="A16" s="74"/>
      <c r="B16" s="588" t="s">
        <v>34</v>
      </c>
      <c r="C16" s="90" t="s">
        <v>178</v>
      </c>
      <c r="D16" s="122" t="s">
        <v>149</v>
      </c>
      <c r="E16" s="123"/>
      <c r="F16" s="124"/>
      <c r="G16" s="74"/>
      <c r="H16" s="74"/>
    </row>
    <row r="17" spans="1:8" s="76" customFormat="1" ht="24.95" customHeight="1" thickBot="1" x14ac:dyDescent="0.3">
      <c r="A17" s="74"/>
      <c r="B17" s="589"/>
      <c r="C17" s="125" t="s">
        <v>40</v>
      </c>
      <c r="D17" s="97">
        <f>Zone1Tot</f>
        <v>0.20231481481481475</v>
      </c>
      <c r="E17" s="98">
        <f>Zone1Moy</f>
        <v>1.7145323289391081E-3</v>
      </c>
      <c r="F17" s="99">
        <f>Zone1Max</f>
        <v>4.20949074074074E-2</v>
      </c>
      <c r="G17" s="74"/>
      <c r="H17" s="74"/>
    </row>
    <row r="18" spans="1:8" s="76" customFormat="1" ht="24.95" customHeight="1" thickBot="1" x14ac:dyDescent="0.3">
      <c r="A18" s="74"/>
      <c r="B18" s="589"/>
      <c r="C18" s="126" t="s">
        <v>41</v>
      </c>
      <c r="D18" s="49">
        <f>Zone2Tot</f>
        <v>0.75804398148148144</v>
      </c>
      <c r="E18" s="50">
        <f>Zone2Moy</f>
        <v>6.4241015379786562E-3</v>
      </c>
      <c r="F18" s="51">
        <f>Zone2Max</f>
        <v>3.740740740740741E-2</v>
      </c>
      <c r="G18" s="74"/>
      <c r="H18" s="74"/>
    </row>
    <row r="19" spans="1:8" s="76" customFormat="1" ht="24.95" customHeight="1" thickBot="1" x14ac:dyDescent="0.3">
      <c r="A19" s="74"/>
      <c r="B19" s="589"/>
      <c r="C19" s="127" t="s">
        <v>42</v>
      </c>
      <c r="D19" s="52">
        <f>Zone3Tot</f>
        <v>1.6614351851851856</v>
      </c>
      <c r="E19" s="53">
        <f>Zone3Moy</f>
        <v>1.4079959196484623E-2</v>
      </c>
      <c r="F19" s="54">
        <f>Zone3Max</f>
        <v>5.9699074074074071E-2</v>
      </c>
      <c r="G19" s="74"/>
      <c r="H19" s="74"/>
    </row>
    <row r="20" spans="1:8" s="76" customFormat="1" ht="24.95" customHeight="1" thickBot="1" x14ac:dyDescent="0.3">
      <c r="A20" s="74"/>
      <c r="B20" s="589"/>
      <c r="C20" s="128" t="s">
        <v>43</v>
      </c>
      <c r="D20" s="55">
        <f>Zone4Tot</f>
        <v>3.2454398148148154</v>
      </c>
      <c r="E20" s="56">
        <f>Zone4Moy</f>
        <v>2.7503727244193352E-2</v>
      </c>
      <c r="F20" s="57">
        <f>Zone4Max</f>
        <v>0.13422453703703704</v>
      </c>
      <c r="G20" s="74"/>
      <c r="H20" s="74"/>
    </row>
    <row r="21" spans="1:8" s="76" customFormat="1" ht="24.95" customHeight="1" thickBot="1" x14ac:dyDescent="0.3">
      <c r="A21" s="74"/>
      <c r="B21" s="590"/>
      <c r="C21" s="129" t="s">
        <v>44</v>
      </c>
      <c r="D21" s="58">
        <f>Zone5Tot</f>
        <v>0.75350694444444444</v>
      </c>
      <c r="E21" s="59">
        <f>Zone5Moy</f>
        <v>6.3856520715630883E-3</v>
      </c>
      <c r="F21" s="60">
        <f>Zone5Max</f>
        <v>5.7534722222222223E-2</v>
      </c>
      <c r="G21" s="74"/>
      <c r="H21" s="74"/>
    </row>
    <row r="22" spans="1:8" ht="15" customHeight="1" x14ac:dyDescent="0.25">
      <c r="A22" s="43"/>
      <c r="B22" s="43"/>
      <c r="C22" s="43"/>
      <c r="D22" s="43"/>
      <c r="E22" s="43"/>
      <c r="F22" s="43"/>
      <c r="G22" s="43"/>
      <c r="H22" s="43"/>
    </row>
    <row r="23" spans="1:8" x14ac:dyDescent="0.25">
      <c r="A23" s="43"/>
      <c r="B23" s="43"/>
      <c r="C23" s="43"/>
      <c r="D23" s="43"/>
      <c r="E23" s="43"/>
      <c r="F23" s="43"/>
      <c r="G23" s="43"/>
      <c r="H23" s="43"/>
    </row>
    <row r="24" spans="1:8" x14ac:dyDescent="0.25">
      <c r="B24" s="43"/>
      <c r="C24" s="43"/>
      <c r="D24" s="43"/>
      <c r="E24" s="43"/>
      <c r="F24" s="43"/>
      <c r="H24" s="43"/>
    </row>
    <row r="25" spans="1:8" x14ac:dyDescent="0.25">
      <c r="A25" s="43"/>
      <c r="B25" s="43"/>
      <c r="C25" s="43"/>
      <c r="D25" s="43"/>
      <c r="E25" s="43"/>
      <c r="F25" s="43"/>
      <c r="G25" s="43"/>
      <c r="H25" s="43"/>
    </row>
  </sheetData>
  <mergeCells count="1">
    <mergeCell ref="B16:B2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3" orientation="landscape" r:id="rId1"/>
  <drawing r:id="rId2"/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BF1E2E"/>
  </sheetPr>
  <dimension ref="A1:R71"/>
  <sheetViews>
    <sheetView showGridLines="0" zoomScaleNormal="100" workbookViewId="0">
      <selection activeCell="D1" sqref="D1:R1"/>
    </sheetView>
  </sheetViews>
  <sheetFormatPr baseColWidth="10" defaultRowHeight="15" outlineLevelRow="1" x14ac:dyDescent="0.25"/>
  <cols>
    <col min="1" max="1" width="19.5703125" style="4" customWidth="1"/>
    <col min="2" max="2" width="15.7109375" style="4" customWidth="1"/>
    <col min="3" max="3" width="15.7109375" style="6" customWidth="1"/>
    <col min="4" max="8" width="7.85546875" style="6" customWidth="1"/>
    <col min="9" max="9" width="10.7109375" style="7" customWidth="1"/>
    <col min="10" max="14" width="7.85546875" style="6" customWidth="1"/>
    <col min="15" max="15" width="7.85546875" style="4" customWidth="1"/>
    <col min="16" max="18" width="10.7109375" style="4" customWidth="1"/>
    <col min="19" max="16384" width="11.42578125" style="4"/>
  </cols>
  <sheetData>
    <row r="1" spans="1:18" ht="30" customHeight="1" thickBot="1" x14ac:dyDescent="0.3">
      <c r="A1" s="615"/>
      <c r="B1" s="613" t="s">
        <v>18</v>
      </c>
      <c r="C1" s="614"/>
      <c r="D1" s="603" t="s">
        <v>19</v>
      </c>
      <c r="E1" s="604"/>
      <c r="F1" s="604"/>
      <c r="G1" s="604"/>
      <c r="H1" s="604"/>
      <c r="I1" s="604"/>
      <c r="J1" s="604"/>
      <c r="K1" s="604"/>
      <c r="L1" s="604"/>
      <c r="M1" s="604"/>
      <c r="N1" s="604"/>
      <c r="O1" s="604"/>
      <c r="P1" s="604"/>
      <c r="Q1" s="604"/>
      <c r="R1" s="605"/>
    </row>
    <row r="2" spans="1:18" ht="60" customHeight="1" thickBot="1" x14ac:dyDescent="0.3">
      <c r="A2" s="616"/>
      <c r="B2" s="611">
        <v>11.7</v>
      </c>
      <c r="C2" s="612"/>
      <c r="D2" s="606"/>
      <c r="E2" s="607"/>
      <c r="F2" s="607"/>
      <c r="G2" s="607"/>
      <c r="H2" s="607"/>
      <c r="I2" s="181" t="s">
        <v>17</v>
      </c>
      <c r="J2" s="608" t="s">
        <v>62</v>
      </c>
      <c r="K2" s="609"/>
      <c r="L2" s="609"/>
      <c r="M2" s="609"/>
      <c r="N2" s="609"/>
      <c r="O2" s="610"/>
      <c r="P2" s="213" t="s">
        <v>20</v>
      </c>
      <c r="Q2" s="154" t="s">
        <v>14</v>
      </c>
      <c r="R2" s="153" t="s">
        <v>15</v>
      </c>
    </row>
    <row r="3" spans="1:18" ht="30" customHeight="1" thickBot="1" x14ac:dyDescent="0.3">
      <c r="A3" s="212" t="s">
        <v>21</v>
      </c>
      <c r="B3" s="156" t="s">
        <v>16</v>
      </c>
      <c r="C3" s="156" t="s">
        <v>179</v>
      </c>
      <c r="D3" s="157">
        <v>100</v>
      </c>
      <c r="E3" s="158">
        <v>200</v>
      </c>
      <c r="F3" s="158">
        <v>300</v>
      </c>
      <c r="G3" s="158">
        <v>400</v>
      </c>
      <c r="H3" s="159">
        <v>500</v>
      </c>
      <c r="I3" s="155">
        <v>1000</v>
      </c>
      <c r="J3" s="160">
        <v>1200</v>
      </c>
      <c r="K3" s="161">
        <v>1500</v>
      </c>
      <c r="L3" s="161">
        <v>2000</v>
      </c>
      <c r="M3" s="161">
        <v>3000</v>
      </c>
      <c r="N3" s="161">
        <v>4000</v>
      </c>
      <c r="O3" s="162">
        <v>5000</v>
      </c>
      <c r="P3" s="214">
        <v>10000</v>
      </c>
      <c r="Q3" s="215">
        <v>21100</v>
      </c>
      <c r="R3" s="216">
        <v>42195</v>
      </c>
    </row>
    <row r="4" spans="1:18" x14ac:dyDescent="0.25">
      <c r="A4" s="594" t="s">
        <v>0</v>
      </c>
      <c r="B4" s="204">
        <f t="shared" ref="B4:B35" si="0">$B$2*C4</f>
        <v>7.02</v>
      </c>
      <c r="C4" s="205">
        <v>0.6</v>
      </c>
      <c r="D4" s="163">
        <f t="shared" ref="D4:R13" si="1">TIME(,,(D$3*3600)/(($B$2*$C4)*1000))</f>
        <v>5.9027777777777778E-4</v>
      </c>
      <c r="E4" s="164">
        <f t="shared" si="1"/>
        <v>1.1805555555555556E-3</v>
      </c>
      <c r="F4" s="164">
        <f t="shared" si="1"/>
        <v>1.7708333333333332E-3</v>
      </c>
      <c r="G4" s="164">
        <f t="shared" si="1"/>
        <v>2.3726851851851851E-3</v>
      </c>
      <c r="H4" s="165">
        <f t="shared" si="1"/>
        <v>2.9629629629629628E-3</v>
      </c>
      <c r="I4" s="187">
        <f t="shared" si="1"/>
        <v>5.9259259259259256E-3</v>
      </c>
      <c r="J4" s="163">
        <f t="shared" si="1"/>
        <v>7.1180555555555554E-3</v>
      </c>
      <c r="K4" s="164">
        <f t="shared" si="1"/>
        <v>8.9004629629629625E-3</v>
      </c>
      <c r="L4" s="164">
        <f t="shared" si="1"/>
        <v>1.1863425925925925E-2</v>
      </c>
      <c r="M4" s="164">
        <f t="shared" si="1"/>
        <v>1.7800925925925925E-2</v>
      </c>
      <c r="N4" s="164">
        <f t="shared" si="1"/>
        <v>2.3738425925925923E-2</v>
      </c>
      <c r="O4" s="165">
        <f t="shared" si="1"/>
        <v>2.9675925925925925E-2</v>
      </c>
      <c r="P4" s="187">
        <f t="shared" si="1"/>
        <v>5.935185185185185E-2</v>
      </c>
      <c r="Q4" s="217">
        <f t="shared" si="1"/>
        <v>0.12523148148148147</v>
      </c>
      <c r="R4" s="218">
        <f t="shared" si="1"/>
        <v>0.25043981481481481</v>
      </c>
    </row>
    <row r="5" spans="1:18" hidden="1" outlineLevel="1" x14ac:dyDescent="0.25">
      <c r="A5" s="595"/>
      <c r="B5" s="206">
        <f t="shared" si="0"/>
        <v>7.1369999999999996</v>
      </c>
      <c r="C5" s="207">
        <v>0.61</v>
      </c>
      <c r="D5" s="166">
        <f t="shared" si="1"/>
        <v>5.7870370370370378E-4</v>
      </c>
      <c r="E5" s="167">
        <f t="shared" si="1"/>
        <v>1.1574074074074076E-3</v>
      </c>
      <c r="F5" s="167">
        <f t="shared" si="1"/>
        <v>1.7476851851851852E-3</v>
      </c>
      <c r="G5" s="167">
        <f t="shared" si="1"/>
        <v>2.3263888888888887E-3</v>
      </c>
      <c r="H5" s="168">
        <f t="shared" si="1"/>
        <v>2.9166666666666668E-3</v>
      </c>
      <c r="I5" s="188">
        <f t="shared" si="1"/>
        <v>5.8333333333333336E-3</v>
      </c>
      <c r="J5" s="166">
        <f t="shared" si="1"/>
        <v>7.0023148148148154E-3</v>
      </c>
      <c r="K5" s="167">
        <f t="shared" si="1"/>
        <v>8.7499999999999991E-3</v>
      </c>
      <c r="L5" s="167">
        <f t="shared" si="1"/>
        <v>1.1666666666666667E-2</v>
      </c>
      <c r="M5" s="167">
        <f t="shared" si="1"/>
        <v>1.7511574074074072E-2</v>
      </c>
      <c r="N5" s="167">
        <f t="shared" si="1"/>
        <v>2.3344907407407408E-2</v>
      </c>
      <c r="O5" s="168">
        <f t="shared" si="1"/>
        <v>2.9189814814814811E-2</v>
      </c>
      <c r="P5" s="188">
        <f t="shared" si="1"/>
        <v>5.8379629629629622E-2</v>
      </c>
      <c r="Q5" s="219">
        <f t="shared" si="1"/>
        <v>0.12318287037037036</v>
      </c>
      <c r="R5" s="220">
        <f t="shared" si="1"/>
        <v>0.24633101851851849</v>
      </c>
    </row>
    <row r="6" spans="1:18" hidden="1" outlineLevel="1" x14ac:dyDescent="0.25">
      <c r="A6" s="595"/>
      <c r="B6" s="206">
        <f t="shared" si="0"/>
        <v>7.2539999999999996</v>
      </c>
      <c r="C6" s="207">
        <v>0.62</v>
      </c>
      <c r="D6" s="166">
        <f t="shared" si="1"/>
        <v>5.6712962962962956E-4</v>
      </c>
      <c r="E6" s="167">
        <f t="shared" si="1"/>
        <v>1.1458333333333333E-3</v>
      </c>
      <c r="F6" s="167">
        <f t="shared" si="1"/>
        <v>1.712962962962963E-3</v>
      </c>
      <c r="G6" s="167">
        <f t="shared" si="1"/>
        <v>2.2916666666666667E-3</v>
      </c>
      <c r="H6" s="168">
        <f t="shared" si="1"/>
        <v>2.8703703703703708E-3</v>
      </c>
      <c r="I6" s="188">
        <f t="shared" si="1"/>
        <v>5.7407407407407416E-3</v>
      </c>
      <c r="J6" s="166">
        <f t="shared" si="1"/>
        <v>6.8865740740740736E-3</v>
      </c>
      <c r="K6" s="167">
        <f t="shared" si="1"/>
        <v>8.611111111111111E-3</v>
      </c>
      <c r="L6" s="167">
        <f t="shared" si="1"/>
        <v>1.1481481481481483E-2</v>
      </c>
      <c r="M6" s="167">
        <f t="shared" si="1"/>
        <v>1.7222222222222222E-2</v>
      </c>
      <c r="N6" s="167">
        <f t="shared" si="1"/>
        <v>2.297453703703704E-2</v>
      </c>
      <c r="O6" s="168">
        <f t="shared" si="1"/>
        <v>2.8715277777777781E-2</v>
      </c>
      <c r="P6" s="188">
        <f t="shared" si="1"/>
        <v>5.7430555555555561E-2</v>
      </c>
      <c r="Q6" s="219">
        <f t="shared" si="1"/>
        <v>0.12119212962962965</v>
      </c>
      <c r="R6" s="220">
        <f t="shared" si="1"/>
        <v>0.24236111111111111</v>
      </c>
    </row>
    <row r="7" spans="1:18" hidden="1" outlineLevel="1" x14ac:dyDescent="0.25">
      <c r="A7" s="595"/>
      <c r="B7" s="206">
        <f t="shared" si="0"/>
        <v>7.3709999999999996</v>
      </c>
      <c r="C7" s="207">
        <v>0.63</v>
      </c>
      <c r="D7" s="166">
        <f t="shared" si="1"/>
        <v>5.5555555555555556E-4</v>
      </c>
      <c r="E7" s="167">
        <f t="shared" si="1"/>
        <v>1.1226851851851851E-3</v>
      </c>
      <c r="F7" s="167">
        <f t="shared" si="1"/>
        <v>1.6898148148148148E-3</v>
      </c>
      <c r="G7" s="167">
        <f t="shared" si="1"/>
        <v>2.2569444444444447E-3</v>
      </c>
      <c r="H7" s="168">
        <f t="shared" si="1"/>
        <v>2.8240740740740739E-3</v>
      </c>
      <c r="I7" s="188">
        <f t="shared" si="1"/>
        <v>5.6481481481481478E-3</v>
      </c>
      <c r="J7" s="166">
        <f t="shared" si="1"/>
        <v>6.782407407407408E-3</v>
      </c>
      <c r="K7" s="167">
        <f t="shared" si="1"/>
        <v>8.4722222222222213E-3</v>
      </c>
      <c r="L7" s="167">
        <f t="shared" si="1"/>
        <v>1.1296296296296296E-2</v>
      </c>
      <c r="M7" s="167">
        <f t="shared" si="1"/>
        <v>1.695601851851852E-2</v>
      </c>
      <c r="N7" s="167">
        <f t="shared" si="1"/>
        <v>2.2604166666666665E-2</v>
      </c>
      <c r="O7" s="168">
        <f t="shared" si="1"/>
        <v>2.826388888888889E-2</v>
      </c>
      <c r="P7" s="188">
        <f t="shared" si="1"/>
        <v>5.6527777777777781E-2</v>
      </c>
      <c r="Q7" s="219">
        <f t="shared" si="1"/>
        <v>0.11927083333333333</v>
      </c>
      <c r="R7" s="220">
        <f t="shared" si="1"/>
        <v>0.23851851851851849</v>
      </c>
    </row>
    <row r="8" spans="1:18" hidden="1" outlineLevel="1" x14ac:dyDescent="0.25">
      <c r="A8" s="595"/>
      <c r="B8" s="206">
        <f t="shared" si="0"/>
        <v>7.4879999999999995</v>
      </c>
      <c r="C8" s="207">
        <v>0.64</v>
      </c>
      <c r="D8" s="166">
        <f t="shared" si="1"/>
        <v>5.5555555555555556E-4</v>
      </c>
      <c r="E8" s="167">
        <f t="shared" si="1"/>
        <v>1.1111111111111111E-3</v>
      </c>
      <c r="F8" s="167">
        <f t="shared" si="1"/>
        <v>1.6666666666666668E-3</v>
      </c>
      <c r="G8" s="167">
        <f t="shared" si="1"/>
        <v>2.2222222222222222E-3</v>
      </c>
      <c r="H8" s="168">
        <f t="shared" si="1"/>
        <v>2.7777777777777779E-3</v>
      </c>
      <c r="I8" s="188">
        <f t="shared" si="1"/>
        <v>5.5555555555555558E-3</v>
      </c>
      <c r="J8" s="166">
        <f t="shared" si="1"/>
        <v>6.6666666666666671E-3</v>
      </c>
      <c r="K8" s="167">
        <f t="shared" si="1"/>
        <v>8.3449074074074085E-3</v>
      </c>
      <c r="L8" s="167">
        <f t="shared" si="1"/>
        <v>1.1122685185185185E-2</v>
      </c>
      <c r="M8" s="167">
        <f t="shared" si="1"/>
        <v>1.6689814814814817E-2</v>
      </c>
      <c r="N8" s="167">
        <f t="shared" si="1"/>
        <v>2.225694444444444E-2</v>
      </c>
      <c r="O8" s="168">
        <f t="shared" si="1"/>
        <v>2.78125E-2</v>
      </c>
      <c r="P8" s="188">
        <f t="shared" si="1"/>
        <v>5.5636574074074067E-2</v>
      </c>
      <c r="Q8" s="219">
        <f t="shared" si="1"/>
        <v>0.1174074074074074</v>
      </c>
      <c r="R8" s="220">
        <f t="shared" si="1"/>
        <v>0.2347916666666667</v>
      </c>
    </row>
    <row r="9" spans="1:18" collapsed="1" x14ac:dyDescent="0.25">
      <c r="A9" s="595"/>
      <c r="B9" s="206">
        <f t="shared" si="0"/>
        <v>7.6049999999999995</v>
      </c>
      <c r="C9" s="207">
        <v>0.65</v>
      </c>
      <c r="D9" s="166">
        <f t="shared" si="1"/>
        <v>5.4398148148148144E-4</v>
      </c>
      <c r="E9" s="167">
        <f t="shared" si="1"/>
        <v>1.0879629629629629E-3</v>
      </c>
      <c r="F9" s="167">
        <f t="shared" si="1"/>
        <v>1.6435185185185183E-3</v>
      </c>
      <c r="G9" s="167">
        <f t="shared" si="1"/>
        <v>2.1874999999999998E-3</v>
      </c>
      <c r="H9" s="168">
        <f t="shared" si="1"/>
        <v>2.731481481481481E-3</v>
      </c>
      <c r="I9" s="188">
        <f t="shared" si="1"/>
        <v>5.4745370370370373E-3</v>
      </c>
      <c r="J9" s="166">
        <f t="shared" si="1"/>
        <v>6.5740740740740733E-3</v>
      </c>
      <c r="K9" s="167">
        <f t="shared" si="1"/>
        <v>8.217592592592594E-3</v>
      </c>
      <c r="L9" s="167">
        <f t="shared" si="1"/>
        <v>1.0949074074074075E-2</v>
      </c>
      <c r="M9" s="167">
        <f t="shared" si="1"/>
        <v>1.6435185185185188E-2</v>
      </c>
      <c r="N9" s="167">
        <f t="shared" si="1"/>
        <v>2.1909722222222223E-2</v>
      </c>
      <c r="O9" s="168">
        <f t="shared" si="1"/>
        <v>2.7384259259259257E-2</v>
      </c>
      <c r="P9" s="188">
        <f t="shared" si="1"/>
        <v>5.4780092592592596E-2</v>
      </c>
      <c r="Q9" s="219">
        <f t="shared" si="1"/>
        <v>0.11560185185185184</v>
      </c>
      <c r="R9" s="220">
        <f t="shared" si="1"/>
        <v>0.23116898148148146</v>
      </c>
    </row>
    <row r="10" spans="1:18" hidden="1" outlineLevel="1" x14ac:dyDescent="0.25">
      <c r="A10" s="595"/>
      <c r="B10" s="206">
        <f t="shared" si="0"/>
        <v>7.7219999999999995</v>
      </c>
      <c r="C10" s="207">
        <v>0.66</v>
      </c>
      <c r="D10" s="166">
        <f t="shared" si="1"/>
        <v>5.3240740740740744E-4</v>
      </c>
      <c r="E10" s="167">
        <f t="shared" si="1"/>
        <v>1.0763888888888889E-3</v>
      </c>
      <c r="F10" s="167">
        <f t="shared" si="1"/>
        <v>1.6087962962962965E-3</v>
      </c>
      <c r="G10" s="167">
        <f t="shared" si="1"/>
        <v>2.1527777777777778E-3</v>
      </c>
      <c r="H10" s="168">
        <f t="shared" si="1"/>
        <v>2.6967592592592594E-3</v>
      </c>
      <c r="I10" s="188">
        <f t="shared" si="1"/>
        <v>5.3935185185185188E-3</v>
      </c>
      <c r="J10" s="166">
        <f t="shared" si="1"/>
        <v>6.4699074074074069E-3</v>
      </c>
      <c r="K10" s="167">
        <f t="shared" si="1"/>
        <v>8.0902777777777778E-3</v>
      </c>
      <c r="L10" s="167">
        <f t="shared" si="1"/>
        <v>1.0787037037037038E-2</v>
      </c>
      <c r="M10" s="167">
        <f t="shared" si="1"/>
        <v>1.6180555555555556E-2</v>
      </c>
      <c r="N10" s="167">
        <f t="shared" si="1"/>
        <v>2.1574074074074075E-2</v>
      </c>
      <c r="O10" s="168">
        <f t="shared" si="1"/>
        <v>2.6979166666666669E-2</v>
      </c>
      <c r="P10" s="188">
        <f t="shared" si="1"/>
        <v>5.3958333333333337E-2</v>
      </c>
      <c r="Q10" s="219">
        <f t="shared" si="1"/>
        <v>0.11384259259259259</v>
      </c>
      <c r="R10" s="220">
        <f t="shared" si="1"/>
        <v>0.22767361111111115</v>
      </c>
    </row>
    <row r="11" spans="1:18" hidden="1" outlineLevel="1" x14ac:dyDescent="0.25">
      <c r="A11" s="595"/>
      <c r="B11" s="206">
        <f t="shared" si="0"/>
        <v>7.8390000000000004</v>
      </c>
      <c r="C11" s="207">
        <v>0.67</v>
      </c>
      <c r="D11" s="166">
        <f t="shared" si="1"/>
        <v>5.2083333333333333E-4</v>
      </c>
      <c r="E11" s="167">
        <f t="shared" si="1"/>
        <v>1.0532407407407407E-3</v>
      </c>
      <c r="F11" s="167">
        <f t="shared" si="1"/>
        <v>1.5856481481481479E-3</v>
      </c>
      <c r="G11" s="167">
        <f t="shared" si="1"/>
        <v>2.1180555555555553E-3</v>
      </c>
      <c r="H11" s="168">
        <f t="shared" si="1"/>
        <v>2.6504629629629634E-3</v>
      </c>
      <c r="I11" s="188">
        <f t="shared" si="1"/>
        <v>5.3125000000000004E-3</v>
      </c>
      <c r="J11" s="166">
        <f t="shared" si="1"/>
        <v>6.3773148148148148E-3</v>
      </c>
      <c r="K11" s="167">
        <f t="shared" si="1"/>
        <v>7.9629629629629634E-3</v>
      </c>
      <c r="L11" s="167">
        <f t="shared" si="1"/>
        <v>1.0625000000000001E-2</v>
      </c>
      <c r="M11" s="167">
        <f t="shared" si="1"/>
        <v>1.59375E-2</v>
      </c>
      <c r="N11" s="167">
        <f t="shared" si="1"/>
        <v>2.1250000000000002E-2</v>
      </c>
      <c r="O11" s="168">
        <f t="shared" si="1"/>
        <v>2.6574074074074073E-2</v>
      </c>
      <c r="P11" s="188">
        <f t="shared" si="1"/>
        <v>5.3148148148148146E-2</v>
      </c>
      <c r="Q11" s="219">
        <f t="shared" si="1"/>
        <v>0.11215277777777778</v>
      </c>
      <c r="R11" s="220">
        <f t="shared" si="1"/>
        <v>0.22427083333333331</v>
      </c>
    </row>
    <row r="12" spans="1:18" hidden="1" outlineLevel="1" x14ac:dyDescent="0.25">
      <c r="A12" s="595"/>
      <c r="B12" s="206">
        <f t="shared" si="0"/>
        <v>7.9560000000000004</v>
      </c>
      <c r="C12" s="207">
        <v>0.68</v>
      </c>
      <c r="D12" s="166">
        <f t="shared" si="1"/>
        <v>5.2083333333333333E-4</v>
      </c>
      <c r="E12" s="167">
        <f t="shared" si="1"/>
        <v>1.0416666666666667E-3</v>
      </c>
      <c r="F12" s="167">
        <f t="shared" si="1"/>
        <v>1.5624999999999999E-3</v>
      </c>
      <c r="G12" s="167">
        <f t="shared" si="1"/>
        <v>2.0833333333333333E-3</v>
      </c>
      <c r="H12" s="168">
        <f t="shared" si="1"/>
        <v>2.615740740740741E-3</v>
      </c>
      <c r="I12" s="188">
        <f t="shared" si="1"/>
        <v>5.2314814814814819E-3</v>
      </c>
      <c r="J12" s="166">
        <f t="shared" si="1"/>
        <v>6.2731481481481484E-3</v>
      </c>
      <c r="K12" s="167">
        <f t="shared" si="1"/>
        <v>7.8472222222222224E-3</v>
      </c>
      <c r="L12" s="167">
        <f t="shared" si="1"/>
        <v>1.0462962962962964E-2</v>
      </c>
      <c r="M12" s="167">
        <f t="shared" si="1"/>
        <v>1.5706018518518518E-2</v>
      </c>
      <c r="N12" s="167">
        <f t="shared" si="1"/>
        <v>2.0937499999999998E-2</v>
      </c>
      <c r="O12" s="168">
        <f t="shared" si="1"/>
        <v>2.6180555555555558E-2</v>
      </c>
      <c r="P12" s="188">
        <f t="shared" si="1"/>
        <v>5.2361111111111115E-2</v>
      </c>
      <c r="Q12" s="219">
        <f t="shared" si="1"/>
        <v>0.1104976851851852</v>
      </c>
      <c r="R12" s="220">
        <f t="shared" si="1"/>
        <v>0.22097222222222221</v>
      </c>
    </row>
    <row r="13" spans="1:18" hidden="1" outlineLevel="1" x14ac:dyDescent="0.25">
      <c r="A13" s="595"/>
      <c r="B13" s="206">
        <f t="shared" si="0"/>
        <v>8.0729999999999986</v>
      </c>
      <c r="C13" s="207">
        <v>0.69</v>
      </c>
      <c r="D13" s="166">
        <f t="shared" si="1"/>
        <v>5.0925925925925921E-4</v>
      </c>
      <c r="E13" s="167">
        <f t="shared" si="1"/>
        <v>1.0300925925925926E-3</v>
      </c>
      <c r="F13" s="167">
        <f t="shared" si="1"/>
        <v>1.5393518518518519E-3</v>
      </c>
      <c r="G13" s="167">
        <f t="shared" si="1"/>
        <v>2.0601851851851853E-3</v>
      </c>
      <c r="H13" s="168">
        <f t="shared" si="1"/>
        <v>2.5694444444444445E-3</v>
      </c>
      <c r="I13" s="188">
        <f t="shared" si="1"/>
        <v>5.1504629629629635E-3</v>
      </c>
      <c r="J13" s="166">
        <f t="shared" si="1"/>
        <v>6.1921296296296299E-3</v>
      </c>
      <c r="K13" s="167">
        <f t="shared" si="1"/>
        <v>7.7314814814814815E-3</v>
      </c>
      <c r="L13" s="167">
        <f t="shared" si="1"/>
        <v>1.03125E-2</v>
      </c>
      <c r="M13" s="167">
        <f t="shared" si="1"/>
        <v>1.5474537037037038E-2</v>
      </c>
      <c r="N13" s="167">
        <f t="shared" si="1"/>
        <v>2.0636574074074075E-2</v>
      </c>
      <c r="O13" s="168">
        <f t="shared" si="1"/>
        <v>2.5798611111111109E-2</v>
      </c>
      <c r="P13" s="188">
        <f t="shared" si="1"/>
        <v>5.1608796296296298E-2</v>
      </c>
      <c r="Q13" s="219">
        <f t="shared" si="1"/>
        <v>0.10890046296296296</v>
      </c>
      <c r="R13" s="220">
        <f t="shared" si="1"/>
        <v>0.21777777777777782</v>
      </c>
    </row>
    <row r="14" spans="1:18" ht="15.75" collapsed="1" thickBot="1" x14ac:dyDescent="0.3">
      <c r="A14" s="596"/>
      <c r="B14" s="208">
        <f t="shared" si="0"/>
        <v>8.19</v>
      </c>
      <c r="C14" s="209">
        <v>0.7</v>
      </c>
      <c r="D14" s="169">
        <f t="shared" ref="D14:R23" si="2">TIME(,,(D$3*3600)/(($B$2*$C14)*1000))</f>
        <v>4.9768518518518521E-4</v>
      </c>
      <c r="E14" s="170">
        <f t="shared" si="2"/>
        <v>1.0069444444444444E-3</v>
      </c>
      <c r="F14" s="170">
        <f t="shared" si="2"/>
        <v>1.5162037037037036E-3</v>
      </c>
      <c r="G14" s="170">
        <f t="shared" si="2"/>
        <v>2.0254629629629629E-3</v>
      </c>
      <c r="H14" s="171">
        <f t="shared" si="2"/>
        <v>2.5347222222222221E-3</v>
      </c>
      <c r="I14" s="189">
        <f t="shared" si="2"/>
        <v>5.0810185185185186E-3</v>
      </c>
      <c r="J14" s="169">
        <f t="shared" si="2"/>
        <v>6.0995370370370361E-3</v>
      </c>
      <c r="K14" s="170">
        <f t="shared" si="2"/>
        <v>7.6273148148148151E-3</v>
      </c>
      <c r="L14" s="170">
        <f t="shared" si="2"/>
        <v>1.0173611111111111E-2</v>
      </c>
      <c r="M14" s="170">
        <f t="shared" si="2"/>
        <v>1.525462962962963E-2</v>
      </c>
      <c r="N14" s="170">
        <f t="shared" si="2"/>
        <v>2.0347222222222221E-2</v>
      </c>
      <c r="O14" s="171">
        <f t="shared" si="2"/>
        <v>2.5428240740740741E-2</v>
      </c>
      <c r="P14" s="189">
        <f t="shared" si="2"/>
        <v>5.0868055555555562E-2</v>
      </c>
      <c r="Q14" s="221">
        <f t="shared" si="2"/>
        <v>0.10733796296296295</v>
      </c>
      <c r="R14" s="222">
        <f t="shared" si="2"/>
        <v>0.21466435185185184</v>
      </c>
    </row>
    <row r="15" spans="1:18" hidden="1" outlineLevel="1" x14ac:dyDescent="0.25">
      <c r="A15" s="597" t="s">
        <v>1</v>
      </c>
      <c r="B15" s="204">
        <f t="shared" si="0"/>
        <v>8.3069999999999986</v>
      </c>
      <c r="C15" s="205">
        <v>0.71</v>
      </c>
      <c r="D15" s="8">
        <f t="shared" si="2"/>
        <v>4.9768518518518521E-4</v>
      </c>
      <c r="E15" s="9">
        <f t="shared" si="2"/>
        <v>9.9537037037037042E-4</v>
      </c>
      <c r="F15" s="9">
        <f t="shared" si="2"/>
        <v>1.5046296296296294E-3</v>
      </c>
      <c r="G15" s="9">
        <f t="shared" si="2"/>
        <v>2.0023148148148148E-3</v>
      </c>
      <c r="H15" s="10">
        <f t="shared" si="2"/>
        <v>2.5000000000000001E-3</v>
      </c>
      <c r="I15" s="187">
        <f t="shared" si="2"/>
        <v>5.0115740740740737E-3</v>
      </c>
      <c r="J15" s="8">
        <f t="shared" si="2"/>
        <v>6.0185185185185177E-3</v>
      </c>
      <c r="K15" s="9">
        <f t="shared" si="2"/>
        <v>7.5231481481481477E-3</v>
      </c>
      <c r="L15" s="9">
        <f t="shared" si="2"/>
        <v>1.0023148148148147E-2</v>
      </c>
      <c r="M15" s="9">
        <f t="shared" si="2"/>
        <v>1.5046296296296295E-2</v>
      </c>
      <c r="N15" s="9">
        <f t="shared" si="2"/>
        <v>2.0057870370370368E-2</v>
      </c>
      <c r="O15" s="10">
        <f t="shared" si="2"/>
        <v>2.5069444444444446E-2</v>
      </c>
      <c r="P15" s="187">
        <f t="shared" si="2"/>
        <v>5.0150462962962966E-2</v>
      </c>
      <c r="Q15" s="217">
        <f t="shared" si="2"/>
        <v>0.10583333333333333</v>
      </c>
      <c r="R15" s="218">
        <f t="shared" si="2"/>
        <v>0.21164351851851851</v>
      </c>
    </row>
    <row r="16" spans="1:18" hidden="1" outlineLevel="1" x14ac:dyDescent="0.25">
      <c r="A16" s="598"/>
      <c r="B16" s="206">
        <f t="shared" si="0"/>
        <v>8.4239999999999995</v>
      </c>
      <c r="C16" s="207">
        <v>0.72</v>
      </c>
      <c r="D16" s="11">
        <f t="shared" si="2"/>
        <v>4.8611111111111104E-4</v>
      </c>
      <c r="E16" s="12">
        <f t="shared" si="2"/>
        <v>9.8379629629629642E-4</v>
      </c>
      <c r="F16" s="12">
        <f t="shared" si="2"/>
        <v>1.4814814814814814E-3</v>
      </c>
      <c r="G16" s="12">
        <f t="shared" si="2"/>
        <v>1.9675925925925928E-3</v>
      </c>
      <c r="H16" s="13">
        <f t="shared" si="2"/>
        <v>2.4652777777777776E-3</v>
      </c>
      <c r="I16" s="188">
        <f t="shared" si="2"/>
        <v>4.9421296296296288E-3</v>
      </c>
      <c r="J16" s="11">
        <f t="shared" si="2"/>
        <v>5.9259259259259256E-3</v>
      </c>
      <c r="K16" s="12">
        <f t="shared" si="2"/>
        <v>7.4189814814814813E-3</v>
      </c>
      <c r="L16" s="12">
        <f t="shared" si="2"/>
        <v>9.8842592592592576E-3</v>
      </c>
      <c r="M16" s="12">
        <f t="shared" si="2"/>
        <v>1.4837962962962963E-2</v>
      </c>
      <c r="N16" s="12">
        <f t="shared" si="2"/>
        <v>1.9780092592592592E-2</v>
      </c>
      <c r="O16" s="13">
        <f t="shared" si="2"/>
        <v>2.4722222222222225E-2</v>
      </c>
      <c r="P16" s="188">
        <f t="shared" si="2"/>
        <v>4.9456018518518524E-2</v>
      </c>
      <c r="Q16" s="219">
        <f t="shared" si="2"/>
        <v>0.10436342592592592</v>
      </c>
      <c r="R16" s="220">
        <f t="shared" si="2"/>
        <v>0.20870370370370372</v>
      </c>
    </row>
    <row r="17" spans="1:18" hidden="1" outlineLevel="1" x14ac:dyDescent="0.25">
      <c r="A17" s="598"/>
      <c r="B17" s="206">
        <f t="shared" si="0"/>
        <v>8.5409999999999986</v>
      </c>
      <c r="C17" s="207">
        <v>0.73</v>
      </c>
      <c r="D17" s="11">
        <f t="shared" si="2"/>
        <v>4.8611111111111104E-4</v>
      </c>
      <c r="E17" s="12">
        <f t="shared" si="2"/>
        <v>9.7222222222222209E-4</v>
      </c>
      <c r="F17" s="12">
        <f t="shared" si="2"/>
        <v>1.4583333333333334E-3</v>
      </c>
      <c r="G17" s="12">
        <f t="shared" si="2"/>
        <v>1.9444444444444442E-3</v>
      </c>
      <c r="H17" s="13">
        <f t="shared" si="2"/>
        <v>2.4305555555555556E-3</v>
      </c>
      <c r="I17" s="188">
        <f t="shared" si="2"/>
        <v>4.8726851851851856E-3</v>
      </c>
      <c r="J17" s="11">
        <f t="shared" si="2"/>
        <v>5.8449074074074072E-3</v>
      </c>
      <c r="K17" s="12">
        <f t="shared" si="2"/>
        <v>7.3148148148148148E-3</v>
      </c>
      <c r="L17" s="12">
        <f t="shared" si="2"/>
        <v>9.7453703703703713E-3</v>
      </c>
      <c r="M17" s="12">
        <f t="shared" si="2"/>
        <v>1.462962962962963E-2</v>
      </c>
      <c r="N17" s="12">
        <f t="shared" si="2"/>
        <v>1.9502314814814816E-2</v>
      </c>
      <c r="O17" s="13">
        <f t="shared" si="2"/>
        <v>2.4386574074074074E-2</v>
      </c>
      <c r="P17" s="188">
        <f t="shared" si="2"/>
        <v>4.8773148148148149E-2</v>
      </c>
      <c r="Q17" s="219">
        <f t="shared" si="2"/>
        <v>0.10292824074074075</v>
      </c>
      <c r="R17" s="220">
        <f t="shared" si="2"/>
        <v>0.20584490740740743</v>
      </c>
    </row>
    <row r="18" spans="1:18" hidden="1" outlineLevel="1" x14ac:dyDescent="0.25">
      <c r="A18" s="598"/>
      <c r="B18" s="206">
        <f t="shared" si="0"/>
        <v>8.6579999999999995</v>
      </c>
      <c r="C18" s="207">
        <v>0.74</v>
      </c>
      <c r="D18" s="11">
        <f t="shared" si="2"/>
        <v>4.7453703703703704E-4</v>
      </c>
      <c r="E18" s="12">
        <f t="shared" si="2"/>
        <v>9.6064814814814808E-4</v>
      </c>
      <c r="F18" s="12">
        <f t="shared" si="2"/>
        <v>1.4351851851851854E-3</v>
      </c>
      <c r="G18" s="12">
        <f t="shared" si="2"/>
        <v>1.9212962962962962E-3</v>
      </c>
      <c r="H18" s="13">
        <f t="shared" si="2"/>
        <v>2.3958333333333336E-3</v>
      </c>
      <c r="I18" s="188">
        <f t="shared" si="2"/>
        <v>4.8032407407407407E-3</v>
      </c>
      <c r="J18" s="11">
        <f t="shared" si="2"/>
        <v>5.7638888888888887E-3</v>
      </c>
      <c r="K18" s="12">
        <f t="shared" si="2"/>
        <v>7.2106481481481475E-3</v>
      </c>
      <c r="L18" s="12">
        <f t="shared" si="2"/>
        <v>9.618055555555555E-3</v>
      </c>
      <c r="M18" s="12">
        <f t="shared" si="2"/>
        <v>1.4432870370370372E-2</v>
      </c>
      <c r="N18" s="12">
        <f t="shared" si="2"/>
        <v>1.9247685185185184E-2</v>
      </c>
      <c r="O18" s="13">
        <f t="shared" si="2"/>
        <v>2.4062500000000001E-2</v>
      </c>
      <c r="P18" s="188">
        <f t="shared" si="2"/>
        <v>4.8125000000000001E-2</v>
      </c>
      <c r="Q18" s="219">
        <f t="shared" si="2"/>
        <v>0.10153935185185185</v>
      </c>
      <c r="R18" s="220">
        <f t="shared" si="2"/>
        <v>0.20305555555555554</v>
      </c>
    </row>
    <row r="19" spans="1:18" collapsed="1" x14ac:dyDescent="0.25">
      <c r="A19" s="598"/>
      <c r="B19" s="206">
        <f t="shared" si="0"/>
        <v>8.7749999999999986</v>
      </c>
      <c r="C19" s="207">
        <v>0.75</v>
      </c>
      <c r="D19" s="11">
        <f t="shared" si="2"/>
        <v>4.7453703703703704E-4</v>
      </c>
      <c r="E19" s="12">
        <f t="shared" si="2"/>
        <v>9.4907407407407408E-4</v>
      </c>
      <c r="F19" s="12">
        <f t="shared" si="2"/>
        <v>1.423611111111111E-3</v>
      </c>
      <c r="G19" s="12">
        <f t="shared" si="2"/>
        <v>1.8981481481481482E-3</v>
      </c>
      <c r="H19" s="13">
        <f t="shared" si="2"/>
        <v>2.3726851851851851E-3</v>
      </c>
      <c r="I19" s="183">
        <f t="shared" si="2"/>
        <v>4.7453703703703703E-3</v>
      </c>
      <c r="J19" s="11">
        <f t="shared" si="2"/>
        <v>5.6944444444444438E-3</v>
      </c>
      <c r="K19" s="12">
        <f t="shared" si="2"/>
        <v>7.1180555555555554E-3</v>
      </c>
      <c r="L19" s="12">
        <f t="shared" si="2"/>
        <v>9.4907407407407406E-3</v>
      </c>
      <c r="M19" s="12">
        <f t="shared" si="2"/>
        <v>1.4236111111111111E-2</v>
      </c>
      <c r="N19" s="12">
        <f t="shared" si="2"/>
        <v>1.8993055555555558E-2</v>
      </c>
      <c r="O19" s="13">
        <f t="shared" si="2"/>
        <v>2.3738425925925923E-2</v>
      </c>
      <c r="P19" s="188">
        <f t="shared" si="2"/>
        <v>4.7476851851851846E-2</v>
      </c>
      <c r="Q19" s="219">
        <f t="shared" si="2"/>
        <v>0.1001851851851852</v>
      </c>
      <c r="R19" s="220">
        <f t="shared" si="2"/>
        <v>0.20034722222222223</v>
      </c>
    </row>
    <row r="20" spans="1:18" hidden="1" outlineLevel="1" x14ac:dyDescent="0.25">
      <c r="A20" s="598"/>
      <c r="B20" s="206">
        <f t="shared" si="0"/>
        <v>8.8919999999999995</v>
      </c>
      <c r="C20" s="207">
        <v>0.76</v>
      </c>
      <c r="D20" s="11">
        <f t="shared" si="2"/>
        <v>4.6296296296296293E-4</v>
      </c>
      <c r="E20" s="12">
        <f t="shared" si="2"/>
        <v>9.2592592592592585E-4</v>
      </c>
      <c r="F20" s="12">
        <f t="shared" si="2"/>
        <v>1.4004629629629629E-3</v>
      </c>
      <c r="G20" s="12">
        <f t="shared" si="2"/>
        <v>1.8634259259259257E-3</v>
      </c>
      <c r="H20" s="13">
        <f t="shared" si="2"/>
        <v>2.3379629629629631E-3</v>
      </c>
      <c r="I20" s="183">
        <f t="shared" si="2"/>
        <v>4.6759259259259263E-3</v>
      </c>
      <c r="J20" s="11">
        <f t="shared" si="2"/>
        <v>5.6134259259259271E-3</v>
      </c>
      <c r="K20" s="12">
        <f t="shared" si="2"/>
        <v>7.0254629629629634E-3</v>
      </c>
      <c r="L20" s="12">
        <f t="shared" si="2"/>
        <v>9.3634259259259261E-3</v>
      </c>
      <c r="M20" s="12">
        <f t="shared" si="2"/>
        <v>1.4050925925925927E-2</v>
      </c>
      <c r="N20" s="12">
        <f t="shared" si="2"/>
        <v>1.8738425925925926E-2</v>
      </c>
      <c r="O20" s="13">
        <f t="shared" si="2"/>
        <v>2.342592592592593E-2</v>
      </c>
      <c r="P20" s="188">
        <f t="shared" si="2"/>
        <v>4.685185185185186E-2</v>
      </c>
      <c r="Q20" s="219">
        <f t="shared" si="2"/>
        <v>9.886574074074074E-2</v>
      </c>
      <c r="R20" s="220">
        <f t="shared" si="2"/>
        <v>0.19770833333333335</v>
      </c>
    </row>
    <row r="21" spans="1:18" hidden="1" outlineLevel="1" x14ac:dyDescent="0.25">
      <c r="A21" s="598"/>
      <c r="B21" s="206">
        <f t="shared" si="0"/>
        <v>9.0090000000000003</v>
      </c>
      <c r="C21" s="207">
        <v>0.77</v>
      </c>
      <c r="D21" s="11">
        <f t="shared" si="2"/>
        <v>4.5138888888888892E-4</v>
      </c>
      <c r="E21" s="12">
        <f t="shared" si="2"/>
        <v>9.1435185185185185E-4</v>
      </c>
      <c r="F21" s="12">
        <f t="shared" si="2"/>
        <v>1.3773148148148147E-3</v>
      </c>
      <c r="G21" s="12">
        <f t="shared" si="2"/>
        <v>1.8402777777777777E-3</v>
      </c>
      <c r="H21" s="13">
        <f t="shared" si="2"/>
        <v>2.3032407407407407E-3</v>
      </c>
      <c r="I21" s="183">
        <f t="shared" si="2"/>
        <v>4.6180555555555558E-3</v>
      </c>
      <c r="J21" s="11">
        <f t="shared" si="2"/>
        <v>5.5439814814814822E-3</v>
      </c>
      <c r="K21" s="12">
        <f t="shared" si="2"/>
        <v>6.9328703703703696E-3</v>
      </c>
      <c r="L21" s="12">
        <f t="shared" si="2"/>
        <v>9.2476851851851852E-3</v>
      </c>
      <c r="M21" s="12">
        <f t="shared" si="2"/>
        <v>1.3865740740740739E-2</v>
      </c>
      <c r="N21" s="12">
        <f t="shared" si="2"/>
        <v>1.849537037037037E-2</v>
      </c>
      <c r="O21" s="13">
        <f t="shared" si="2"/>
        <v>2.3124999999999996E-2</v>
      </c>
      <c r="P21" s="188">
        <f t="shared" si="2"/>
        <v>4.6249999999999993E-2</v>
      </c>
      <c r="Q21" s="219">
        <f t="shared" si="2"/>
        <v>9.7581018518518525E-2</v>
      </c>
      <c r="R21" s="220">
        <f t="shared" si="2"/>
        <v>0.19515046296296293</v>
      </c>
    </row>
    <row r="22" spans="1:18" hidden="1" outlineLevel="1" x14ac:dyDescent="0.25">
      <c r="A22" s="598"/>
      <c r="B22" s="206">
        <f t="shared" si="0"/>
        <v>9.1259999999999994</v>
      </c>
      <c r="C22" s="207">
        <v>0.78</v>
      </c>
      <c r="D22" s="11">
        <f t="shared" si="2"/>
        <v>4.5138888888888892E-4</v>
      </c>
      <c r="E22" s="12">
        <f t="shared" si="2"/>
        <v>9.0277777777777784E-4</v>
      </c>
      <c r="F22" s="12">
        <f t="shared" si="2"/>
        <v>1.3657407407407405E-3</v>
      </c>
      <c r="G22" s="12">
        <f t="shared" si="2"/>
        <v>1.8171296296296297E-3</v>
      </c>
      <c r="H22" s="13">
        <f t="shared" si="2"/>
        <v>2.2800925925925927E-3</v>
      </c>
      <c r="I22" s="183">
        <f t="shared" si="2"/>
        <v>4.5601851851851853E-3</v>
      </c>
      <c r="J22" s="11">
        <f t="shared" si="2"/>
        <v>5.4745370370370373E-3</v>
      </c>
      <c r="K22" s="12">
        <f t="shared" si="2"/>
        <v>6.8402777777777776E-3</v>
      </c>
      <c r="L22" s="12">
        <f t="shared" si="2"/>
        <v>9.1203703703703707E-3</v>
      </c>
      <c r="M22" s="12">
        <f t="shared" si="2"/>
        <v>1.3692129629629629E-2</v>
      </c>
      <c r="N22" s="12">
        <f t="shared" si="2"/>
        <v>1.8252314814814815E-2</v>
      </c>
      <c r="O22" s="13">
        <f t="shared" si="2"/>
        <v>2.2824074074074076E-2</v>
      </c>
      <c r="P22" s="188">
        <f t="shared" si="2"/>
        <v>4.5648148148148153E-2</v>
      </c>
      <c r="Q22" s="219">
        <f t="shared" si="2"/>
        <v>9.633101851851851E-2</v>
      </c>
      <c r="R22" s="220">
        <f t="shared" si="2"/>
        <v>0.19263888888888889</v>
      </c>
    </row>
    <row r="23" spans="1:18" hidden="1" outlineLevel="1" x14ac:dyDescent="0.25">
      <c r="A23" s="598"/>
      <c r="B23" s="206">
        <f t="shared" si="0"/>
        <v>9.2430000000000003</v>
      </c>
      <c r="C23" s="207">
        <v>0.79</v>
      </c>
      <c r="D23" s="11">
        <f t="shared" si="2"/>
        <v>4.3981481481481481E-4</v>
      </c>
      <c r="E23" s="12">
        <f t="shared" si="2"/>
        <v>8.9120370370370384E-4</v>
      </c>
      <c r="F23" s="12">
        <f t="shared" si="2"/>
        <v>1.3425925925925925E-3</v>
      </c>
      <c r="G23" s="12">
        <f t="shared" si="2"/>
        <v>1.7939814814814815E-3</v>
      </c>
      <c r="H23" s="13">
        <f t="shared" si="2"/>
        <v>2.2453703703703702E-3</v>
      </c>
      <c r="I23" s="183">
        <f t="shared" si="2"/>
        <v>4.5023148148148149E-3</v>
      </c>
      <c r="J23" s="11">
        <f t="shared" si="2"/>
        <v>5.4050925925925924E-3</v>
      </c>
      <c r="K23" s="12">
        <f t="shared" si="2"/>
        <v>6.7592592592592591E-3</v>
      </c>
      <c r="L23" s="12">
        <f t="shared" si="2"/>
        <v>9.0046296296296298E-3</v>
      </c>
      <c r="M23" s="12">
        <f t="shared" si="2"/>
        <v>1.3518518518518518E-2</v>
      </c>
      <c r="N23" s="12">
        <f t="shared" si="2"/>
        <v>1.8020833333333333E-2</v>
      </c>
      <c r="O23" s="13">
        <f t="shared" si="2"/>
        <v>2.2534722222222223E-2</v>
      </c>
      <c r="P23" s="188">
        <f t="shared" si="2"/>
        <v>4.5069444444444447E-2</v>
      </c>
      <c r="Q23" s="219">
        <f t="shared" si="2"/>
        <v>9.5115740740740751E-2</v>
      </c>
      <c r="R23" s="220">
        <f t="shared" si="2"/>
        <v>0.19020833333333331</v>
      </c>
    </row>
    <row r="24" spans="1:18" ht="15.75" collapsed="1" thickBot="1" x14ac:dyDescent="0.3">
      <c r="A24" s="598"/>
      <c r="B24" s="206">
        <f t="shared" si="0"/>
        <v>9.36</v>
      </c>
      <c r="C24" s="207">
        <v>0.8</v>
      </c>
      <c r="D24" s="11">
        <f t="shared" ref="D24:R29" si="3">TIME(,,(D$3*3600)/(($B$2*$C24)*1000))</f>
        <v>4.3981481481481481E-4</v>
      </c>
      <c r="E24" s="12">
        <f t="shared" si="3"/>
        <v>8.7962962962962962E-4</v>
      </c>
      <c r="F24" s="12">
        <f t="shared" si="3"/>
        <v>1.3310185185185187E-3</v>
      </c>
      <c r="G24" s="12">
        <f t="shared" si="3"/>
        <v>1.7708333333333332E-3</v>
      </c>
      <c r="H24" s="13">
        <f t="shared" si="3"/>
        <v>2.2222222222222222E-3</v>
      </c>
      <c r="I24" s="183">
        <f t="shared" si="3"/>
        <v>4.4444444444444444E-3</v>
      </c>
      <c r="J24" s="11">
        <f t="shared" si="3"/>
        <v>5.3356481481481484E-3</v>
      </c>
      <c r="K24" s="12">
        <f t="shared" si="3"/>
        <v>6.6666666666666671E-3</v>
      </c>
      <c r="L24" s="12">
        <f t="shared" si="3"/>
        <v>8.9004629629629625E-3</v>
      </c>
      <c r="M24" s="12">
        <f t="shared" si="3"/>
        <v>1.3344907407407408E-2</v>
      </c>
      <c r="N24" s="12">
        <f t="shared" si="3"/>
        <v>1.7800925925925925E-2</v>
      </c>
      <c r="O24" s="13">
        <f t="shared" si="3"/>
        <v>2.225694444444444E-2</v>
      </c>
      <c r="P24" s="188">
        <f t="shared" si="3"/>
        <v>4.4513888888888881E-2</v>
      </c>
      <c r="Q24" s="219">
        <f t="shared" si="3"/>
        <v>9.3923611111111124E-2</v>
      </c>
      <c r="R24" s="220">
        <f t="shared" si="3"/>
        <v>0.18782407407407406</v>
      </c>
    </row>
    <row r="25" spans="1:18" hidden="1" outlineLevel="1" x14ac:dyDescent="0.25">
      <c r="A25" s="598"/>
      <c r="B25" s="206">
        <f t="shared" si="0"/>
        <v>9.4770000000000003</v>
      </c>
      <c r="C25" s="207">
        <v>0.81</v>
      </c>
      <c r="D25" s="11">
        <f t="shared" si="3"/>
        <v>4.2824074074074075E-4</v>
      </c>
      <c r="E25" s="12">
        <f t="shared" si="3"/>
        <v>8.6805555555555551E-4</v>
      </c>
      <c r="F25" s="12">
        <f t="shared" si="3"/>
        <v>1.3078703703703705E-3</v>
      </c>
      <c r="G25" s="12">
        <f t="shared" si="3"/>
        <v>1.7476851851851852E-3</v>
      </c>
      <c r="H25" s="13">
        <f t="shared" si="3"/>
        <v>2.1874999999999998E-3</v>
      </c>
      <c r="I25" s="183">
        <f t="shared" si="3"/>
        <v>4.386574074074074E-3</v>
      </c>
      <c r="J25" s="11">
        <f t="shared" si="3"/>
        <v>5.2662037037037035E-3</v>
      </c>
      <c r="K25" s="12">
        <f t="shared" si="3"/>
        <v>6.5856481481481469E-3</v>
      </c>
      <c r="L25" s="12">
        <f t="shared" si="3"/>
        <v>8.7847222222222233E-3</v>
      </c>
      <c r="M25" s="12">
        <f t="shared" si="3"/>
        <v>1.3182870370370371E-2</v>
      </c>
      <c r="N25" s="12">
        <f t="shared" si="3"/>
        <v>1.758101851851852E-2</v>
      </c>
      <c r="O25" s="13">
        <f t="shared" si="3"/>
        <v>2.1979166666666664E-2</v>
      </c>
      <c r="P25" s="188">
        <f t="shared" si="3"/>
        <v>4.3958333333333328E-2</v>
      </c>
      <c r="Q25" s="219">
        <f t="shared" si="3"/>
        <v>9.2766203703703712E-2</v>
      </c>
      <c r="R25" s="220">
        <f t="shared" si="3"/>
        <v>0.18550925925925923</v>
      </c>
    </row>
    <row r="26" spans="1:18" hidden="1" outlineLevel="1" x14ac:dyDescent="0.25">
      <c r="A26" s="598"/>
      <c r="B26" s="206">
        <f t="shared" si="0"/>
        <v>9.5939999999999994</v>
      </c>
      <c r="C26" s="207">
        <v>0.82</v>
      </c>
      <c r="D26" s="11">
        <f t="shared" si="3"/>
        <v>4.2824074074074075E-4</v>
      </c>
      <c r="E26" s="12">
        <f t="shared" si="3"/>
        <v>8.6805555555555551E-4</v>
      </c>
      <c r="F26" s="12">
        <f t="shared" si="3"/>
        <v>1.2962962962962963E-3</v>
      </c>
      <c r="G26" s="12">
        <f t="shared" si="3"/>
        <v>1.736111111111111E-3</v>
      </c>
      <c r="H26" s="13">
        <f t="shared" si="3"/>
        <v>2.1643518518518518E-3</v>
      </c>
      <c r="I26" s="183">
        <f t="shared" si="3"/>
        <v>4.340277777777778E-3</v>
      </c>
      <c r="J26" s="11">
        <f t="shared" si="3"/>
        <v>5.208333333333333E-3</v>
      </c>
      <c r="K26" s="12">
        <f t="shared" si="3"/>
        <v>6.5046296296296302E-3</v>
      </c>
      <c r="L26" s="12">
        <f t="shared" si="3"/>
        <v>8.6805555555555559E-3</v>
      </c>
      <c r="M26" s="12">
        <f t="shared" si="3"/>
        <v>1.3020833333333334E-2</v>
      </c>
      <c r="N26" s="12">
        <f t="shared" si="3"/>
        <v>1.7361111111111112E-2</v>
      </c>
      <c r="O26" s="13">
        <f t="shared" si="3"/>
        <v>2.1712962962962962E-2</v>
      </c>
      <c r="P26" s="188">
        <f t="shared" si="3"/>
        <v>4.3425925925925923E-2</v>
      </c>
      <c r="Q26" s="219">
        <f t="shared" si="3"/>
        <v>9.1631944444444433E-2</v>
      </c>
      <c r="R26" s="220">
        <f t="shared" si="3"/>
        <v>0.18325231481481483</v>
      </c>
    </row>
    <row r="27" spans="1:18" hidden="1" outlineLevel="1" x14ac:dyDescent="0.25">
      <c r="A27" s="598"/>
      <c r="B27" s="206">
        <f t="shared" si="0"/>
        <v>9.7109999999999985</v>
      </c>
      <c r="C27" s="207">
        <v>0.83</v>
      </c>
      <c r="D27" s="11">
        <f t="shared" si="3"/>
        <v>4.2824074074074075E-4</v>
      </c>
      <c r="E27" s="12">
        <f t="shared" si="3"/>
        <v>8.564814814814815E-4</v>
      </c>
      <c r="F27" s="12">
        <f t="shared" si="3"/>
        <v>1.2847222222222223E-3</v>
      </c>
      <c r="G27" s="12">
        <f t="shared" si="3"/>
        <v>1.712962962962963E-3</v>
      </c>
      <c r="H27" s="13">
        <f t="shared" si="3"/>
        <v>2.1412037037037038E-3</v>
      </c>
      <c r="I27" s="183">
        <f t="shared" si="3"/>
        <v>4.2824074074074075E-3</v>
      </c>
      <c r="J27" s="11">
        <f t="shared" si="3"/>
        <v>5.138888888888889E-3</v>
      </c>
      <c r="K27" s="12">
        <f t="shared" si="3"/>
        <v>6.4351851851851861E-3</v>
      </c>
      <c r="L27" s="12">
        <f t="shared" si="3"/>
        <v>8.5763888888888886E-3</v>
      </c>
      <c r="M27" s="12">
        <f t="shared" si="3"/>
        <v>1.2870370370370372E-2</v>
      </c>
      <c r="N27" s="12">
        <f t="shared" si="3"/>
        <v>1.7152777777777777E-2</v>
      </c>
      <c r="O27" s="13">
        <f t="shared" si="3"/>
        <v>2.1446759259259259E-2</v>
      </c>
      <c r="P27" s="188">
        <f t="shared" si="3"/>
        <v>4.2905092592592592E-2</v>
      </c>
      <c r="Q27" s="219">
        <f t="shared" si="3"/>
        <v>9.0532407407407409E-2</v>
      </c>
      <c r="R27" s="220">
        <f t="shared" si="3"/>
        <v>0.18104166666666666</v>
      </c>
    </row>
    <row r="28" spans="1:18" ht="15.75" hidden="1" outlineLevel="1" thickBot="1" x14ac:dyDescent="0.3">
      <c r="A28" s="599"/>
      <c r="B28" s="208">
        <f t="shared" si="0"/>
        <v>9.8279999999999994</v>
      </c>
      <c r="C28" s="209">
        <v>0.84</v>
      </c>
      <c r="D28" s="131">
        <f t="shared" si="3"/>
        <v>4.1666666666666669E-4</v>
      </c>
      <c r="E28" s="132">
        <f t="shared" si="3"/>
        <v>8.4490740740740739E-4</v>
      </c>
      <c r="F28" s="132">
        <f t="shared" si="3"/>
        <v>1.261574074074074E-3</v>
      </c>
      <c r="G28" s="132">
        <f t="shared" si="3"/>
        <v>1.6898148148148148E-3</v>
      </c>
      <c r="H28" s="133">
        <f t="shared" si="3"/>
        <v>2.1180555555555553E-3</v>
      </c>
      <c r="I28" s="184">
        <f t="shared" si="3"/>
        <v>4.2361111111111106E-3</v>
      </c>
      <c r="J28" s="14">
        <f t="shared" si="3"/>
        <v>5.0810185185185186E-3</v>
      </c>
      <c r="K28" s="15">
        <f t="shared" si="3"/>
        <v>6.3541666666666668E-3</v>
      </c>
      <c r="L28" s="15">
        <f t="shared" si="3"/>
        <v>8.4722222222222213E-3</v>
      </c>
      <c r="M28" s="15">
        <f t="shared" si="3"/>
        <v>1.2708333333333334E-2</v>
      </c>
      <c r="N28" s="15">
        <f t="shared" si="3"/>
        <v>1.695601851851852E-2</v>
      </c>
      <c r="O28" s="16">
        <f t="shared" si="3"/>
        <v>2.119212962962963E-2</v>
      </c>
      <c r="P28" s="189">
        <f t="shared" si="3"/>
        <v>4.2395833333333327E-2</v>
      </c>
      <c r="Q28" s="221">
        <f t="shared" si="3"/>
        <v>8.9444444444444451E-2</v>
      </c>
      <c r="R28" s="222">
        <f t="shared" si="3"/>
        <v>0.1788888888888889</v>
      </c>
    </row>
    <row r="29" spans="1:18" collapsed="1" x14ac:dyDescent="0.25">
      <c r="A29" s="600" t="s">
        <v>22</v>
      </c>
      <c r="B29" s="204">
        <f t="shared" si="0"/>
        <v>9.9449999999999985</v>
      </c>
      <c r="C29" s="210">
        <v>0.85</v>
      </c>
      <c r="D29" s="190">
        <f t="shared" si="3"/>
        <v>4.1666666666666669E-4</v>
      </c>
      <c r="E29" s="173">
        <f t="shared" si="3"/>
        <v>8.3333333333333339E-4</v>
      </c>
      <c r="F29" s="173">
        <f t="shared" si="3"/>
        <v>1.25E-3</v>
      </c>
      <c r="G29" s="173">
        <f t="shared" si="3"/>
        <v>1.6666666666666668E-3</v>
      </c>
      <c r="H29" s="191">
        <f t="shared" si="3"/>
        <v>2.0833333333333333E-3</v>
      </c>
      <c r="I29" s="185">
        <f t="shared" si="3"/>
        <v>4.1782407407407402E-3</v>
      </c>
      <c r="J29" s="172">
        <f t="shared" si="3"/>
        <v>5.0231481481481481E-3</v>
      </c>
      <c r="K29" s="173">
        <f t="shared" si="3"/>
        <v>6.2731481481481484E-3</v>
      </c>
      <c r="L29" s="173">
        <f t="shared" si="3"/>
        <v>8.3680555555555557E-3</v>
      </c>
      <c r="M29" s="173">
        <f t="shared" si="3"/>
        <v>1.255787037037037E-2</v>
      </c>
      <c r="N29" s="173">
        <f t="shared" si="3"/>
        <v>1.6747685185185185E-2</v>
      </c>
      <c r="O29" s="174">
        <f t="shared" si="3"/>
        <v>2.0937499999999998E-2</v>
      </c>
      <c r="P29" s="187">
        <f t="shared" si="3"/>
        <v>4.1886574074074083E-2</v>
      </c>
      <c r="Q29" s="217">
        <f t="shared" si="3"/>
        <v>8.8402777777777775E-2</v>
      </c>
      <c r="R29" s="218">
        <f t="shared" si="3"/>
        <v>0.17678240740740739</v>
      </c>
    </row>
    <row r="30" spans="1:18" hidden="1" outlineLevel="1" x14ac:dyDescent="0.25">
      <c r="A30" s="601"/>
      <c r="B30" s="206">
        <f t="shared" si="0"/>
        <v>10.061999999999999</v>
      </c>
      <c r="C30" s="211">
        <v>0.86</v>
      </c>
      <c r="D30" s="134">
        <f>TIME(,,(D$3*3600)/(($B$2*$C30)*1000))</f>
        <v>4.0509259259259258E-4</v>
      </c>
      <c r="E30" s="176">
        <f t="shared" ref="E30:R39" si="4">TIME(,,(E$3*3600)/(($B$2*$C30)*1000))</f>
        <v>8.2175925925925917E-4</v>
      </c>
      <c r="F30" s="176">
        <f t="shared" si="4"/>
        <v>1.238425925925926E-3</v>
      </c>
      <c r="G30" s="176">
        <f t="shared" si="4"/>
        <v>1.6550925925925926E-3</v>
      </c>
      <c r="H30" s="192">
        <f t="shared" si="4"/>
        <v>2.0601851851851853E-3</v>
      </c>
      <c r="I30" s="186">
        <f t="shared" si="4"/>
        <v>4.1319444444444442E-3</v>
      </c>
      <c r="J30" s="175">
        <f t="shared" si="4"/>
        <v>4.9652777777777777E-3</v>
      </c>
      <c r="K30" s="176">
        <f t="shared" si="4"/>
        <v>6.2037037037037043E-3</v>
      </c>
      <c r="L30" s="176">
        <f t="shared" si="4"/>
        <v>8.2754629629629619E-3</v>
      </c>
      <c r="M30" s="176">
        <f t="shared" si="4"/>
        <v>1.2418981481481482E-2</v>
      </c>
      <c r="N30" s="176">
        <f t="shared" si="4"/>
        <v>1.6562500000000001E-2</v>
      </c>
      <c r="O30" s="177">
        <f t="shared" si="4"/>
        <v>2.0694444444444446E-2</v>
      </c>
      <c r="P30" s="188">
        <f t="shared" si="4"/>
        <v>4.1400462962962965E-2</v>
      </c>
      <c r="Q30" s="219">
        <f t="shared" si="4"/>
        <v>8.7372685185185192E-2</v>
      </c>
      <c r="R30" s="220">
        <f t="shared" si="4"/>
        <v>0.17472222222222222</v>
      </c>
    </row>
    <row r="31" spans="1:18" hidden="1" outlineLevel="1" x14ac:dyDescent="0.25">
      <c r="A31" s="601"/>
      <c r="B31" s="206">
        <f t="shared" si="0"/>
        <v>10.178999999999998</v>
      </c>
      <c r="C31" s="211">
        <v>0.87</v>
      </c>
      <c r="D31" s="134">
        <f>TIME(,,(D$3*3600)/(($B$2*$C31)*1000))</f>
        <v>4.0509259259259258E-4</v>
      </c>
      <c r="E31" s="176">
        <f t="shared" si="4"/>
        <v>8.1018518518518516E-4</v>
      </c>
      <c r="F31" s="176">
        <f t="shared" si="4"/>
        <v>1.2268518518518518E-3</v>
      </c>
      <c r="G31" s="176">
        <f t="shared" si="4"/>
        <v>1.6319444444444445E-3</v>
      </c>
      <c r="H31" s="192">
        <f t="shared" si="4"/>
        <v>2.0370370370370369E-3</v>
      </c>
      <c r="I31" s="186">
        <f t="shared" si="4"/>
        <v>4.0856481481481481E-3</v>
      </c>
      <c r="J31" s="175">
        <f t="shared" si="4"/>
        <v>4.9074074074074072E-3</v>
      </c>
      <c r="K31" s="176">
        <f t="shared" si="4"/>
        <v>6.1342592592592594E-3</v>
      </c>
      <c r="L31" s="176">
        <f t="shared" si="4"/>
        <v>8.1828703703703699E-3</v>
      </c>
      <c r="M31" s="176">
        <f t="shared" si="4"/>
        <v>1.2280092592592592E-2</v>
      </c>
      <c r="N31" s="176">
        <f t="shared" si="4"/>
        <v>1.636574074074074E-2</v>
      </c>
      <c r="O31" s="177">
        <f t="shared" si="4"/>
        <v>2.0462962962962964E-2</v>
      </c>
      <c r="P31" s="188">
        <f t="shared" si="4"/>
        <v>4.0925925925925928E-2</v>
      </c>
      <c r="Q31" s="219">
        <f t="shared" si="4"/>
        <v>8.6365740740740729E-2</v>
      </c>
      <c r="R31" s="220">
        <f t="shared" si="4"/>
        <v>0.17271990740740739</v>
      </c>
    </row>
    <row r="32" spans="1:18" hidden="1" outlineLevel="1" x14ac:dyDescent="0.25">
      <c r="A32" s="601"/>
      <c r="B32" s="206">
        <f t="shared" si="0"/>
        <v>10.295999999999999</v>
      </c>
      <c r="C32" s="211">
        <v>0.88</v>
      </c>
      <c r="D32" s="134">
        <f>TIME(,,(D$3*3600)/(($B$2*$C32)*1000))</f>
        <v>3.9351851851851852E-4</v>
      </c>
      <c r="E32" s="176">
        <f t="shared" si="4"/>
        <v>7.9861111111111105E-4</v>
      </c>
      <c r="F32" s="176">
        <f t="shared" si="4"/>
        <v>1.2037037037037038E-3</v>
      </c>
      <c r="G32" s="176">
        <f t="shared" si="4"/>
        <v>1.6087962962962965E-3</v>
      </c>
      <c r="H32" s="192">
        <f t="shared" si="4"/>
        <v>2.0138888888888888E-3</v>
      </c>
      <c r="I32" s="186">
        <f t="shared" si="4"/>
        <v>4.0393518518518521E-3</v>
      </c>
      <c r="J32" s="175">
        <f t="shared" si="4"/>
        <v>4.8495370370370368E-3</v>
      </c>
      <c r="K32" s="176">
        <f t="shared" si="4"/>
        <v>6.0648148148148145E-3</v>
      </c>
      <c r="L32" s="176">
        <f t="shared" si="4"/>
        <v>8.0902777777777778E-3</v>
      </c>
      <c r="M32" s="176">
        <f t="shared" si="4"/>
        <v>1.2129629629629629E-2</v>
      </c>
      <c r="N32" s="176">
        <f t="shared" si="4"/>
        <v>1.6180555555555556E-2</v>
      </c>
      <c r="O32" s="177">
        <f t="shared" si="4"/>
        <v>2.0231481481481482E-2</v>
      </c>
      <c r="P32" s="188">
        <f t="shared" si="4"/>
        <v>4.0462962962962964E-2</v>
      </c>
      <c r="Q32" s="219">
        <f t="shared" si="4"/>
        <v>8.5381944444444455E-2</v>
      </c>
      <c r="R32" s="220">
        <f t="shared" si="4"/>
        <v>0.17075231481481482</v>
      </c>
    </row>
    <row r="33" spans="1:18" hidden="1" outlineLevel="1" x14ac:dyDescent="0.25">
      <c r="A33" s="601"/>
      <c r="B33" s="206">
        <f t="shared" si="0"/>
        <v>10.413</v>
      </c>
      <c r="C33" s="211">
        <v>0.89</v>
      </c>
      <c r="D33" s="134">
        <f>TIME(,,(D$3*3600)/(($B$2*$C33)*1000))</f>
        <v>3.9351851851851852E-4</v>
      </c>
      <c r="E33" s="176">
        <f t="shared" si="4"/>
        <v>7.9861111111111105E-4</v>
      </c>
      <c r="F33" s="176">
        <f t="shared" si="4"/>
        <v>1.1921296296296296E-3</v>
      </c>
      <c r="G33" s="176">
        <f t="shared" si="4"/>
        <v>1.5972222222222221E-3</v>
      </c>
      <c r="H33" s="192">
        <f t="shared" si="4"/>
        <v>1.9907407407407408E-3</v>
      </c>
      <c r="I33" s="186">
        <f t="shared" si="4"/>
        <v>3.9930555555555561E-3</v>
      </c>
      <c r="J33" s="175">
        <f t="shared" si="4"/>
        <v>4.7916666666666672E-3</v>
      </c>
      <c r="K33" s="176">
        <f t="shared" si="4"/>
        <v>5.9953703703703697E-3</v>
      </c>
      <c r="L33" s="176">
        <f t="shared" si="4"/>
        <v>7.9976851851851858E-3</v>
      </c>
      <c r="M33" s="176">
        <f t="shared" si="4"/>
        <v>1.2002314814814815E-2</v>
      </c>
      <c r="N33" s="176">
        <f t="shared" si="4"/>
        <v>1.5995370370370372E-2</v>
      </c>
      <c r="O33" s="177">
        <f t="shared" si="4"/>
        <v>0.02</v>
      </c>
      <c r="P33" s="188">
        <f t="shared" si="4"/>
        <v>4.0011574074074074E-2</v>
      </c>
      <c r="Q33" s="219">
        <f t="shared" si="4"/>
        <v>8.44212962962963E-2</v>
      </c>
      <c r="R33" s="220">
        <f t="shared" si="4"/>
        <v>0.16883101851851853</v>
      </c>
    </row>
    <row r="34" spans="1:18" ht="15.75" collapsed="1" thickBot="1" x14ac:dyDescent="0.3">
      <c r="A34" s="601"/>
      <c r="B34" s="206">
        <f t="shared" si="0"/>
        <v>10.53</v>
      </c>
      <c r="C34" s="211">
        <v>0.9</v>
      </c>
      <c r="D34" s="193">
        <f>TIME(,,(D$3*3600)/(($B$2*$C34)*1000))</f>
        <v>3.9351851851851852E-4</v>
      </c>
      <c r="E34" s="179">
        <f t="shared" si="4"/>
        <v>7.8703703703703705E-4</v>
      </c>
      <c r="F34" s="179">
        <f t="shared" si="4"/>
        <v>1.1805555555555556E-3</v>
      </c>
      <c r="G34" s="179">
        <f t="shared" si="4"/>
        <v>1.5740740740740741E-3</v>
      </c>
      <c r="H34" s="194">
        <f t="shared" si="4"/>
        <v>1.9675925925925928E-3</v>
      </c>
      <c r="I34" s="186">
        <f t="shared" si="4"/>
        <v>3.9467592592592592E-3</v>
      </c>
      <c r="J34" s="175">
        <f t="shared" si="4"/>
        <v>4.7453703703703703E-3</v>
      </c>
      <c r="K34" s="176">
        <f t="shared" si="4"/>
        <v>5.9259259259259256E-3</v>
      </c>
      <c r="L34" s="176">
        <f t="shared" si="4"/>
        <v>7.905092592592592E-3</v>
      </c>
      <c r="M34" s="176">
        <f t="shared" si="4"/>
        <v>1.1863425925925925E-2</v>
      </c>
      <c r="N34" s="176">
        <f t="shared" si="4"/>
        <v>1.5821759259259261E-2</v>
      </c>
      <c r="O34" s="177">
        <f t="shared" si="4"/>
        <v>1.9780092592592592E-2</v>
      </c>
      <c r="P34" s="188">
        <f t="shared" si="4"/>
        <v>3.9560185185185184E-2</v>
      </c>
      <c r="Q34" s="219">
        <f t="shared" si="4"/>
        <v>8.3483796296296306E-2</v>
      </c>
      <c r="R34" s="220">
        <f t="shared" si="4"/>
        <v>0.16695601851851852</v>
      </c>
    </row>
    <row r="35" spans="1:18" hidden="1" outlineLevel="1" x14ac:dyDescent="0.25">
      <c r="A35" s="601"/>
      <c r="B35" s="206">
        <f t="shared" si="0"/>
        <v>10.647</v>
      </c>
      <c r="C35" s="207">
        <v>0.91</v>
      </c>
      <c r="D35" s="195">
        <f t="shared" ref="D35:D69" si="5">TIME(,,(D$3*3600)/(($B$2*$C35)*1000))</f>
        <v>3.8194444444444446E-4</v>
      </c>
      <c r="E35" s="196">
        <f t="shared" si="4"/>
        <v>7.7546296296296304E-4</v>
      </c>
      <c r="F35" s="196">
        <f t="shared" si="4"/>
        <v>1.1689814814814816E-3</v>
      </c>
      <c r="G35" s="196">
        <f t="shared" si="4"/>
        <v>1.5624999999999999E-3</v>
      </c>
      <c r="H35" s="197">
        <f t="shared" si="4"/>
        <v>1.9560185185185188E-3</v>
      </c>
      <c r="I35" s="183">
        <f t="shared" si="4"/>
        <v>3.9120370370370377E-3</v>
      </c>
      <c r="J35" s="175">
        <f t="shared" si="4"/>
        <v>4.6874999999999998E-3</v>
      </c>
      <c r="K35" s="176">
        <f t="shared" si="4"/>
        <v>5.8680555555555543E-3</v>
      </c>
      <c r="L35" s="176">
        <f t="shared" si="4"/>
        <v>7.8240740740740753E-3</v>
      </c>
      <c r="M35" s="176">
        <f t="shared" si="4"/>
        <v>1.1736111111111109E-2</v>
      </c>
      <c r="N35" s="176">
        <f t="shared" si="4"/>
        <v>1.5648148148148151E-2</v>
      </c>
      <c r="O35" s="177">
        <f t="shared" si="4"/>
        <v>1.9560185185185184E-2</v>
      </c>
      <c r="P35" s="188">
        <f t="shared" si="4"/>
        <v>3.9131944444444448E-2</v>
      </c>
      <c r="Q35" s="219">
        <f t="shared" si="4"/>
        <v>8.2569444444444445E-2</v>
      </c>
      <c r="R35" s="220">
        <f t="shared" si="4"/>
        <v>0.16512731481481482</v>
      </c>
    </row>
    <row r="36" spans="1:18" hidden="1" outlineLevel="1" x14ac:dyDescent="0.25">
      <c r="A36" s="601"/>
      <c r="B36" s="206">
        <f t="shared" ref="B36:B67" si="6">$B$2*C36</f>
        <v>10.763999999999999</v>
      </c>
      <c r="C36" s="207">
        <v>0.92</v>
      </c>
      <c r="D36" s="175">
        <f t="shared" si="5"/>
        <v>3.8194444444444446E-4</v>
      </c>
      <c r="E36" s="176">
        <f t="shared" si="4"/>
        <v>7.6388888888888893E-4</v>
      </c>
      <c r="F36" s="176">
        <f t="shared" si="4"/>
        <v>1.1574074074074076E-3</v>
      </c>
      <c r="G36" s="176">
        <f t="shared" si="4"/>
        <v>1.5393518518518519E-3</v>
      </c>
      <c r="H36" s="177">
        <f t="shared" si="4"/>
        <v>1.9328703703703704E-3</v>
      </c>
      <c r="I36" s="183">
        <f t="shared" si="4"/>
        <v>3.8657407407407408E-3</v>
      </c>
      <c r="J36" s="175">
        <f t="shared" si="4"/>
        <v>4.6412037037037038E-3</v>
      </c>
      <c r="K36" s="176">
        <f t="shared" si="4"/>
        <v>5.7986111111111112E-3</v>
      </c>
      <c r="L36" s="176">
        <f t="shared" si="4"/>
        <v>7.7314814814814815E-3</v>
      </c>
      <c r="M36" s="176">
        <f t="shared" si="4"/>
        <v>1.1608796296296296E-2</v>
      </c>
      <c r="N36" s="176">
        <f t="shared" si="4"/>
        <v>1.5474537037037038E-2</v>
      </c>
      <c r="O36" s="177">
        <f t="shared" si="4"/>
        <v>1.9351851851851853E-2</v>
      </c>
      <c r="P36" s="188">
        <f t="shared" si="4"/>
        <v>3.8703703703703705E-2</v>
      </c>
      <c r="Q36" s="219">
        <f t="shared" si="4"/>
        <v>8.1666666666666665E-2</v>
      </c>
      <c r="R36" s="220">
        <f t="shared" si="4"/>
        <v>0.16333333333333333</v>
      </c>
    </row>
    <row r="37" spans="1:18" hidden="1" outlineLevel="1" x14ac:dyDescent="0.25">
      <c r="A37" s="601"/>
      <c r="B37" s="206">
        <f t="shared" si="6"/>
        <v>10.881</v>
      </c>
      <c r="C37" s="207">
        <v>0.93</v>
      </c>
      <c r="D37" s="175">
        <f t="shared" si="5"/>
        <v>3.8194444444444446E-4</v>
      </c>
      <c r="E37" s="176">
        <f t="shared" si="4"/>
        <v>7.6388888888888893E-4</v>
      </c>
      <c r="F37" s="176">
        <f t="shared" si="4"/>
        <v>1.1458333333333333E-3</v>
      </c>
      <c r="G37" s="176">
        <f t="shared" si="4"/>
        <v>1.5277777777777779E-3</v>
      </c>
      <c r="H37" s="177">
        <f t="shared" si="4"/>
        <v>1.9097222222222222E-3</v>
      </c>
      <c r="I37" s="183">
        <f t="shared" si="4"/>
        <v>3.8194444444444443E-3</v>
      </c>
      <c r="J37" s="175">
        <f t="shared" si="4"/>
        <v>4.5949074074074069E-3</v>
      </c>
      <c r="K37" s="176">
        <f t="shared" si="4"/>
        <v>5.7407407407407416E-3</v>
      </c>
      <c r="L37" s="176">
        <f t="shared" si="4"/>
        <v>7.6504629629629631E-3</v>
      </c>
      <c r="M37" s="176">
        <f t="shared" si="4"/>
        <v>1.1481481481481483E-2</v>
      </c>
      <c r="N37" s="176">
        <f t="shared" si="4"/>
        <v>1.53125E-2</v>
      </c>
      <c r="O37" s="177">
        <f t="shared" si="4"/>
        <v>1.9143518518518518E-2</v>
      </c>
      <c r="P37" s="188">
        <f t="shared" si="4"/>
        <v>3.8287037037037036E-2</v>
      </c>
      <c r="Q37" s="219">
        <f t="shared" si="4"/>
        <v>8.0787037037037032E-2</v>
      </c>
      <c r="R37" s="220">
        <f t="shared" si="4"/>
        <v>0.16157407407407406</v>
      </c>
    </row>
    <row r="38" spans="1:18" ht="15.75" hidden="1" outlineLevel="1" thickBot="1" x14ac:dyDescent="0.3">
      <c r="A38" s="602"/>
      <c r="B38" s="208">
        <f t="shared" si="6"/>
        <v>10.997999999999999</v>
      </c>
      <c r="C38" s="209">
        <v>0.94</v>
      </c>
      <c r="D38" s="178">
        <f t="shared" si="5"/>
        <v>3.7037037037037035E-4</v>
      </c>
      <c r="E38" s="179">
        <f t="shared" si="4"/>
        <v>7.5231481481481471E-4</v>
      </c>
      <c r="F38" s="179">
        <f t="shared" si="4"/>
        <v>1.1342592592592591E-3</v>
      </c>
      <c r="G38" s="179">
        <f t="shared" si="4"/>
        <v>1.5046296296296294E-3</v>
      </c>
      <c r="H38" s="180">
        <f t="shared" si="4"/>
        <v>1.8865740740740742E-3</v>
      </c>
      <c r="I38" s="184">
        <f t="shared" si="4"/>
        <v>3.7847222222222223E-3</v>
      </c>
      <c r="J38" s="178">
        <f t="shared" si="4"/>
        <v>4.5370370370370365E-3</v>
      </c>
      <c r="K38" s="179">
        <f t="shared" si="4"/>
        <v>5.6712962962962958E-3</v>
      </c>
      <c r="L38" s="179">
        <f t="shared" si="4"/>
        <v>7.5694444444444446E-3</v>
      </c>
      <c r="M38" s="179">
        <f t="shared" si="4"/>
        <v>1.1354166666666667E-2</v>
      </c>
      <c r="N38" s="179">
        <f t="shared" si="4"/>
        <v>1.5150462962962963E-2</v>
      </c>
      <c r="O38" s="180">
        <f t="shared" si="4"/>
        <v>1.8935185185185183E-2</v>
      </c>
      <c r="P38" s="189">
        <f t="shared" si="4"/>
        <v>3.788194444444444E-2</v>
      </c>
      <c r="Q38" s="221">
        <f t="shared" si="4"/>
        <v>7.9930555555555546E-2</v>
      </c>
      <c r="R38" s="222">
        <f t="shared" si="4"/>
        <v>0.15984953703703705</v>
      </c>
    </row>
    <row r="39" spans="1:18" collapsed="1" x14ac:dyDescent="0.25">
      <c r="A39" s="591" t="s">
        <v>23</v>
      </c>
      <c r="B39" s="204">
        <f t="shared" si="6"/>
        <v>11.114999999999998</v>
      </c>
      <c r="C39" s="205">
        <v>0.95</v>
      </c>
      <c r="D39" s="198">
        <f t="shared" si="5"/>
        <v>3.7037037037037035E-4</v>
      </c>
      <c r="E39" s="199">
        <f t="shared" si="4"/>
        <v>7.407407407407407E-4</v>
      </c>
      <c r="F39" s="199">
        <f t="shared" si="4"/>
        <v>1.1226851851851851E-3</v>
      </c>
      <c r="G39" s="199">
        <f t="shared" si="4"/>
        <v>1.4930555555555556E-3</v>
      </c>
      <c r="H39" s="200">
        <f t="shared" si="4"/>
        <v>1.8634259259259257E-3</v>
      </c>
      <c r="I39" s="182">
        <f t="shared" si="4"/>
        <v>3.7384259259259263E-3</v>
      </c>
      <c r="J39" s="198">
        <f t="shared" si="4"/>
        <v>4.4907407407407405E-3</v>
      </c>
      <c r="K39" s="199">
        <f t="shared" si="4"/>
        <v>5.6134259259259271E-3</v>
      </c>
      <c r="L39" s="199">
        <f t="shared" si="4"/>
        <v>7.4884259259259262E-3</v>
      </c>
      <c r="M39" s="199">
        <f t="shared" si="4"/>
        <v>1.1238425925925928E-2</v>
      </c>
      <c r="N39" s="199">
        <f t="shared" si="4"/>
        <v>1.4988425925925926E-2</v>
      </c>
      <c r="O39" s="200">
        <f t="shared" si="4"/>
        <v>1.8738425925925926E-2</v>
      </c>
      <c r="P39" s="187">
        <f t="shared" si="4"/>
        <v>3.7476851851851851E-2</v>
      </c>
      <c r="Q39" s="217">
        <f t="shared" si="4"/>
        <v>7.9097222222222222E-2</v>
      </c>
      <c r="R39" s="218">
        <f t="shared" si="4"/>
        <v>0.15817129629629631</v>
      </c>
    </row>
    <row r="40" spans="1:18" ht="15" hidden="1" customHeight="1" outlineLevel="1" x14ac:dyDescent="0.25">
      <c r="A40" s="592"/>
      <c r="B40" s="206">
        <f t="shared" si="6"/>
        <v>11.231999999999999</v>
      </c>
      <c r="C40" s="207">
        <v>0.96</v>
      </c>
      <c r="D40" s="17">
        <f t="shared" si="5"/>
        <v>3.7037037037037035E-4</v>
      </c>
      <c r="E40" s="18">
        <f t="shared" ref="E40:R49" si="7">TIME(,,(E$3*3600)/(($B$2*$C40)*1000))</f>
        <v>7.407407407407407E-4</v>
      </c>
      <c r="F40" s="18">
        <f t="shared" si="7"/>
        <v>1.1111111111111111E-3</v>
      </c>
      <c r="G40" s="18">
        <f t="shared" si="7"/>
        <v>1.4814814814814814E-3</v>
      </c>
      <c r="H40" s="19">
        <f t="shared" si="7"/>
        <v>1.8518518518518517E-3</v>
      </c>
      <c r="I40" s="183">
        <f t="shared" si="7"/>
        <v>3.7037037037037034E-3</v>
      </c>
      <c r="J40" s="17">
        <f t="shared" si="7"/>
        <v>4.4444444444444444E-3</v>
      </c>
      <c r="K40" s="18">
        <f t="shared" si="7"/>
        <v>5.5555555555555558E-3</v>
      </c>
      <c r="L40" s="18">
        <f t="shared" si="7"/>
        <v>7.4189814814814813E-3</v>
      </c>
      <c r="M40" s="18">
        <f t="shared" si="7"/>
        <v>1.1122685185185185E-2</v>
      </c>
      <c r="N40" s="18">
        <f t="shared" si="7"/>
        <v>1.4837962962962963E-2</v>
      </c>
      <c r="O40" s="19">
        <f t="shared" si="7"/>
        <v>1.8541666666666668E-2</v>
      </c>
      <c r="P40" s="188">
        <f t="shared" si="7"/>
        <v>3.7094907407407403E-2</v>
      </c>
      <c r="Q40" s="219">
        <f t="shared" si="7"/>
        <v>7.8263888888888897E-2</v>
      </c>
      <c r="R40" s="220">
        <f t="shared" si="7"/>
        <v>0.15652777777777779</v>
      </c>
    </row>
    <row r="41" spans="1:18" ht="15" hidden="1" customHeight="1" outlineLevel="1" x14ac:dyDescent="0.25">
      <c r="A41" s="592"/>
      <c r="B41" s="206">
        <f t="shared" si="6"/>
        <v>11.348999999999998</v>
      </c>
      <c r="C41" s="207">
        <v>0.97</v>
      </c>
      <c r="D41" s="17">
        <f t="shared" si="5"/>
        <v>3.5879629629629635E-4</v>
      </c>
      <c r="E41" s="18">
        <f t="shared" si="7"/>
        <v>7.291666666666667E-4</v>
      </c>
      <c r="F41" s="18">
        <f t="shared" si="7"/>
        <v>1.0995370370370371E-3</v>
      </c>
      <c r="G41" s="18">
        <f t="shared" si="7"/>
        <v>1.4583333333333334E-3</v>
      </c>
      <c r="H41" s="19">
        <f t="shared" si="7"/>
        <v>1.8287037037037037E-3</v>
      </c>
      <c r="I41" s="183">
        <f t="shared" si="7"/>
        <v>3.6689814814814814E-3</v>
      </c>
      <c r="J41" s="17">
        <f t="shared" si="7"/>
        <v>4.3981481481481484E-3</v>
      </c>
      <c r="K41" s="18">
        <f t="shared" si="7"/>
        <v>5.4976851851851853E-3</v>
      </c>
      <c r="L41" s="18">
        <f t="shared" si="7"/>
        <v>7.3379629629629628E-3</v>
      </c>
      <c r="M41" s="18">
        <f t="shared" si="7"/>
        <v>1.1006944444444444E-2</v>
      </c>
      <c r="N41" s="18">
        <f t="shared" si="7"/>
        <v>1.4675925925925926E-2</v>
      </c>
      <c r="O41" s="19">
        <f t="shared" si="7"/>
        <v>1.8356481481481481E-2</v>
      </c>
      <c r="P41" s="188">
        <f t="shared" si="7"/>
        <v>3.6712962962962961E-2</v>
      </c>
      <c r="Q41" s="219">
        <f t="shared" si="7"/>
        <v>7.7465277777777772E-2</v>
      </c>
      <c r="R41" s="220">
        <f t="shared" si="7"/>
        <v>0.15490740740740741</v>
      </c>
    </row>
    <row r="42" spans="1:18" ht="15" hidden="1" customHeight="1" outlineLevel="1" x14ac:dyDescent="0.25">
      <c r="A42" s="592"/>
      <c r="B42" s="206">
        <f t="shared" si="6"/>
        <v>11.465999999999999</v>
      </c>
      <c r="C42" s="207">
        <v>0.98</v>
      </c>
      <c r="D42" s="17">
        <f t="shared" si="5"/>
        <v>3.5879629629629635E-4</v>
      </c>
      <c r="E42" s="18">
        <f t="shared" si="7"/>
        <v>7.175925925925927E-4</v>
      </c>
      <c r="F42" s="18">
        <f t="shared" si="7"/>
        <v>1.0879629629629629E-3</v>
      </c>
      <c r="G42" s="18">
        <f t="shared" si="7"/>
        <v>1.4467592592592594E-3</v>
      </c>
      <c r="H42" s="19">
        <f t="shared" si="7"/>
        <v>1.8055555555555557E-3</v>
      </c>
      <c r="I42" s="183">
        <f t="shared" si="7"/>
        <v>3.6226851851851854E-3</v>
      </c>
      <c r="J42" s="17">
        <f t="shared" si="7"/>
        <v>4.3518518518518515E-3</v>
      </c>
      <c r="K42" s="18">
        <f t="shared" si="7"/>
        <v>5.4398148148148149E-3</v>
      </c>
      <c r="L42" s="18">
        <f t="shared" si="7"/>
        <v>7.2569444444444443E-3</v>
      </c>
      <c r="M42" s="18">
        <f t="shared" si="7"/>
        <v>1.0891203703703703E-2</v>
      </c>
      <c r="N42" s="18">
        <f t="shared" si="7"/>
        <v>1.4525462962962964E-2</v>
      </c>
      <c r="O42" s="19">
        <f t="shared" si="7"/>
        <v>1.8159722222222219E-2</v>
      </c>
      <c r="P42" s="188">
        <f t="shared" si="7"/>
        <v>3.6331018518518519E-2</v>
      </c>
      <c r="Q42" s="219">
        <f t="shared" si="7"/>
        <v>7.6666666666666675E-2</v>
      </c>
      <c r="R42" s="220">
        <f t="shared" si="7"/>
        <v>0.15333333333333335</v>
      </c>
    </row>
    <row r="43" spans="1:18" ht="15" hidden="1" customHeight="1" outlineLevel="1" x14ac:dyDescent="0.25">
      <c r="A43" s="592"/>
      <c r="B43" s="206">
        <f t="shared" si="6"/>
        <v>11.582999999999998</v>
      </c>
      <c r="C43" s="207">
        <v>0.99</v>
      </c>
      <c r="D43" s="17">
        <f t="shared" si="5"/>
        <v>3.5879629629629635E-4</v>
      </c>
      <c r="E43" s="18">
        <f t="shared" si="7"/>
        <v>7.175925925925927E-4</v>
      </c>
      <c r="F43" s="18">
        <f t="shared" si="7"/>
        <v>1.0763888888888889E-3</v>
      </c>
      <c r="G43" s="18">
        <f t="shared" si="7"/>
        <v>1.4351851851851854E-3</v>
      </c>
      <c r="H43" s="19">
        <f t="shared" si="7"/>
        <v>1.7939814814814815E-3</v>
      </c>
      <c r="I43" s="183">
        <f t="shared" si="7"/>
        <v>3.5879629629629629E-3</v>
      </c>
      <c r="J43" s="17">
        <f t="shared" si="7"/>
        <v>4.3055555555555555E-3</v>
      </c>
      <c r="K43" s="18">
        <f t="shared" si="7"/>
        <v>5.3935185185185188E-3</v>
      </c>
      <c r="L43" s="18">
        <f t="shared" si="7"/>
        <v>7.1874999999999994E-3</v>
      </c>
      <c r="M43" s="18">
        <f t="shared" si="7"/>
        <v>1.0787037037037038E-2</v>
      </c>
      <c r="N43" s="18">
        <f t="shared" si="7"/>
        <v>1.4386574074074072E-2</v>
      </c>
      <c r="O43" s="19">
        <f t="shared" si="7"/>
        <v>1.7986111111111109E-2</v>
      </c>
      <c r="P43" s="188">
        <f t="shared" si="7"/>
        <v>3.5972222222222218E-2</v>
      </c>
      <c r="Q43" s="219">
        <f t="shared" si="7"/>
        <v>7.5891203703703711E-2</v>
      </c>
      <c r="R43" s="220">
        <f t="shared" si="7"/>
        <v>0.15178240740740742</v>
      </c>
    </row>
    <row r="44" spans="1:18" collapsed="1" x14ac:dyDescent="0.25">
      <c r="A44" s="592"/>
      <c r="B44" s="206">
        <f t="shared" si="6"/>
        <v>11.7</v>
      </c>
      <c r="C44" s="207">
        <v>1</v>
      </c>
      <c r="D44" s="17">
        <f t="shared" si="5"/>
        <v>3.4722222222222224E-4</v>
      </c>
      <c r="E44" s="18">
        <f t="shared" si="7"/>
        <v>7.0601851851851847E-4</v>
      </c>
      <c r="F44" s="18">
        <f t="shared" si="7"/>
        <v>1.0648148148148149E-3</v>
      </c>
      <c r="G44" s="18">
        <f t="shared" si="7"/>
        <v>1.423611111111111E-3</v>
      </c>
      <c r="H44" s="19">
        <f t="shared" si="7"/>
        <v>1.7708333333333332E-3</v>
      </c>
      <c r="I44" s="183">
        <f t="shared" si="7"/>
        <v>3.5532407407407405E-3</v>
      </c>
      <c r="J44" s="17">
        <f t="shared" si="7"/>
        <v>4.2708333333333339E-3</v>
      </c>
      <c r="K44" s="18">
        <f t="shared" si="7"/>
        <v>5.3356481481481484E-3</v>
      </c>
      <c r="L44" s="18">
        <f t="shared" si="7"/>
        <v>7.1180555555555554E-3</v>
      </c>
      <c r="M44" s="18">
        <f t="shared" si="7"/>
        <v>1.068287037037037E-2</v>
      </c>
      <c r="N44" s="18">
        <f t="shared" si="7"/>
        <v>1.4236111111111111E-2</v>
      </c>
      <c r="O44" s="19">
        <f t="shared" si="7"/>
        <v>1.7800925925925925E-2</v>
      </c>
      <c r="P44" s="188">
        <f t="shared" si="7"/>
        <v>3.560185185185185E-2</v>
      </c>
      <c r="Q44" s="219">
        <f t="shared" si="7"/>
        <v>7.5138888888888894E-2</v>
      </c>
      <c r="R44" s="220">
        <f t="shared" si="7"/>
        <v>0.15026620370370369</v>
      </c>
    </row>
    <row r="45" spans="1:18" ht="15" hidden="1" customHeight="1" outlineLevel="1" x14ac:dyDescent="0.25">
      <c r="A45" s="592"/>
      <c r="B45" s="206">
        <f t="shared" si="6"/>
        <v>11.817</v>
      </c>
      <c r="C45" s="207">
        <v>1.01</v>
      </c>
      <c r="D45" s="17">
        <f t="shared" si="5"/>
        <v>3.4722222222222224E-4</v>
      </c>
      <c r="E45" s="18">
        <f t="shared" si="7"/>
        <v>6.9444444444444447E-4</v>
      </c>
      <c r="F45" s="18">
        <f t="shared" si="7"/>
        <v>1.0532407407407407E-3</v>
      </c>
      <c r="G45" s="18">
        <f t="shared" si="7"/>
        <v>1.4004629629629629E-3</v>
      </c>
      <c r="H45" s="19">
        <f t="shared" si="7"/>
        <v>1.7592592592592592E-3</v>
      </c>
      <c r="I45" s="183">
        <f t="shared" si="7"/>
        <v>3.5185185185185185E-3</v>
      </c>
      <c r="J45" s="17">
        <f t="shared" si="7"/>
        <v>4.2245370370370371E-3</v>
      </c>
      <c r="K45" s="18">
        <f t="shared" si="7"/>
        <v>5.2777777777777771E-3</v>
      </c>
      <c r="L45" s="18">
        <f t="shared" si="7"/>
        <v>7.0486111111111105E-3</v>
      </c>
      <c r="M45" s="18">
        <f t="shared" si="7"/>
        <v>1.0567129629629629E-2</v>
      </c>
      <c r="N45" s="18">
        <f t="shared" si="7"/>
        <v>1.4097222222222221E-2</v>
      </c>
      <c r="O45" s="19">
        <f t="shared" si="7"/>
        <v>1.7627314814814814E-2</v>
      </c>
      <c r="P45" s="188">
        <f t="shared" si="7"/>
        <v>3.5254629629629629E-2</v>
      </c>
      <c r="Q45" s="219">
        <f t="shared" si="7"/>
        <v>7.4398148148148144E-2</v>
      </c>
      <c r="R45" s="220">
        <f t="shared" si="7"/>
        <v>0.14877314814814815</v>
      </c>
    </row>
    <row r="46" spans="1:18" ht="15" hidden="1" customHeight="1" outlineLevel="1" x14ac:dyDescent="0.25">
      <c r="A46" s="592"/>
      <c r="B46" s="206">
        <f t="shared" si="6"/>
        <v>11.933999999999999</v>
      </c>
      <c r="C46" s="207">
        <v>1.02</v>
      </c>
      <c r="D46" s="17">
        <f t="shared" si="5"/>
        <v>3.4722222222222224E-4</v>
      </c>
      <c r="E46" s="18">
        <f t="shared" si="7"/>
        <v>6.9444444444444447E-4</v>
      </c>
      <c r="F46" s="18">
        <f t="shared" si="7"/>
        <v>1.0416666666666667E-3</v>
      </c>
      <c r="G46" s="18">
        <f t="shared" si="7"/>
        <v>1.3888888888888889E-3</v>
      </c>
      <c r="H46" s="19">
        <f t="shared" si="7"/>
        <v>1.736111111111111E-3</v>
      </c>
      <c r="I46" s="183">
        <f t="shared" si="7"/>
        <v>3.483796296296296E-3</v>
      </c>
      <c r="J46" s="17">
        <f t="shared" si="7"/>
        <v>4.1782407407407402E-3</v>
      </c>
      <c r="K46" s="18">
        <f t="shared" si="7"/>
        <v>5.2314814814814819E-3</v>
      </c>
      <c r="L46" s="18">
        <f t="shared" si="7"/>
        <v>6.9791666666666674E-3</v>
      </c>
      <c r="M46" s="18">
        <f t="shared" si="7"/>
        <v>1.0462962962962964E-2</v>
      </c>
      <c r="N46" s="18">
        <f t="shared" si="7"/>
        <v>1.3958333333333335E-2</v>
      </c>
      <c r="O46" s="19">
        <f t="shared" si="7"/>
        <v>1.7453703703703704E-2</v>
      </c>
      <c r="P46" s="188">
        <f t="shared" si="7"/>
        <v>3.4907407407407408E-2</v>
      </c>
      <c r="Q46" s="219">
        <f t="shared" si="7"/>
        <v>7.3668981481481474E-2</v>
      </c>
      <c r="R46" s="220">
        <f t="shared" si="7"/>
        <v>0.14731481481481482</v>
      </c>
    </row>
    <row r="47" spans="1:18" ht="15" hidden="1" customHeight="1" outlineLevel="1" x14ac:dyDescent="0.25">
      <c r="A47" s="592"/>
      <c r="B47" s="206">
        <f t="shared" si="6"/>
        <v>12.051</v>
      </c>
      <c r="C47" s="207">
        <v>1.03</v>
      </c>
      <c r="D47" s="17">
        <f t="shared" si="5"/>
        <v>3.3564814814814812E-4</v>
      </c>
      <c r="E47" s="18">
        <f t="shared" si="7"/>
        <v>6.8287037037037025E-4</v>
      </c>
      <c r="F47" s="18">
        <f t="shared" si="7"/>
        <v>1.0300925925925926E-3</v>
      </c>
      <c r="G47" s="18">
        <f t="shared" si="7"/>
        <v>1.3773148148148147E-3</v>
      </c>
      <c r="H47" s="19">
        <f t="shared" si="7"/>
        <v>1.7245370370370372E-3</v>
      </c>
      <c r="I47" s="183">
        <f t="shared" si="7"/>
        <v>3.4490740740740745E-3</v>
      </c>
      <c r="J47" s="17">
        <f t="shared" si="7"/>
        <v>4.1435185185185186E-3</v>
      </c>
      <c r="K47" s="18">
        <f t="shared" si="7"/>
        <v>5.185185185185185E-3</v>
      </c>
      <c r="L47" s="18">
        <f t="shared" si="7"/>
        <v>6.9097222222222225E-3</v>
      </c>
      <c r="M47" s="18">
        <f t="shared" si="7"/>
        <v>1.037037037037037E-2</v>
      </c>
      <c r="N47" s="18">
        <f t="shared" si="7"/>
        <v>1.3819444444444445E-2</v>
      </c>
      <c r="O47" s="19">
        <f t="shared" si="7"/>
        <v>1.7280092592592593E-2</v>
      </c>
      <c r="P47" s="188">
        <f t="shared" si="7"/>
        <v>3.4571759259259253E-2</v>
      </c>
      <c r="Q47" s="219">
        <f t="shared" si="7"/>
        <v>7.2951388888888885E-2</v>
      </c>
      <c r="R47" s="220">
        <f t="shared" si="7"/>
        <v>0.14587962962962961</v>
      </c>
    </row>
    <row r="48" spans="1:18" ht="15" hidden="1" customHeight="1" outlineLevel="1" x14ac:dyDescent="0.25">
      <c r="A48" s="592"/>
      <c r="B48" s="206">
        <f t="shared" si="6"/>
        <v>12.167999999999999</v>
      </c>
      <c r="C48" s="207">
        <v>1.04</v>
      </c>
      <c r="D48" s="17">
        <f t="shared" si="5"/>
        <v>3.3564814814814812E-4</v>
      </c>
      <c r="E48" s="18">
        <f t="shared" si="7"/>
        <v>6.8287037037037025E-4</v>
      </c>
      <c r="F48" s="18">
        <f t="shared" si="7"/>
        <v>1.0185185185185184E-3</v>
      </c>
      <c r="G48" s="18">
        <f t="shared" si="7"/>
        <v>1.3657407407407405E-3</v>
      </c>
      <c r="H48" s="19">
        <f t="shared" si="7"/>
        <v>1.7013888888888892E-3</v>
      </c>
      <c r="I48" s="183">
        <f t="shared" si="7"/>
        <v>3.414351851851852E-3</v>
      </c>
      <c r="J48" s="17">
        <f t="shared" si="7"/>
        <v>4.108796296296297E-3</v>
      </c>
      <c r="K48" s="18">
        <f t="shared" si="7"/>
        <v>5.1273148148148146E-3</v>
      </c>
      <c r="L48" s="18">
        <f t="shared" si="7"/>
        <v>6.8402777777777776E-3</v>
      </c>
      <c r="M48" s="18">
        <f t="shared" si="7"/>
        <v>1.0266203703703703E-2</v>
      </c>
      <c r="N48" s="18">
        <f t="shared" si="7"/>
        <v>1.3692129629629629E-2</v>
      </c>
      <c r="O48" s="19">
        <f t="shared" si="7"/>
        <v>1.7118055555555556E-2</v>
      </c>
      <c r="P48" s="188">
        <f t="shared" si="7"/>
        <v>3.4236111111111113E-2</v>
      </c>
      <c r="Q48" s="219">
        <f t="shared" si="7"/>
        <v>7.2245370370370363E-2</v>
      </c>
      <c r="R48" s="220">
        <f t="shared" si="7"/>
        <v>0.14447916666666669</v>
      </c>
    </row>
    <row r="49" spans="1:18" collapsed="1" x14ac:dyDescent="0.25">
      <c r="A49" s="592"/>
      <c r="B49" s="206">
        <f t="shared" si="6"/>
        <v>12.285</v>
      </c>
      <c r="C49" s="207">
        <v>1.05</v>
      </c>
      <c r="D49" s="17">
        <f t="shared" si="5"/>
        <v>3.3564814814814812E-4</v>
      </c>
      <c r="E49" s="18">
        <f t="shared" si="7"/>
        <v>6.7129629629629625E-4</v>
      </c>
      <c r="F49" s="18">
        <f t="shared" si="7"/>
        <v>1.0069444444444444E-3</v>
      </c>
      <c r="G49" s="18">
        <f t="shared" si="7"/>
        <v>1.3541666666666667E-3</v>
      </c>
      <c r="H49" s="19">
        <f t="shared" si="7"/>
        <v>1.6898148148148148E-3</v>
      </c>
      <c r="I49" s="183">
        <f t="shared" si="7"/>
        <v>3.391203703703704E-3</v>
      </c>
      <c r="J49" s="17">
        <f t="shared" si="7"/>
        <v>4.0624999999999993E-3</v>
      </c>
      <c r="K49" s="18">
        <f t="shared" si="7"/>
        <v>5.0810185185185186E-3</v>
      </c>
      <c r="L49" s="18">
        <f t="shared" si="7"/>
        <v>6.782407407407408E-3</v>
      </c>
      <c r="M49" s="18">
        <f t="shared" si="7"/>
        <v>1.0173611111111111E-2</v>
      </c>
      <c r="N49" s="18">
        <f t="shared" si="7"/>
        <v>1.3564814814814816E-2</v>
      </c>
      <c r="O49" s="19">
        <f t="shared" si="7"/>
        <v>1.695601851851852E-2</v>
      </c>
      <c r="P49" s="188">
        <f t="shared" si="7"/>
        <v>3.3912037037037039E-2</v>
      </c>
      <c r="Q49" s="219">
        <f t="shared" si="7"/>
        <v>7.1562500000000001E-2</v>
      </c>
      <c r="R49" s="220">
        <f t="shared" si="7"/>
        <v>0.14310185185185184</v>
      </c>
    </row>
    <row r="50" spans="1:18" ht="15" hidden="1" customHeight="1" outlineLevel="1" x14ac:dyDescent="0.25">
      <c r="A50" s="592"/>
      <c r="B50" s="206">
        <f t="shared" si="6"/>
        <v>12.401999999999999</v>
      </c>
      <c r="C50" s="207">
        <v>1.06</v>
      </c>
      <c r="D50" s="17">
        <f t="shared" si="5"/>
        <v>3.3564814814814812E-4</v>
      </c>
      <c r="E50" s="18">
        <f t="shared" ref="E50:R59" si="8">TIME(,,(E$3*3600)/(($B$2*$C50)*1000))</f>
        <v>6.7129629629629625E-4</v>
      </c>
      <c r="F50" s="18">
        <f t="shared" si="8"/>
        <v>1.0069444444444444E-3</v>
      </c>
      <c r="G50" s="18">
        <f t="shared" si="8"/>
        <v>1.3425925925925925E-3</v>
      </c>
      <c r="H50" s="19">
        <f t="shared" si="8"/>
        <v>1.6782407407407406E-3</v>
      </c>
      <c r="I50" s="183">
        <f t="shared" si="8"/>
        <v>3.3564814814814811E-3</v>
      </c>
      <c r="J50" s="17">
        <f t="shared" si="8"/>
        <v>4.0277777777777777E-3</v>
      </c>
      <c r="K50" s="18">
        <f t="shared" si="8"/>
        <v>5.0347222222222225E-3</v>
      </c>
      <c r="L50" s="18">
        <f t="shared" si="8"/>
        <v>6.7129629629629622E-3</v>
      </c>
      <c r="M50" s="18">
        <f t="shared" si="8"/>
        <v>1.0069444444444445E-2</v>
      </c>
      <c r="N50" s="18">
        <f t="shared" si="8"/>
        <v>1.34375E-2</v>
      </c>
      <c r="O50" s="19">
        <f t="shared" si="8"/>
        <v>1.6793981481481483E-2</v>
      </c>
      <c r="P50" s="188">
        <f t="shared" si="8"/>
        <v>3.3587962962962965E-2</v>
      </c>
      <c r="Q50" s="219">
        <f t="shared" si="8"/>
        <v>7.0879629629629626E-2</v>
      </c>
      <c r="R50" s="220">
        <f t="shared" si="8"/>
        <v>0.14175925925925925</v>
      </c>
    </row>
    <row r="51" spans="1:18" ht="15" hidden="1" customHeight="1" outlineLevel="1" x14ac:dyDescent="0.25">
      <c r="A51" s="592"/>
      <c r="B51" s="206">
        <f t="shared" si="6"/>
        <v>12.519</v>
      </c>
      <c r="C51" s="207">
        <v>1.07</v>
      </c>
      <c r="D51" s="17">
        <f t="shared" si="5"/>
        <v>3.2407407407407406E-4</v>
      </c>
      <c r="E51" s="18">
        <f t="shared" si="8"/>
        <v>6.5972222222222213E-4</v>
      </c>
      <c r="F51" s="18">
        <f t="shared" si="8"/>
        <v>9.9537037037037042E-4</v>
      </c>
      <c r="G51" s="18">
        <f t="shared" si="8"/>
        <v>1.3310185185185187E-3</v>
      </c>
      <c r="H51" s="19">
        <f t="shared" si="8"/>
        <v>1.6550925925925926E-3</v>
      </c>
      <c r="I51" s="183">
        <f t="shared" si="8"/>
        <v>3.3217592592592591E-3</v>
      </c>
      <c r="J51" s="17">
        <f t="shared" si="8"/>
        <v>3.9930555555555561E-3</v>
      </c>
      <c r="K51" s="18">
        <f t="shared" si="8"/>
        <v>4.9884259259259265E-3</v>
      </c>
      <c r="L51" s="18">
        <f t="shared" si="8"/>
        <v>6.6550925925925935E-3</v>
      </c>
      <c r="M51" s="18">
        <f t="shared" si="8"/>
        <v>9.9768518518518531E-3</v>
      </c>
      <c r="N51" s="18">
        <f t="shared" si="8"/>
        <v>1.3310185185185187E-2</v>
      </c>
      <c r="O51" s="19">
        <f t="shared" si="8"/>
        <v>1.6631944444444446E-2</v>
      </c>
      <c r="P51" s="188">
        <f t="shared" si="8"/>
        <v>3.3275462962962958E-2</v>
      </c>
      <c r="Q51" s="219">
        <f t="shared" si="8"/>
        <v>7.0219907407407398E-2</v>
      </c>
      <c r="R51" s="220">
        <f t="shared" si="8"/>
        <v>0.14042824074074076</v>
      </c>
    </row>
    <row r="52" spans="1:18" ht="15" hidden="1" customHeight="1" outlineLevel="1" x14ac:dyDescent="0.25">
      <c r="A52" s="592"/>
      <c r="B52" s="206">
        <f t="shared" si="6"/>
        <v>12.635999999999999</v>
      </c>
      <c r="C52" s="207">
        <v>1.08</v>
      </c>
      <c r="D52" s="17">
        <f t="shared" si="5"/>
        <v>3.2407407407407406E-4</v>
      </c>
      <c r="E52" s="18">
        <f t="shared" si="8"/>
        <v>6.4814814814814813E-4</v>
      </c>
      <c r="F52" s="18">
        <f t="shared" si="8"/>
        <v>9.8379629629629642E-4</v>
      </c>
      <c r="G52" s="18">
        <f t="shared" si="8"/>
        <v>1.3078703703703705E-3</v>
      </c>
      <c r="H52" s="19">
        <f t="shared" si="8"/>
        <v>1.6435185185185183E-3</v>
      </c>
      <c r="I52" s="183">
        <f t="shared" si="8"/>
        <v>3.2870370370370367E-3</v>
      </c>
      <c r="J52" s="17">
        <f t="shared" si="8"/>
        <v>3.9467592592592592E-3</v>
      </c>
      <c r="K52" s="18">
        <f t="shared" si="8"/>
        <v>4.9421296296296288E-3</v>
      </c>
      <c r="L52" s="18">
        <f t="shared" si="8"/>
        <v>6.5856481481481469E-3</v>
      </c>
      <c r="M52" s="18">
        <f t="shared" si="8"/>
        <v>9.8842592592592576E-3</v>
      </c>
      <c r="N52" s="18">
        <f t="shared" si="8"/>
        <v>1.3182870370370371E-2</v>
      </c>
      <c r="O52" s="19">
        <f t="shared" si="8"/>
        <v>1.6481481481481482E-2</v>
      </c>
      <c r="P52" s="188">
        <f t="shared" si="8"/>
        <v>3.2974537037037038E-2</v>
      </c>
      <c r="Q52" s="219">
        <f t="shared" si="8"/>
        <v>6.9571759259259264E-2</v>
      </c>
      <c r="R52" s="220">
        <f t="shared" si="8"/>
        <v>0.13913194444444443</v>
      </c>
    </row>
    <row r="53" spans="1:18" ht="15" hidden="1" customHeight="1" outlineLevel="1" x14ac:dyDescent="0.25">
      <c r="A53" s="592"/>
      <c r="B53" s="206">
        <f t="shared" si="6"/>
        <v>12.753</v>
      </c>
      <c r="C53" s="207">
        <v>1.0900000000000001</v>
      </c>
      <c r="D53" s="17">
        <f t="shared" si="5"/>
        <v>3.2407407407407406E-4</v>
      </c>
      <c r="E53" s="18">
        <f t="shared" si="8"/>
        <v>6.4814814814814813E-4</v>
      </c>
      <c r="F53" s="18">
        <f t="shared" si="8"/>
        <v>9.7222222222222209E-4</v>
      </c>
      <c r="G53" s="18">
        <f t="shared" si="8"/>
        <v>1.2962962962962963E-3</v>
      </c>
      <c r="H53" s="19">
        <f t="shared" si="8"/>
        <v>1.6319444444444445E-3</v>
      </c>
      <c r="I53" s="183">
        <f t="shared" si="8"/>
        <v>3.2638888888888891E-3</v>
      </c>
      <c r="J53" s="17">
        <f t="shared" si="8"/>
        <v>3.9120370370370377E-3</v>
      </c>
      <c r="K53" s="18">
        <f t="shared" si="8"/>
        <v>4.8958333333333328E-3</v>
      </c>
      <c r="L53" s="18">
        <f t="shared" si="8"/>
        <v>6.5277777777777782E-3</v>
      </c>
      <c r="M53" s="18">
        <f t="shared" si="8"/>
        <v>9.7916666666666655E-3</v>
      </c>
      <c r="N53" s="18">
        <f t="shared" si="8"/>
        <v>1.306712962962963E-2</v>
      </c>
      <c r="O53" s="19">
        <f t="shared" si="8"/>
        <v>1.6331018518518519E-2</v>
      </c>
      <c r="P53" s="188">
        <f t="shared" si="8"/>
        <v>3.2662037037037038E-2</v>
      </c>
      <c r="Q53" s="219">
        <f t="shared" si="8"/>
        <v>6.8935185185185183E-2</v>
      </c>
      <c r="R53" s="220">
        <f t="shared" si="8"/>
        <v>0.1378587962962963</v>
      </c>
    </row>
    <row r="54" spans="1:18" collapsed="1" x14ac:dyDescent="0.25">
      <c r="A54" s="592"/>
      <c r="B54" s="206">
        <f t="shared" si="6"/>
        <v>12.870000000000001</v>
      </c>
      <c r="C54" s="207">
        <v>1.1000000000000001</v>
      </c>
      <c r="D54" s="17">
        <f t="shared" si="5"/>
        <v>3.1250000000000001E-4</v>
      </c>
      <c r="E54" s="18">
        <f t="shared" si="8"/>
        <v>6.3657407407407402E-4</v>
      </c>
      <c r="F54" s="18">
        <f t="shared" si="8"/>
        <v>9.6064814814814808E-4</v>
      </c>
      <c r="G54" s="18">
        <f t="shared" si="8"/>
        <v>1.2847222222222223E-3</v>
      </c>
      <c r="H54" s="19">
        <f t="shared" si="8"/>
        <v>1.6087962962962965E-3</v>
      </c>
      <c r="I54" s="183">
        <f t="shared" si="8"/>
        <v>3.2291666666666666E-3</v>
      </c>
      <c r="J54" s="17">
        <f t="shared" si="8"/>
        <v>3.8773148148148143E-3</v>
      </c>
      <c r="K54" s="18">
        <f t="shared" si="8"/>
        <v>4.8495370370370368E-3</v>
      </c>
      <c r="L54" s="18">
        <f t="shared" si="8"/>
        <v>6.4699074074074069E-3</v>
      </c>
      <c r="M54" s="18">
        <f t="shared" si="8"/>
        <v>9.7106481481481471E-3</v>
      </c>
      <c r="N54" s="18">
        <f t="shared" si="8"/>
        <v>1.2939814814814814E-2</v>
      </c>
      <c r="O54" s="19">
        <f t="shared" si="8"/>
        <v>1.6180555555555556E-2</v>
      </c>
      <c r="P54" s="188">
        <f t="shared" si="8"/>
        <v>3.2372685185185185E-2</v>
      </c>
      <c r="Q54" s="219">
        <f t="shared" si="8"/>
        <v>6.8310185185185182E-2</v>
      </c>
      <c r="R54" s="220">
        <f t="shared" si="8"/>
        <v>0.13659722222222223</v>
      </c>
    </row>
    <row r="55" spans="1:18" ht="15" hidden="1" customHeight="1" outlineLevel="1" x14ac:dyDescent="0.25">
      <c r="A55" s="592"/>
      <c r="B55" s="206">
        <f t="shared" si="6"/>
        <v>12.987</v>
      </c>
      <c r="C55" s="207">
        <v>1.1100000000000001</v>
      </c>
      <c r="D55" s="17">
        <f t="shared" si="5"/>
        <v>3.1250000000000001E-4</v>
      </c>
      <c r="E55" s="18">
        <f t="shared" si="8"/>
        <v>6.3657407407407402E-4</v>
      </c>
      <c r="F55" s="18">
        <f t="shared" si="8"/>
        <v>9.6064814814814808E-4</v>
      </c>
      <c r="G55" s="18">
        <f t="shared" si="8"/>
        <v>1.273148148148148E-3</v>
      </c>
      <c r="H55" s="19">
        <f t="shared" si="8"/>
        <v>1.5972222222222221E-3</v>
      </c>
      <c r="I55" s="183">
        <f t="shared" si="8"/>
        <v>3.2060185185185182E-3</v>
      </c>
      <c r="J55" s="17">
        <f t="shared" si="8"/>
        <v>3.8425925925925923E-3</v>
      </c>
      <c r="K55" s="18">
        <f t="shared" si="8"/>
        <v>4.8032407407407407E-3</v>
      </c>
      <c r="L55" s="18">
        <f t="shared" si="8"/>
        <v>6.4120370370370364E-3</v>
      </c>
      <c r="M55" s="18">
        <f t="shared" si="8"/>
        <v>9.618055555555555E-3</v>
      </c>
      <c r="N55" s="18">
        <f t="shared" si="8"/>
        <v>1.2824074074074073E-2</v>
      </c>
      <c r="O55" s="19">
        <f t="shared" si="8"/>
        <v>1.6041666666666666E-2</v>
      </c>
      <c r="P55" s="188">
        <f t="shared" si="8"/>
        <v>3.2083333333333332E-2</v>
      </c>
      <c r="Q55" s="219">
        <f t="shared" si="8"/>
        <v>6.7685185185185195E-2</v>
      </c>
      <c r="R55" s="220">
        <f t="shared" si="8"/>
        <v>0.13537037037037039</v>
      </c>
    </row>
    <row r="56" spans="1:18" ht="15" hidden="1" customHeight="1" outlineLevel="1" x14ac:dyDescent="0.25">
      <c r="A56" s="592"/>
      <c r="B56" s="206">
        <f t="shared" si="6"/>
        <v>13.104000000000001</v>
      </c>
      <c r="C56" s="207">
        <v>1.1200000000000001</v>
      </c>
      <c r="D56" s="17">
        <f t="shared" si="5"/>
        <v>3.1250000000000001E-4</v>
      </c>
      <c r="E56" s="18">
        <f t="shared" si="8"/>
        <v>6.2500000000000001E-4</v>
      </c>
      <c r="F56" s="18">
        <f t="shared" si="8"/>
        <v>9.4907407407407408E-4</v>
      </c>
      <c r="G56" s="18">
        <f t="shared" si="8"/>
        <v>1.261574074074074E-3</v>
      </c>
      <c r="H56" s="19">
        <f t="shared" si="8"/>
        <v>1.5856481481481479E-3</v>
      </c>
      <c r="I56" s="183">
        <f t="shared" si="8"/>
        <v>3.1712962962962958E-3</v>
      </c>
      <c r="J56" s="17">
        <f t="shared" si="8"/>
        <v>3.8078703703703707E-3</v>
      </c>
      <c r="K56" s="18">
        <f t="shared" si="8"/>
        <v>4.7685185185185183E-3</v>
      </c>
      <c r="L56" s="18">
        <f t="shared" si="8"/>
        <v>6.3541666666666668E-3</v>
      </c>
      <c r="M56" s="18">
        <f t="shared" si="8"/>
        <v>9.5370370370370366E-3</v>
      </c>
      <c r="N56" s="18">
        <f t="shared" si="8"/>
        <v>1.2708333333333334E-2</v>
      </c>
      <c r="O56" s="19">
        <f t="shared" si="8"/>
        <v>1.5891203703703703E-2</v>
      </c>
      <c r="P56" s="188">
        <f t="shared" si="8"/>
        <v>3.1793981481481479E-2</v>
      </c>
      <c r="Q56" s="219">
        <f t="shared" si="8"/>
        <v>6.7083333333333328E-2</v>
      </c>
      <c r="R56" s="220">
        <f t="shared" si="8"/>
        <v>0.13416666666666666</v>
      </c>
    </row>
    <row r="57" spans="1:18" ht="15" hidden="1" customHeight="1" outlineLevel="1" x14ac:dyDescent="0.25">
      <c r="A57" s="592"/>
      <c r="B57" s="206">
        <f t="shared" si="6"/>
        <v>13.220999999999998</v>
      </c>
      <c r="C57" s="207">
        <v>1.1299999999999999</v>
      </c>
      <c r="D57" s="17">
        <f t="shared" si="5"/>
        <v>3.1250000000000001E-4</v>
      </c>
      <c r="E57" s="18">
        <f t="shared" si="8"/>
        <v>6.2500000000000001E-4</v>
      </c>
      <c r="F57" s="18">
        <f t="shared" si="8"/>
        <v>9.3750000000000007E-4</v>
      </c>
      <c r="G57" s="18">
        <f t="shared" si="8"/>
        <v>1.25E-3</v>
      </c>
      <c r="H57" s="19">
        <f t="shared" si="8"/>
        <v>1.5740740740740741E-3</v>
      </c>
      <c r="I57" s="183">
        <f t="shared" si="8"/>
        <v>3.1481481481481482E-3</v>
      </c>
      <c r="J57" s="17">
        <f t="shared" si="8"/>
        <v>3.7731481481481483E-3</v>
      </c>
      <c r="K57" s="18">
        <f t="shared" si="8"/>
        <v>4.7222222222222223E-3</v>
      </c>
      <c r="L57" s="18">
        <f t="shared" si="8"/>
        <v>6.2962962962962964E-3</v>
      </c>
      <c r="M57" s="18">
        <f t="shared" si="8"/>
        <v>9.4444444444444445E-3</v>
      </c>
      <c r="N57" s="18">
        <f t="shared" si="8"/>
        <v>1.2604166666666666E-2</v>
      </c>
      <c r="O57" s="19">
        <f t="shared" si="8"/>
        <v>1.5752314814814813E-2</v>
      </c>
      <c r="P57" s="188">
        <f t="shared" si="8"/>
        <v>3.1504629629629625E-2</v>
      </c>
      <c r="Q57" s="219">
        <f t="shared" si="8"/>
        <v>6.6493055555555555E-2</v>
      </c>
      <c r="R57" s="220">
        <f t="shared" si="8"/>
        <v>0.13297453703703702</v>
      </c>
    </row>
    <row r="58" spans="1:18" ht="15" hidden="1" customHeight="1" outlineLevel="1" x14ac:dyDescent="0.25">
      <c r="A58" s="592"/>
      <c r="B58" s="206">
        <f t="shared" si="6"/>
        <v>13.337999999999997</v>
      </c>
      <c r="C58" s="207">
        <v>1.1399999999999999</v>
      </c>
      <c r="D58" s="17">
        <f t="shared" si="5"/>
        <v>3.0092592592592595E-4</v>
      </c>
      <c r="E58" s="18">
        <f t="shared" si="8"/>
        <v>6.134259259259259E-4</v>
      </c>
      <c r="F58" s="18">
        <f t="shared" si="8"/>
        <v>9.2592592592592585E-4</v>
      </c>
      <c r="G58" s="18">
        <f t="shared" si="8"/>
        <v>1.238425925925926E-3</v>
      </c>
      <c r="H58" s="19">
        <f t="shared" si="8"/>
        <v>1.5509259259259261E-3</v>
      </c>
      <c r="I58" s="183">
        <f t="shared" si="8"/>
        <v>3.1134259259259257E-3</v>
      </c>
      <c r="J58" s="17">
        <f t="shared" si="8"/>
        <v>3.7384259259259263E-3</v>
      </c>
      <c r="K58" s="18">
        <f t="shared" si="8"/>
        <v>4.6759259259259263E-3</v>
      </c>
      <c r="L58" s="18">
        <f t="shared" si="8"/>
        <v>6.238425925925925E-3</v>
      </c>
      <c r="M58" s="18">
        <f t="shared" si="8"/>
        <v>9.3634259259259261E-3</v>
      </c>
      <c r="N58" s="18">
        <f t="shared" si="8"/>
        <v>1.2488425925925925E-2</v>
      </c>
      <c r="O58" s="19">
        <f t="shared" si="8"/>
        <v>1.5613425925925926E-2</v>
      </c>
      <c r="P58" s="188">
        <f t="shared" si="8"/>
        <v>3.123842592592593E-2</v>
      </c>
      <c r="Q58" s="219">
        <f t="shared" si="8"/>
        <v>6.5914351851851863E-2</v>
      </c>
      <c r="R58" s="220">
        <f t="shared" si="8"/>
        <v>0.13180555555555556</v>
      </c>
    </row>
    <row r="59" spans="1:18" collapsed="1" x14ac:dyDescent="0.25">
      <c r="A59" s="592"/>
      <c r="B59" s="206">
        <f t="shared" si="6"/>
        <v>13.454999999999998</v>
      </c>
      <c r="C59" s="207">
        <v>1.1499999999999999</v>
      </c>
      <c r="D59" s="17">
        <f t="shared" si="5"/>
        <v>3.0092592592592595E-4</v>
      </c>
      <c r="E59" s="18">
        <f t="shared" si="8"/>
        <v>6.134259259259259E-4</v>
      </c>
      <c r="F59" s="18">
        <f t="shared" si="8"/>
        <v>9.2592592592592585E-4</v>
      </c>
      <c r="G59" s="18">
        <f t="shared" si="8"/>
        <v>1.238425925925926E-3</v>
      </c>
      <c r="H59" s="19">
        <f t="shared" si="8"/>
        <v>1.5393518518518519E-3</v>
      </c>
      <c r="I59" s="183">
        <f t="shared" si="8"/>
        <v>3.0902777777777782E-3</v>
      </c>
      <c r="J59" s="17">
        <f t="shared" si="8"/>
        <v>3.7152777777777774E-3</v>
      </c>
      <c r="K59" s="18">
        <f t="shared" si="8"/>
        <v>4.6412037037037038E-3</v>
      </c>
      <c r="L59" s="18">
        <f t="shared" si="8"/>
        <v>6.1921296296296299E-3</v>
      </c>
      <c r="M59" s="18">
        <f t="shared" si="8"/>
        <v>9.2824074074074076E-3</v>
      </c>
      <c r="N59" s="18">
        <f t="shared" si="8"/>
        <v>1.238425925925926E-2</v>
      </c>
      <c r="O59" s="19">
        <f t="shared" si="8"/>
        <v>1.5474537037037038E-2</v>
      </c>
      <c r="P59" s="188">
        <f t="shared" si="8"/>
        <v>3.096064814814815E-2</v>
      </c>
      <c r="Q59" s="219">
        <f t="shared" si="8"/>
        <v>6.5335648148148143E-2</v>
      </c>
      <c r="R59" s="220">
        <f t="shared" si="8"/>
        <v>0.13065972222222222</v>
      </c>
    </row>
    <row r="60" spans="1:18" ht="15" hidden="1" customHeight="1" outlineLevel="1" x14ac:dyDescent="0.25">
      <c r="A60" s="592"/>
      <c r="B60" s="206">
        <f t="shared" si="6"/>
        <v>13.571999999999997</v>
      </c>
      <c r="C60" s="207">
        <v>1.1599999999999999</v>
      </c>
      <c r="D60" s="17">
        <f t="shared" si="5"/>
        <v>3.0092592592592595E-4</v>
      </c>
      <c r="E60" s="18">
        <f t="shared" ref="E60:R69" si="9">TIME(,,(E$3*3600)/(($B$2*$C60)*1000))</f>
        <v>6.134259259259259E-4</v>
      </c>
      <c r="F60" s="18">
        <f t="shared" si="9"/>
        <v>9.1435185185185185E-4</v>
      </c>
      <c r="G60" s="18">
        <f t="shared" si="9"/>
        <v>1.2268518518518518E-3</v>
      </c>
      <c r="H60" s="19">
        <f t="shared" si="9"/>
        <v>1.5277777777777779E-3</v>
      </c>
      <c r="I60" s="183">
        <f t="shared" si="9"/>
        <v>3.0671296296296297E-3</v>
      </c>
      <c r="J60" s="17">
        <f t="shared" si="9"/>
        <v>3.6805555555555554E-3</v>
      </c>
      <c r="K60" s="18">
        <f t="shared" si="9"/>
        <v>4.5949074074074069E-3</v>
      </c>
      <c r="L60" s="18">
        <f t="shared" si="9"/>
        <v>6.1342592592592594E-3</v>
      </c>
      <c r="M60" s="18">
        <f t="shared" si="9"/>
        <v>9.2013888888888892E-3</v>
      </c>
      <c r="N60" s="18">
        <f t="shared" si="9"/>
        <v>1.2280092592592592E-2</v>
      </c>
      <c r="O60" s="19">
        <f t="shared" si="9"/>
        <v>1.5347222222222222E-2</v>
      </c>
      <c r="P60" s="188">
        <f t="shared" si="9"/>
        <v>3.0694444444444444E-2</v>
      </c>
      <c r="Q60" s="219">
        <f t="shared" si="9"/>
        <v>6.4768518518518517E-2</v>
      </c>
      <c r="R60" s="220">
        <f t="shared" si="9"/>
        <v>0.12953703703703703</v>
      </c>
    </row>
    <row r="61" spans="1:18" ht="15" hidden="1" customHeight="1" outlineLevel="1" x14ac:dyDescent="0.25">
      <c r="A61" s="592"/>
      <c r="B61" s="206">
        <f t="shared" si="6"/>
        <v>13.688999999999998</v>
      </c>
      <c r="C61" s="207">
        <v>1.17</v>
      </c>
      <c r="D61" s="17">
        <f t="shared" si="5"/>
        <v>3.0092592592592595E-4</v>
      </c>
      <c r="E61" s="18">
        <f t="shared" si="9"/>
        <v>6.018518518518519E-4</v>
      </c>
      <c r="F61" s="18">
        <f t="shared" si="9"/>
        <v>9.0277777777777784E-4</v>
      </c>
      <c r="G61" s="18">
        <f t="shared" si="9"/>
        <v>1.2152777777777778E-3</v>
      </c>
      <c r="H61" s="19">
        <f t="shared" si="9"/>
        <v>1.5162037037037036E-3</v>
      </c>
      <c r="I61" s="183">
        <f t="shared" si="9"/>
        <v>3.0324074074074073E-3</v>
      </c>
      <c r="J61" s="17">
        <f t="shared" si="9"/>
        <v>3.645833333333333E-3</v>
      </c>
      <c r="K61" s="18">
        <f t="shared" si="9"/>
        <v>4.5601851851851853E-3</v>
      </c>
      <c r="L61" s="18">
        <f t="shared" si="9"/>
        <v>6.076388888888889E-3</v>
      </c>
      <c r="M61" s="18">
        <f t="shared" si="9"/>
        <v>9.1203703703703707E-3</v>
      </c>
      <c r="N61" s="18">
        <f t="shared" si="9"/>
        <v>1.2164351851851852E-2</v>
      </c>
      <c r="O61" s="19">
        <f t="shared" si="9"/>
        <v>1.5208333333333332E-2</v>
      </c>
      <c r="P61" s="188">
        <f t="shared" si="9"/>
        <v>3.0428240740740742E-2</v>
      </c>
      <c r="Q61" s="219">
        <f t="shared" si="9"/>
        <v>6.4212962962962958E-2</v>
      </c>
      <c r="R61" s="220">
        <f t="shared" si="9"/>
        <v>0.12842592592592592</v>
      </c>
    </row>
    <row r="62" spans="1:18" ht="15" hidden="1" customHeight="1" outlineLevel="1" x14ac:dyDescent="0.25">
      <c r="A62" s="592"/>
      <c r="B62" s="206">
        <f t="shared" si="6"/>
        <v>13.805999999999999</v>
      </c>
      <c r="C62" s="207">
        <v>1.18</v>
      </c>
      <c r="D62" s="17">
        <f t="shared" si="5"/>
        <v>3.0092592592592595E-4</v>
      </c>
      <c r="E62" s="18">
        <f t="shared" si="9"/>
        <v>6.018518518518519E-4</v>
      </c>
      <c r="F62" s="18">
        <f t="shared" si="9"/>
        <v>9.0277777777777784E-4</v>
      </c>
      <c r="G62" s="18">
        <f t="shared" si="9"/>
        <v>1.2037037037037038E-3</v>
      </c>
      <c r="H62" s="19">
        <f t="shared" si="9"/>
        <v>1.5046296296296294E-3</v>
      </c>
      <c r="I62" s="183">
        <f t="shared" si="9"/>
        <v>3.0092592592592588E-3</v>
      </c>
      <c r="J62" s="17">
        <f t="shared" si="9"/>
        <v>3.6111111111111114E-3</v>
      </c>
      <c r="K62" s="18">
        <f t="shared" si="9"/>
        <v>4.5254629629629629E-3</v>
      </c>
      <c r="L62" s="18">
        <f t="shared" si="9"/>
        <v>6.030092592592593E-3</v>
      </c>
      <c r="M62" s="18">
        <f t="shared" si="9"/>
        <v>9.0509259259259258E-3</v>
      </c>
      <c r="N62" s="18">
        <f t="shared" si="9"/>
        <v>1.207175925925926E-2</v>
      </c>
      <c r="O62" s="19">
        <f t="shared" si="9"/>
        <v>1.5081018518518516E-2</v>
      </c>
      <c r="P62" s="188">
        <f t="shared" si="9"/>
        <v>3.0173611111111113E-2</v>
      </c>
      <c r="Q62" s="219">
        <f t="shared" si="9"/>
        <v>6.3668981481481493E-2</v>
      </c>
      <c r="R62" s="220">
        <f t="shared" si="9"/>
        <v>0.12733796296296299</v>
      </c>
    </row>
    <row r="63" spans="1:18" ht="15" hidden="1" customHeight="1" outlineLevel="1" x14ac:dyDescent="0.25">
      <c r="A63" s="592"/>
      <c r="B63" s="206">
        <f t="shared" si="6"/>
        <v>13.922999999999998</v>
      </c>
      <c r="C63" s="207">
        <v>1.19</v>
      </c>
      <c r="D63" s="17">
        <f t="shared" si="5"/>
        <v>2.8935185185185189E-4</v>
      </c>
      <c r="E63" s="18">
        <f t="shared" si="9"/>
        <v>5.9027777777777778E-4</v>
      </c>
      <c r="F63" s="18">
        <f t="shared" si="9"/>
        <v>8.9120370370370384E-4</v>
      </c>
      <c r="G63" s="18">
        <f t="shared" si="9"/>
        <v>1.1921296296296296E-3</v>
      </c>
      <c r="H63" s="19">
        <f t="shared" si="9"/>
        <v>1.4930555555555556E-3</v>
      </c>
      <c r="I63" s="183">
        <f t="shared" si="9"/>
        <v>2.9861111111111113E-3</v>
      </c>
      <c r="J63" s="17">
        <f t="shared" si="9"/>
        <v>3.5879629629629629E-3</v>
      </c>
      <c r="K63" s="18">
        <f t="shared" si="9"/>
        <v>4.4791666666666669E-3</v>
      </c>
      <c r="L63" s="18">
        <f t="shared" si="9"/>
        <v>5.9837962962962961E-3</v>
      </c>
      <c r="M63" s="18">
        <f t="shared" si="9"/>
        <v>8.9699074074074073E-3</v>
      </c>
      <c r="N63" s="18">
        <f t="shared" si="9"/>
        <v>1.1967592592592592E-2</v>
      </c>
      <c r="O63" s="19">
        <f t="shared" si="9"/>
        <v>1.4953703703703705E-2</v>
      </c>
      <c r="P63" s="188">
        <f t="shared" si="9"/>
        <v>2.991898148148148E-2</v>
      </c>
      <c r="Q63" s="219">
        <f t="shared" si="9"/>
        <v>6.3136574074074081E-2</v>
      </c>
      <c r="R63" s="220">
        <f t="shared" si="9"/>
        <v>0.12627314814814816</v>
      </c>
    </row>
    <row r="64" spans="1:18" collapsed="1" x14ac:dyDescent="0.25">
      <c r="A64" s="592"/>
      <c r="B64" s="206">
        <f t="shared" si="6"/>
        <v>14.04</v>
      </c>
      <c r="C64" s="207">
        <v>1.2</v>
      </c>
      <c r="D64" s="17">
        <f t="shared" si="5"/>
        <v>2.8935185185185189E-4</v>
      </c>
      <c r="E64" s="18">
        <f t="shared" si="9"/>
        <v>5.9027777777777778E-4</v>
      </c>
      <c r="F64" s="18">
        <f t="shared" si="9"/>
        <v>8.7962962962962962E-4</v>
      </c>
      <c r="G64" s="18">
        <f t="shared" si="9"/>
        <v>1.1805555555555556E-3</v>
      </c>
      <c r="H64" s="19">
        <f t="shared" si="9"/>
        <v>1.4814814814814814E-3</v>
      </c>
      <c r="I64" s="183">
        <f t="shared" si="9"/>
        <v>2.9629629629629628E-3</v>
      </c>
      <c r="J64" s="17">
        <f t="shared" si="9"/>
        <v>3.5532407407407405E-3</v>
      </c>
      <c r="K64" s="18">
        <f t="shared" si="9"/>
        <v>4.4444444444444444E-3</v>
      </c>
      <c r="L64" s="18">
        <f t="shared" si="9"/>
        <v>5.9259259259259256E-3</v>
      </c>
      <c r="M64" s="18">
        <f t="shared" si="9"/>
        <v>8.9004629629629625E-3</v>
      </c>
      <c r="N64" s="18">
        <f t="shared" si="9"/>
        <v>1.1863425925925925E-2</v>
      </c>
      <c r="O64" s="19">
        <f t="shared" si="9"/>
        <v>1.4837962962962963E-2</v>
      </c>
      <c r="P64" s="188">
        <f t="shared" si="9"/>
        <v>2.9675925925925925E-2</v>
      </c>
      <c r="Q64" s="219">
        <f t="shared" si="9"/>
        <v>6.2615740740740736E-2</v>
      </c>
      <c r="R64" s="220">
        <f t="shared" si="9"/>
        <v>0.1252199074074074</v>
      </c>
    </row>
    <row r="65" spans="1:18" ht="15" hidden="1" customHeight="1" outlineLevel="1" x14ac:dyDescent="0.25">
      <c r="A65" s="592"/>
      <c r="B65" s="206">
        <f t="shared" si="6"/>
        <v>14.156999999999998</v>
      </c>
      <c r="C65" s="207">
        <v>1.21</v>
      </c>
      <c r="D65" s="17">
        <f t="shared" si="5"/>
        <v>2.8935185185185189E-4</v>
      </c>
      <c r="E65" s="18">
        <f t="shared" si="9"/>
        <v>5.7870370370370378E-4</v>
      </c>
      <c r="F65" s="18">
        <f t="shared" si="9"/>
        <v>8.7962962962962962E-4</v>
      </c>
      <c r="G65" s="18">
        <f t="shared" si="9"/>
        <v>1.1689814814814816E-3</v>
      </c>
      <c r="H65" s="19">
        <f t="shared" si="9"/>
        <v>1.4699074074074074E-3</v>
      </c>
      <c r="I65" s="183">
        <f t="shared" si="9"/>
        <v>2.9398148148148148E-3</v>
      </c>
      <c r="J65" s="17">
        <f t="shared" si="9"/>
        <v>3.530092592592592E-3</v>
      </c>
      <c r="K65" s="18">
        <f t="shared" si="9"/>
        <v>4.409722222222222E-3</v>
      </c>
      <c r="L65" s="18">
        <f t="shared" si="9"/>
        <v>5.8796296296296296E-3</v>
      </c>
      <c r="M65" s="18">
        <f t="shared" si="9"/>
        <v>8.819444444444444E-3</v>
      </c>
      <c r="N65" s="18">
        <f t="shared" si="9"/>
        <v>1.1770833333333333E-2</v>
      </c>
      <c r="O65" s="19">
        <f t="shared" si="9"/>
        <v>1.4710648148148148E-2</v>
      </c>
      <c r="P65" s="188">
        <f t="shared" si="9"/>
        <v>2.9421296296296296E-2</v>
      </c>
      <c r="Q65" s="219">
        <f t="shared" si="9"/>
        <v>6.2094907407407411E-2</v>
      </c>
      <c r="R65" s="220">
        <f t="shared" si="9"/>
        <v>0.12417824074074074</v>
      </c>
    </row>
    <row r="66" spans="1:18" ht="15" hidden="1" customHeight="1" outlineLevel="1" x14ac:dyDescent="0.25">
      <c r="A66" s="592"/>
      <c r="B66" s="206">
        <f t="shared" si="6"/>
        <v>14.273999999999999</v>
      </c>
      <c r="C66" s="207">
        <v>1.22</v>
      </c>
      <c r="D66" s="17">
        <f t="shared" si="5"/>
        <v>2.8935185185185189E-4</v>
      </c>
      <c r="E66" s="18">
        <f t="shared" si="9"/>
        <v>5.7870370370370378E-4</v>
      </c>
      <c r="F66" s="18">
        <f t="shared" si="9"/>
        <v>8.6805555555555551E-4</v>
      </c>
      <c r="G66" s="18">
        <f t="shared" si="9"/>
        <v>1.1574074074074076E-3</v>
      </c>
      <c r="H66" s="19">
        <f t="shared" si="9"/>
        <v>1.4583333333333334E-3</v>
      </c>
      <c r="I66" s="183">
        <f t="shared" si="9"/>
        <v>2.9166666666666668E-3</v>
      </c>
      <c r="J66" s="17">
        <f t="shared" si="9"/>
        <v>3.4953703703703705E-3</v>
      </c>
      <c r="K66" s="18">
        <f t="shared" si="9"/>
        <v>4.3749999999999995E-3</v>
      </c>
      <c r="L66" s="18">
        <f t="shared" si="9"/>
        <v>5.8333333333333336E-3</v>
      </c>
      <c r="M66" s="18">
        <f t="shared" si="9"/>
        <v>8.7499999999999991E-3</v>
      </c>
      <c r="N66" s="18">
        <f t="shared" si="9"/>
        <v>1.1666666666666667E-2</v>
      </c>
      <c r="O66" s="19">
        <f t="shared" si="9"/>
        <v>1.4594907407407405E-2</v>
      </c>
      <c r="P66" s="188">
        <f t="shared" si="9"/>
        <v>2.9189814814814811E-2</v>
      </c>
      <c r="Q66" s="219">
        <f t="shared" si="9"/>
        <v>6.1585648148148153E-2</v>
      </c>
      <c r="R66" s="220">
        <f t="shared" si="9"/>
        <v>0.12315972222222221</v>
      </c>
    </row>
    <row r="67" spans="1:18" ht="15" hidden="1" customHeight="1" outlineLevel="1" x14ac:dyDescent="0.25">
      <c r="A67" s="592"/>
      <c r="B67" s="206">
        <f t="shared" si="6"/>
        <v>14.390999999999998</v>
      </c>
      <c r="C67" s="207">
        <v>1.23</v>
      </c>
      <c r="D67" s="17">
        <f t="shared" si="5"/>
        <v>2.8935185185185189E-4</v>
      </c>
      <c r="E67" s="18">
        <f t="shared" si="9"/>
        <v>5.7870370370370378E-4</v>
      </c>
      <c r="F67" s="18">
        <f t="shared" si="9"/>
        <v>8.6805555555555551E-4</v>
      </c>
      <c r="G67" s="18">
        <f t="shared" si="9"/>
        <v>1.1574074074074076E-3</v>
      </c>
      <c r="H67" s="19">
        <f t="shared" si="9"/>
        <v>1.4467592592592594E-3</v>
      </c>
      <c r="I67" s="183">
        <f t="shared" si="9"/>
        <v>2.8935185185185188E-3</v>
      </c>
      <c r="J67" s="17">
        <f t="shared" si="9"/>
        <v>3.472222222222222E-3</v>
      </c>
      <c r="K67" s="18">
        <f t="shared" si="9"/>
        <v>4.340277777777778E-3</v>
      </c>
      <c r="L67" s="18">
        <f t="shared" si="9"/>
        <v>5.7870370370370376E-3</v>
      </c>
      <c r="M67" s="18">
        <f t="shared" si="9"/>
        <v>8.6805555555555559E-3</v>
      </c>
      <c r="N67" s="18">
        <f t="shared" si="9"/>
        <v>1.1574074074074075E-2</v>
      </c>
      <c r="O67" s="19">
        <f t="shared" si="9"/>
        <v>1.4467592592592593E-2</v>
      </c>
      <c r="P67" s="188">
        <f t="shared" si="9"/>
        <v>2.8946759259259255E-2</v>
      </c>
      <c r="Q67" s="219">
        <f t="shared" si="9"/>
        <v>6.1087962962962962E-2</v>
      </c>
      <c r="R67" s="220">
        <f t="shared" si="9"/>
        <v>0.12216435185185186</v>
      </c>
    </row>
    <row r="68" spans="1:18" ht="15" hidden="1" customHeight="1" outlineLevel="1" x14ac:dyDescent="0.25">
      <c r="A68" s="592"/>
      <c r="B68" s="206">
        <f>$B$2*C68</f>
        <v>14.507999999999999</v>
      </c>
      <c r="C68" s="207">
        <v>1.24</v>
      </c>
      <c r="D68" s="17">
        <f t="shared" si="5"/>
        <v>2.7777777777777778E-4</v>
      </c>
      <c r="E68" s="18">
        <f t="shared" si="9"/>
        <v>5.6712962962962956E-4</v>
      </c>
      <c r="F68" s="18">
        <f t="shared" si="9"/>
        <v>8.564814814814815E-4</v>
      </c>
      <c r="G68" s="18">
        <f t="shared" si="9"/>
        <v>1.1458333333333333E-3</v>
      </c>
      <c r="H68" s="19">
        <f t="shared" si="9"/>
        <v>1.4351851851851854E-3</v>
      </c>
      <c r="I68" s="183">
        <f t="shared" si="9"/>
        <v>2.8703703703703708E-3</v>
      </c>
      <c r="J68" s="17">
        <f t="shared" si="9"/>
        <v>3.4375E-3</v>
      </c>
      <c r="K68" s="18">
        <f t="shared" si="9"/>
        <v>4.3055555555555555E-3</v>
      </c>
      <c r="L68" s="18">
        <f t="shared" si="9"/>
        <v>5.7407407407407416E-3</v>
      </c>
      <c r="M68" s="18">
        <f t="shared" si="9"/>
        <v>8.611111111111111E-3</v>
      </c>
      <c r="N68" s="18">
        <f t="shared" si="9"/>
        <v>1.1481481481481483E-2</v>
      </c>
      <c r="O68" s="19">
        <f t="shared" si="9"/>
        <v>1.4351851851851852E-2</v>
      </c>
      <c r="P68" s="188">
        <f t="shared" si="9"/>
        <v>2.8715277777777781E-2</v>
      </c>
      <c r="Q68" s="219">
        <f t="shared" si="9"/>
        <v>6.0590277777777778E-2</v>
      </c>
      <c r="R68" s="220">
        <f t="shared" si="9"/>
        <v>0.12118055555555556</v>
      </c>
    </row>
    <row r="69" spans="1:18" ht="15.75" collapsed="1" thickBot="1" x14ac:dyDescent="0.3">
      <c r="A69" s="593"/>
      <c r="B69" s="208">
        <f>$B$2*C69</f>
        <v>14.625</v>
      </c>
      <c r="C69" s="209">
        <v>1.25</v>
      </c>
      <c r="D69" s="201">
        <f t="shared" si="5"/>
        <v>2.7777777777777778E-4</v>
      </c>
      <c r="E69" s="202">
        <f t="shared" si="9"/>
        <v>5.6712962962962956E-4</v>
      </c>
      <c r="F69" s="202">
        <f t="shared" si="9"/>
        <v>8.4490740740740739E-4</v>
      </c>
      <c r="G69" s="202">
        <f t="shared" si="9"/>
        <v>1.1342592592592591E-3</v>
      </c>
      <c r="H69" s="203">
        <f t="shared" si="9"/>
        <v>1.423611111111111E-3</v>
      </c>
      <c r="I69" s="184">
        <f t="shared" si="9"/>
        <v>2.8472222222222219E-3</v>
      </c>
      <c r="J69" s="201">
        <f t="shared" si="9"/>
        <v>3.414351851851852E-3</v>
      </c>
      <c r="K69" s="202">
        <f t="shared" si="9"/>
        <v>4.2708333333333339E-3</v>
      </c>
      <c r="L69" s="202">
        <f t="shared" si="9"/>
        <v>5.6944444444444438E-3</v>
      </c>
      <c r="M69" s="202">
        <f t="shared" si="9"/>
        <v>8.5416666666666679E-3</v>
      </c>
      <c r="N69" s="202">
        <f t="shared" si="9"/>
        <v>1.1388888888888888E-2</v>
      </c>
      <c r="O69" s="203">
        <f t="shared" si="9"/>
        <v>1.4236111111111111E-2</v>
      </c>
      <c r="P69" s="189">
        <f t="shared" si="9"/>
        <v>2.8483796296296295E-2</v>
      </c>
      <c r="Q69" s="221">
        <f t="shared" si="9"/>
        <v>6.010416666666666E-2</v>
      </c>
      <c r="R69" s="222">
        <f t="shared" si="9"/>
        <v>0.12020833333333332</v>
      </c>
    </row>
    <row r="70" spans="1:18" x14ac:dyDescent="0.25">
      <c r="C70" s="5"/>
    </row>
    <row r="71" spans="1:18" x14ac:dyDescent="0.25">
      <c r="C71" s="5"/>
    </row>
  </sheetData>
  <mergeCells count="10">
    <mergeCell ref="A39:A69"/>
    <mergeCell ref="A4:A14"/>
    <mergeCell ref="A15:A28"/>
    <mergeCell ref="A29:A38"/>
    <mergeCell ref="D1:R1"/>
    <mergeCell ref="D2:H2"/>
    <mergeCell ref="J2:O2"/>
    <mergeCell ref="B2:C2"/>
    <mergeCell ref="B1:C1"/>
    <mergeCell ref="A1:A2"/>
  </mergeCells>
  <hyperlinks>
    <hyperlink ref="J2:O2" r:id="rId1" display="https://www.facebook.com/defilepsie"/>
    <hyperlink ref="J2" r:id="rId2"/>
  </hyperlinks>
  <pageMargins left="0.7" right="0.7" top="0.75" bottom="0.75" header="0.3" footer="0.3"/>
  <pageSetup paperSize="9" orientation="landscape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/>
  <dimension ref="A1:X405"/>
  <sheetViews>
    <sheetView showGridLines="0" tabSelected="1" workbookViewId="0">
      <pane xSplit="2" ySplit="7" topLeftCell="C125" activePane="bottomRight" state="frozen"/>
      <selection sqref="A1:E1"/>
      <selection pane="topRight" sqref="A1:E1"/>
      <selection pane="bottomLeft" sqref="A1:E1"/>
      <selection pane="bottomRight" activeCell="A129" sqref="A129"/>
    </sheetView>
  </sheetViews>
  <sheetFormatPr baseColWidth="10" defaultRowHeight="15" outlineLevelRow="1" x14ac:dyDescent="0.25"/>
  <cols>
    <col min="1" max="1" width="18.7109375" style="576" customWidth="1"/>
    <col min="2" max="2" width="30.7109375" style="576" customWidth="1"/>
    <col min="3" max="3" width="18.7109375" style="576" customWidth="1"/>
    <col min="4" max="4" width="34.85546875" style="576" customWidth="1"/>
    <col min="5" max="5" width="17" style="576" customWidth="1"/>
    <col min="6" max="6" width="21.7109375" style="576" bestFit="1" customWidth="1"/>
    <col min="7" max="7" width="28.5703125" style="576" bestFit="1" customWidth="1"/>
    <col min="8" max="8" width="17.7109375" style="576" customWidth="1"/>
    <col min="9" max="9" width="15.7109375" style="576" customWidth="1"/>
    <col min="10" max="10" width="12.140625" style="576" bestFit="1" customWidth="1"/>
    <col min="11" max="12" width="11.7109375" style="576" customWidth="1"/>
    <col min="13" max="13" width="15" style="576" customWidth="1"/>
    <col min="14" max="14" width="11.7109375" style="576" customWidth="1"/>
    <col min="15" max="15" width="17.42578125" style="576" customWidth="1"/>
    <col min="16" max="16" width="14.7109375" style="576" customWidth="1"/>
    <col min="17" max="17" width="15.85546875" style="576" bestFit="1" customWidth="1"/>
    <col min="18" max="18" width="16" style="576" bestFit="1" customWidth="1"/>
    <col min="19" max="19" width="19.28515625" style="578" bestFit="1" customWidth="1"/>
    <col min="20" max="20" width="18.5703125" style="576" customWidth="1"/>
    <col min="21" max="21" width="16" style="576" bestFit="1" customWidth="1"/>
    <col min="22" max="23" width="11.5703125" style="576" bestFit="1" customWidth="1"/>
    <col min="24" max="24" width="89.5703125" style="576" bestFit="1" customWidth="1"/>
    <col min="25" max="16384" width="11.42578125" style="576"/>
  </cols>
  <sheetData>
    <row r="1" spans="1:24" s="479" customFormat="1" ht="66" customHeight="1" thickBot="1" x14ac:dyDescent="0.25">
      <c r="A1" s="617"/>
      <c r="B1" s="617"/>
      <c r="C1" s="618" t="s">
        <v>62</v>
      </c>
      <c r="D1" s="618"/>
      <c r="F1" s="633" t="s">
        <v>246</v>
      </c>
      <c r="G1" s="633"/>
      <c r="H1" s="633"/>
      <c r="I1" s="633"/>
      <c r="J1" s="633"/>
      <c r="K1" s="633"/>
      <c r="L1" s="633"/>
      <c r="M1" s="634"/>
      <c r="N1" s="531"/>
      <c r="O1" s="532"/>
      <c r="P1" s="532"/>
      <c r="S1" s="533"/>
    </row>
    <row r="2" spans="1:24" s="479" customFormat="1" ht="24" customHeight="1" outlineLevel="1" x14ac:dyDescent="0.25">
      <c r="A2" s="619" t="s">
        <v>248</v>
      </c>
      <c r="B2" s="621">
        <f>SUBTOTAL(103,C8:C399)</f>
        <v>121</v>
      </c>
      <c r="C2" s="631" t="s">
        <v>33</v>
      </c>
      <c r="D2" s="580"/>
      <c r="E2" s="581"/>
      <c r="F2" s="652" t="s">
        <v>31</v>
      </c>
      <c r="G2" s="641" t="s">
        <v>39</v>
      </c>
      <c r="H2" s="654" t="s">
        <v>35</v>
      </c>
      <c r="I2" s="655"/>
      <c r="J2" s="631" t="s">
        <v>36</v>
      </c>
      <c r="K2" s="658"/>
      <c r="L2" s="660" t="s">
        <v>37</v>
      </c>
      <c r="M2" s="661"/>
      <c r="Q2" s="649" t="s">
        <v>34</v>
      </c>
      <c r="R2" s="650"/>
      <c r="S2" s="650"/>
      <c r="T2" s="650"/>
      <c r="U2" s="651"/>
      <c r="V2" s="637" t="s">
        <v>38</v>
      </c>
      <c r="W2" s="638"/>
    </row>
    <row r="3" spans="1:24" s="479" customFormat="1" ht="24" customHeight="1" outlineLevel="1" thickBot="1" x14ac:dyDescent="0.3">
      <c r="A3" s="620"/>
      <c r="B3" s="622"/>
      <c r="C3" s="632"/>
      <c r="D3" s="582"/>
      <c r="E3" s="583"/>
      <c r="F3" s="653"/>
      <c r="G3" s="642"/>
      <c r="H3" s="656"/>
      <c r="I3" s="657"/>
      <c r="J3" s="632"/>
      <c r="K3" s="659"/>
      <c r="L3" s="662"/>
      <c r="M3" s="663"/>
      <c r="Q3" s="487" t="s">
        <v>40</v>
      </c>
      <c r="R3" s="488" t="s">
        <v>41</v>
      </c>
      <c r="S3" s="489" t="s">
        <v>42</v>
      </c>
      <c r="T3" s="490" t="s">
        <v>43</v>
      </c>
      <c r="U3" s="491" t="s">
        <v>44</v>
      </c>
      <c r="V3" s="639"/>
      <c r="W3" s="640"/>
    </row>
    <row r="4" spans="1:24" s="536" customFormat="1" ht="14.25" outlineLevel="1" x14ac:dyDescent="0.25">
      <c r="A4" s="643" t="s">
        <v>45</v>
      </c>
      <c r="B4" s="644"/>
      <c r="C4" s="733">
        <f>SUBTOTAL(9,C8:C405)</f>
        <v>2761.6170000000011</v>
      </c>
      <c r="D4" s="584"/>
      <c r="E4" s="585"/>
      <c r="F4" s="492">
        <f>SUBTOTAL(9,F8:F399)</f>
        <v>6.6207407407407395</v>
      </c>
      <c r="G4" s="493">
        <f>SUBTOTAL(9,G8:G399)</f>
        <v>118742</v>
      </c>
      <c r="H4" s="494"/>
      <c r="I4" s="495"/>
      <c r="J4" s="534"/>
      <c r="K4" s="535"/>
      <c r="L4" s="645">
        <f>SUBTOTAL(9,L8:L399)</f>
        <v>19866</v>
      </c>
      <c r="M4" s="646"/>
      <c r="Q4" s="496">
        <f>SUBTOTAL(9,Q8:Q399)</f>
        <v>0.20231481481481475</v>
      </c>
      <c r="R4" s="497">
        <f>SUBTOTAL(9,R8:R399)</f>
        <v>0.75804398148148144</v>
      </c>
      <c r="S4" s="498">
        <f>SUBTOTAL(9,S8:S399)</f>
        <v>1.6614351851851856</v>
      </c>
      <c r="T4" s="499">
        <f>SUBTOTAL(9,T8:T399)</f>
        <v>3.2454398148148154</v>
      </c>
      <c r="U4" s="500">
        <f>SUBTOTAL(9,U8:U399)</f>
        <v>0.75350694444444444</v>
      </c>
      <c r="V4" s="501"/>
      <c r="W4" s="502"/>
    </row>
    <row r="5" spans="1:24" s="536" customFormat="1" ht="19.5" customHeight="1" outlineLevel="1" x14ac:dyDescent="0.25">
      <c r="A5" s="647" t="s">
        <v>46</v>
      </c>
      <c r="B5" s="648"/>
      <c r="C5" s="579">
        <f t="shared" ref="C5" si="0">SUBTOTAL(1,C8:C399)</f>
        <v>22.823280991735547</v>
      </c>
      <c r="D5" s="586" t="s">
        <v>251</v>
      </c>
      <c r="E5" s="587" t="s">
        <v>251</v>
      </c>
      <c r="F5" s="503">
        <f>SUBTOTAL(1,F8:F399)</f>
        <v>5.6107972379158808E-2</v>
      </c>
      <c r="G5" s="504">
        <f>SUBTOTAL(1,G8:G399)</f>
        <v>989.51666666666665</v>
      </c>
      <c r="H5" s="625">
        <f>SUBTOTAL(1,H8:H399)</f>
        <v>17.775521461693963</v>
      </c>
      <c r="I5" s="626"/>
      <c r="J5" s="627">
        <f>SUBTOTAL(1,$J$8:$J$399)</f>
        <v>4.4945384837962983E-3</v>
      </c>
      <c r="K5" s="628"/>
      <c r="L5" s="629">
        <f>SUBTOTAL(1,L8:L399)</f>
        <v>272.13698630136986</v>
      </c>
      <c r="M5" s="630"/>
      <c r="P5" s="536" t="s">
        <v>251</v>
      </c>
      <c r="Q5" s="505">
        <f t="shared" ref="Q5:V5" si="1">SUBTOTAL(1,Q8:Q399)</f>
        <v>1.7145323289391081E-3</v>
      </c>
      <c r="R5" s="506">
        <f t="shared" si="1"/>
        <v>6.4241015379786562E-3</v>
      </c>
      <c r="S5" s="507">
        <f t="shared" si="1"/>
        <v>1.4079959196484623E-2</v>
      </c>
      <c r="T5" s="508">
        <f t="shared" si="1"/>
        <v>2.7503727244193352E-2</v>
      </c>
      <c r="U5" s="509">
        <f t="shared" si="1"/>
        <v>6.3856520715630883E-3</v>
      </c>
      <c r="V5" s="635">
        <f t="shared" si="1"/>
        <v>142.82188034188033</v>
      </c>
      <c r="W5" s="636"/>
    </row>
    <row r="6" spans="1:24" s="536" customFormat="1" ht="19.5" customHeight="1" outlineLevel="1" thickBot="1" x14ac:dyDescent="0.3">
      <c r="A6" s="623" t="s">
        <v>47</v>
      </c>
      <c r="B6" s="624"/>
      <c r="C6" s="579">
        <f t="shared" ref="C6" si="2">SUBTOTAL(4,C8:C399)</f>
        <v>120.4</v>
      </c>
      <c r="D6" s="586"/>
      <c r="E6" s="587"/>
      <c r="F6" s="503">
        <f>SUBTOTAL(4,F8:F399)</f>
        <v>0.20657407407407408</v>
      </c>
      <c r="G6" s="504">
        <f>SUBTOTAL(4,G8:G399)</f>
        <v>3763</v>
      </c>
      <c r="H6" s="625">
        <f>SUBTOTAL(4,I8:I399)</f>
        <v>60.7</v>
      </c>
      <c r="I6" s="626"/>
      <c r="J6" s="627">
        <f>SUBTOTAL(5,$J$8:$J$399)</f>
        <v>1.3310185185185185E-3</v>
      </c>
      <c r="K6" s="628"/>
      <c r="L6" s="629">
        <f>SUBTOTAL(4,L8:L399)</f>
        <v>1374</v>
      </c>
      <c r="M6" s="630"/>
      <c r="Q6" s="505">
        <f>SUBTOTAL(4,Q8:Q399)</f>
        <v>4.20949074074074E-2</v>
      </c>
      <c r="R6" s="506">
        <f>SUBTOTAL(4,R8:R399)</f>
        <v>3.740740740740741E-2</v>
      </c>
      <c r="S6" s="507">
        <f>SUBTOTAL(4,S8:S399)</f>
        <v>5.9699074074074071E-2</v>
      </c>
      <c r="T6" s="508">
        <f>SUBTOTAL(4,T8:T399)</f>
        <v>0.13422453703703704</v>
      </c>
      <c r="U6" s="509">
        <f>SUBTOTAL(4,U8:U399)</f>
        <v>5.7534722222222223E-2</v>
      </c>
      <c r="V6" s="635">
        <f>SUBTOTAL(4,W8:W399)</f>
        <v>176</v>
      </c>
      <c r="W6" s="636"/>
    </row>
    <row r="7" spans="1:24" s="486" customFormat="1" ht="43.5" thickBot="1" x14ac:dyDescent="0.3">
      <c r="A7" s="529" t="s">
        <v>48</v>
      </c>
      <c r="B7" s="530" t="s">
        <v>30</v>
      </c>
      <c r="C7" s="510" t="s">
        <v>222</v>
      </c>
      <c r="D7" s="511" t="s">
        <v>181</v>
      </c>
      <c r="E7" s="511" t="s">
        <v>242</v>
      </c>
      <c r="F7" s="512" t="s">
        <v>221</v>
      </c>
      <c r="G7" s="513" t="s">
        <v>55</v>
      </c>
      <c r="H7" s="514" t="s">
        <v>49</v>
      </c>
      <c r="I7" s="515" t="s">
        <v>50</v>
      </c>
      <c r="J7" s="516" t="s">
        <v>51</v>
      </c>
      <c r="K7" s="517" t="s">
        <v>52</v>
      </c>
      <c r="L7" s="518" t="s">
        <v>37</v>
      </c>
      <c r="M7" s="519" t="s">
        <v>130</v>
      </c>
      <c r="N7" s="520" t="s">
        <v>243</v>
      </c>
      <c r="O7" s="520" t="s">
        <v>244</v>
      </c>
      <c r="P7" s="520" t="s">
        <v>185</v>
      </c>
      <c r="Q7" s="521" t="s">
        <v>40</v>
      </c>
      <c r="R7" s="522" t="s">
        <v>41</v>
      </c>
      <c r="S7" s="523" t="s">
        <v>42</v>
      </c>
      <c r="T7" s="524" t="s">
        <v>43</v>
      </c>
      <c r="U7" s="525" t="s">
        <v>44</v>
      </c>
      <c r="V7" s="526" t="s">
        <v>53</v>
      </c>
      <c r="W7" s="527" t="s">
        <v>54</v>
      </c>
      <c r="X7" s="528" t="s">
        <v>220</v>
      </c>
    </row>
    <row r="8" spans="1:24" s="554" customFormat="1" ht="15.95" customHeight="1" thickTop="1" thickBot="1" x14ac:dyDescent="0.3">
      <c r="A8" s="449" t="s">
        <v>96</v>
      </c>
      <c r="B8" s="450">
        <v>43836</v>
      </c>
      <c r="C8" s="537">
        <v>60.76</v>
      </c>
      <c r="D8" s="538"/>
      <c r="E8" s="538"/>
      <c r="F8" s="539">
        <f t="shared" ref="F8:F71" si="3">IF(SUM(Q8:U8)=0,"",SUM(Q8:U8))</f>
        <v>0.11673611111111111</v>
      </c>
      <c r="G8" s="540">
        <v>1806</v>
      </c>
      <c r="H8" s="541">
        <f t="shared" ref="H8:H71" si="4">IF(F8&lt;&gt;"",C8/F8/24,"")</f>
        <v>21.687091017251635</v>
      </c>
      <c r="I8" s="542">
        <v>46.8</v>
      </c>
      <c r="J8" s="543"/>
      <c r="K8" s="543"/>
      <c r="L8" s="544">
        <v>640</v>
      </c>
      <c r="M8" s="545">
        <f t="shared" ref="M8:M71" si="5">IF(OR(C8="",L8=""),"",L8/C8)</f>
        <v>10.533245556287032</v>
      </c>
      <c r="N8" s="546"/>
      <c r="O8" s="546"/>
      <c r="P8" s="546"/>
      <c r="Q8" s="547">
        <v>9.2592592592592588E-5</v>
      </c>
      <c r="R8" s="548">
        <v>9.0624999999999994E-3</v>
      </c>
      <c r="S8" s="549">
        <v>3.9432870370370368E-2</v>
      </c>
      <c r="T8" s="550">
        <v>5.5995370370370369E-2</v>
      </c>
      <c r="U8" s="551">
        <v>1.2152777777777778E-2</v>
      </c>
      <c r="V8" s="552">
        <v>144</v>
      </c>
      <c r="W8" s="552">
        <v>168</v>
      </c>
      <c r="X8" s="553"/>
    </row>
    <row r="9" spans="1:24" s="554" customFormat="1" ht="15.95" customHeight="1" thickBot="1" x14ac:dyDescent="0.3">
      <c r="A9" s="451" t="s">
        <v>96</v>
      </c>
      <c r="B9" s="452">
        <v>43837</v>
      </c>
      <c r="C9" s="555">
        <v>2.4</v>
      </c>
      <c r="D9" s="556"/>
      <c r="E9" s="556"/>
      <c r="F9" s="557">
        <f t="shared" si="3"/>
        <v>3.7905092592592594E-2</v>
      </c>
      <c r="G9" s="558">
        <v>362</v>
      </c>
      <c r="H9" s="559">
        <f t="shared" si="4"/>
        <v>2.6381679389312978</v>
      </c>
      <c r="I9" s="560">
        <v>59.4</v>
      </c>
      <c r="J9" s="561"/>
      <c r="K9" s="561"/>
      <c r="L9" s="562">
        <v>297</v>
      </c>
      <c r="M9" s="563">
        <f t="shared" si="5"/>
        <v>123.75</v>
      </c>
      <c r="N9" s="564"/>
      <c r="O9" s="564"/>
      <c r="P9" s="564"/>
      <c r="Q9" s="565">
        <v>5.0115740740740737E-3</v>
      </c>
      <c r="R9" s="566">
        <v>3.2893518518518523E-2</v>
      </c>
      <c r="S9" s="567">
        <v>0</v>
      </c>
      <c r="T9" s="568">
        <v>0</v>
      </c>
      <c r="U9" s="569">
        <v>0</v>
      </c>
      <c r="V9" s="570">
        <v>153</v>
      </c>
      <c r="W9" s="570">
        <v>168</v>
      </c>
      <c r="X9" s="571" t="s">
        <v>98</v>
      </c>
    </row>
    <row r="10" spans="1:24" s="554" customFormat="1" ht="15.95" customHeight="1" thickBot="1" x14ac:dyDescent="0.3">
      <c r="A10" s="451" t="s">
        <v>56</v>
      </c>
      <c r="B10" s="452">
        <v>43839</v>
      </c>
      <c r="C10" s="555">
        <v>33.96</v>
      </c>
      <c r="D10" s="556"/>
      <c r="E10" s="556"/>
      <c r="F10" s="557">
        <f t="shared" si="3"/>
        <v>5.962962962962963E-2</v>
      </c>
      <c r="G10" s="558">
        <v>1146</v>
      </c>
      <c r="H10" s="559">
        <f t="shared" si="4"/>
        <v>23.729813664596275</v>
      </c>
      <c r="I10" s="560">
        <v>56.7</v>
      </c>
      <c r="J10" s="561"/>
      <c r="K10" s="561"/>
      <c r="L10" s="562">
        <v>270</v>
      </c>
      <c r="M10" s="563">
        <f t="shared" si="5"/>
        <v>7.9505300353356887</v>
      </c>
      <c r="N10" s="564"/>
      <c r="O10" s="564"/>
      <c r="P10" s="564"/>
      <c r="Q10" s="565">
        <v>4.7453703703703704E-4</v>
      </c>
      <c r="R10" s="566">
        <v>1.6319444444444445E-3</v>
      </c>
      <c r="S10" s="567">
        <v>5.2546296296296299E-3</v>
      </c>
      <c r="T10" s="568">
        <v>3.6400462962962961E-2</v>
      </c>
      <c r="U10" s="569">
        <v>1.5868055555555555E-2</v>
      </c>
      <c r="V10" s="570">
        <v>147</v>
      </c>
      <c r="W10" s="570">
        <v>168</v>
      </c>
      <c r="X10" s="571"/>
    </row>
    <row r="11" spans="1:24" s="554" customFormat="1" ht="15.95" customHeight="1" thickBot="1" x14ac:dyDescent="0.3">
      <c r="A11" s="451" t="s">
        <v>97</v>
      </c>
      <c r="B11" s="452">
        <v>43839</v>
      </c>
      <c r="C11" s="555">
        <v>2.85</v>
      </c>
      <c r="D11" s="556"/>
      <c r="E11" s="556"/>
      <c r="F11" s="557">
        <f t="shared" si="3"/>
        <v>4.7337962962962971E-2</v>
      </c>
      <c r="G11" s="558">
        <v>481</v>
      </c>
      <c r="H11" s="559">
        <f t="shared" si="4"/>
        <v>2.5085574572127136</v>
      </c>
      <c r="I11" s="560">
        <v>13.1</v>
      </c>
      <c r="J11" s="561">
        <v>4.409722222222222E-3</v>
      </c>
      <c r="K11" s="561">
        <v>3.1828703703703702E-3</v>
      </c>
      <c r="L11" s="572">
        <v>3</v>
      </c>
      <c r="M11" s="563">
        <f t="shared" si="5"/>
        <v>1.0526315789473684</v>
      </c>
      <c r="N11" s="564"/>
      <c r="O11" s="564"/>
      <c r="P11" s="564"/>
      <c r="Q11" s="573">
        <v>2.685185185185185E-3</v>
      </c>
      <c r="R11" s="566">
        <v>3.4687500000000003E-2</v>
      </c>
      <c r="S11" s="567">
        <v>9.9652777777777778E-3</v>
      </c>
      <c r="T11" s="568">
        <v>0</v>
      </c>
      <c r="U11" s="569">
        <v>0</v>
      </c>
      <c r="V11" s="570">
        <v>144</v>
      </c>
      <c r="W11" s="570">
        <v>171</v>
      </c>
      <c r="X11" s="571" t="s">
        <v>98</v>
      </c>
    </row>
    <row r="12" spans="1:24" s="554" customFormat="1" ht="15.95" customHeight="1" thickBot="1" x14ac:dyDescent="0.3">
      <c r="A12" s="451" t="s">
        <v>56</v>
      </c>
      <c r="B12" s="452">
        <v>43842</v>
      </c>
      <c r="C12" s="555">
        <v>19.53</v>
      </c>
      <c r="D12" s="556"/>
      <c r="E12" s="556"/>
      <c r="F12" s="557">
        <f t="shared" si="3"/>
        <v>8.3912037037037035E-2</v>
      </c>
      <c r="G12" s="558">
        <v>1346</v>
      </c>
      <c r="H12" s="559">
        <f t="shared" si="4"/>
        <v>9.6976551724137945</v>
      </c>
      <c r="I12" s="560">
        <v>60.7</v>
      </c>
      <c r="J12" s="561"/>
      <c r="K12" s="561"/>
      <c r="L12" s="562">
        <v>673</v>
      </c>
      <c r="M12" s="563">
        <f t="shared" si="5"/>
        <v>34.459805427547359</v>
      </c>
      <c r="N12" s="564"/>
      <c r="O12" s="564"/>
      <c r="P12" s="564"/>
      <c r="Q12" s="565">
        <v>2.3958333333333336E-3</v>
      </c>
      <c r="R12" s="566">
        <v>1.1666666666666667E-2</v>
      </c>
      <c r="S12" s="567">
        <v>1.3402777777777777E-2</v>
      </c>
      <c r="T12" s="568">
        <v>3.9016203703703699E-2</v>
      </c>
      <c r="U12" s="569">
        <v>1.7430555555555557E-2</v>
      </c>
      <c r="V12" s="570">
        <v>144</v>
      </c>
      <c r="W12" s="570">
        <v>174</v>
      </c>
      <c r="X12" s="571"/>
    </row>
    <row r="13" spans="1:24" s="554" customFormat="1" ht="15.95" customHeight="1" thickBot="1" x14ac:dyDescent="0.3">
      <c r="A13" s="453" t="s">
        <v>57</v>
      </c>
      <c r="B13" s="452">
        <v>43843</v>
      </c>
      <c r="C13" s="555">
        <v>1.63</v>
      </c>
      <c r="D13" s="556"/>
      <c r="E13" s="556"/>
      <c r="F13" s="557">
        <f t="shared" si="3"/>
        <v>3.1516203703703706E-2</v>
      </c>
      <c r="G13" s="558">
        <v>610</v>
      </c>
      <c r="H13" s="559">
        <f t="shared" si="4"/>
        <v>2.1549761292691882</v>
      </c>
      <c r="I13" s="560">
        <v>15.8</v>
      </c>
      <c r="J13" s="561">
        <v>4.4675925925925933E-3</v>
      </c>
      <c r="K13" s="561">
        <v>2.6388888888888885E-3</v>
      </c>
      <c r="L13" s="572">
        <v>17</v>
      </c>
      <c r="M13" s="563">
        <f t="shared" si="5"/>
        <v>10.429447852760736</v>
      </c>
      <c r="N13" s="564"/>
      <c r="O13" s="564"/>
      <c r="P13" s="564"/>
      <c r="Q13" s="573">
        <v>2.3148148148148146E-4</v>
      </c>
      <c r="R13" s="566">
        <v>1.0069444444444444E-3</v>
      </c>
      <c r="S13" s="567">
        <v>2.673611111111111E-3</v>
      </c>
      <c r="T13" s="568">
        <v>1.712962962962963E-2</v>
      </c>
      <c r="U13" s="569">
        <v>1.0474537037037037E-2</v>
      </c>
      <c r="V13" s="570">
        <v>153</v>
      </c>
      <c r="W13" s="570">
        <v>175</v>
      </c>
      <c r="X13" s="571" t="s">
        <v>58</v>
      </c>
    </row>
    <row r="14" spans="1:24" s="554" customFormat="1" ht="15.95" customHeight="1" thickBot="1" x14ac:dyDescent="0.3">
      <c r="A14" s="451" t="s">
        <v>96</v>
      </c>
      <c r="B14" s="452">
        <v>43844</v>
      </c>
      <c r="C14" s="555">
        <v>2.7</v>
      </c>
      <c r="D14" s="556"/>
      <c r="E14" s="556"/>
      <c r="F14" s="557">
        <f t="shared" si="3"/>
        <v>4.5000000000000005E-2</v>
      </c>
      <c r="G14" s="558">
        <v>1871</v>
      </c>
      <c r="H14" s="559">
        <f t="shared" si="4"/>
        <v>2.5</v>
      </c>
      <c r="I14" s="560">
        <v>51.6</v>
      </c>
      <c r="J14" s="561"/>
      <c r="K14" s="561"/>
      <c r="L14" s="562">
        <v>651</v>
      </c>
      <c r="M14" s="563">
        <f t="shared" si="5"/>
        <v>241.11111111111109</v>
      </c>
      <c r="N14" s="564"/>
      <c r="O14" s="564"/>
      <c r="P14" s="564"/>
      <c r="Q14" s="565">
        <v>0</v>
      </c>
      <c r="R14" s="566">
        <v>0</v>
      </c>
      <c r="S14" s="567">
        <v>4.5000000000000005E-2</v>
      </c>
      <c r="T14" s="568">
        <v>0</v>
      </c>
      <c r="U14" s="569">
        <v>0</v>
      </c>
      <c r="V14" s="570">
        <v>141</v>
      </c>
      <c r="W14" s="570">
        <v>167</v>
      </c>
      <c r="X14" s="571" t="s">
        <v>98</v>
      </c>
    </row>
    <row r="15" spans="1:24" s="554" customFormat="1" ht="15.95" customHeight="1" thickBot="1" x14ac:dyDescent="0.3">
      <c r="A15" s="451" t="s">
        <v>56</v>
      </c>
      <c r="B15" s="452">
        <v>43846</v>
      </c>
      <c r="C15" s="555">
        <v>34.299999999999997</v>
      </c>
      <c r="D15" s="556"/>
      <c r="E15" s="556"/>
      <c r="F15" s="557">
        <f t="shared" si="3"/>
        <v>0.12582175925925926</v>
      </c>
      <c r="G15" s="558">
        <v>2368</v>
      </c>
      <c r="H15" s="559">
        <f t="shared" si="4"/>
        <v>11.358660656793303</v>
      </c>
      <c r="I15" s="560">
        <v>55.4</v>
      </c>
      <c r="J15" s="561"/>
      <c r="K15" s="561"/>
      <c r="L15" s="562">
        <v>781</v>
      </c>
      <c r="M15" s="563">
        <f t="shared" si="5"/>
        <v>22.769679300291546</v>
      </c>
      <c r="N15" s="564"/>
      <c r="O15" s="564"/>
      <c r="P15" s="564"/>
      <c r="Q15" s="565">
        <v>5.7870370370370366E-5</v>
      </c>
      <c r="R15" s="566">
        <v>3.2291666666666666E-3</v>
      </c>
      <c r="S15" s="567">
        <v>1.4490740740740742E-2</v>
      </c>
      <c r="T15" s="568">
        <v>5.0509259259259254E-2</v>
      </c>
      <c r="U15" s="569">
        <v>5.7534722222222223E-2</v>
      </c>
      <c r="V15" s="570">
        <v>155</v>
      </c>
      <c r="W15" s="570">
        <v>174</v>
      </c>
      <c r="X15" s="571"/>
    </row>
    <row r="16" spans="1:24" s="554" customFormat="1" ht="15.95" customHeight="1" thickBot="1" x14ac:dyDescent="0.3">
      <c r="A16" s="453" t="s">
        <v>57</v>
      </c>
      <c r="B16" s="452">
        <v>43850</v>
      </c>
      <c r="C16" s="555">
        <v>6.99</v>
      </c>
      <c r="D16" s="556"/>
      <c r="E16" s="556"/>
      <c r="F16" s="557">
        <f t="shared" si="3"/>
        <v>0.17633101851851851</v>
      </c>
      <c r="G16" s="558">
        <v>2865</v>
      </c>
      <c r="H16" s="559">
        <f t="shared" si="4"/>
        <v>1.6517230062356418</v>
      </c>
      <c r="I16" s="560">
        <v>57</v>
      </c>
      <c r="J16" s="561"/>
      <c r="K16" s="561"/>
      <c r="L16" s="562">
        <v>1187</v>
      </c>
      <c r="M16" s="563">
        <f t="shared" si="5"/>
        <v>169.8140200286123</v>
      </c>
      <c r="N16" s="564"/>
      <c r="O16" s="564"/>
      <c r="P16" s="564"/>
      <c r="Q16" s="565">
        <v>1.2962962962962963E-3</v>
      </c>
      <c r="R16" s="566">
        <v>1.8275462962962962E-2</v>
      </c>
      <c r="S16" s="567">
        <v>2.7916666666666669E-2</v>
      </c>
      <c r="T16" s="568">
        <v>7.1388888888888891E-2</v>
      </c>
      <c r="U16" s="569">
        <v>5.7453703703703701E-2</v>
      </c>
      <c r="V16" s="570">
        <v>149</v>
      </c>
      <c r="W16" s="570">
        <v>170</v>
      </c>
      <c r="X16" s="571" t="s">
        <v>58</v>
      </c>
    </row>
    <row r="17" spans="1:24" s="554" customFormat="1" ht="15.95" customHeight="1" thickBot="1" x14ac:dyDescent="0.3">
      <c r="A17" s="451" t="s">
        <v>96</v>
      </c>
      <c r="B17" s="452">
        <v>43851</v>
      </c>
      <c r="C17" s="555">
        <v>3.2</v>
      </c>
      <c r="D17" s="556"/>
      <c r="E17" s="556"/>
      <c r="F17" s="557">
        <f t="shared" si="3"/>
        <v>0.20657407407407408</v>
      </c>
      <c r="G17" s="558">
        <v>1229</v>
      </c>
      <c r="H17" s="559">
        <f t="shared" si="4"/>
        <v>0.64545047064096817</v>
      </c>
      <c r="I17" s="560">
        <v>48.3</v>
      </c>
      <c r="J17" s="561"/>
      <c r="K17" s="561"/>
      <c r="L17" s="562">
        <v>837</v>
      </c>
      <c r="M17" s="563">
        <f t="shared" si="5"/>
        <v>261.5625</v>
      </c>
      <c r="N17" s="564"/>
      <c r="O17" s="564"/>
      <c r="P17" s="564"/>
      <c r="Q17" s="565">
        <v>3.3564814814814812E-4</v>
      </c>
      <c r="R17" s="566">
        <v>7.6736111111111111E-3</v>
      </c>
      <c r="S17" s="567">
        <v>2.8113425925925927E-2</v>
      </c>
      <c r="T17" s="568">
        <v>0.13422453703703704</v>
      </c>
      <c r="U17" s="569">
        <v>3.622685185185185E-2</v>
      </c>
      <c r="V17" s="570">
        <v>150</v>
      </c>
      <c r="W17" s="570">
        <v>171</v>
      </c>
      <c r="X17" s="571" t="s">
        <v>98</v>
      </c>
    </row>
    <row r="18" spans="1:24" s="554" customFormat="1" ht="15.95" customHeight="1" thickBot="1" x14ac:dyDescent="0.3">
      <c r="A18" s="451" t="s">
        <v>96</v>
      </c>
      <c r="B18" s="452">
        <v>43853</v>
      </c>
      <c r="C18" s="555">
        <v>2.2000000000000002</v>
      </c>
      <c r="D18" s="556"/>
      <c r="E18" s="556"/>
      <c r="F18" s="557">
        <f t="shared" si="3"/>
        <v>3.3148148148148149E-2</v>
      </c>
      <c r="G18" s="558">
        <v>619</v>
      </c>
      <c r="H18" s="559">
        <f t="shared" si="4"/>
        <v>2.7653631284916202</v>
      </c>
      <c r="I18" s="560">
        <v>13.2</v>
      </c>
      <c r="J18" s="561">
        <v>5.5439814814814822E-3</v>
      </c>
      <c r="K18" s="561">
        <v>3.1597222222222222E-3</v>
      </c>
      <c r="L18" s="572">
        <v>55</v>
      </c>
      <c r="M18" s="563">
        <f t="shared" si="5"/>
        <v>24.999999999999996</v>
      </c>
      <c r="N18" s="564"/>
      <c r="O18" s="564"/>
      <c r="P18" s="564"/>
      <c r="Q18" s="573">
        <v>2.5462962962962961E-4</v>
      </c>
      <c r="R18" s="566">
        <v>2.0370370370370373E-3</v>
      </c>
      <c r="S18" s="567">
        <v>2.9398148148148148E-3</v>
      </c>
      <c r="T18" s="568">
        <v>1.9942129629629629E-2</v>
      </c>
      <c r="U18" s="569">
        <v>7.9745370370370369E-3</v>
      </c>
      <c r="V18" s="570">
        <v>149</v>
      </c>
      <c r="W18" s="570">
        <v>166</v>
      </c>
      <c r="X18" s="571" t="s">
        <v>98</v>
      </c>
    </row>
    <row r="19" spans="1:24" s="554" customFormat="1" ht="15.95" customHeight="1" thickBot="1" x14ac:dyDescent="0.3">
      <c r="A19" s="451" t="s">
        <v>56</v>
      </c>
      <c r="B19" s="452">
        <v>43856</v>
      </c>
      <c r="C19" s="555">
        <v>68.650000000000006</v>
      </c>
      <c r="D19" s="556"/>
      <c r="E19" s="556"/>
      <c r="F19" s="557">
        <f t="shared" si="3"/>
        <v>0.12849537037037037</v>
      </c>
      <c r="G19" s="558">
        <v>769</v>
      </c>
      <c r="H19" s="559">
        <f t="shared" si="4"/>
        <v>22.260853900198168</v>
      </c>
      <c r="I19" s="560">
        <v>18</v>
      </c>
      <c r="J19" s="561">
        <v>5.5208333333333333E-3</v>
      </c>
      <c r="K19" s="561">
        <v>2.3148148148148151E-3</v>
      </c>
      <c r="L19" s="572">
        <v>7</v>
      </c>
      <c r="M19" s="563">
        <f t="shared" si="5"/>
        <v>0.10196649672250545</v>
      </c>
      <c r="N19" s="564"/>
      <c r="O19" s="564"/>
      <c r="P19" s="564"/>
      <c r="Q19" s="573">
        <v>1.1458333333333333E-3</v>
      </c>
      <c r="R19" s="566">
        <v>1.0856481481481481E-2</v>
      </c>
      <c r="S19" s="567">
        <v>5.1099537037037041E-2</v>
      </c>
      <c r="T19" s="568">
        <v>5.8055555555555555E-2</v>
      </c>
      <c r="U19" s="569">
        <v>7.3379629629629628E-3</v>
      </c>
      <c r="V19" s="570">
        <v>148</v>
      </c>
      <c r="W19" s="570">
        <v>174</v>
      </c>
      <c r="X19" s="571"/>
    </row>
    <row r="20" spans="1:24" s="554" customFormat="1" ht="15.95" customHeight="1" thickBot="1" x14ac:dyDescent="0.3">
      <c r="A20" s="451" t="s">
        <v>56</v>
      </c>
      <c r="B20" s="452">
        <v>43863</v>
      </c>
      <c r="C20" s="555">
        <v>65.37</v>
      </c>
      <c r="D20" s="556"/>
      <c r="E20" s="556"/>
      <c r="F20" s="557">
        <f t="shared" si="3"/>
        <v>0.12508101851851852</v>
      </c>
      <c r="G20" s="558">
        <v>2064</v>
      </c>
      <c r="H20" s="559">
        <f t="shared" si="4"/>
        <v>21.775885999814935</v>
      </c>
      <c r="I20" s="560">
        <v>53</v>
      </c>
      <c r="J20" s="561"/>
      <c r="K20" s="561"/>
      <c r="L20" s="562">
        <v>795</v>
      </c>
      <c r="M20" s="563">
        <f t="shared" si="5"/>
        <v>12.161541991739329</v>
      </c>
      <c r="N20" s="564"/>
      <c r="O20" s="564"/>
      <c r="P20" s="564"/>
      <c r="Q20" s="565">
        <v>4.7453703703703704E-4</v>
      </c>
      <c r="R20" s="566">
        <v>7.7314814814814815E-3</v>
      </c>
      <c r="S20" s="567">
        <v>2.7164351851851853E-2</v>
      </c>
      <c r="T20" s="568">
        <v>8.4444444444444447E-2</v>
      </c>
      <c r="U20" s="569">
        <v>5.2662037037037035E-3</v>
      </c>
      <c r="V20" s="570">
        <v>146</v>
      </c>
      <c r="W20" s="570">
        <v>163</v>
      </c>
      <c r="X20" s="571"/>
    </row>
    <row r="21" spans="1:24" s="554" customFormat="1" ht="15.95" customHeight="1" thickBot="1" x14ac:dyDescent="0.3">
      <c r="A21" s="451" t="s">
        <v>56</v>
      </c>
      <c r="B21" s="452">
        <v>43867</v>
      </c>
      <c r="C21" s="555">
        <v>77.400000000000006</v>
      </c>
      <c r="D21" s="556"/>
      <c r="E21" s="556"/>
      <c r="F21" s="557">
        <f t="shared" si="3"/>
        <v>4.9155092592592591E-2</v>
      </c>
      <c r="G21" s="558">
        <v>826</v>
      </c>
      <c r="H21" s="559">
        <f t="shared" si="4"/>
        <v>65.60866493995762</v>
      </c>
      <c r="I21" s="560">
        <v>14.8</v>
      </c>
      <c r="J21" s="561">
        <v>6.053240740740741E-3</v>
      </c>
      <c r="K21" s="561">
        <v>2.8240740740740739E-3</v>
      </c>
      <c r="L21" s="572">
        <v>38</v>
      </c>
      <c r="M21" s="563">
        <f t="shared" si="5"/>
        <v>0.49095607235142114</v>
      </c>
      <c r="N21" s="564"/>
      <c r="O21" s="564"/>
      <c r="P21" s="564"/>
      <c r="Q21" s="573">
        <v>1.5046296296296297E-4</v>
      </c>
      <c r="R21" s="566">
        <v>5.5902777777777782E-3</v>
      </c>
      <c r="S21" s="567">
        <v>8.0092592592592594E-3</v>
      </c>
      <c r="T21" s="568">
        <v>2.4988425925925928E-2</v>
      </c>
      <c r="U21" s="569">
        <v>1.0416666666666666E-2</v>
      </c>
      <c r="V21" s="570">
        <v>146</v>
      </c>
      <c r="W21" s="570">
        <v>169</v>
      </c>
      <c r="X21" s="571"/>
    </row>
    <row r="22" spans="1:24" s="554" customFormat="1" ht="15.95" customHeight="1" thickBot="1" x14ac:dyDescent="0.3">
      <c r="A22" s="451" t="s">
        <v>56</v>
      </c>
      <c r="B22" s="452">
        <v>43870</v>
      </c>
      <c r="C22" s="555">
        <v>120.4</v>
      </c>
      <c r="D22" s="556"/>
      <c r="E22" s="556"/>
      <c r="F22" s="557">
        <f t="shared" si="3"/>
        <v>0.1292939814814815</v>
      </c>
      <c r="G22" s="558">
        <v>3763</v>
      </c>
      <c r="H22" s="559">
        <f t="shared" si="4"/>
        <v>38.800465491003486</v>
      </c>
      <c r="I22" s="560">
        <v>60.6</v>
      </c>
      <c r="J22" s="561"/>
      <c r="K22" s="561"/>
      <c r="L22" s="562">
        <v>892</v>
      </c>
      <c r="M22" s="563">
        <f t="shared" si="5"/>
        <v>7.4086378737541523</v>
      </c>
      <c r="N22" s="564"/>
      <c r="O22" s="564"/>
      <c r="P22" s="564"/>
      <c r="Q22" s="565">
        <v>6.9444444444444447E-4</v>
      </c>
      <c r="R22" s="566">
        <v>8.3333333333333332E-3</v>
      </c>
      <c r="S22" s="567">
        <v>2.7777777777777776E-2</v>
      </c>
      <c r="T22" s="568">
        <v>8.6111111111111124E-2</v>
      </c>
      <c r="U22" s="569">
        <v>6.3773148148148148E-3</v>
      </c>
      <c r="V22" s="570"/>
      <c r="W22" s="570"/>
      <c r="X22" s="571"/>
    </row>
    <row r="23" spans="1:24" s="554" customFormat="1" ht="15.95" customHeight="1" thickBot="1" x14ac:dyDescent="0.3">
      <c r="A23" s="453" t="s">
        <v>57</v>
      </c>
      <c r="B23" s="452">
        <v>43871</v>
      </c>
      <c r="C23" s="555">
        <v>5.99</v>
      </c>
      <c r="D23" s="556"/>
      <c r="E23" s="556"/>
      <c r="F23" s="557">
        <f t="shared" si="3"/>
        <v>4.5277777777777778E-2</v>
      </c>
      <c r="G23" s="558">
        <v>835</v>
      </c>
      <c r="H23" s="559">
        <f t="shared" si="4"/>
        <v>5.5122699386503067</v>
      </c>
      <c r="I23" s="560">
        <v>21.8</v>
      </c>
      <c r="J23" s="561">
        <v>5.7175925925925927E-3</v>
      </c>
      <c r="K23" s="561">
        <v>1.9097222222222222E-3</v>
      </c>
      <c r="L23" s="572">
        <v>16</v>
      </c>
      <c r="M23" s="563">
        <f t="shared" si="5"/>
        <v>2.671118530884808</v>
      </c>
      <c r="N23" s="564"/>
      <c r="O23" s="564"/>
      <c r="P23" s="564"/>
      <c r="Q23" s="573">
        <v>1.0416666666666667E-4</v>
      </c>
      <c r="R23" s="566">
        <v>3.645833333333333E-3</v>
      </c>
      <c r="S23" s="567">
        <v>1.0162037037037037E-2</v>
      </c>
      <c r="T23" s="568">
        <v>2.3460648148148147E-2</v>
      </c>
      <c r="U23" s="569">
        <v>7.905092592592592E-3</v>
      </c>
      <c r="V23" s="570">
        <v>146</v>
      </c>
      <c r="W23" s="570">
        <v>170</v>
      </c>
      <c r="X23" s="571" t="s">
        <v>58</v>
      </c>
    </row>
    <row r="24" spans="1:24" s="554" customFormat="1" ht="15.95" customHeight="1" thickBot="1" x14ac:dyDescent="0.3">
      <c r="A24" s="453" t="s">
        <v>57</v>
      </c>
      <c r="B24" s="452">
        <v>43875</v>
      </c>
      <c r="C24" s="555">
        <v>7.59</v>
      </c>
      <c r="D24" s="556"/>
      <c r="E24" s="556"/>
      <c r="F24" s="557">
        <f t="shared" si="3"/>
        <v>0.1728703703703704</v>
      </c>
      <c r="G24" s="558">
        <v>2824</v>
      </c>
      <c r="H24" s="559">
        <f t="shared" si="4"/>
        <v>1.8294054633101229</v>
      </c>
      <c r="I24" s="560">
        <v>56.5</v>
      </c>
      <c r="J24" s="561"/>
      <c r="K24" s="561"/>
      <c r="L24" s="562">
        <v>1374</v>
      </c>
      <c r="M24" s="563">
        <f t="shared" si="5"/>
        <v>181.02766798418972</v>
      </c>
      <c r="N24" s="564"/>
      <c r="O24" s="564"/>
      <c r="P24" s="564"/>
      <c r="Q24" s="565">
        <v>1.5624999999999999E-3</v>
      </c>
      <c r="R24" s="566">
        <v>1.954861111111111E-2</v>
      </c>
      <c r="S24" s="567">
        <v>2.6724537037037036E-2</v>
      </c>
      <c r="T24" s="568">
        <v>0.12197916666666668</v>
      </c>
      <c r="U24" s="569">
        <v>3.0555555555555557E-3</v>
      </c>
      <c r="V24" s="570">
        <v>144</v>
      </c>
      <c r="W24" s="570">
        <v>163</v>
      </c>
      <c r="X24" s="571" t="s">
        <v>59</v>
      </c>
    </row>
    <row r="25" spans="1:24" s="554" customFormat="1" ht="15.95" customHeight="1" thickBot="1" x14ac:dyDescent="0.3">
      <c r="A25" s="451" t="s">
        <v>56</v>
      </c>
      <c r="B25" s="452">
        <v>43877</v>
      </c>
      <c r="C25" s="555">
        <v>66.37</v>
      </c>
      <c r="D25" s="556"/>
      <c r="E25" s="556"/>
      <c r="F25" s="557">
        <f t="shared" si="3"/>
        <v>2.2210648148148146E-2</v>
      </c>
      <c r="G25" s="558">
        <v>469</v>
      </c>
      <c r="H25" s="559">
        <f t="shared" si="4"/>
        <v>124.5085982282439</v>
      </c>
      <c r="I25" s="560">
        <v>18.100000000000001</v>
      </c>
      <c r="J25" s="561">
        <v>5.2662037037037035E-3</v>
      </c>
      <c r="K25" s="561">
        <v>2.3032407407407407E-3</v>
      </c>
      <c r="L25" s="572">
        <v>49</v>
      </c>
      <c r="M25" s="563">
        <f t="shared" si="5"/>
        <v>0.73828536989603732</v>
      </c>
      <c r="N25" s="564"/>
      <c r="O25" s="564"/>
      <c r="P25" s="564"/>
      <c r="Q25" s="573">
        <v>1.0416666666666667E-4</v>
      </c>
      <c r="R25" s="566">
        <v>2.0833333333333335E-4</v>
      </c>
      <c r="S25" s="567">
        <v>3.5648148148148154E-3</v>
      </c>
      <c r="T25" s="568">
        <v>7.8935185185185185E-3</v>
      </c>
      <c r="U25" s="569">
        <v>1.0439814814814813E-2</v>
      </c>
      <c r="V25" s="570">
        <v>156</v>
      </c>
      <c r="W25" s="570">
        <v>176</v>
      </c>
      <c r="X25" s="571"/>
    </row>
    <row r="26" spans="1:24" s="554" customFormat="1" ht="15.95" customHeight="1" thickBot="1" x14ac:dyDescent="0.3">
      <c r="A26" s="453" t="s">
        <v>57</v>
      </c>
      <c r="B26" s="452">
        <v>43878</v>
      </c>
      <c r="C26" s="555">
        <v>8.08</v>
      </c>
      <c r="D26" s="556"/>
      <c r="E26" s="556"/>
      <c r="F26" s="557">
        <f t="shared" si="3"/>
        <v>2.6562499999999999E-2</v>
      </c>
      <c r="G26" s="558">
        <v>561</v>
      </c>
      <c r="H26" s="559">
        <f t="shared" si="4"/>
        <v>12.674509803921568</v>
      </c>
      <c r="I26" s="560">
        <v>10.6</v>
      </c>
      <c r="J26" s="561">
        <v>3.9467592592592592E-3</v>
      </c>
      <c r="K26" s="561">
        <v>3.9351851851851857E-3</v>
      </c>
      <c r="L26" s="572"/>
      <c r="M26" s="563" t="str">
        <f t="shared" si="5"/>
        <v/>
      </c>
      <c r="N26" s="564"/>
      <c r="O26" s="564"/>
      <c r="P26" s="564"/>
      <c r="Q26" s="573">
        <v>8.564814814814815E-4</v>
      </c>
      <c r="R26" s="566">
        <v>1.6666666666666668E-3</v>
      </c>
      <c r="S26" s="567">
        <v>5.4166666666666669E-3</v>
      </c>
      <c r="T26" s="568">
        <v>1.4236111111111111E-2</v>
      </c>
      <c r="U26" s="569">
        <v>4.386574074074074E-3</v>
      </c>
      <c r="V26" s="570">
        <v>139</v>
      </c>
      <c r="W26" s="570">
        <v>165</v>
      </c>
      <c r="X26" s="571" t="s">
        <v>58</v>
      </c>
    </row>
    <row r="27" spans="1:24" s="554" customFormat="1" ht="15.95" customHeight="1" thickBot="1" x14ac:dyDescent="0.3">
      <c r="A27" s="451" t="s">
        <v>56</v>
      </c>
      <c r="B27" s="452">
        <v>43881</v>
      </c>
      <c r="C27" s="555">
        <v>63.9</v>
      </c>
      <c r="D27" s="556"/>
      <c r="E27" s="556"/>
      <c r="F27" s="557">
        <f t="shared" si="3"/>
        <v>9.8206018518518512E-2</v>
      </c>
      <c r="G27" s="558">
        <v>1666</v>
      </c>
      <c r="H27" s="559">
        <f t="shared" si="4"/>
        <v>27.111373011196232</v>
      </c>
      <c r="I27" s="560">
        <v>50.5</v>
      </c>
      <c r="J27" s="561"/>
      <c r="K27" s="561"/>
      <c r="L27" s="562">
        <v>240</v>
      </c>
      <c r="M27" s="563">
        <f t="shared" si="5"/>
        <v>3.755868544600939</v>
      </c>
      <c r="N27" s="564"/>
      <c r="O27" s="564"/>
      <c r="P27" s="564"/>
      <c r="Q27" s="565">
        <v>8.3333333333333339E-4</v>
      </c>
      <c r="R27" s="566">
        <v>5.2662037037037035E-3</v>
      </c>
      <c r="S27" s="567">
        <v>3.8379629629629632E-2</v>
      </c>
      <c r="T27" s="568">
        <v>4.9467592592592591E-2</v>
      </c>
      <c r="U27" s="569">
        <v>4.2592592592592595E-3</v>
      </c>
      <c r="V27" s="570">
        <v>141</v>
      </c>
      <c r="W27" s="570">
        <v>170</v>
      </c>
      <c r="X27" s="571"/>
    </row>
    <row r="28" spans="1:24" s="554" customFormat="1" ht="15.95" customHeight="1" thickBot="1" x14ac:dyDescent="0.3">
      <c r="A28" s="453" t="s">
        <v>57</v>
      </c>
      <c r="B28" s="452">
        <v>43882</v>
      </c>
      <c r="C28" s="555">
        <v>7.93</v>
      </c>
      <c r="D28" s="556"/>
      <c r="E28" s="556"/>
      <c r="F28" s="557">
        <f t="shared" si="3"/>
        <v>3.2534722222222222E-2</v>
      </c>
      <c r="G28" s="558">
        <v>698</v>
      </c>
      <c r="H28" s="559">
        <f t="shared" si="4"/>
        <v>10.15581643543223</v>
      </c>
      <c r="I28" s="560">
        <v>14.5</v>
      </c>
      <c r="J28" s="561">
        <v>4.9768518518518521E-3</v>
      </c>
      <c r="K28" s="561">
        <v>2.8703703703703708E-3</v>
      </c>
      <c r="L28" s="572">
        <v>11</v>
      </c>
      <c r="M28" s="563">
        <f t="shared" si="5"/>
        <v>1.3871374527112232</v>
      </c>
      <c r="N28" s="564"/>
      <c r="O28" s="564"/>
      <c r="P28" s="564"/>
      <c r="Q28" s="573">
        <v>6.9444444444444444E-5</v>
      </c>
      <c r="R28" s="566">
        <v>4.2824074074074075E-4</v>
      </c>
      <c r="S28" s="567">
        <v>2.8472222222222219E-3</v>
      </c>
      <c r="T28" s="568">
        <v>1.5706018518518518E-2</v>
      </c>
      <c r="U28" s="569">
        <v>1.3483796296296298E-2</v>
      </c>
      <c r="V28" s="570">
        <v>154</v>
      </c>
      <c r="W28" s="570">
        <v>169</v>
      </c>
      <c r="X28" s="571" t="s">
        <v>59</v>
      </c>
    </row>
    <row r="29" spans="1:24" s="554" customFormat="1" ht="15.95" customHeight="1" thickBot="1" x14ac:dyDescent="0.3">
      <c r="A29" s="451" t="s">
        <v>56</v>
      </c>
      <c r="B29" s="452">
        <v>43884</v>
      </c>
      <c r="C29" s="555">
        <v>72.52</v>
      </c>
      <c r="D29" s="556"/>
      <c r="E29" s="556"/>
      <c r="F29" s="557">
        <f t="shared" si="3"/>
        <v>3.0081018518518521E-2</v>
      </c>
      <c r="G29" s="558">
        <v>606</v>
      </c>
      <c r="H29" s="559">
        <f t="shared" si="4"/>
        <v>100.45094267025779</v>
      </c>
      <c r="I29" s="560">
        <v>8.4</v>
      </c>
      <c r="J29" s="561">
        <v>5.0000000000000001E-3</v>
      </c>
      <c r="K29" s="561">
        <v>5.0000000000000001E-3</v>
      </c>
      <c r="L29" s="572">
        <v>5</v>
      </c>
      <c r="M29" s="563">
        <f t="shared" si="5"/>
        <v>6.8946497517926086E-2</v>
      </c>
      <c r="N29" s="564"/>
      <c r="O29" s="564"/>
      <c r="P29" s="564"/>
      <c r="Q29" s="573">
        <v>2.0833333333333335E-4</v>
      </c>
      <c r="R29" s="566">
        <v>2.0023148148148148E-3</v>
      </c>
      <c r="S29" s="567">
        <v>2.8935185185185188E-3</v>
      </c>
      <c r="T29" s="568">
        <v>1.5613425925925926E-2</v>
      </c>
      <c r="U29" s="569">
        <v>9.3634259259259261E-3</v>
      </c>
      <c r="V29" s="570">
        <v>149</v>
      </c>
      <c r="W29" s="570">
        <v>170</v>
      </c>
      <c r="X29" s="571"/>
    </row>
    <row r="30" spans="1:24" s="554" customFormat="1" ht="15.95" customHeight="1" thickBot="1" x14ac:dyDescent="0.3">
      <c r="A30" s="453" t="s">
        <v>57</v>
      </c>
      <c r="B30" s="452">
        <v>43892</v>
      </c>
      <c r="C30" s="555">
        <v>4.22</v>
      </c>
      <c r="D30" s="556"/>
      <c r="E30" s="556"/>
      <c r="F30" s="557">
        <f t="shared" si="3"/>
        <v>5.0300925925925929E-2</v>
      </c>
      <c r="G30" s="558">
        <v>949</v>
      </c>
      <c r="H30" s="559">
        <f t="shared" si="4"/>
        <v>3.4956281638288078</v>
      </c>
      <c r="I30" s="560">
        <v>56</v>
      </c>
      <c r="J30" s="561"/>
      <c r="K30" s="561"/>
      <c r="L30" s="562">
        <v>308</v>
      </c>
      <c r="M30" s="563">
        <f t="shared" si="5"/>
        <v>72.985781990521332</v>
      </c>
      <c r="N30" s="564"/>
      <c r="O30" s="564"/>
      <c r="P30" s="564"/>
      <c r="Q30" s="565">
        <v>1.0069444444444444E-3</v>
      </c>
      <c r="R30" s="566">
        <v>3.8888888888888883E-3</v>
      </c>
      <c r="S30" s="567">
        <v>1.1631944444444445E-2</v>
      </c>
      <c r="T30" s="568">
        <v>2.7002314814814812E-2</v>
      </c>
      <c r="U30" s="569">
        <v>6.7708333333333336E-3</v>
      </c>
      <c r="V30" s="570">
        <v>145</v>
      </c>
      <c r="W30" s="570">
        <v>167</v>
      </c>
      <c r="X30" s="571" t="s">
        <v>58</v>
      </c>
    </row>
    <row r="31" spans="1:24" s="554" customFormat="1" ht="15.95" customHeight="1" thickBot="1" x14ac:dyDescent="0.3">
      <c r="A31" s="453" t="s">
        <v>177</v>
      </c>
      <c r="B31" s="452">
        <v>43895</v>
      </c>
      <c r="C31" s="555">
        <v>7.47</v>
      </c>
      <c r="D31" s="556"/>
      <c r="E31" s="556"/>
      <c r="F31" s="557">
        <f t="shared" si="3"/>
        <v>1.9409722222222224E-2</v>
      </c>
      <c r="G31" s="558">
        <v>420</v>
      </c>
      <c r="H31" s="559">
        <f t="shared" si="4"/>
        <v>16.035778175313059</v>
      </c>
      <c r="I31" s="560">
        <v>9.3000000000000007</v>
      </c>
      <c r="J31" s="561">
        <v>4.4560185185185189E-3</v>
      </c>
      <c r="K31" s="561">
        <v>4.4560185185185189E-3</v>
      </c>
      <c r="L31" s="572">
        <v>39</v>
      </c>
      <c r="M31" s="563">
        <f t="shared" si="5"/>
        <v>5.2208835341365463</v>
      </c>
      <c r="N31" s="564"/>
      <c r="O31" s="564"/>
      <c r="P31" s="564"/>
      <c r="Q31" s="573">
        <v>1.8518518518518518E-4</v>
      </c>
      <c r="R31" s="566">
        <v>7.7546296296296304E-4</v>
      </c>
      <c r="S31" s="567">
        <v>3.0439814814814821E-3</v>
      </c>
      <c r="T31" s="568">
        <v>9.1319444444444443E-3</v>
      </c>
      <c r="U31" s="569">
        <v>6.2731481481481484E-3</v>
      </c>
      <c r="V31" s="570">
        <v>150</v>
      </c>
      <c r="W31" s="570">
        <v>170</v>
      </c>
      <c r="X31" s="571"/>
    </row>
    <row r="32" spans="1:24" s="554" customFormat="1" ht="15.95" customHeight="1" thickBot="1" x14ac:dyDescent="0.3">
      <c r="A32" s="451" t="s">
        <v>56</v>
      </c>
      <c r="B32" s="452">
        <v>43898</v>
      </c>
      <c r="C32" s="555">
        <v>61.78</v>
      </c>
      <c r="D32" s="556"/>
      <c r="E32" s="556"/>
      <c r="F32" s="557">
        <f t="shared" si="3"/>
        <v>3.4027777777777775E-2</v>
      </c>
      <c r="G32" s="558"/>
      <c r="H32" s="559">
        <f t="shared" si="4"/>
        <v>75.648979591836749</v>
      </c>
      <c r="I32" s="560">
        <v>47.9</v>
      </c>
      <c r="J32" s="561"/>
      <c r="K32" s="561"/>
      <c r="L32" s="562"/>
      <c r="M32" s="563" t="str">
        <f t="shared" si="5"/>
        <v/>
      </c>
      <c r="N32" s="564"/>
      <c r="O32" s="564"/>
      <c r="P32" s="564"/>
      <c r="Q32" s="565">
        <v>6.9444444444444447E-4</v>
      </c>
      <c r="R32" s="566">
        <v>8.3333333333333332E-3</v>
      </c>
      <c r="S32" s="567">
        <v>1.0416666666666666E-2</v>
      </c>
      <c r="T32" s="568">
        <v>1.3888888888888888E-2</v>
      </c>
      <c r="U32" s="569">
        <v>6.9444444444444447E-4</v>
      </c>
      <c r="V32" s="570">
        <v>133</v>
      </c>
      <c r="W32" s="570">
        <v>157</v>
      </c>
      <c r="X32" s="571"/>
    </row>
    <row r="33" spans="1:24" s="554" customFormat="1" ht="15.95" customHeight="1" thickBot="1" x14ac:dyDescent="0.3">
      <c r="A33" s="453" t="s">
        <v>57</v>
      </c>
      <c r="B33" s="452">
        <v>43899</v>
      </c>
      <c r="C33" s="555">
        <v>6.57</v>
      </c>
      <c r="D33" s="556"/>
      <c r="E33" s="556"/>
      <c r="F33" s="557">
        <f t="shared" si="3"/>
        <v>2.6736111111111113E-2</v>
      </c>
      <c r="G33" s="558">
        <v>535</v>
      </c>
      <c r="H33" s="559">
        <f t="shared" si="4"/>
        <v>10.238961038961039</v>
      </c>
      <c r="I33" s="560">
        <v>10.5</v>
      </c>
      <c r="J33" s="561">
        <v>3.9699074074074072E-3</v>
      </c>
      <c r="K33" s="561">
        <v>3.9699074074074072E-3</v>
      </c>
      <c r="L33" s="562"/>
      <c r="M33" s="563" t="str">
        <f t="shared" si="5"/>
        <v/>
      </c>
      <c r="N33" s="564"/>
      <c r="O33" s="564"/>
      <c r="P33" s="564"/>
      <c r="Q33" s="573">
        <v>9.2592592592592588E-5</v>
      </c>
      <c r="R33" s="566">
        <v>4.6296296296296293E-4</v>
      </c>
      <c r="S33" s="567">
        <v>9.9189814814814817E-3</v>
      </c>
      <c r="T33" s="568">
        <v>1.6261574074074074E-2</v>
      </c>
      <c r="U33" s="569">
        <v>0</v>
      </c>
      <c r="V33" s="570">
        <v>142</v>
      </c>
      <c r="W33" s="570">
        <v>157</v>
      </c>
      <c r="X33" s="571" t="s">
        <v>58</v>
      </c>
    </row>
    <row r="34" spans="1:24" s="554" customFormat="1" ht="15.95" customHeight="1" thickBot="1" x14ac:dyDescent="0.3">
      <c r="A34" s="453" t="s">
        <v>57</v>
      </c>
      <c r="B34" s="452">
        <v>43901</v>
      </c>
      <c r="C34" s="555">
        <v>6.03</v>
      </c>
      <c r="D34" s="556"/>
      <c r="E34" s="556"/>
      <c r="F34" s="557">
        <f t="shared" si="3"/>
        <v>4.1527777777777775E-2</v>
      </c>
      <c r="G34" s="558">
        <v>758</v>
      </c>
      <c r="H34" s="559">
        <f t="shared" si="4"/>
        <v>6.0501672240802682</v>
      </c>
      <c r="I34" s="560">
        <v>40.4</v>
      </c>
      <c r="J34" s="561"/>
      <c r="K34" s="561"/>
      <c r="L34" s="562"/>
      <c r="M34" s="563" t="str">
        <f t="shared" si="5"/>
        <v/>
      </c>
      <c r="N34" s="564"/>
      <c r="O34" s="564"/>
      <c r="P34" s="564"/>
      <c r="Q34" s="565">
        <v>1.7361111111111112E-4</v>
      </c>
      <c r="R34" s="566">
        <v>4.3055555555555555E-3</v>
      </c>
      <c r="S34" s="567">
        <v>1.3391203703703704E-2</v>
      </c>
      <c r="T34" s="568">
        <v>2.1759259259259259E-2</v>
      </c>
      <c r="U34" s="569">
        <v>1.8981481481481482E-3</v>
      </c>
      <c r="V34" s="570">
        <v>139.26</v>
      </c>
      <c r="W34" s="570">
        <v>163</v>
      </c>
      <c r="X34" s="571" t="s">
        <v>59</v>
      </c>
    </row>
    <row r="35" spans="1:24" s="554" customFormat="1" ht="15.95" customHeight="1" thickBot="1" x14ac:dyDescent="0.3">
      <c r="A35" s="451" t="s">
        <v>56</v>
      </c>
      <c r="B35" s="452">
        <v>43905</v>
      </c>
      <c r="C35" s="555">
        <v>26.95</v>
      </c>
      <c r="D35" s="556"/>
      <c r="E35" s="556"/>
      <c r="F35" s="557">
        <f t="shared" si="3"/>
        <v>3.1064814814814816E-2</v>
      </c>
      <c r="G35" s="558">
        <v>678</v>
      </c>
      <c r="H35" s="559">
        <f t="shared" si="4"/>
        <v>36.147540983606554</v>
      </c>
      <c r="I35" s="560">
        <v>8.8000000000000007</v>
      </c>
      <c r="J35" s="561">
        <v>4.7569444444444447E-3</v>
      </c>
      <c r="K35" s="561">
        <v>4.7569444444444447E-3</v>
      </c>
      <c r="L35" s="562"/>
      <c r="M35" s="563" t="str">
        <f t="shared" si="5"/>
        <v/>
      </c>
      <c r="N35" s="564"/>
      <c r="O35" s="564"/>
      <c r="P35" s="564"/>
      <c r="Q35" s="573">
        <v>1.273148148148148E-4</v>
      </c>
      <c r="R35" s="566">
        <v>9.8379629629629642E-4</v>
      </c>
      <c r="S35" s="567">
        <v>3.1828703703703702E-3</v>
      </c>
      <c r="T35" s="568">
        <v>1.9745370370370371E-2</v>
      </c>
      <c r="U35" s="569">
        <v>7.0254629629629634E-3</v>
      </c>
      <c r="V35" s="570">
        <v>151</v>
      </c>
      <c r="W35" s="570">
        <v>166</v>
      </c>
      <c r="X35" s="571"/>
    </row>
    <row r="36" spans="1:24" s="554" customFormat="1" ht="15.95" customHeight="1" thickBot="1" x14ac:dyDescent="0.3">
      <c r="A36" s="453" t="s">
        <v>177</v>
      </c>
      <c r="B36" s="452">
        <v>43906</v>
      </c>
      <c r="C36" s="555">
        <v>4.3499999999999996</v>
      </c>
      <c r="D36" s="556"/>
      <c r="E36" s="556"/>
      <c r="F36" s="557">
        <f t="shared" si="3"/>
        <v>4.8020833333333332E-2</v>
      </c>
      <c r="G36" s="558">
        <v>890</v>
      </c>
      <c r="H36" s="559">
        <f t="shared" si="4"/>
        <v>3.7744034707158352</v>
      </c>
      <c r="I36" s="560">
        <v>25.4</v>
      </c>
      <c r="J36" s="561"/>
      <c r="K36" s="561"/>
      <c r="L36" s="562"/>
      <c r="M36" s="563" t="str">
        <f t="shared" si="5"/>
        <v/>
      </c>
      <c r="N36" s="564"/>
      <c r="O36" s="564"/>
      <c r="P36" s="564"/>
      <c r="Q36" s="565">
        <v>3.7037037037037035E-4</v>
      </c>
      <c r="R36" s="566">
        <v>5.7291666666666671E-3</v>
      </c>
      <c r="S36" s="567">
        <v>1.8356481481481481E-2</v>
      </c>
      <c r="T36" s="568">
        <v>2.1458333333333333E-2</v>
      </c>
      <c r="U36" s="569">
        <v>2.1064814814814813E-3</v>
      </c>
      <c r="V36" s="570">
        <v>135.9</v>
      </c>
      <c r="W36" s="570">
        <v>163</v>
      </c>
      <c r="X36" s="574" t="s">
        <v>99</v>
      </c>
    </row>
    <row r="37" spans="1:24" s="554" customFormat="1" ht="15.95" customHeight="1" thickBot="1" x14ac:dyDescent="0.3">
      <c r="A37" s="451" t="s">
        <v>60</v>
      </c>
      <c r="B37" s="452">
        <v>43907</v>
      </c>
      <c r="C37" s="555">
        <v>22.49</v>
      </c>
      <c r="D37" s="556"/>
      <c r="E37" s="556"/>
      <c r="F37" s="557">
        <f t="shared" si="3"/>
        <v>3.4432870370370371E-2</v>
      </c>
      <c r="G37" s="558">
        <v>682</v>
      </c>
      <c r="H37" s="559">
        <f t="shared" si="4"/>
        <v>27.214789915966382</v>
      </c>
      <c r="I37" s="560">
        <v>10</v>
      </c>
      <c r="J37" s="561">
        <v>4.1435185185185186E-3</v>
      </c>
      <c r="K37" s="561">
        <v>4.1435185185185186E-3</v>
      </c>
      <c r="L37" s="562"/>
      <c r="M37" s="563" t="str">
        <f t="shared" si="5"/>
        <v/>
      </c>
      <c r="N37" s="564"/>
      <c r="O37" s="564"/>
      <c r="P37" s="564"/>
      <c r="Q37" s="573">
        <v>1.273148148148148E-4</v>
      </c>
      <c r="R37" s="566">
        <v>1.6319444444444445E-3</v>
      </c>
      <c r="S37" s="567">
        <v>1.2256944444444444E-2</v>
      </c>
      <c r="T37" s="568">
        <v>1.744212962962963E-2</v>
      </c>
      <c r="U37" s="569">
        <v>2.9745370370370373E-3</v>
      </c>
      <c r="V37" s="570">
        <v>143</v>
      </c>
      <c r="W37" s="570">
        <v>162</v>
      </c>
      <c r="X37" s="571"/>
    </row>
    <row r="38" spans="1:24" s="554" customFormat="1" ht="15.95" customHeight="1" thickBot="1" x14ac:dyDescent="0.3">
      <c r="A38" s="453" t="s">
        <v>177</v>
      </c>
      <c r="B38" s="452">
        <v>43908</v>
      </c>
      <c r="C38" s="555">
        <v>4.6500000000000004</v>
      </c>
      <c r="D38" s="556"/>
      <c r="E38" s="556"/>
      <c r="F38" s="557">
        <f t="shared" si="3"/>
        <v>4.1585648148148149E-2</v>
      </c>
      <c r="G38" s="558">
        <v>789</v>
      </c>
      <c r="H38" s="559">
        <f t="shared" si="4"/>
        <v>4.6590592819371004</v>
      </c>
      <c r="I38" s="560">
        <v>46.4</v>
      </c>
      <c r="J38" s="561"/>
      <c r="K38" s="561"/>
      <c r="L38" s="562"/>
      <c r="M38" s="563" t="str">
        <f t="shared" si="5"/>
        <v/>
      </c>
      <c r="N38" s="564"/>
      <c r="O38" s="564"/>
      <c r="P38" s="564"/>
      <c r="Q38" s="565">
        <v>3.8194444444444446E-4</v>
      </c>
      <c r="R38" s="566">
        <v>6.2847222222222228E-3</v>
      </c>
      <c r="S38" s="567">
        <v>1.2766203703703703E-2</v>
      </c>
      <c r="T38" s="568">
        <v>2.1400462962962965E-2</v>
      </c>
      <c r="U38" s="569">
        <v>7.5231481481481471E-4</v>
      </c>
      <c r="V38" s="570">
        <v>136.13</v>
      </c>
      <c r="W38" s="570">
        <v>161</v>
      </c>
      <c r="X38" s="574" t="s">
        <v>101</v>
      </c>
    </row>
    <row r="39" spans="1:24" s="554" customFormat="1" ht="15.95" customHeight="1" thickBot="1" x14ac:dyDescent="0.3">
      <c r="A39" s="451" t="s">
        <v>60</v>
      </c>
      <c r="B39" s="452">
        <v>43909</v>
      </c>
      <c r="C39" s="555">
        <v>28.13</v>
      </c>
      <c r="D39" s="556"/>
      <c r="E39" s="556"/>
      <c r="F39" s="557">
        <f t="shared" si="3"/>
        <v>3.7534722222222219E-2</v>
      </c>
      <c r="G39" s="558">
        <v>771</v>
      </c>
      <c r="H39" s="559">
        <f t="shared" si="4"/>
        <v>31.226641998149862</v>
      </c>
      <c r="I39" s="560">
        <v>9.4</v>
      </c>
      <c r="J39" s="561">
        <v>4.4328703703703709E-3</v>
      </c>
      <c r="K39" s="561">
        <v>4.4328703703703709E-3</v>
      </c>
      <c r="L39" s="562"/>
      <c r="M39" s="563" t="str">
        <f t="shared" si="5"/>
        <v/>
      </c>
      <c r="N39" s="564"/>
      <c r="O39" s="564"/>
      <c r="P39" s="564"/>
      <c r="Q39" s="573">
        <v>3.8194444444444446E-4</v>
      </c>
      <c r="R39" s="566">
        <v>4.1666666666666669E-4</v>
      </c>
      <c r="S39" s="567">
        <v>8.1828703703703699E-3</v>
      </c>
      <c r="T39" s="568">
        <v>2.855324074074074E-2</v>
      </c>
      <c r="U39" s="569">
        <v>0</v>
      </c>
      <c r="V39" s="570">
        <v>144</v>
      </c>
      <c r="W39" s="570">
        <v>156</v>
      </c>
      <c r="X39" s="571"/>
    </row>
    <row r="40" spans="1:24" s="554" customFormat="1" ht="15.95" customHeight="1" thickBot="1" x14ac:dyDescent="0.3">
      <c r="A40" s="453" t="s">
        <v>177</v>
      </c>
      <c r="B40" s="452">
        <v>43910</v>
      </c>
      <c r="C40" s="555">
        <v>6.56</v>
      </c>
      <c r="D40" s="556"/>
      <c r="E40" s="556"/>
      <c r="F40" s="557">
        <f t="shared" si="3"/>
        <v>3.3391203703703701E-2</v>
      </c>
      <c r="G40" s="558">
        <v>673</v>
      </c>
      <c r="H40" s="559">
        <f t="shared" si="4"/>
        <v>8.1857885615251309</v>
      </c>
      <c r="I40" s="560">
        <v>9.3000000000000007</v>
      </c>
      <c r="J40" s="561">
        <v>4.4791666666666669E-3</v>
      </c>
      <c r="K40" s="561">
        <v>4.4791666666666669E-3</v>
      </c>
      <c r="L40" s="562"/>
      <c r="M40" s="563" t="str">
        <f t="shared" si="5"/>
        <v/>
      </c>
      <c r="N40" s="564"/>
      <c r="O40" s="564"/>
      <c r="P40" s="564"/>
      <c r="Q40" s="573">
        <v>5.5555555555555556E-4</v>
      </c>
      <c r="R40" s="566">
        <v>1.7476851851851852E-3</v>
      </c>
      <c r="S40" s="567">
        <v>5.2546296296296299E-3</v>
      </c>
      <c r="T40" s="568">
        <v>2.5509259259259259E-2</v>
      </c>
      <c r="U40" s="569">
        <v>3.2407407407407406E-4</v>
      </c>
      <c r="V40" s="570">
        <v>140</v>
      </c>
      <c r="W40" s="570">
        <v>159</v>
      </c>
      <c r="X40" s="574" t="s">
        <v>123</v>
      </c>
    </row>
    <row r="41" spans="1:24" s="554" customFormat="1" ht="15.95" customHeight="1" thickBot="1" x14ac:dyDescent="0.3">
      <c r="A41" s="451" t="s">
        <v>60</v>
      </c>
      <c r="B41" s="452">
        <v>43912</v>
      </c>
      <c r="C41" s="555">
        <v>25.43</v>
      </c>
      <c r="D41" s="556"/>
      <c r="E41" s="556"/>
      <c r="F41" s="557">
        <f t="shared" si="3"/>
        <v>3.4374999999999996E-2</v>
      </c>
      <c r="G41" s="558">
        <v>683</v>
      </c>
      <c r="H41" s="559">
        <f t="shared" si="4"/>
        <v>30.824242424242428</v>
      </c>
      <c r="I41" s="560">
        <v>10.3</v>
      </c>
      <c r="J41" s="561">
        <v>4.0509259259259257E-3</v>
      </c>
      <c r="K41" s="561">
        <v>4.0509259259259257E-3</v>
      </c>
      <c r="L41" s="562"/>
      <c r="M41" s="563" t="str">
        <f t="shared" si="5"/>
        <v/>
      </c>
      <c r="N41" s="564"/>
      <c r="O41" s="564"/>
      <c r="P41" s="564"/>
      <c r="Q41" s="573">
        <v>2.5462962962962961E-4</v>
      </c>
      <c r="R41" s="566">
        <v>7.6388888888888893E-4</v>
      </c>
      <c r="S41" s="567">
        <v>1.40625E-2</v>
      </c>
      <c r="T41" s="568">
        <v>1.909722222222222E-2</v>
      </c>
      <c r="U41" s="569">
        <v>1.9675925925925926E-4</v>
      </c>
      <c r="V41" s="570">
        <v>142</v>
      </c>
      <c r="W41" s="570">
        <v>160</v>
      </c>
      <c r="X41" s="571"/>
    </row>
    <row r="42" spans="1:24" s="554" customFormat="1" ht="15.95" customHeight="1" thickBot="1" x14ac:dyDescent="0.3">
      <c r="A42" s="453" t="s">
        <v>177</v>
      </c>
      <c r="B42" s="452">
        <v>43913</v>
      </c>
      <c r="C42" s="555">
        <v>6.15</v>
      </c>
      <c r="D42" s="556"/>
      <c r="E42" s="556"/>
      <c r="F42" s="557">
        <f t="shared" si="3"/>
        <v>4.3009259259259261E-2</v>
      </c>
      <c r="G42" s="558">
        <v>756</v>
      </c>
      <c r="H42" s="559">
        <f t="shared" si="4"/>
        <v>5.958019375672766</v>
      </c>
      <c r="I42" s="560">
        <v>34</v>
      </c>
      <c r="J42" s="561"/>
      <c r="K42" s="561"/>
      <c r="L42" s="562"/>
      <c r="M42" s="563" t="str">
        <f t="shared" si="5"/>
        <v/>
      </c>
      <c r="N42" s="564"/>
      <c r="O42" s="564"/>
      <c r="P42" s="564"/>
      <c r="Q42" s="565">
        <v>4.3981481481481481E-4</v>
      </c>
      <c r="R42" s="566">
        <v>6.3194444444444444E-3</v>
      </c>
      <c r="S42" s="567">
        <v>2.0497685185185185E-2</v>
      </c>
      <c r="T42" s="568">
        <v>1.5752314814814813E-2</v>
      </c>
      <c r="U42" s="569">
        <v>0</v>
      </c>
      <c r="V42" s="570">
        <v>134.68</v>
      </c>
      <c r="W42" s="570">
        <v>157</v>
      </c>
      <c r="X42" s="574" t="s">
        <v>102</v>
      </c>
    </row>
    <row r="43" spans="1:24" s="554" customFormat="1" ht="15.95" customHeight="1" thickBot="1" x14ac:dyDescent="0.3">
      <c r="A43" s="451" t="s">
        <v>60</v>
      </c>
      <c r="B43" s="452">
        <v>43914</v>
      </c>
      <c r="C43" s="555">
        <v>28.62</v>
      </c>
      <c r="D43" s="556"/>
      <c r="E43" s="556"/>
      <c r="F43" s="557">
        <f t="shared" si="3"/>
        <v>4.1851851851851855E-2</v>
      </c>
      <c r="G43" s="558">
        <v>872</v>
      </c>
      <c r="H43" s="559">
        <f t="shared" si="4"/>
        <v>28.493362831858406</v>
      </c>
      <c r="I43" s="560">
        <v>8.9</v>
      </c>
      <c r="J43" s="561">
        <v>4.6990740740740743E-3</v>
      </c>
      <c r="K43" s="561">
        <v>4.6990740740740743E-3</v>
      </c>
      <c r="L43" s="562"/>
      <c r="M43" s="563" t="str">
        <f t="shared" si="5"/>
        <v/>
      </c>
      <c r="N43" s="564"/>
      <c r="O43" s="564"/>
      <c r="P43" s="564"/>
      <c r="Q43" s="573">
        <v>2.5462962962962961E-4</v>
      </c>
      <c r="R43" s="566">
        <v>3.8194444444444446E-4</v>
      </c>
      <c r="S43" s="567">
        <v>7.0254629629629634E-3</v>
      </c>
      <c r="T43" s="568">
        <v>3.4189814814814819E-2</v>
      </c>
      <c r="U43" s="569">
        <v>0</v>
      </c>
      <c r="V43" s="570">
        <v>146</v>
      </c>
      <c r="W43" s="570">
        <v>157</v>
      </c>
      <c r="X43" s="574" t="s">
        <v>100</v>
      </c>
    </row>
    <row r="44" spans="1:24" s="554" customFormat="1" ht="15.95" customHeight="1" thickBot="1" x14ac:dyDescent="0.3">
      <c r="A44" s="453" t="s">
        <v>177</v>
      </c>
      <c r="B44" s="452">
        <v>43915</v>
      </c>
      <c r="C44" s="555">
        <v>7.79</v>
      </c>
      <c r="D44" s="556"/>
      <c r="E44" s="556"/>
      <c r="F44" s="557">
        <f t="shared" si="3"/>
        <v>4.2256944444444444E-2</v>
      </c>
      <c r="G44" s="558">
        <v>744</v>
      </c>
      <c r="H44" s="559">
        <f t="shared" si="4"/>
        <v>7.6811832374691873</v>
      </c>
      <c r="I44" s="560">
        <v>36.4</v>
      </c>
      <c r="J44" s="561"/>
      <c r="K44" s="561"/>
      <c r="L44" s="562"/>
      <c r="M44" s="563" t="str">
        <f t="shared" si="5"/>
        <v/>
      </c>
      <c r="N44" s="564"/>
      <c r="O44" s="564"/>
      <c r="P44" s="564"/>
      <c r="Q44" s="565">
        <v>2.6620370370370372E-4</v>
      </c>
      <c r="R44" s="566">
        <v>7.6504629629629631E-3</v>
      </c>
      <c r="S44" s="567">
        <v>1.3506944444444445E-2</v>
      </c>
      <c r="T44" s="568">
        <v>1.4733796296296295E-2</v>
      </c>
      <c r="U44" s="569">
        <v>6.0995370370370361E-3</v>
      </c>
      <c r="V44" s="570">
        <v>140.93</v>
      </c>
      <c r="W44" s="570">
        <v>167</v>
      </c>
      <c r="X44" s="574" t="s">
        <v>103</v>
      </c>
    </row>
    <row r="45" spans="1:24" s="554" customFormat="1" ht="15.95" customHeight="1" thickBot="1" x14ac:dyDescent="0.3">
      <c r="A45" s="453" t="s">
        <v>177</v>
      </c>
      <c r="B45" s="452">
        <v>43917</v>
      </c>
      <c r="C45" s="555">
        <v>6.33</v>
      </c>
      <c r="D45" s="556"/>
      <c r="E45" s="556"/>
      <c r="F45" s="557">
        <f t="shared" si="3"/>
        <v>3.3680555555555554E-2</v>
      </c>
      <c r="G45" s="558">
        <v>661</v>
      </c>
      <c r="H45" s="559">
        <f t="shared" si="4"/>
        <v>7.830927835051547</v>
      </c>
      <c r="I45" s="560">
        <v>10.6</v>
      </c>
      <c r="J45" s="561">
        <v>3.9351851851851857E-3</v>
      </c>
      <c r="K45" s="561">
        <v>3.9351851851851857E-3</v>
      </c>
      <c r="L45" s="562"/>
      <c r="M45" s="563" t="str">
        <f t="shared" si="5"/>
        <v/>
      </c>
      <c r="N45" s="564"/>
      <c r="O45" s="564"/>
      <c r="P45" s="564"/>
      <c r="Q45" s="573">
        <v>2.199074074074074E-4</v>
      </c>
      <c r="R45" s="566">
        <v>5.5555555555555556E-4</v>
      </c>
      <c r="S45" s="567">
        <v>1.329861111111111E-2</v>
      </c>
      <c r="T45" s="568">
        <v>1.9606481481481482E-2</v>
      </c>
      <c r="U45" s="569">
        <v>0</v>
      </c>
      <c r="V45" s="570">
        <v>141</v>
      </c>
      <c r="W45" s="570">
        <v>157</v>
      </c>
      <c r="X45" s="574" t="s">
        <v>104</v>
      </c>
    </row>
    <row r="46" spans="1:24" s="554" customFormat="1" ht="15.95" customHeight="1" thickBot="1" x14ac:dyDescent="0.3">
      <c r="A46" s="453" t="s">
        <v>177</v>
      </c>
      <c r="B46" s="452">
        <v>43920</v>
      </c>
      <c r="C46" s="555">
        <v>6.5880000000000001</v>
      </c>
      <c r="D46" s="556"/>
      <c r="E46" s="556"/>
      <c r="F46" s="557">
        <f t="shared" si="3"/>
        <v>3.8078703703703698E-2</v>
      </c>
      <c r="G46" s="558">
        <v>658</v>
      </c>
      <c r="H46" s="559">
        <f t="shared" si="4"/>
        <v>7.2087537993920989</v>
      </c>
      <c r="I46" s="560">
        <v>44.1</v>
      </c>
      <c r="J46" s="561"/>
      <c r="K46" s="561"/>
      <c r="L46" s="562"/>
      <c r="M46" s="563" t="str">
        <f t="shared" si="5"/>
        <v/>
      </c>
      <c r="N46" s="564"/>
      <c r="O46" s="564"/>
      <c r="P46" s="564"/>
      <c r="Q46" s="565">
        <v>6.4814814814814813E-4</v>
      </c>
      <c r="R46" s="566">
        <v>8.9467592592592585E-3</v>
      </c>
      <c r="S46" s="567">
        <v>1.5497685185185186E-2</v>
      </c>
      <c r="T46" s="568">
        <v>1.298611111111111E-2</v>
      </c>
      <c r="U46" s="569">
        <v>0</v>
      </c>
      <c r="V46" s="570">
        <v>131.94999999999999</v>
      </c>
      <c r="W46" s="570">
        <v>155</v>
      </c>
      <c r="X46" s="574" t="s">
        <v>105</v>
      </c>
    </row>
    <row r="47" spans="1:24" s="554" customFormat="1" ht="15.95" customHeight="1" thickBot="1" x14ac:dyDescent="0.3">
      <c r="A47" s="451" t="s">
        <v>60</v>
      </c>
      <c r="B47" s="452">
        <v>43921</v>
      </c>
      <c r="C47" s="555">
        <v>28.09</v>
      </c>
      <c r="D47" s="556"/>
      <c r="E47" s="556"/>
      <c r="F47" s="557">
        <f t="shared" si="3"/>
        <v>3.6064814814814813E-2</v>
      </c>
      <c r="G47" s="558">
        <v>697</v>
      </c>
      <c r="H47" s="559">
        <f t="shared" si="4"/>
        <v>32.45314505776637</v>
      </c>
      <c r="I47" s="560">
        <v>9.4</v>
      </c>
      <c r="J47" s="561">
        <v>4.4328703703703709E-3</v>
      </c>
      <c r="K47" s="561">
        <v>4.4328703703703709E-3</v>
      </c>
      <c r="L47" s="562"/>
      <c r="M47" s="563" t="str">
        <f t="shared" si="5"/>
        <v/>
      </c>
      <c r="N47" s="564"/>
      <c r="O47" s="564"/>
      <c r="P47" s="564"/>
      <c r="Q47" s="573">
        <v>1.8518518518518518E-4</v>
      </c>
      <c r="R47" s="566">
        <v>1.5162037037037036E-3</v>
      </c>
      <c r="S47" s="567">
        <v>1.0439814814814813E-2</v>
      </c>
      <c r="T47" s="568">
        <v>2.3298611111111107E-2</v>
      </c>
      <c r="U47" s="569">
        <v>6.2500000000000001E-4</v>
      </c>
      <c r="V47" s="570">
        <v>142</v>
      </c>
      <c r="W47" s="570">
        <v>160</v>
      </c>
      <c r="X47" s="571"/>
    </row>
    <row r="48" spans="1:24" s="554" customFormat="1" ht="15.95" customHeight="1" thickBot="1" x14ac:dyDescent="0.3">
      <c r="A48" s="453" t="s">
        <v>177</v>
      </c>
      <c r="B48" s="452">
        <v>43922</v>
      </c>
      <c r="C48" s="555">
        <v>8.3970000000000002</v>
      </c>
      <c r="D48" s="556"/>
      <c r="E48" s="556"/>
      <c r="F48" s="557">
        <f t="shared" si="3"/>
        <v>4.0497685185185185E-2</v>
      </c>
      <c r="G48" s="558">
        <v>680</v>
      </c>
      <c r="H48" s="559">
        <f t="shared" si="4"/>
        <v>8.6393826807659337</v>
      </c>
      <c r="I48" s="560">
        <v>42.3</v>
      </c>
      <c r="J48" s="561"/>
      <c r="K48" s="561"/>
      <c r="L48" s="562"/>
      <c r="M48" s="563" t="str">
        <f t="shared" si="5"/>
        <v/>
      </c>
      <c r="N48" s="564"/>
      <c r="O48" s="564"/>
      <c r="P48" s="564"/>
      <c r="Q48" s="565">
        <v>3.7037037037037035E-4</v>
      </c>
      <c r="R48" s="566">
        <v>1.1261574074074071E-2</v>
      </c>
      <c r="S48" s="567">
        <v>1.4317129629629631E-2</v>
      </c>
      <c r="T48" s="568">
        <v>1.4444444444444446E-2</v>
      </c>
      <c r="U48" s="569">
        <v>1.0416666666666667E-4</v>
      </c>
      <c r="V48" s="570">
        <v>132.91999999999999</v>
      </c>
      <c r="W48" s="570">
        <v>160</v>
      </c>
      <c r="X48" s="574" t="s">
        <v>106</v>
      </c>
    </row>
    <row r="49" spans="1:24" s="554" customFormat="1" ht="15.95" customHeight="1" thickBot="1" x14ac:dyDescent="0.3">
      <c r="A49" s="451" t="s">
        <v>60</v>
      </c>
      <c r="B49" s="452">
        <v>43923</v>
      </c>
      <c r="C49" s="555">
        <v>24.04</v>
      </c>
      <c r="D49" s="556"/>
      <c r="E49" s="556"/>
      <c r="F49" s="557">
        <f t="shared" si="3"/>
        <v>3.2141203703703707E-2</v>
      </c>
      <c r="G49" s="558">
        <v>626</v>
      </c>
      <c r="H49" s="559">
        <f t="shared" si="4"/>
        <v>31.164566078501977</v>
      </c>
      <c r="I49" s="560">
        <v>11.1</v>
      </c>
      <c r="J49" s="561">
        <v>3.7384259259259263E-3</v>
      </c>
      <c r="K49" s="561">
        <v>3.7384259259259263E-3</v>
      </c>
      <c r="L49" s="562"/>
      <c r="M49" s="563" t="str">
        <f t="shared" si="5"/>
        <v/>
      </c>
      <c r="N49" s="564"/>
      <c r="O49" s="564"/>
      <c r="P49" s="564"/>
      <c r="Q49" s="573">
        <v>1.0416666666666667E-4</v>
      </c>
      <c r="R49" s="566">
        <v>4.5138888888888892E-4</v>
      </c>
      <c r="S49" s="567">
        <v>1.4490740740740742E-2</v>
      </c>
      <c r="T49" s="568">
        <v>1.7083333333333336E-2</v>
      </c>
      <c r="U49" s="569">
        <v>1.1574074074074073E-5</v>
      </c>
      <c r="V49" s="570">
        <v>140</v>
      </c>
      <c r="W49" s="570">
        <v>159</v>
      </c>
      <c r="X49" s="571"/>
    </row>
    <row r="50" spans="1:24" s="554" customFormat="1" ht="15.95" customHeight="1" thickBot="1" x14ac:dyDescent="0.3">
      <c r="A50" s="453" t="s">
        <v>177</v>
      </c>
      <c r="B50" s="452">
        <v>43924</v>
      </c>
      <c r="C50" s="555">
        <v>5.61</v>
      </c>
      <c r="D50" s="556"/>
      <c r="E50" s="556"/>
      <c r="F50" s="557">
        <f t="shared" si="3"/>
        <v>3.6851851851851844E-2</v>
      </c>
      <c r="G50" s="558">
        <v>802</v>
      </c>
      <c r="H50" s="559">
        <f t="shared" si="4"/>
        <v>6.342964824120604</v>
      </c>
      <c r="I50" s="560">
        <v>9.3000000000000007</v>
      </c>
      <c r="J50" s="561">
        <v>4.4791666666666669E-3</v>
      </c>
      <c r="K50" s="561">
        <v>4.4791666666666669E-3</v>
      </c>
      <c r="L50" s="562"/>
      <c r="M50" s="563" t="str">
        <f t="shared" si="5"/>
        <v/>
      </c>
      <c r="N50" s="564"/>
      <c r="O50" s="564"/>
      <c r="P50" s="564"/>
      <c r="Q50" s="573">
        <v>1.5046296296296297E-4</v>
      </c>
      <c r="R50" s="566">
        <v>4.3981481481481481E-4</v>
      </c>
      <c r="S50" s="567">
        <v>4.2708333333333339E-3</v>
      </c>
      <c r="T50" s="568">
        <v>2.2499999999999996E-2</v>
      </c>
      <c r="U50" s="569">
        <v>9.4907407407407406E-3</v>
      </c>
      <c r="V50" s="570">
        <v>151</v>
      </c>
      <c r="W50" s="570">
        <v>166</v>
      </c>
      <c r="X50" s="574" t="s">
        <v>107</v>
      </c>
    </row>
    <row r="51" spans="1:24" s="554" customFormat="1" ht="15.95" customHeight="1" thickBot="1" x14ac:dyDescent="0.3">
      <c r="A51" s="451" t="s">
        <v>60</v>
      </c>
      <c r="B51" s="452">
        <v>43925</v>
      </c>
      <c r="C51" s="555">
        <v>21.92</v>
      </c>
      <c r="D51" s="556"/>
      <c r="E51" s="556"/>
      <c r="F51" s="557">
        <f t="shared" si="3"/>
        <v>3.3935185185185179E-2</v>
      </c>
      <c r="G51" s="558">
        <v>734</v>
      </c>
      <c r="H51" s="559">
        <f t="shared" si="4"/>
        <v>26.914051841746257</v>
      </c>
      <c r="I51" s="560">
        <v>11.1</v>
      </c>
      <c r="J51" s="561">
        <v>3.7384259259259263E-3</v>
      </c>
      <c r="K51" s="561">
        <v>3.7384259259259263E-3</v>
      </c>
      <c r="L51" s="562"/>
      <c r="M51" s="563" t="str">
        <f t="shared" si="5"/>
        <v/>
      </c>
      <c r="N51" s="564"/>
      <c r="O51" s="564"/>
      <c r="P51" s="564"/>
      <c r="Q51" s="573">
        <v>3.3564814814814812E-4</v>
      </c>
      <c r="R51" s="566">
        <v>3.0092592592592595E-4</v>
      </c>
      <c r="S51" s="567">
        <v>1.3194444444444443E-3</v>
      </c>
      <c r="T51" s="568">
        <v>2.3460648148148147E-2</v>
      </c>
      <c r="U51" s="569">
        <v>8.518518518518519E-3</v>
      </c>
      <c r="V51" s="570">
        <v>152</v>
      </c>
      <c r="W51" s="570">
        <v>169</v>
      </c>
      <c r="X51" s="571"/>
    </row>
    <row r="52" spans="1:24" s="554" customFormat="1" ht="15.95" customHeight="1" thickBot="1" x14ac:dyDescent="0.3">
      <c r="A52" s="453" t="s">
        <v>177</v>
      </c>
      <c r="B52" s="452">
        <v>43928</v>
      </c>
      <c r="C52" s="555">
        <v>6.41</v>
      </c>
      <c r="D52" s="556"/>
      <c r="E52" s="556"/>
      <c r="F52" s="557">
        <f t="shared" si="3"/>
        <v>3.4305555555555561E-2</v>
      </c>
      <c r="G52" s="558">
        <v>504</v>
      </c>
      <c r="H52" s="559">
        <f t="shared" si="4"/>
        <v>7.7854251012145737</v>
      </c>
      <c r="I52" s="560">
        <v>26.5</v>
      </c>
      <c r="J52" s="561"/>
      <c r="K52" s="561"/>
      <c r="L52" s="562"/>
      <c r="M52" s="563" t="str">
        <f t="shared" si="5"/>
        <v/>
      </c>
      <c r="N52" s="564"/>
      <c r="O52" s="564"/>
      <c r="P52" s="564"/>
      <c r="Q52" s="565">
        <v>1.0185185185185186E-3</v>
      </c>
      <c r="R52" s="566">
        <v>2.2719907407407411E-2</v>
      </c>
      <c r="S52" s="567">
        <v>1.0277777777777778E-2</v>
      </c>
      <c r="T52" s="568">
        <v>2.8935185185185189E-4</v>
      </c>
      <c r="U52" s="569">
        <v>0</v>
      </c>
      <c r="V52" s="570"/>
      <c r="W52" s="570"/>
      <c r="X52" s="574" t="s">
        <v>108</v>
      </c>
    </row>
    <row r="53" spans="1:24" s="554" customFormat="1" ht="15.95" customHeight="1" thickBot="1" x14ac:dyDescent="0.3">
      <c r="A53" s="451" t="s">
        <v>60</v>
      </c>
      <c r="B53" s="452">
        <v>43929</v>
      </c>
      <c r="C53" s="555">
        <v>31.34</v>
      </c>
      <c r="D53" s="556"/>
      <c r="E53" s="556"/>
      <c r="F53" s="557">
        <f t="shared" si="3"/>
        <v>3.3229166666666671E-2</v>
      </c>
      <c r="G53" s="558">
        <v>709</v>
      </c>
      <c r="H53" s="559">
        <f t="shared" si="4"/>
        <v>39.297805642633222</v>
      </c>
      <c r="I53" s="560">
        <v>10</v>
      </c>
      <c r="J53" s="561">
        <v>4.1435185185185186E-3</v>
      </c>
      <c r="K53" s="561">
        <v>4.1435185185185186E-3</v>
      </c>
      <c r="L53" s="562"/>
      <c r="M53" s="563" t="str">
        <f t="shared" si="5"/>
        <v/>
      </c>
      <c r="N53" s="564"/>
      <c r="O53" s="564"/>
      <c r="P53" s="564"/>
      <c r="Q53" s="573">
        <v>1.9675925925925926E-4</v>
      </c>
      <c r="R53" s="566">
        <v>5.2083333333333333E-4</v>
      </c>
      <c r="S53" s="567">
        <v>4.3981481481481484E-3</v>
      </c>
      <c r="T53" s="568">
        <v>2.1203703703703707E-2</v>
      </c>
      <c r="U53" s="569">
        <v>6.9097222222222225E-3</v>
      </c>
      <c r="V53" s="570">
        <v>149</v>
      </c>
      <c r="W53" s="570">
        <v>164</v>
      </c>
      <c r="X53" s="571"/>
    </row>
    <row r="54" spans="1:24" s="554" customFormat="1" ht="15.95" customHeight="1" thickBot="1" x14ac:dyDescent="0.3">
      <c r="A54" s="453" t="s">
        <v>177</v>
      </c>
      <c r="B54" s="452">
        <v>43930</v>
      </c>
      <c r="C54" s="555">
        <v>5.35</v>
      </c>
      <c r="D54" s="556"/>
      <c r="E54" s="556"/>
      <c r="F54" s="557">
        <f t="shared" si="3"/>
        <v>3.3414351851851855E-2</v>
      </c>
      <c r="G54" s="558">
        <v>647</v>
      </c>
      <c r="H54" s="559">
        <f t="shared" si="4"/>
        <v>6.6712850710079659</v>
      </c>
      <c r="I54" s="560">
        <v>53.4</v>
      </c>
      <c r="J54" s="561"/>
      <c r="K54" s="561"/>
      <c r="L54" s="562"/>
      <c r="M54" s="563" t="str">
        <f t="shared" si="5"/>
        <v/>
      </c>
      <c r="N54" s="564"/>
      <c r="O54" s="564"/>
      <c r="P54" s="564"/>
      <c r="Q54" s="565">
        <v>1.7361111111111112E-4</v>
      </c>
      <c r="R54" s="566">
        <v>4.409722222222222E-3</v>
      </c>
      <c r="S54" s="567">
        <v>1.2002314814814815E-2</v>
      </c>
      <c r="T54" s="568">
        <v>1.224537037037037E-2</v>
      </c>
      <c r="U54" s="569">
        <v>4.5833333333333334E-3</v>
      </c>
      <c r="V54" s="570">
        <v>137.57</v>
      </c>
      <c r="W54" s="570">
        <v>164</v>
      </c>
      <c r="X54" s="574" t="s">
        <v>109</v>
      </c>
    </row>
    <row r="55" spans="1:24" s="554" customFormat="1" ht="15.95" customHeight="1" thickBot="1" x14ac:dyDescent="0.3">
      <c r="A55" s="453" t="s">
        <v>177</v>
      </c>
      <c r="B55" s="452">
        <v>43932</v>
      </c>
      <c r="C55" s="555">
        <v>7.46</v>
      </c>
      <c r="D55" s="556"/>
      <c r="E55" s="556"/>
      <c r="F55" s="557">
        <f t="shared" si="3"/>
        <v>3.4247685185185187E-2</v>
      </c>
      <c r="G55" s="558">
        <v>717</v>
      </c>
      <c r="H55" s="559">
        <f t="shared" si="4"/>
        <v>9.0760392024332539</v>
      </c>
      <c r="I55" s="560">
        <v>11.1</v>
      </c>
      <c r="J55" s="561">
        <v>3.7384259259259263E-3</v>
      </c>
      <c r="K55" s="561">
        <v>3.7384259259259263E-3</v>
      </c>
      <c r="L55" s="562"/>
      <c r="M55" s="563" t="str">
        <f t="shared" si="5"/>
        <v/>
      </c>
      <c r="N55" s="564"/>
      <c r="O55" s="564"/>
      <c r="P55" s="564"/>
      <c r="Q55" s="573">
        <v>3.2407407407407406E-4</v>
      </c>
      <c r="R55" s="566">
        <v>2.0833333333333335E-4</v>
      </c>
      <c r="S55" s="567">
        <v>6.3657407407407404E-3</v>
      </c>
      <c r="T55" s="568">
        <v>2.013888888888889E-2</v>
      </c>
      <c r="U55" s="569">
        <v>7.2106481481481475E-3</v>
      </c>
      <c r="V55" s="570">
        <v>149</v>
      </c>
      <c r="W55" s="570">
        <v>168</v>
      </c>
      <c r="X55" s="574" t="s">
        <v>110</v>
      </c>
    </row>
    <row r="56" spans="1:24" s="554" customFormat="1" ht="15.95" customHeight="1" thickBot="1" x14ac:dyDescent="0.3">
      <c r="A56" s="453" t="s">
        <v>177</v>
      </c>
      <c r="B56" s="452">
        <v>43934</v>
      </c>
      <c r="C56" s="555">
        <v>5.72</v>
      </c>
      <c r="D56" s="556"/>
      <c r="E56" s="556"/>
      <c r="F56" s="557">
        <f t="shared" si="3"/>
        <v>4.1851851851851855E-2</v>
      </c>
      <c r="G56" s="558">
        <v>734</v>
      </c>
      <c r="H56" s="559">
        <f t="shared" si="4"/>
        <v>5.6946902654867246</v>
      </c>
      <c r="I56" s="560">
        <v>58.1</v>
      </c>
      <c r="J56" s="561"/>
      <c r="K56" s="561"/>
      <c r="L56" s="562"/>
      <c r="M56" s="563" t="str">
        <f t="shared" si="5"/>
        <v/>
      </c>
      <c r="N56" s="564"/>
      <c r="O56" s="564"/>
      <c r="P56" s="564"/>
      <c r="Q56" s="565">
        <v>9.4907407407407408E-4</v>
      </c>
      <c r="R56" s="566">
        <v>8.0555555555555554E-3</v>
      </c>
      <c r="S56" s="567">
        <v>1.4432870370370372E-2</v>
      </c>
      <c r="T56" s="568">
        <v>1.7847222222222223E-2</v>
      </c>
      <c r="U56" s="569">
        <v>5.6712962962962956E-4</v>
      </c>
      <c r="V56" s="570">
        <v>132.12</v>
      </c>
      <c r="W56" s="570">
        <v>163</v>
      </c>
      <c r="X56" s="574" t="s">
        <v>111</v>
      </c>
    </row>
    <row r="57" spans="1:24" s="554" customFormat="1" ht="15.95" customHeight="1" thickBot="1" x14ac:dyDescent="0.3">
      <c r="A57" s="451" t="s">
        <v>60</v>
      </c>
      <c r="B57" s="452">
        <v>43935</v>
      </c>
      <c r="C57" s="555">
        <v>17.670000000000002</v>
      </c>
      <c r="D57" s="556"/>
      <c r="E57" s="556"/>
      <c r="F57" s="557">
        <f t="shared" si="3"/>
        <v>3.3993055555555554E-2</v>
      </c>
      <c r="G57" s="558">
        <v>663</v>
      </c>
      <c r="H57" s="559">
        <f t="shared" si="4"/>
        <v>21.658835546475999</v>
      </c>
      <c r="I57" s="560">
        <v>11.2</v>
      </c>
      <c r="J57" s="561">
        <v>3.7037037037037034E-3</v>
      </c>
      <c r="K57" s="561">
        <v>3.7037037037037034E-3</v>
      </c>
      <c r="L57" s="562"/>
      <c r="M57" s="563" t="str">
        <f t="shared" si="5"/>
        <v/>
      </c>
      <c r="N57" s="564"/>
      <c r="O57" s="564"/>
      <c r="P57" s="564"/>
      <c r="Q57" s="573">
        <v>2.5462962962962961E-4</v>
      </c>
      <c r="R57" s="566">
        <v>1.3657407407407409E-3</v>
      </c>
      <c r="S57" s="567">
        <v>1.0081018518518519E-2</v>
      </c>
      <c r="T57" s="568">
        <v>2.1342592592592594E-2</v>
      </c>
      <c r="U57" s="569">
        <v>9.4907407407407408E-4</v>
      </c>
      <c r="V57" s="570">
        <v>143</v>
      </c>
      <c r="W57" s="570">
        <v>162</v>
      </c>
      <c r="X57" s="571"/>
    </row>
    <row r="58" spans="1:24" s="554" customFormat="1" ht="15.95" customHeight="1" thickBot="1" x14ac:dyDescent="0.3">
      <c r="A58" s="453" t="s">
        <v>177</v>
      </c>
      <c r="B58" s="452">
        <v>43936</v>
      </c>
      <c r="C58" s="555">
        <v>6.75</v>
      </c>
      <c r="D58" s="556"/>
      <c r="E58" s="556"/>
      <c r="F58" s="557">
        <f t="shared" si="3"/>
        <v>3.8738425925925926E-2</v>
      </c>
      <c r="G58" s="558">
        <v>757</v>
      </c>
      <c r="H58" s="559">
        <f t="shared" si="4"/>
        <v>7.2602330445174781</v>
      </c>
      <c r="I58" s="560">
        <v>9.5</v>
      </c>
      <c r="J58" s="561">
        <v>4.3749999999999995E-3</v>
      </c>
      <c r="K58" s="561">
        <v>4.3749999999999995E-3</v>
      </c>
      <c r="L58" s="562"/>
      <c r="M58" s="563" t="str">
        <f t="shared" si="5"/>
        <v/>
      </c>
      <c r="N58" s="564"/>
      <c r="O58" s="564"/>
      <c r="P58" s="564"/>
      <c r="Q58" s="573">
        <v>1.9675925925925926E-4</v>
      </c>
      <c r="R58" s="566">
        <v>3.4490740740740745E-3</v>
      </c>
      <c r="S58" s="567">
        <v>8.773148148148148E-3</v>
      </c>
      <c r="T58" s="568">
        <v>2.2187499999999999E-2</v>
      </c>
      <c r="U58" s="569">
        <v>4.1319444444444442E-3</v>
      </c>
      <c r="V58" s="570">
        <v>144</v>
      </c>
      <c r="W58" s="570">
        <v>163</v>
      </c>
      <c r="X58" s="574" t="s">
        <v>112</v>
      </c>
    </row>
    <row r="59" spans="1:24" s="554" customFormat="1" ht="15.95" customHeight="1" thickBot="1" x14ac:dyDescent="0.3">
      <c r="A59" s="451" t="s">
        <v>60</v>
      </c>
      <c r="B59" s="452">
        <v>43937</v>
      </c>
      <c r="C59" s="555">
        <v>24.95</v>
      </c>
      <c r="D59" s="556"/>
      <c r="E59" s="556"/>
      <c r="F59" s="557">
        <f t="shared" si="3"/>
        <v>3.5972222222222225E-2</v>
      </c>
      <c r="G59" s="558">
        <v>615</v>
      </c>
      <c r="H59" s="559">
        <f t="shared" si="4"/>
        <v>28.899613899613897</v>
      </c>
      <c r="I59" s="560">
        <v>49.4</v>
      </c>
      <c r="J59" s="561"/>
      <c r="K59" s="561"/>
      <c r="L59" s="562"/>
      <c r="M59" s="563" t="str">
        <f t="shared" si="5"/>
        <v/>
      </c>
      <c r="N59" s="564"/>
      <c r="O59" s="564"/>
      <c r="P59" s="564"/>
      <c r="Q59" s="565">
        <v>3.0092592592592595E-4</v>
      </c>
      <c r="R59" s="566">
        <v>1.1527777777777777E-2</v>
      </c>
      <c r="S59" s="567">
        <v>1.1782407407407406E-2</v>
      </c>
      <c r="T59" s="568">
        <v>1.0335648148148148E-2</v>
      </c>
      <c r="U59" s="569">
        <v>2.0254629629629629E-3</v>
      </c>
      <c r="V59" s="570">
        <v>131.30000000000001</v>
      </c>
      <c r="W59" s="570">
        <v>166</v>
      </c>
      <c r="X59" s="571"/>
    </row>
    <row r="60" spans="1:24" s="554" customFormat="1" ht="15.95" customHeight="1" thickBot="1" x14ac:dyDescent="0.3">
      <c r="A60" s="453" t="s">
        <v>177</v>
      </c>
      <c r="B60" s="452">
        <v>43939</v>
      </c>
      <c r="C60" s="555">
        <v>6.01</v>
      </c>
      <c r="D60" s="556"/>
      <c r="E60" s="556"/>
      <c r="F60" s="557">
        <f t="shared" si="3"/>
        <v>3.2847222222222222E-2</v>
      </c>
      <c r="G60" s="558">
        <v>702</v>
      </c>
      <c r="H60" s="559">
        <f t="shared" si="4"/>
        <v>7.6236786469344606</v>
      </c>
      <c r="I60" s="560">
        <v>10.199999999999999</v>
      </c>
      <c r="J60" s="561">
        <v>4.0972222222222226E-3</v>
      </c>
      <c r="K60" s="561">
        <v>4.0972222222222226E-3</v>
      </c>
      <c r="L60" s="562"/>
      <c r="M60" s="563" t="str">
        <f t="shared" si="5"/>
        <v/>
      </c>
      <c r="N60" s="564"/>
      <c r="O60" s="564"/>
      <c r="P60" s="564"/>
      <c r="Q60" s="573">
        <v>6.4814814814814813E-4</v>
      </c>
      <c r="R60" s="566">
        <v>2.8935185185185189E-4</v>
      </c>
      <c r="S60" s="567">
        <v>3.37962962962963E-3</v>
      </c>
      <c r="T60" s="568">
        <v>2.1296296296296299E-2</v>
      </c>
      <c r="U60" s="569">
        <v>7.2337962962962963E-3</v>
      </c>
      <c r="V60" s="570">
        <v>148</v>
      </c>
      <c r="W60" s="570">
        <v>165</v>
      </c>
      <c r="X60" s="574" t="s">
        <v>113</v>
      </c>
    </row>
    <row r="61" spans="1:24" s="554" customFormat="1" ht="15.95" customHeight="1" thickBot="1" x14ac:dyDescent="0.3">
      <c r="A61" s="451" t="s">
        <v>60</v>
      </c>
      <c r="B61" s="452">
        <v>43940</v>
      </c>
      <c r="C61" s="555">
        <v>32.299999999999997</v>
      </c>
      <c r="D61" s="556"/>
      <c r="E61" s="556"/>
      <c r="F61" s="557">
        <f t="shared" si="3"/>
        <v>4.1724537037037032E-2</v>
      </c>
      <c r="G61" s="558">
        <v>785</v>
      </c>
      <c r="H61" s="559">
        <f t="shared" si="4"/>
        <v>32.255201109570045</v>
      </c>
      <c r="I61" s="560">
        <v>56.1</v>
      </c>
      <c r="J61" s="561"/>
      <c r="K61" s="561"/>
      <c r="L61" s="562"/>
      <c r="M61" s="563" t="str">
        <f t="shared" si="5"/>
        <v/>
      </c>
      <c r="N61" s="564"/>
      <c r="O61" s="564"/>
      <c r="P61" s="564"/>
      <c r="Q61" s="565">
        <v>4.2824074074074075E-4</v>
      </c>
      <c r="R61" s="566">
        <v>3.6111111111111114E-3</v>
      </c>
      <c r="S61" s="567">
        <v>1.7766203703703704E-2</v>
      </c>
      <c r="T61" s="568">
        <v>1.9699074074074074E-2</v>
      </c>
      <c r="U61" s="569">
        <v>2.199074074074074E-4</v>
      </c>
      <c r="V61" s="570">
        <v>137.19999999999999</v>
      </c>
      <c r="W61" s="570">
        <v>160</v>
      </c>
      <c r="X61" s="571"/>
    </row>
    <row r="62" spans="1:24" s="554" customFormat="1" ht="15.95" customHeight="1" thickBot="1" x14ac:dyDescent="0.3">
      <c r="A62" s="453" t="s">
        <v>177</v>
      </c>
      <c r="B62" s="452">
        <v>43941</v>
      </c>
      <c r="C62" s="555">
        <v>5.59</v>
      </c>
      <c r="D62" s="556"/>
      <c r="E62" s="556"/>
      <c r="F62" s="557">
        <f t="shared" si="3"/>
        <v>3.7141203703703704E-2</v>
      </c>
      <c r="G62" s="558">
        <v>750</v>
      </c>
      <c r="H62" s="559">
        <f t="shared" si="4"/>
        <v>6.2711124961047053</v>
      </c>
      <c r="I62" s="560">
        <v>10.7</v>
      </c>
      <c r="J62" s="561">
        <v>3.8888888888888883E-3</v>
      </c>
      <c r="K62" s="561">
        <v>3.8888888888888883E-3</v>
      </c>
      <c r="L62" s="562"/>
      <c r="M62" s="563" t="str">
        <f t="shared" si="5"/>
        <v/>
      </c>
      <c r="N62" s="564"/>
      <c r="O62" s="564"/>
      <c r="P62" s="564"/>
      <c r="Q62" s="573">
        <v>5.0925925925925921E-4</v>
      </c>
      <c r="R62" s="566">
        <v>5.3240740740740744E-4</v>
      </c>
      <c r="S62" s="567">
        <v>9.6412037037037039E-3</v>
      </c>
      <c r="T62" s="568">
        <v>2.3518518518518518E-2</v>
      </c>
      <c r="U62" s="569">
        <v>2.9398148148148148E-3</v>
      </c>
      <c r="V62" s="570">
        <v>146</v>
      </c>
      <c r="W62" s="570">
        <v>163</v>
      </c>
      <c r="X62" s="574" t="s">
        <v>114</v>
      </c>
    </row>
    <row r="63" spans="1:24" s="554" customFormat="1" ht="15.95" customHeight="1" thickBot="1" x14ac:dyDescent="0.3">
      <c r="A63" s="453" t="s">
        <v>177</v>
      </c>
      <c r="B63" s="452">
        <v>43943</v>
      </c>
      <c r="C63" s="555">
        <v>6.9550000000000001</v>
      </c>
      <c r="D63" s="556"/>
      <c r="E63" s="556"/>
      <c r="F63" s="557">
        <f t="shared" si="3"/>
        <v>8.3506944444444425E-2</v>
      </c>
      <c r="G63" s="558">
        <v>739</v>
      </c>
      <c r="H63" s="559">
        <f t="shared" si="4"/>
        <v>3.4702702702702712</v>
      </c>
      <c r="I63" s="560">
        <v>35.6</v>
      </c>
      <c r="J63" s="561"/>
      <c r="K63" s="561"/>
      <c r="L63" s="562"/>
      <c r="M63" s="563" t="str">
        <f t="shared" si="5"/>
        <v/>
      </c>
      <c r="N63" s="564"/>
      <c r="O63" s="564"/>
      <c r="P63" s="564"/>
      <c r="Q63" s="565">
        <v>4.20949074074074E-2</v>
      </c>
      <c r="R63" s="566">
        <v>7.4768518518518526E-3</v>
      </c>
      <c r="S63" s="567">
        <v>1.5150462962962963E-2</v>
      </c>
      <c r="T63" s="568">
        <v>1.8784722222222223E-2</v>
      </c>
      <c r="U63" s="569">
        <v>0</v>
      </c>
      <c r="V63" s="570">
        <v>134.80000000000001</v>
      </c>
      <c r="W63" s="570">
        <v>155</v>
      </c>
      <c r="X63" s="574" t="s">
        <v>115</v>
      </c>
    </row>
    <row r="64" spans="1:24" s="554" customFormat="1" ht="15.95" customHeight="1" thickBot="1" x14ac:dyDescent="0.3">
      <c r="A64" s="451" t="s">
        <v>60</v>
      </c>
      <c r="B64" s="452">
        <v>43944</v>
      </c>
      <c r="C64" s="555">
        <v>26.99</v>
      </c>
      <c r="D64" s="556"/>
      <c r="E64" s="556"/>
      <c r="F64" s="557">
        <f t="shared" si="3"/>
        <v>3.4918981481481481E-2</v>
      </c>
      <c r="G64" s="558">
        <v>739</v>
      </c>
      <c r="H64" s="559">
        <f t="shared" si="4"/>
        <v>32.205502154458067</v>
      </c>
      <c r="I64" s="560">
        <v>10.5</v>
      </c>
      <c r="J64" s="561">
        <v>3.9699074074074072E-3</v>
      </c>
      <c r="K64" s="561">
        <v>3.9699074074074072E-3</v>
      </c>
      <c r="L64" s="562"/>
      <c r="M64" s="563" t="str">
        <f t="shared" si="5"/>
        <v/>
      </c>
      <c r="N64" s="564"/>
      <c r="O64" s="564"/>
      <c r="P64" s="564"/>
      <c r="Q64" s="573">
        <v>1.8518518518518518E-4</v>
      </c>
      <c r="R64" s="566">
        <v>3.5879629629629635E-4</v>
      </c>
      <c r="S64" s="567">
        <v>7.4074074074074068E-3</v>
      </c>
      <c r="T64" s="568">
        <v>1.8819444444444448E-2</v>
      </c>
      <c r="U64" s="569">
        <v>8.1481481481481474E-3</v>
      </c>
      <c r="V64" s="570">
        <v>148</v>
      </c>
      <c r="W64" s="570">
        <v>172</v>
      </c>
      <c r="X64" s="571"/>
    </row>
    <row r="65" spans="1:24" s="554" customFormat="1" ht="15.95" customHeight="1" thickBot="1" x14ac:dyDescent="0.3">
      <c r="A65" s="453" t="s">
        <v>177</v>
      </c>
      <c r="B65" s="452">
        <v>43945</v>
      </c>
      <c r="C65" s="555">
        <v>6.64</v>
      </c>
      <c r="D65" s="556"/>
      <c r="E65" s="556"/>
      <c r="F65" s="557">
        <f t="shared" si="3"/>
        <v>4.2037037037037039E-2</v>
      </c>
      <c r="G65" s="558">
        <v>800</v>
      </c>
      <c r="H65" s="559">
        <f t="shared" si="4"/>
        <v>6.5814977973568274</v>
      </c>
      <c r="I65" s="560">
        <v>28.7</v>
      </c>
      <c r="J65" s="561"/>
      <c r="K65" s="561"/>
      <c r="L65" s="562"/>
      <c r="M65" s="563" t="str">
        <f t="shared" si="5"/>
        <v/>
      </c>
      <c r="N65" s="564"/>
      <c r="O65" s="564"/>
      <c r="P65" s="564"/>
      <c r="Q65" s="565">
        <v>2.6620370370370372E-4</v>
      </c>
      <c r="R65" s="566">
        <v>6.4351851851851861E-3</v>
      </c>
      <c r="S65" s="567">
        <v>1.2881944444444446E-2</v>
      </c>
      <c r="T65" s="568">
        <v>1.5474537037037038E-2</v>
      </c>
      <c r="U65" s="569">
        <v>6.9791666666666674E-3</v>
      </c>
      <c r="V65" s="570">
        <v>139.5</v>
      </c>
      <c r="W65" s="570">
        <v>164</v>
      </c>
      <c r="X65" s="574" t="s">
        <v>116</v>
      </c>
    </row>
    <row r="66" spans="1:24" s="554" customFormat="1" ht="15.95" customHeight="1" thickBot="1" x14ac:dyDescent="0.3">
      <c r="A66" s="451" t="s">
        <v>60</v>
      </c>
      <c r="B66" s="452">
        <v>43947</v>
      </c>
      <c r="C66" s="555">
        <v>31.6</v>
      </c>
      <c r="D66" s="556"/>
      <c r="E66" s="556"/>
      <c r="F66" s="557">
        <f t="shared" si="3"/>
        <v>3.3935185185185186E-2</v>
      </c>
      <c r="G66" s="558">
        <v>638</v>
      </c>
      <c r="H66" s="559">
        <f t="shared" si="4"/>
        <v>38.799454297407912</v>
      </c>
      <c r="I66" s="560">
        <v>11.1</v>
      </c>
      <c r="J66" s="561"/>
      <c r="K66" s="561">
        <v>3.7384259259259263E-3</v>
      </c>
      <c r="L66" s="562"/>
      <c r="M66" s="563" t="str">
        <f t="shared" si="5"/>
        <v/>
      </c>
      <c r="N66" s="564"/>
      <c r="O66" s="564"/>
      <c r="P66" s="564"/>
      <c r="Q66" s="565">
        <v>1.3888888888888889E-4</v>
      </c>
      <c r="R66" s="566">
        <v>1.9212962962962962E-3</v>
      </c>
      <c r="S66" s="567">
        <v>1.0474537037037037E-2</v>
      </c>
      <c r="T66" s="568">
        <v>2.1400462962962965E-2</v>
      </c>
      <c r="U66" s="569">
        <v>0</v>
      </c>
      <c r="V66" s="570">
        <v>141</v>
      </c>
      <c r="W66" s="570">
        <v>156</v>
      </c>
      <c r="X66" s="571"/>
    </row>
    <row r="67" spans="1:24" s="554" customFormat="1" ht="15.95" customHeight="1" thickBot="1" x14ac:dyDescent="0.3">
      <c r="A67" s="453" t="s">
        <v>177</v>
      </c>
      <c r="B67" s="452">
        <v>43948</v>
      </c>
      <c r="C67" s="555">
        <v>6.8179999999999996</v>
      </c>
      <c r="D67" s="556"/>
      <c r="E67" s="556"/>
      <c r="F67" s="557">
        <f t="shared" si="3"/>
        <v>4.8171296296296295E-2</v>
      </c>
      <c r="G67" s="558">
        <v>954</v>
      </c>
      <c r="H67" s="559">
        <f t="shared" si="4"/>
        <v>5.8973570398846711</v>
      </c>
      <c r="I67" s="560">
        <v>35.4</v>
      </c>
      <c r="J67" s="561"/>
      <c r="K67" s="561"/>
      <c r="L67" s="562"/>
      <c r="M67" s="563" t="str">
        <f t="shared" si="5"/>
        <v/>
      </c>
      <c r="N67" s="564"/>
      <c r="O67" s="564"/>
      <c r="P67" s="564"/>
      <c r="Q67" s="565">
        <v>2.4305555555555552E-4</v>
      </c>
      <c r="R67" s="566">
        <v>4.8842592592592592E-3</v>
      </c>
      <c r="S67" s="567">
        <v>1.4259259259259261E-2</v>
      </c>
      <c r="T67" s="568">
        <v>2.521990740740741E-2</v>
      </c>
      <c r="U67" s="569">
        <v>3.5648148148148154E-3</v>
      </c>
      <c r="V67" s="570">
        <v>138.9</v>
      </c>
      <c r="W67" s="570">
        <v>165</v>
      </c>
      <c r="X67" s="574" t="s">
        <v>117</v>
      </c>
    </row>
    <row r="68" spans="1:24" s="554" customFormat="1" ht="15.95" customHeight="1" thickBot="1" x14ac:dyDescent="0.3">
      <c r="A68" s="451" t="s">
        <v>60</v>
      </c>
      <c r="B68" s="452">
        <v>43949</v>
      </c>
      <c r="C68" s="555">
        <v>28.3</v>
      </c>
      <c r="D68" s="556"/>
      <c r="E68" s="556"/>
      <c r="F68" s="557">
        <f t="shared" si="3"/>
        <v>3.8055555555555551E-2</v>
      </c>
      <c r="G68" s="558">
        <v>676</v>
      </c>
      <c r="H68" s="559">
        <f t="shared" si="4"/>
        <v>30.985401459854018</v>
      </c>
      <c r="I68" s="560">
        <v>11.2</v>
      </c>
      <c r="J68" s="561"/>
      <c r="K68" s="561">
        <v>3.7037037037037034E-3</v>
      </c>
      <c r="L68" s="562"/>
      <c r="M68" s="563" t="str">
        <f t="shared" si="5"/>
        <v/>
      </c>
      <c r="N68" s="564"/>
      <c r="O68" s="564"/>
      <c r="P68" s="564"/>
      <c r="Q68" s="565">
        <v>7.5231481481481471E-4</v>
      </c>
      <c r="R68" s="566">
        <v>3.2407407407407406E-3</v>
      </c>
      <c r="S68" s="567">
        <v>2.2766203703703702E-2</v>
      </c>
      <c r="T68" s="568">
        <v>1.1296296296296296E-2</v>
      </c>
      <c r="U68" s="569">
        <v>0</v>
      </c>
      <c r="V68" s="570">
        <v>136</v>
      </c>
      <c r="W68" s="570">
        <v>156</v>
      </c>
      <c r="X68" s="571"/>
    </row>
    <row r="69" spans="1:24" s="554" customFormat="1" ht="15.95" customHeight="1" thickBot="1" x14ac:dyDescent="0.3">
      <c r="A69" s="453" t="s">
        <v>177</v>
      </c>
      <c r="B69" s="452">
        <v>43950</v>
      </c>
      <c r="C69" s="555">
        <v>6.367</v>
      </c>
      <c r="D69" s="556"/>
      <c r="E69" s="556"/>
      <c r="F69" s="557">
        <f t="shared" si="3"/>
        <v>3.7905092592592594E-2</v>
      </c>
      <c r="G69" s="558">
        <v>362</v>
      </c>
      <c r="H69" s="559">
        <f t="shared" si="4"/>
        <v>6.9988396946564881</v>
      </c>
      <c r="I69" s="560"/>
      <c r="J69" s="561">
        <v>1.5856481481481479E-3</v>
      </c>
      <c r="K69" s="561"/>
      <c r="L69" s="562"/>
      <c r="M69" s="563" t="str">
        <f t="shared" si="5"/>
        <v/>
      </c>
      <c r="N69" s="564"/>
      <c r="O69" s="564"/>
      <c r="P69" s="564"/>
      <c r="Q69" s="565">
        <v>5.0115740740740737E-3</v>
      </c>
      <c r="R69" s="566">
        <v>3.2893518518518523E-2</v>
      </c>
      <c r="S69" s="567">
        <v>0</v>
      </c>
      <c r="T69" s="568">
        <v>0</v>
      </c>
      <c r="U69" s="569">
        <v>0</v>
      </c>
      <c r="V69" s="570">
        <v>111</v>
      </c>
      <c r="W69" s="570">
        <v>123</v>
      </c>
      <c r="X69" s="574" t="s">
        <v>118</v>
      </c>
    </row>
    <row r="70" spans="1:24" s="554" customFormat="1" ht="15.95" customHeight="1" thickBot="1" x14ac:dyDescent="0.3">
      <c r="A70" s="451" t="s">
        <v>60</v>
      </c>
      <c r="B70" s="452">
        <v>43951</v>
      </c>
      <c r="C70" s="555">
        <v>23.8</v>
      </c>
      <c r="D70" s="556"/>
      <c r="E70" s="556"/>
      <c r="F70" s="557">
        <f t="shared" si="3"/>
        <v>4.7337962962962971E-2</v>
      </c>
      <c r="G70" s="558">
        <v>481</v>
      </c>
      <c r="H70" s="559">
        <f t="shared" si="4"/>
        <v>20.948655256723715</v>
      </c>
      <c r="I70" s="560"/>
      <c r="J70" s="561">
        <v>1.6666666666666668E-3</v>
      </c>
      <c r="K70" s="561"/>
      <c r="L70" s="562"/>
      <c r="M70" s="563" t="str">
        <f t="shared" si="5"/>
        <v/>
      </c>
      <c r="N70" s="564"/>
      <c r="O70" s="564"/>
      <c r="P70" s="564"/>
      <c r="Q70" s="565">
        <v>2.685185185185185E-3</v>
      </c>
      <c r="R70" s="566">
        <v>3.4687500000000003E-2</v>
      </c>
      <c r="S70" s="567">
        <v>9.9652777777777778E-3</v>
      </c>
      <c r="T70" s="568">
        <v>0</v>
      </c>
      <c r="U70" s="569">
        <v>0</v>
      </c>
      <c r="V70" s="570">
        <v>118</v>
      </c>
      <c r="W70" s="570">
        <v>140</v>
      </c>
      <c r="X70" s="571"/>
    </row>
    <row r="71" spans="1:24" s="554" customFormat="1" ht="15.95" customHeight="1" thickBot="1" x14ac:dyDescent="0.3">
      <c r="A71" s="451" t="s">
        <v>177</v>
      </c>
      <c r="B71" s="452">
        <v>43952</v>
      </c>
      <c r="C71" s="555">
        <v>5.1100000000000003</v>
      </c>
      <c r="D71" s="556"/>
      <c r="E71" s="556"/>
      <c r="F71" s="557">
        <f t="shared" si="3"/>
        <v>4.1296296296296303E-2</v>
      </c>
      <c r="G71" s="558">
        <v>437</v>
      </c>
      <c r="H71" s="559">
        <f t="shared" si="4"/>
        <v>5.1558295964125556</v>
      </c>
      <c r="I71" s="560"/>
      <c r="J71" s="561">
        <v>1.5509259259259261E-3</v>
      </c>
      <c r="K71" s="561"/>
      <c r="L71" s="562"/>
      <c r="M71" s="563" t="str">
        <f t="shared" si="5"/>
        <v/>
      </c>
      <c r="N71" s="564"/>
      <c r="O71" s="564"/>
      <c r="P71" s="564"/>
      <c r="Q71" s="565">
        <v>2.0138888888888888E-3</v>
      </c>
      <c r="R71" s="566">
        <v>3.740740740740741E-2</v>
      </c>
      <c r="S71" s="567">
        <v>1.8750000000000001E-3</v>
      </c>
      <c r="T71" s="568">
        <v>0</v>
      </c>
      <c r="U71" s="569">
        <v>0</v>
      </c>
      <c r="V71" s="570">
        <v>114</v>
      </c>
      <c r="W71" s="570">
        <v>134</v>
      </c>
      <c r="X71" s="574" t="s">
        <v>119</v>
      </c>
    </row>
    <row r="72" spans="1:24" s="554" customFormat="1" ht="15.95" customHeight="1" thickBot="1" x14ac:dyDescent="0.3">
      <c r="A72" s="451" t="s">
        <v>60</v>
      </c>
      <c r="B72" s="452">
        <v>43954</v>
      </c>
      <c r="C72" s="555">
        <v>34.799999999999997</v>
      </c>
      <c r="D72" s="556"/>
      <c r="E72" s="556"/>
      <c r="F72" s="557">
        <f t="shared" ref="F72:F135" si="6">IF(SUM(Q72:U72)=0,"",SUM(Q72:U72))</f>
        <v>4.8171296296296295E-2</v>
      </c>
      <c r="G72" s="558">
        <v>954</v>
      </c>
      <c r="H72" s="559">
        <f t="shared" ref="H72:H135" si="7">IF(F72&lt;&gt;"",C72/F72/24,"")</f>
        <v>30.100913022585292</v>
      </c>
      <c r="I72" s="560">
        <v>35.4</v>
      </c>
      <c r="J72" s="561">
        <v>1.3310185185185185E-3</v>
      </c>
      <c r="K72" s="561"/>
      <c r="L72" s="562"/>
      <c r="M72" s="563" t="str">
        <f t="shared" ref="M72:M135" si="8">IF(OR(C72="",L72=""),"",L72/C72)</f>
        <v/>
      </c>
      <c r="N72" s="564"/>
      <c r="O72" s="564"/>
      <c r="P72" s="564"/>
      <c r="Q72" s="565">
        <v>2.4305555555555552E-4</v>
      </c>
      <c r="R72" s="566">
        <v>4.8842592592592592E-3</v>
      </c>
      <c r="S72" s="567">
        <v>1.4259259259259261E-2</v>
      </c>
      <c r="T72" s="568">
        <v>2.521990740740741E-2</v>
      </c>
      <c r="U72" s="569">
        <v>3.5648148148148154E-3</v>
      </c>
      <c r="V72" s="570">
        <v>143</v>
      </c>
      <c r="W72" s="570">
        <v>165</v>
      </c>
      <c r="X72" s="571"/>
    </row>
    <row r="73" spans="1:24" s="554" customFormat="1" ht="15.95" customHeight="1" thickBot="1" x14ac:dyDescent="0.3">
      <c r="A73" s="451" t="s">
        <v>177</v>
      </c>
      <c r="B73" s="452">
        <v>43955</v>
      </c>
      <c r="C73" s="555">
        <v>6.2</v>
      </c>
      <c r="D73" s="556"/>
      <c r="E73" s="556"/>
      <c r="F73" s="557">
        <f t="shared" si="6"/>
        <v>3.8055555555555551E-2</v>
      </c>
      <c r="G73" s="558">
        <v>700</v>
      </c>
      <c r="H73" s="559">
        <f t="shared" si="7"/>
        <v>6.788321167883212</v>
      </c>
      <c r="I73" s="560">
        <v>11.2</v>
      </c>
      <c r="J73" s="561">
        <v>1.8865740740740742E-3</v>
      </c>
      <c r="K73" s="561">
        <v>3.7037037037037034E-3</v>
      </c>
      <c r="L73" s="562"/>
      <c r="M73" s="563" t="str">
        <f t="shared" si="8"/>
        <v/>
      </c>
      <c r="N73" s="564"/>
      <c r="O73" s="564"/>
      <c r="P73" s="564"/>
      <c r="Q73" s="565">
        <v>7.5231481481481471E-4</v>
      </c>
      <c r="R73" s="566">
        <v>3.2407407407407406E-3</v>
      </c>
      <c r="S73" s="567">
        <v>2.2766203703703702E-2</v>
      </c>
      <c r="T73" s="568">
        <v>1.1296296296296296E-2</v>
      </c>
      <c r="U73" s="569">
        <v>0</v>
      </c>
      <c r="V73" s="570">
        <v>136</v>
      </c>
      <c r="W73" s="570">
        <v>156</v>
      </c>
      <c r="X73" s="574" t="s">
        <v>120</v>
      </c>
    </row>
    <row r="74" spans="1:24" s="554" customFormat="1" ht="15.95" customHeight="1" thickBot="1" x14ac:dyDescent="0.3">
      <c r="A74" s="451" t="s">
        <v>177</v>
      </c>
      <c r="B74" s="452">
        <v>43957</v>
      </c>
      <c r="C74" s="555">
        <v>6.56</v>
      </c>
      <c r="D74" s="556"/>
      <c r="E74" s="556"/>
      <c r="F74" s="557">
        <f t="shared" si="6"/>
        <v>3.1921296296296295E-2</v>
      </c>
      <c r="G74" s="558">
        <v>666</v>
      </c>
      <c r="H74" s="559">
        <f t="shared" si="7"/>
        <v>8.5627266134880351</v>
      </c>
      <c r="I74" s="560"/>
      <c r="J74" s="561"/>
      <c r="K74" s="561">
        <v>4.2824074074074075E-3</v>
      </c>
      <c r="L74" s="562"/>
      <c r="M74" s="563" t="str">
        <f t="shared" si="8"/>
        <v/>
      </c>
      <c r="N74" s="564"/>
      <c r="O74" s="564"/>
      <c r="P74" s="564"/>
      <c r="Q74" s="565">
        <v>1.5046296296296297E-4</v>
      </c>
      <c r="R74" s="566">
        <v>3.8194444444444446E-4</v>
      </c>
      <c r="S74" s="567">
        <v>6.7476851851851856E-3</v>
      </c>
      <c r="T74" s="568">
        <v>2.4340277777777777E-2</v>
      </c>
      <c r="U74" s="569">
        <v>3.0092592592592595E-4</v>
      </c>
      <c r="V74" s="570">
        <v>145</v>
      </c>
      <c r="W74" s="570">
        <v>159</v>
      </c>
      <c r="X74" s="574" t="s">
        <v>121</v>
      </c>
    </row>
    <row r="75" spans="1:24" s="554" customFormat="1" ht="15.95" customHeight="1" thickBot="1" x14ac:dyDescent="0.3">
      <c r="A75" s="451" t="s">
        <v>177</v>
      </c>
      <c r="B75" s="452">
        <v>43960</v>
      </c>
      <c r="C75" s="555">
        <v>7.726</v>
      </c>
      <c r="D75" s="556"/>
      <c r="E75" s="556"/>
      <c r="F75" s="557">
        <f t="shared" si="6"/>
        <v>4.1481481481481487E-2</v>
      </c>
      <c r="G75" s="558">
        <v>857</v>
      </c>
      <c r="H75" s="559">
        <f t="shared" si="7"/>
        <v>7.7604910714285706</v>
      </c>
      <c r="I75" s="560">
        <v>11.1</v>
      </c>
      <c r="J75" s="561"/>
      <c r="K75" s="561">
        <v>3.7384259259259263E-3</v>
      </c>
      <c r="L75" s="562"/>
      <c r="M75" s="563" t="str">
        <f t="shared" si="8"/>
        <v/>
      </c>
      <c r="N75" s="564"/>
      <c r="O75" s="564"/>
      <c r="P75" s="564"/>
      <c r="Q75" s="565">
        <v>2.8935185185185189E-4</v>
      </c>
      <c r="R75" s="566">
        <v>4.6296296296296293E-4</v>
      </c>
      <c r="S75" s="567">
        <v>6.9791666666666674E-3</v>
      </c>
      <c r="T75" s="568">
        <v>2.5324074074074079E-2</v>
      </c>
      <c r="U75" s="569">
        <v>8.4259259259259253E-3</v>
      </c>
      <c r="V75" s="570">
        <v>149</v>
      </c>
      <c r="W75" s="570">
        <v>161</v>
      </c>
      <c r="X75" s="574" t="s">
        <v>122</v>
      </c>
    </row>
    <row r="76" spans="1:24" s="554" customFormat="1" ht="15.95" customHeight="1" thickBot="1" x14ac:dyDescent="0.3">
      <c r="A76" s="451" t="s">
        <v>177</v>
      </c>
      <c r="B76" s="452">
        <v>43962</v>
      </c>
      <c r="C76" s="555">
        <v>7.16</v>
      </c>
      <c r="D76" s="556"/>
      <c r="E76" s="556"/>
      <c r="F76" s="557">
        <f t="shared" si="6"/>
        <v>3.9247685185185184E-2</v>
      </c>
      <c r="G76" s="558">
        <v>833</v>
      </c>
      <c r="H76" s="559">
        <f t="shared" si="7"/>
        <v>7.601297552344441</v>
      </c>
      <c r="I76" s="560">
        <v>10.9</v>
      </c>
      <c r="J76" s="561">
        <v>5.5324074074074069E-3</v>
      </c>
      <c r="K76" s="561">
        <v>3.8194444444444443E-3</v>
      </c>
      <c r="L76" s="562"/>
      <c r="M76" s="563" t="str">
        <f t="shared" si="8"/>
        <v/>
      </c>
      <c r="N76" s="564"/>
      <c r="O76" s="564"/>
      <c r="P76" s="564"/>
      <c r="Q76" s="565">
        <v>4.3981481481481481E-4</v>
      </c>
      <c r="R76" s="566">
        <v>3.3564814814814812E-4</v>
      </c>
      <c r="S76" s="567">
        <v>5.9953703703703697E-3</v>
      </c>
      <c r="T76" s="568">
        <v>2.298611111111111E-2</v>
      </c>
      <c r="U76" s="569">
        <v>9.4907407407407406E-3</v>
      </c>
      <c r="V76" s="570">
        <v>149</v>
      </c>
      <c r="W76" s="570">
        <v>170</v>
      </c>
      <c r="X76" s="574" t="s">
        <v>129</v>
      </c>
    </row>
    <row r="77" spans="1:24" s="554" customFormat="1" ht="15.95" customHeight="1" thickBot="1" x14ac:dyDescent="0.3">
      <c r="A77" s="451" t="s">
        <v>56</v>
      </c>
      <c r="B77" s="452">
        <v>43968</v>
      </c>
      <c r="C77" s="555">
        <v>61.22</v>
      </c>
      <c r="D77" s="556"/>
      <c r="E77" s="556"/>
      <c r="F77" s="557">
        <f t="shared" si="6"/>
        <v>0.11100694444444445</v>
      </c>
      <c r="G77" s="558">
        <v>1904</v>
      </c>
      <c r="H77" s="559">
        <f t="shared" si="7"/>
        <v>22.979042852674382</v>
      </c>
      <c r="I77" s="560">
        <v>46.3</v>
      </c>
      <c r="J77" s="561"/>
      <c r="K77" s="561"/>
      <c r="L77" s="562">
        <v>602</v>
      </c>
      <c r="M77" s="563">
        <f t="shared" si="8"/>
        <v>9.8333877817706625</v>
      </c>
      <c r="N77" s="564"/>
      <c r="O77" s="564"/>
      <c r="P77" s="564"/>
      <c r="Q77" s="565">
        <v>1.25E-3</v>
      </c>
      <c r="R77" s="566">
        <v>1.0717592592592593E-2</v>
      </c>
      <c r="S77" s="567">
        <v>2.9386574074074075E-2</v>
      </c>
      <c r="T77" s="568">
        <v>5.1701388888888887E-2</v>
      </c>
      <c r="U77" s="569">
        <v>1.7951388888888888E-2</v>
      </c>
      <c r="V77" s="570">
        <v>144</v>
      </c>
      <c r="W77" s="570">
        <v>167</v>
      </c>
      <c r="X77" s="571" t="s">
        <v>132</v>
      </c>
    </row>
    <row r="78" spans="1:24" s="554" customFormat="1" ht="15.95" customHeight="1" thickBot="1" x14ac:dyDescent="0.3">
      <c r="A78" s="451" t="s">
        <v>57</v>
      </c>
      <c r="B78" s="452">
        <v>43969</v>
      </c>
      <c r="C78" s="555">
        <v>5.19</v>
      </c>
      <c r="D78" s="556"/>
      <c r="E78" s="556"/>
      <c r="F78" s="557">
        <f t="shared" si="6"/>
        <v>2.509259259259259E-2</v>
      </c>
      <c r="G78" s="558">
        <v>547</v>
      </c>
      <c r="H78" s="559">
        <f t="shared" si="7"/>
        <v>8.6180811808118101</v>
      </c>
      <c r="I78" s="560">
        <v>10.5</v>
      </c>
      <c r="J78" s="561">
        <v>4.8263888888888887E-3</v>
      </c>
      <c r="K78" s="561">
        <v>3.9467592592592592E-3</v>
      </c>
      <c r="L78" s="562">
        <v>11</v>
      </c>
      <c r="M78" s="563">
        <f t="shared" si="8"/>
        <v>2.1194605009633909</v>
      </c>
      <c r="N78" s="564"/>
      <c r="O78" s="564"/>
      <c r="P78" s="564"/>
      <c r="Q78" s="565">
        <v>1.1574074074074073E-5</v>
      </c>
      <c r="R78" s="566">
        <v>2.3148148148148146E-4</v>
      </c>
      <c r="S78" s="567">
        <v>2.2106481481481478E-3</v>
      </c>
      <c r="T78" s="568">
        <v>1.1030092592592591E-2</v>
      </c>
      <c r="U78" s="569">
        <v>1.1608796296296296E-2</v>
      </c>
      <c r="V78" s="570">
        <v>157</v>
      </c>
      <c r="W78" s="570">
        <v>172</v>
      </c>
      <c r="X78" s="571" t="s">
        <v>134</v>
      </c>
    </row>
    <row r="79" spans="1:24" s="554" customFormat="1" ht="15.95" customHeight="1" thickBot="1" x14ac:dyDescent="0.3">
      <c r="A79" s="451" t="s">
        <v>56</v>
      </c>
      <c r="B79" s="452">
        <v>43972</v>
      </c>
      <c r="C79" s="555">
        <v>80.88</v>
      </c>
      <c r="D79" s="556"/>
      <c r="E79" s="556"/>
      <c r="F79" s="557">
        <f t="shared" si="6"/>
        <v>0.13751157407407405</v>
      </c>
      <c r="G79" s="558">
        <v>2217</v>
      </c>
      <c r="H79" s="559">
        <f t="shared" si="7"/>
        <v>24.507028027943779</v>
      </c>
      <c r="I79" s="560">
        <v>25.5</v>
      </c>
      <c r="J79" s="561"/>
      <c r="K79" s="561"/>
      <c r="L79" s="562">
        <v>285</v>
      </c>
      <c r="M79" s="563">
        <f t="shared" si="8"/>
        <v>3.5237388724035612</v>
      </c>
      <c r="N79" s="564"/>
      <c r="O79" s="564"/>
      <c r="P79" s="564"/>
      <c r="Q79" s="565">
        <v>1.2731481481481483E-3</v>
      </c>
      <c r="R79" s="566">
        <v>1.4895833333333332E-2</v>
      </c>
      <c r="S79" s="567">
        <v>4.6215277777777779E-2</v>
      </c>
      <c r="T79" s="568">
        <v>6.4571759259259259E-2</v>
      </c>
      <c r="U79" s="569">
        <v>1.0555555555555554E-2</v>
      </c>
      <c r="V79" s="570">
        <v>142</v>
      </c>
      <c r="W79" s="570">
        <v>170</v>
      </c>
      <c r="X79" s="571" t="s">
        <v>135</v>
      </c>
    </row>
    <row r="80" spans="1:24" s="554" customFormat="1" ht="15.95" customHeight="1" thickBot="1" x14ac:dyDescent="0.3">
      <c r="A80" s="451" t="s">
        <v>56</v>
      </c>
      <c r="B80" s="452">
        <v>43976</v>
      </c>
      <c r="C80" s="555">
        <v>39.67</v>
      </c>
      <c r="D80" s="556"/>
      <c r="E80" s="556"/>
      <c r="F80" s="557">
        <f t="shared" si="6"/>
        <v>9.2638888888888896E-2</v>
      </c>
      <c r="G80" s="558">
        <v>1560</v>
      </c>
      <c r="H80" s="559">
        <f t="shared" si="7"/>
        <v>17.842578710644677</v>
      </c>
      <c r="I80" s="560">
        <v>50.9</v>
      </c>
      <c r="J80" s="561"/>
      <c r="K80" s="561"/>
      <c r="L80" s="562">
        <v>755</v>
      </c>
      <c r="M80" s="563">
        <f t="shared" si="8"/>
        <v>19.0320141164608</v>
      </c>
      <c r="N80" s="564"/>
      <c r="O80" s="564"/>
      <c r="P80" s="564"/>
      <c r="Q80" s="565">
        <v>9.6643518518518511E-3</v>
      </c>
      <c r="R80" s="566">
        <v>7.4421296296296293E-3</v>
      </c>
      <c r="S80" s="567">
        <v>1.7430555555555557E-2</v>
      </c>
      <c r="T80" s="568">
        <v>4.9664351851851855E-2</v>
      </c>
      <c r="U80" s="569">
        <v>8.4375000000000006E-3</v>
      </c>
      <c r="V80" s="570">
        <v>139</v>
      </c>
      <c r="W80" s="570">
        <v>168</v>
      </c>
      <c r="X80" s="571" t="s">
        <v>136</v>
      </c>
    </row>
    <row r="81" spans="1:24" s="554" customFormat="1" ht="15.95" customHeight="1" thickBot="1" x14ac:dyDescent="0.3">
      <c r="A81" s="451" t="s">
        <v>57</v>
      </c>
      <c r="B81" s="452">
        <v>43977</v>
      </c>
      <c r="C81" s="555">
        <v>8.2100000000000009</v>
      </c>
      <c r="D81" s="556"/>
      <c r="E81" s="556"/>
      <c r="F81" s="557">
        <f t="shared" si="6"/>
        <v>4.189814814814815E-2</v>
      </c>
      <c r="G81" s="558">
        <v>834</v>
      </c>
      <c r="H81" s="559">
        <f t="shared" si="7"/>
        <v>8.164640883977901</v>
      </c>
      <c r="I81" s="560">
        <v>11.8</v>
      </c>
      <c r="J81" s="561">
        <v>5.0925925925925921E-3</v>
      </c>
      <c r="K81" s="561">
        <v>3.5416666666666665E-3</v>
      </c>
      <c r="L81" s="562">
        <v>6</v>
      </c>
      <c r="M81" s="563">
        <f t="shared" si="8"/>
        <v>0.73081607795371495</v>
      </c>
      <c r="N81" s="564"/>
      <c r="O81" s="564"/>
      <c r="P81" s="564"/>
      <c r="Q81" s="565">
        <v>1.0416666666666667E-4</v>
      </c>
      <c r="R81" s="566">
        <v>4.2824074074074075E-4</v>
      </c>
      <c r="S81" s="567">
        <v>8.7384259259259255E-3</v>
      </c>
      <c r="T81" s="568">
        <v>1.8101851851851852E-2</v>
      </c>
      <c r="U81" s="569">
        <v>1.4525462962962964E-2</v>
      </c>
      <c r="V81" s="570">
        <v>150</v>
      </c>
      <c r="W81" s="570">
        <v>167</v>
      </c>
      <c r="X81" s="571" t="s">
        <v>137</v>
      </c>
    </row>
    <row r="82" spans="1:24" s="554" customFormat="1" ht="15.95" customHeight="1" thickBot="1" x14ac:dyDescent="0.3">
      <c r="A82" s="451" t="s">
        <v>57</v>
      </c>
      <c r="B82" s="452">
        <v>43981</v>
      </c>
      <c r="C82" s="555">
        <v>10.31</v>
      </c>
      <c r="D82" s="556"/>
      <c r="E82" s="556"/>
      <c r="F82" s="557">
        <f t="shared" si="6"/>
        <v>5.5081018518518522E-2</v>
      </c>
      <c r="G82" s="558">
        <v>1025</v>
      </c>
      <c r="H82" s="559">
        <f t="shared" si="7"/>
        <v>7.7991174616516075</v>
      </c>
      <c r="I82" s="560">
        <v>13.6</v>
      </c>
      <c r="J82" s="561">
        <v>5.3356481481481484E-3</v>
      </c>
      <c r="K82" s="561">
        <v>3.0555555555555557E-3</v>
      </c>
      <c r="L82" s="562">
        <v>9</v>
      </c>
      <c r="M82" s="563">
        <f t="shared" si="8"/>
        <v>0.87293889427740057</v>
      </c>
      <c r="N82" s="564"/>
      <c r="O82" s="564"/>
      <c r="P82" s="564"/>
      <c r="Q82" s="565">
        <v>9.2592592592592588E-5</v>
      </c>
      <c r="R82" s="566">
        <v>5.7870370370370376E-3</v>
      </c>
      <c r="S82" s="567">
        <v>8.1712962962962963E-3</v>
      </c>
      <c r="T82" s="568">
        <v>3.5648148148148151E-2</v>
      </c>
      <c r="U82" s="569">
        <v>5.3819444444444453E-3</v>
      </c>
      <c r="V82" s="570">
        <v>144</v>
      </c>
      <c r="W82" s="570">
        <v>167</v>
      </c>
      <c r="X82" s="571" t="s">
        <v>137</v>
      </c>
    </row>
    <row r="83" spans="1:24" s="554" customFormat="1" ht="15.95" customHeight="1" thickBot="1" x14ac:dyDescent="0.3">
      <c r="A83" s="451" t="s">
        <v>56</v>
      </c>
      <c r="B83" s="452">
        <v>43982</v>
      </c>
      <c r="C83" s="555">
        <v>33.950000000000003</v>
      </c>
      <c r="D83" s="556"/>
      <c r="E83" s="556"/>
      <c r="F83" s="557">
        <f t="shared" si="6"/>
        <v>5.662037037037037E-2</v>
      </c>
      <c r="G83" s="558">
        <v>1082</v>
      </c>
      <c r="H83" s="559">
        <f t="shared" si="7"/>
        <v>24.983646770237126</v>
      </c>
      <c r="I83" s="560">
        <v>55.9</v>
      </c>
      <c r="J83" s="561"/>
      <c r="K83" s="561"/>
      <c r="L83" s="562">
        <v>282</v>
      </c>
      <c r="M83" s="563">
        <f t="shared" si="8"/>
        <v>8.3063328424153156</v>
      </c>
      <c r="N83" s="564"/>
      <c r="O83" s="564"/>
      <c r="P83" s="564"/>
      <c r="Q83" s="565">
        <v>8.6805555555555551E-4</v>
      </c>
      <c r="R83" s="566">
        <v>2.4305555555555556E-3</v>
      </c>
      <c r="S83" s="567">
        <v>9.1203703703703707E-3</v>
      </c>
      <c r="T83" s="568">
        <v>4.2546296296296297E-2</v>
      </c>
      <c r="U83" s="569">
        <v>1.6550925925925926E-3</v>
      </c>
      <c r="V83" s="570">
        <v>147</v>
      </c>
      <c r="W83" s="570">
        <v>163</v>
      </c>
      <c r="X83" s="571" t="s">
        <v>143</v>
      </c>
    </row>
    <row r="84" spans="1:24" s="554" customFormat="1" ht="15.95" customHeight="1" thickBot="1" x14ac:dyDescent="0.3">
      <c r="A84" s="451" t="s">
        <v>57</v>
      </c>
      <c r="B84" s="452">
        <v>43984</v>
      </c>
      <c r="C84" s="555">
        <v>11.02</v>
      </c>
      <c r="D84" s="556"/>
      <c r="E84" s="556"/>
      <c r="F84" s="557">
        <f t="shared" si="6"/>
        <v>6.3888888888888898E-2</v>
      </c>
      <c r="G84" s="558">
        <v>1116</v>
      </c>
      <c r="H84" s="559">
        <f t="shared" si="7"/>
        <v>7.1869565217391296</v>
      </c>
      <c r="I84" s="560">
        <v>11.4</v>
      </c>
      <c r="J84" s="561">
        <v>5.7986111111111112E-3</v>
      </c>
      <c r="K84" s="561">
        <v>3.6689814814814814E-3</v>
      </c>
      <c r="L84" s="562">
        <v>23</v>
      </c>
      <c r="M84" s="563">
        <f t="shared" si="8"/>
        <v>2.0871143375680581</v>
      </c>
      <c r="N84" s="564"/>
      <c r="O84" s="564"/>
      <c r="P84" s="564"/>
      <c r="Q84" s="565">
        <v>4.6296296296296294E-5</v>
      </c>
      <c r="R84" s="566">
        <v>2.0266203703703703E-2</v>
      </c>
      <c r="S84" s="567">
        <v>6.782407407407408E-3</v>
      </c>
      <c r="T84" s="568">
        <v>1.6168981481481482E-2</v>
      </c>
      <c r="U84" s="569">
        <v>2.0625000000000001E-2</v>
      </c>
      <c r="V84" s="570">
        <v>143</v>
      </c>
      <c r="W84" s="570">
        <v>171</v>
      </c>
      <c r="X84" s="571" t="s">
        <v>137</v>
      </c>
    </row>
    <row r="85" spans="1:24" s="554" customFormat="1" ht="15.95" customHeight="1" thickBot="1" x14ac:dyDescent="0.3">
      <c r="A85" s="451" t="s">
        <v>57</v>
      </c>
      <c r="B85" s="452">
        <v>43987</v>
      </c>
      <c r="C85" s="555">
        <v>5.14</v>
      </c>
      <c r="D85" s="556"/>
      <c r="E85" s="556"/>
      <c r="F85" s="557">
        <f t="shared" si="6"/>
        <v>2.569444444444444E-2</v>
      </c>
      <c r="G85" s="558">
        <v>553</v>
      </c>
      <c r="H85" s="559">
        <f t="shared" si="7"/>
        <v>8.3351351351351362</v>
      </c>
      <c r="I85" s="560">
        <v>17.8</v>
      </c>
      <c r="J85" s="561">
        <v>5.0115740740740737E-3</v>
      </c>
      <c r="K85" s="561">
        <v>2.3495370370370371E-3</v>
      </c>
      <c r="L85" s="562">
        <v>7</v>
      </c>
      <c r="M85" s="563">
        <f t="shared" si="8"/>
        <v>1.3618677042801557</v>
      </c>
      <c r="N85" s="564"/>
      <c r="O85" s="564"/>
      <c r="P85" s="564"/>
      <c r="Q85" s="565">
        <v>0</v>
      </c>
      <c r="R85" s="566">
        <v>1.273148148148148E-4</v>
      </c>
      <c r="S85" s="567">
        <v>4.8611111111111104E-4</v>
      </c>
      <c r="T85" s="568">
        <v>8.8425925925925911E-3</v>
      </c>
      <c r="U85" s="569">
        <v>1.6238425925925924E-2</v>
      </c>
      <c r="V85" s="570">
        <v>160</v>
      </c>
      <c r="W85" s="570">
        <v>173</v>
      </c>
      <c r="X85" s="571" t="s">
        <v>144</v>
      </c>
    </row>
    <row r="86" spans="1:24" s="554" customFormat="1" ht="15.95" customHeight="1" thickBot="1" x14ac:dyDescent="0.3">
      <c r="A86" s="451" t="s">
        <v>56</v>
      </c>
      <c r="B86" s="452">
        <v>43988</v>
      </c>
      <c r="C86" s="555">
        <v>32.520000000000003</v>
      </c>
      <c r="D86" s="556"/>
      <c r="E86" s="556"/>
      <c r="F86" s="557">
        <f t="shared" si="6"/>
        <v>4.9930555555555554E-2</v>
      </c>
      <c r="G86" s="558">
        <v>980</v>
      </c>
      <c r="H86" s="559">
        <f t="shared" si="7"/>
        <v>27.137691237830325</v>
      </c>
      <c r="I86" s="560">
        <v>37.4</v>
      </c>
      <c r="J86" s="561"/>
      <c r="K86" s="561"/>
      <c r="L86" s="562">
        <v>109</v>
      </c>
      <c r="M86" s="563">
        <f t="shared" si="8"/>
        <v>3.351783517835178</v>
      </c>
      <c r="N86" s="564"/>
      <c r="O86" s="564"/>
      <c r="P86" s="564"/>
      <c r="Q86" s="565">
        <v>5.5555555555555556E-4</v>
      </c>
      <c r="R86" s="566">
        <v>1.2384259259259258E-3</v>
      </c>
      <c r="S86" s="567">
        <v>1.3032407407407407E-2</v>
      </c>
      <c r="T86" s="568">
        <v>3.4050925925925922E-2</v>
      </c>
      <c r="U86" s="569">
        <v>1.0532407407407407E-3</v>
      </c>
      <c r="V86" s="570">
        <v>143</v>
      </c>
      <c r="W86" s="570">
        <v>164</v>
      </c>
      <c r="X86" s="571" t="s">
        <v>145</v>
      </c>
    </row>
    <row r="87" spans="1:24" s="554" customFormat="1" ht="15.95" customHeight="1" thickBot="1" x14ac:dyDescent="0.3">
      <c r="A87" s="451" t="s">
        <v>57</v>
      </c>
      <c r="B87" s="452">
        <v>43990</v>
      </c>
      <c r="C87" s="555">
        <v>6.38</v>
      </c>
      <c r="D87" s="556"/>
      <c r="E87" s="556"/>
      <c r="F87" s="557">
        <f t="shared" si="6"/>
        <v>3.457175925925926E-2</v>
      </c>
      <c r="G87" s="558">
        <v>667</v>
      </c>
      <c r="H87" s="559">
        <f t="shared" si="7"/>
        <v>7.6893203883495147</v>
      </c>
      <c r="I87" s="560">
        <v>14.1</v>
      </c>
      <c r="J87" s="561">
        <v>5.4166666666666669E-3</v>
      </c>
      <c r="K87" s="561">
        <v>2.9629629629629628E-3</v>
      </c>
      <c r="L87" s="562">
        <v>7</v>
      </c>
      <c r="M87" s="563">
        <f t="shared" si="8"/>
        <v>1.0971786833855799</v>
      </c>
      <c r="N87" s="564"/>
      <c r="O87" s="564"/>
      <c r="P87" s="564"/>
      <c r="Q87" s="565">
        <v>8.1018518518518516E-5</v>
      </c>
      <c r="R87" s="566">
        <v>4.8611111111111104E-4</v>
      </c>
      <c r="S87" s="567">
        <v>5.3587962962962964E-3</v>
      </c>
      <c r="T87" s="568">
        <v>2.2210648148148149E-2</v>
      </c>
      <c r="U87" s="569">
        <v>6.4351851851851861E-3</v>
      </c>
      <c r="V87" s="570">
        <v>150</v>
      </c>
      <c r="W87" s="570">
        <v>169</v>
      </c>
      <c r="X87" s="571" t="s">
        <v>144</v>
      </c>
    </row>
    <row r="88" spans="1:24" s="554" customFormat="1" ht="15.95" customHeight="1" thickBot="1" x14ac:dyDescent="0.3">
      <c r="A88" s="451" t="s">
        <v>56</v>
      </c>
      <c r="B88" s="452">
        <v>43993</v>
      </c>
      <c r="C88" s="555">
        <v>28.23</v>
      </c>
      <c r="D88" s="556"/>
      <c r="E88" s="556"/>
      <c r="F88" s="557">
        <f t="shared" si="6"/>
        <v>4.611111111111111E-2</v>
      </c>
      <c r="G88" s="558">
        <v>845</v>
      </c>
      <c r="H88" s="559">
        <f t="shared" si="7"/>
        <v>25.509036144578314</v>
      </c>
      <c r="I88" s="560">
        <v>44.7</v>
      </c>
      <c r="J88" s="561"/>
      <c r="K88" s="561"/>
      <c r="L88" s="562">
        <v>118</v>
      </c>
      <c r="M88" s="563">
        <f t="shared" si="8"/>
        <v>4.1799504073680485</v>
      </c>
      <c r="N88" s="564"/>
      <c r="O88" s="564"/>
      <c r="P88" s="564"/>
      <c r="Q88" s="565">
        <v>7.5231481481481471E-4</v>
      </c>
      <c r="R88" s="566">
        <v>2.9861111111111113E-3</v>
      </c>
      <c r="S88" s="567">
        <v>2.4733796296296295E-2</v>
      </c>
      <c r="T88" s="568">
        <v>1.7638888888888888E-2</v>
      </c>
      <c r="U88" s="569">
        <v>0</v>
      </c>
      <c r="V88" s="570">
        <v>137</v>
      </c>
      <c r="W88" s="570">
        <v>155</v>
      </c>
      <c r="X88" s="571" t="s">
        <v>147</v>
      </c>
    </row>
    <row r="89" spans="1:24" s="554" customFormat="1" ht="15.95" customHeight="1" thickBot="1" x14ac:dyDescent="0.3">
      <c r="A89" s="454" t="s">
        <v>57</v>
      </c>
      <c r="B89" s="452">
        <v>43994</v>
      </c>
      <c r="C89" s="555">
        <v>3.66</v>
      </c>
      <c r="D89" s="556"/>
      <c r="E89" s="556"/>
      <c r="F89" s="557">
        <f t="shared" si="6"/>
        <v>1.8842592592592595E-2</v>
      </c>
      <c r="G89" s="558">
        <v>351</v>
      </c>
      <c r="H89" s="559">
        <f t="shared" si="7"/>
        <v>8.0933660933660931</v>
      </c>
      <c r="I89" s="560">
        <v>17.3</v>
      </c>
      <c r="J89" s="561">
        <v>5.1967592592592595E-3</v>
      </c>
      <c r="K89" s="561">
        <v>2.4074074074074076E-3</v>
      </c>
      <c r="L89" s="562">
        <v>20</v>
      </c>
      <c r="M89" s="563">
        <f t="shared" si="8"/>
        <v>5.4644808743169397</v>
      </c>
      <c r="N89" s="564"/>
      <c r="O89" s="564"/>
      <c r="P89" s="564"/>
      <c r="Q89" s="565">
        <v>1.7361111111111112E-4</v>
      </c>
      <c r="R89" s="566">
        <v>4.3981481481481481E-4</v>
      </c>
      <c r="S89" s="567">
        <v>6.4351851851851861E-3</v>
      </c>
      <c r="T89" s="568">
        <v>1.1481481481481483E-2</v>
      </c>
      <c r="U89" s="569">
        <v>3.1250000000000001E-4</v>
      </c>
      <c r="V89" s="570">
        <v>143</v>
      </c>
      <c r="W89" s="570">
        <v>161</v>
      </c>
      <c r="X89" s="571" t="s">
        <v>148</v>
      </c>
    </row>
    <row r="90" spans="1:24" s="554" customFormat="1" ht="15.95" customHeight="1" thickBot="1" x14ac:dyDescent="0.3">
      <c r="A90" s="455" t="s">
        <v>56</v>
      </c>
      <c r="B90" s="452">
        <v>43996</v>
      </c>
      <c r="C90" s="555">
        <v>66.290000000000006</v>
      </c>
      <c r="D90" s="556"/>
      <c r="E90" s="556"/>
      <c r="F90" s="557">
        <f t="shared" si="6"/>
        <v>0.11626157407407409</v>
      </c>
      <c r="G90" s="558">
        <v>1844</v>
      </c>
      <c r="H90" s="559">
        <f t="shared" si="7"/>
        <v>23.757491289198608</v>
      </c>
      <c r="I90" s="560">
        <v>53.6</v>
      </c>
      <c r="J90" s="561"/>
      <c r="K90" s="561"/>
      <c r="L90" s="562">
        <v>701</v>
      </c>
      <c r="M90" s="563">
        <f t="shared" si="8"/>
        <v>10.574747322371397</v>
      </c>
      <c r="N90" s="564"/>
      <c r="O90" s="564"/>
      <c r="P90" s="564"/>
      <c r="Q90" s="565">
        <v>2.5000000000000001E-3</v>
      </c>
      <c r="R90" s="566">
        <v>1.6689814814814817E-2</v>
      </c>
      <c r="S90" s="567">
        <v>4.1678240740740745E-2</v>
      </c>
      <c r="T90" s="568">
        <v>5.3692129629629631E-2</v>
      </c>
      <c r="U90" s="569">
        <v>1.7013888888888892E-3</v>
      </c>
      <c r="V90" s="570">
        <v>138</v>
      </c>
      <c r="W90" s="570">
        <v>169</v>
      </c>
      <c r="X90" s="571" t="s">
        <v>157</v>
      </c>
    </row>
    <row r="91" spans="1:24" s="554" customFormat="1" ht="15.95" customHeight="1" thickBot="1" x14ac:dyDescent="0.3">
      <c r="A91" s="451" t="s">
        <v>57</v>
      </c>
      <c r="B91" s="452">
        <v>43997</v>
      </c>
      <c r="C91" s="555">
        <v>6.32</v>
      </c>
      <c r="D91" s="556"/>
      <c r="E91" s="556"/>
      <c r="F91" s="557">
        <f t="shared" si="6"/>
        <v>3.2974537037037031E-2</v>
      </c>
      <c r="G91" s="558">
        <v>652</v>
      </c>
      <c r="H91" s="559">
        <f t="shared" si="7"/>
        <v>7.9859599859599877</v>
      </c>
      <c r="I91" s="560">
        <v>15.7</v>
      </c>
      <c r="J91" s="561">
        <v>5.2199074074074066E-3</v>
      </c>
      <c r="K91" s="561">
        <v>2.6620370370370374E-3</v>
      </c>
      <c r="L91" s="562">
        <v>15</v>
      </c>
      <c r="M91" s="563">
        <f t="shared" si="8"/>
        <v>2.3734177215189871</v>
      </c>
      <c r="N91" s="564"/>
      <c r="O91" s="564"/>
      <c r="P91" s="564"/>
      <c r="Q91" s="565">
        <v>8.1018518518518516E-5</v>
      </c>
      <c r="R91" s="566">
        <v>6.7129629629629625E-4</v>
      </c>
      <c r="S91" s="567">
        <v>9.4560185185185181E-3</v>
      </c>
      <c r="T91" s="568">
        <v>2.238425925925926E-2</v>
      </c>
      <c r="U91" s="569">
        <v>3.8194444444444446E-4</v>
      </c>
      <c r="V91" s="570">
        <v>144</v>
      </c>
      <c r="W91" s="570">
        <v>160</v>
      </c>
      <c r="X91" s="571" t="s">
        <v>58</v>
      </c>
    </row>
    <row r="92" spans="1:24" s="554" customFormat="1" ht="15.95" customHeight="1" thickBot="1" x14ac:dyDescent="0.3">
      <c r="A92" s="451" t="s">
        <v>56</v>
      </c>
      <c r="B92" s="452">
        <v>44003</v>
      </c>
      <c r="C92" s="555">
        <v>78.38</v>
      </c>
      <c r="D92" s="556"/>
      <c r="E92" s="556"/>
      <c r="F92" s="557">
        <f t="shared" si="6"/>
        <v>3.2337962962962964E-2</v>
      </c>
      <c r="G92" s="558">
        <v>653</v>
      </c>
      <c r="H92" s="559">
        <f t="shared" si="7"/>
        <v>100.99069434502503</v>
      </c>
      <c r="I92" s="560">
        <v>15</v>
      </c>
      <c r="J92" s="561">
        <v>5.2314814814814819E-3</v>
      </c>
      <c r="K92" s="561">
        <v>2.6620370370370374E-3</v>
      </c>
      <c r="L92" s="562">
        <v>12</v>
      </c>
      <c r="M92" s="563">
        <f t="shared" si="8"/>
        <v>0.15310028068384793</v>
      </c>
      <c r="N92" s="564"/>
      <c r="O92" s="564"/>
      <c r="P92" s="564"/>
      <c r="Q92" s="565">
        <v>5.7870370370370366E-5</v>
      </c>
      <c r="R92" s="566">
        <v>6.5972222222222213E-4</v>
      </c>
      <c r="S92" s="567">
        <v>7.0486111111111105E-3</v>
      </c>
      <c r="T92" s="568">
        <v>1.4722222222222222E-2</v>
      </c>
      <c r="U92" s="569">
        <v>9.8495370370370369E-3</v>
      </c>
      <c r="V92" s="570">
        <v>149</v>
      </c>
      <c r="W92" s="570">
        <v>168</v>
      </c>
      <c r="X92" s="571" t="s">
        <v>58</v>
      </c>
    </row>
    <row r="93" spans="1:24" s="554" customFormat="1" ht="15.95" customHeight="1" thickBot="1" x14ac:dyDescent="0.3">
      <c r="A93" s="451" t="s">
        <v>57</v>
      </c>
      <c r="B93" s="452">
        <v>44001</v>
      </c>
      <c r="C93" s="555">
        <v>6.18</v>
      </c>
      <c r="D93" s="556"/>
      <c r="E93" s="556"/>
      <c r="F93" s="557">
        <f t="shared" si="6"/>
        <v>0.14123842592592595</v>
      </c>
      <c r="G93" s="558">
        <v>2157</v>
      </c>
      <c r="H93" s="559">
        <f t="shared" si="7"/>
        <v>1.8231582397771036</v>
      </c>
      <c r="I93" s="560">
        <v>56.9</v>
      </c>
      <c r="J93" s="561"/>
      <c r="K93" s="561"/>
      <c r="L93" s="562">
        <v>630</v>
      </c>
      <c r="M93" s="563">
        <f t="shared" si="8"/>
        <v>101.94174757281554</v>
      </c>
      <c r="N93" s="564"/>
      <c r="O93" s="564"/>
      <c r="P93" s="564"/>
      <c r="Q93" s="565">
        <v>2.8587962962962963E-3</v>
      </c>
      <c r="R93" s="566">
        <v>1.0185185185185184E-2</v>
      </c>
      <c r="S93" s="567">
        <v>4.2858796296296298E-2</v>
      </c>
      <c r="T93" s="568">
        <v>7.6979166666666668E-2</v>
      </c>
      <c r="U93" s="569">
        <v>8.3564814814814804E-3</v>
      </c>
      <c r="V93" s="570">
        <v>142</v>
      </c>
      <c r="W93" s="570">
        <v>166</v>
      </c>
      <c r="X93" s="571" t="s">
        <v>158</v>
      </c>
    </row>
    <row r="94" spans="1:24" s="554" customFormat="1" ht="15.95" customHeight="1" thickBot="1" x14ac:dyDescent="0.3">
      <c r="A94" s="451" t="s">
        <v>57</v>
      </c>
      <c r="B94" s="452">
        <v>44004</v>
      </c>
      <c r="C94" s="555">
        <v>6.04</v>
      </c>
      <c r="D94" s="556"/>
      <c r="E94" s="556"/>
      <c r="F94" s="557">
        <f t="shared" si="6"/>
        <v>2.9976851851851855E-2</v>
      </c>
      <c r="G94" s="558">
        <v>625</v>
      </c>
      <c r="H94" s="559">
        <f t="shared" si="7"/>
        <v>8.3953667953667956</v>
      </c>
      <c r="I94" s="560">
        <v>25.4</v>
      </c>
      <c r="J94" s="561">
        <v>4.9421296296296288E-3</v>
      </c>
      <c r="K94" s="561">
        <v>1.6435185185185183E-3</v>
      </c>
      <c r="L94" s="562">
        <v>5</v>
      </c>
      <c r="M94" s="563">
        <f t="shared" si="8"/>
        <v>0.82781456953642385</v>
      </c>
      <c r="N94" s="564"/>
      <c r="O94" s="564"/>
      <c r="P94" s="564"/>
      <c r="Q94" s="565">
        <v>1.0416666666666667E-4</v>
      </c>
      <c r="R94" s="566">
        <v>2.7777777777777778E-4</v>
      </c>
      <c r="S94" s="567">
        <v>8.564814814814815E-4</v>
      </c>
      <c r="T94" s="568">
        <v>2.0949074074074075E-2</v>
      </c>
      <c r="U94" s="569">
        <v>7.789351851851852E-3</v>
      </c>
      <c r="V94" s="570">
        <v>154</v>
      </c>
      <c r="W94" s="570">
        <v>174</v>
      </c>
      <c r="X94" s="571" t="s">
        <v>58</v>
      </c>
    </row>
    <row r="95" spans="1:24" s="554" customFormat="1" ht="15.95" customHeight="1" thickBot="1" x14ac:dyDescent="0.3">
      <c r="A95" s="451" t="s">
        <v>57</v>
      </c>
      <c r="B95" s="452">
        <v>44006</v>
      </c>
      <c r="C95" s="555">
        <v>8.56</v>
      </c>
      <c r="D95" s="556"/>
      <c r="E95" s="556"/>
      <c r="F95" s="557">
        <f t="shared" si="6"/>
        <v>4.4629629629629637E-2</v>
      </c>
      <c r="G95" s="558">
        <v>881</v>
      </c>
      <c r="H95" s="559">
        <f t="shared" si="7"/>
        <v>7.9917012448132771</v>
      </c>
      <c r="I95" s="560">
        <v>9.9</v>
      </c>
      <c r="J95" s="561">
        <v>5.208333333333333E-3</v>
      </c>
      <c r="K95" s="561">
        <v>5.1967592592592595E-3</v>
      </c>
      <c r="L95" s="562">
        <v>9</v>
      </c>
      <c r="M95" s="563">
        <f t="shared" si="8"/>
        <v>1.0514018691588785</v>
      </c>
      <c r="N95" s="564"/>
      <c r="O95" s="564"/>
      <c r="P95" s="564"/>
      <c r="Q95" s="565">
        <v>6.9444444444444444E-5</v>
      </c>
      <c r="R95" s="566">
        <v>3.0902777777777782E-3</v>
      </c>
      <c r="S95" s="567">
        <v>6.9791666666666674E-3</v>
      </c>
      <c r="T95" s="568">
        <v>3.3842592592592598E-2</v>
      </c>
      <c r="U95" s="569">
        <v>6.4814814814814813E-4</v>
      </c>
      <c r="V95" s="570">
        <v>146</v>
      </c>
      <c r="W95" s="570">
        <v>160</v>
      </c>
      <c r="X95" s="571" t="s">
        <v>145</v>
      </c>
    </row>
    <row r="96" spans="1:24" s="554" customFormat="1" ht="15.95" customHeight="1" thickBot="1" x14ac:dyDescent="0.3">
      <c r="A96" s="451" t="s">
        <v>56</v>
      </c>
      <c r="B96" s="452">
        <v>44007</v>
      </c>
      <c r="C96" s="555">
        <v>53.15</v>
      </c>
      <c r="D96" s="556"/>
      <c r="E96" s="556"/>
      <c r="F96" s="557">
        <f t="shared" si="6"/>
        <v>9.4907407407407413E-2</v>
      </c>
      <c r="G96" s="558">
        <v>1415</v>
      </c>
      <c r="H96" s="559">
        <f t="shared" si="7"/>
        <v>23.334146341463413</v>
      </c>
      <c r="I96" s="560">
        <v>43.6</v>
      </c>
      <c r="J96" s="561"/>
      <c r="K96" s="561"/>
      <c r="L96" s="562">
        <v>239</v>
      </c>
      <c r="M96" s="563">
        <f t="shared" si="8"/>
        <v>4.4967074317968017</v>
      </c>
      <c r="N96" s="564"/>
      <c r="O96" s="564"/>
      <c r="P96" s="564"/>
      <c r="Q96" s="565">
        <v>3.0787037037037037E-3</v>
      </c>
      <c r="R96" s="566">
        <v>2.5914351851851855E-2</v>
      </c>
      <c r="S96" s="567">
        <v>5.5729166666666663E-2</v>
      </c>
      <c r="T96" s="568">
        <v>1.0185185185185184E-2</v>
      </c>
      <c r="U96" s="569">
        <v>0</v>
      </c>
      <c r="V96" s="570">
        <v>129</v>
      </c>
      <c r="W96" s="570">
        <v>156</v>
      </c>
      <c r="X96" s="571" t="s">
        <v>160</v>
      </c>
    </row>
    <row r="97" spans="1:24" s="554" customFormat="1" ht="15.95" customHeight="1" thickBot="1" x14ac:dyDescent="0.3">
      <c r="A97" s="451" t="s">
        <v>57</v>
      </c>
      <c r="B97" s="452">
        <v>44008</v>
      </c>
      <c r="C97" s="555">
        <v>5.99</v>
      </c>
      <c r="D97" s="556"/>
      <c r="E97" s="556"/>
      <c r="F97" s="557">
        <f t="shared" si="6"/>
        <v>3.0775462962962963E-2</v>
      </c>
      <c r="G97" s="558">
        <v>604</v>
      </c>
      <c r="H97" s="559">
        <f t="shared" si="7"/>
        <v>8.109815720195563</v>
      </c>
      <c r="I97" s="560">
        <v>17.5</v>
      </c>
      <c r="J97" s="561">
        <v>5.162037037037037E-3</v>
      </c>
      <c r="K97" s="561">
        <v>2.3842592592592591E-3</v>
      </c>
      <c r="L97" s="562">
        <v>15</v>
      </c>
      <c r="M97" s="563">
        <f t="shared" si="8"/>
        <v>2.5041736227045073</v>
      </c>
      <c r="N97" s="564"/>
      <c r="O97" s="564"/>
      <c r="P97" s="564"/>
      <c r="Q97" s="565">
        <v>2.3148148148148147E-5</v>
      </c>
      <c r="R97" s="566">
        <v>1.1342592592592591E-3</v>
      </c>
      <c r="S97" s="567">
        <v>9.4097222222222238E-3</v>
      </c>
      <c r="T97" s="568">
        <v>1.9224537037037037E-2</v>
      </c>
      <c r="U97" s="569">
        <v>9.8379629629629642E-4</v>
      </c>
      <c r="V97" s="570">
        <v>143</v>
      </c>
      <c r="W97" s="570">
        <v>161</v>
      </c>
      <c r="X97" s="571" t="s">
        <v>58</v>
      </c>
    </row>
    <row r="98" spans="1:24" s="554" customFormat="1" ht="15.95" customHeight="1" thickBot="1" x14ac:dyDescent="0.3">
      <c r="A98" s="451" t="s">
        <v>56</v>
      </c>
      <c r="B98" s="452">
        <v>44010</v>
      </c>
      <c r="C98" s="555">
        <v>73.959999999999994</v>
      </c>
      <c r="D98" s="556"/>
      <c r="E98" s="556"/>
      <c r="F98" s="557">
        <f t="shared" si="6"/>
        <v>0.15640046296296295</v>
      </c>
      <c r="G98" s="558">
        <v>2340</v>
      </c>
      <c r="H98" s="559">
        <f t="shared" si="7"/>
        <v>19.703692740324133</v>
      </c>
      <c r="I98" s="560">
        <v>52.5</v>
      </c>
      <c r="J98" s="561"/>
      <c r="K98" s="561"/>
      <c r="L98" s="562">
        <v>1105</v>
      </c>
      <c r="M98" s="563">
        <f t="shared" si="8"/>
        <v>14.940508382909682</v>
      </c>
      <c r="N98" s="564"/>
      <c r="O98" s="564"/>
      <c r="P98" s="564"/>
      <c r="Q98" s="565">
        <v>8.773148148148148E-3</v>
      </c>
      <c r="R98" s="566">
        <v>2.5509259259259259E-2</v>
      </c>
      <c r="S98" s="567">
        <v>4.8275462962962958E-2</v>
      </c>
      <c r="T98" s="568">
        <v>7.3842592592592585E-2</v>
      </c>
      <c r="U98" s="569">
        <v>0</v>
      </c>
      <c r="V98" s="570">
        <v>136</v>
      </c>
      <c r="W98" s="570">
        <v>159</v>
      </c>
      <c r="X98" s="571" t="s">
        <v>161</v>
      </c>
    </row>
    <row r="99" spans="1:24" s="554" customFormat="1" ht="15.95" customHeight="1" thickBot="1" x14ac:dyDescent="0.3">
      <c r="A99" s="451" t="s">
        <v>57</v>
      </c>
      <c r="B99" s="452">
        <v>44011</v>
      </c>
      <c r="C99" s="555">
        <v>5.92</v>
      </c>
      <c r="D99" s="556"/>
      <c r="E99" s="556"/>
      <c r="F99" s="557">
        <f t="shared" si="6"/>
        <v>2.9039351851851854E-2</v>
      </c>
      <c r="G99" s="558">
        <v>622</v>
      </c>
      <c r="H99" s="559">
        <f t="shared" si="7"/>
        <v>8.4942208051016337</v>
      </c>
      <c r="I99" s="560">
        <v>15.4</v>
      </c>
      <c r="J99" s="561">
        <v>4.9074074074074072E-3</v>
      </c>
      <c r="K99" s="561">
        <v>2.7083333333333334E-3</v>
      </c>
      <c r="L99" s="562">
        <v>46</v>
      </c>
      <c r="M99" s="563">
        <f t="shared" si="8"/>
        <v>7.7702702702702702</v>
      </c>
      <c r="N99" s="564"/>
      <c r="O99" s="564"/>
      <c r="P99" s="564"/>
      <c r="Q99" s="565">
        <v>6.9444444444444444E-5</v>
      </c>
      <c r="R99" s="566">
        <v>7.175925925925927E-4</v>
      </c>
      <c r="S99" s="567">
        <v>2.3032407407407407E-3</v>
      </c>
      <c r="T99" s="568">
        <v>2.4722222222222225E-2</v>
      </c>
      <c r="U99" s="569">
        <v>1.2268518518518518E-3</v>
      </c>
      <c r="V99" s="570">
        <v>149</v>
      </c>
      <c r="W99" s="570">
        <v>163</v>
      </c>
      <c r="X99" s="571" t="s">
        <v>58</v>
      </c>
    </row>
    <row r="100" spans="1:24" s="554" customFormat="1" ht="15.95" customHeight="1" thickBot="1" x14ac:dyDescent="0.3">
      <c r="A100" s="451" t="s">
        <v>56</v>
      </c>
      <c r="B100" s="452">
        <v>44012</v>
      </c>
      <c r="C100" s="555">
        <v>21.87</v>
      </c>
      <c r="D100" s="556"/>
      <c r="E100" s="556"/>
      <c r="F100" s="557">
        <f t="shared" si="6"/>
        <v>3.9722222222222228E-2</v>
      </c>
      <c r="G100" s="558">
        <v>668</v>
      </c>
      <c r="H100" s="559">
        <f t="shared" si="7"/>
        <v>22.94055944055944</v>
      </c>
      <c r="I100" s="560">
        <v>43.9</v>
      </c>
      <c r="J100" s="561"/>
      <c r="K100" s="561"/>
      <c r="L100" s="562">
        <v>106</v>
      </c>
      <c r="M100" s="563">
        <f t="shared" si="8"/>
        <v>4.8468221307727477</v>
      </c>
      <c r="N100" s="564"/>
      <c r="O100" s="564"/>
      <c r="P100" s="564"/>
      <c r="Q100" s="565">
        <v>2.6041666666666665E-3</v>
      </c>
      <c r="R100" s="566">
        <v>8.4953703703703701E-3</v>
      </c>
      <c r="S100" s="567">
        <v>1.834490740740741E-2</v>
      </c>
      <c r="T100" s="568">
        <v>1.0277777777777778E-2</v>
      </c>
      <c r="U100" s="569">
        <v>0</v>
      </c>
      <c r="V100" s="570">
        <v>130</v>
      </c>
      <c r="W100" s="570">
        <v>159</v>
      </c>
      <c r="X100" s="571" t="s">
        <v>168</v>
      </c>
    </row>
    <row r="101" spans="1:24" s="554" customFormat="1" ht="15.95" customHeight="1" thickBot="1" x14ac:dyDescent="0.3">
      <c r="A101" s="451" t="s">
        <v>57</v>
      </c>
      <c r="B101" s="452">
        <v>44014</v>
      </c>
      <c r="C101" s="555">
        <v>7.01</v>
      </c>
      <c r="D101" s="556"/>
      <c r="E101" s="556"/>
      <c r="F101" s="557">
        <f t="shared" si="6"/>
        <v>3.4479166666666665E-2</v>
      </c>
      <c r="G101" s="558">
        <v>710</v>
      </c>
      <c r="H101" s="559">
        <f t="shared" si="7"/>
        <v>8.4712990936555901</v>
      </c>
      <c r="I101" s="560">
        <v>11.4</v>
      </c>
      <c r="J101" s="561">
        <v>4.9189814814814816E-3</v>
      </c>
      <c r="K101" s="561">
        <v>3.6574074074074074E-3</v>
      </c>
      <c r="L101" s="562">
        <v>18</v>
      </c>
      <c r="M101" s="563">
        <f t="shared" si="8"/>
        <v>2.5677603423680457</v>
      </c>
      <c r="N101" s="564"/>
      <c r="O101" s="564"/>
      <c r="P101" s="564"/>
      <c r="Q101" s="565">
        <v>8.1018518518518516E-5</v>
      </c>
      <c r="R101" s="566">
        <v>2.3148148148148146E-4</v>
      </c>
      <c r="S101" s="567">
        <v>1.4120370370370369E-3</v>
      </c>
      <c r="T101" s="568">
        <v>3.2754629629629627E-2</v>
      </c>
      <c r="U101" s="569">
        <v>0</v>
      </c>
      <c r="V101" s="570">
        <v>149</v>
      </c>
      <c r="W101" s="570">
        <v>158</v>
      </c>
      <c r="X101" s="571" t="s">
        <v>169</v>
      </c>
    </row>
    <row r="102" spans="1:24" s="554" customFormat="1" ht="15.95" customHeight="1" thickBot="1" x14ac:dyDescent="0.3">
      <c r="A102" s="451" t="s">
        <v>56</v>
      </c>
      <c r="B102" s="452">
        <v>44017</v>
      </c>
      <c r="C102" s="555">
        <v>76.63</v>
      </c>
      <c r="D102" s="556"/>
      <c r="E102" s="556"/>
      <c r="F102" s="557" t="str">
        <f t="shared" si="6"/>
        <v/>
      </c>
      <c r="G102" s="558">
        <v>2049</v>
      </c>
      <c r="H102" s="559" t="str">
        <f t="shared" si="7"/>
        <v/>
      </c>
      <c r="I102" s="560">
        <v>49.3</v>
      </c>
      <c r="J102" s="561"/>
      <c r="K102" s="561"/>
      <c r="L102" s="562">
        <v>689</v>
      </c>
      <c r="M102" s="563">
        <f t="shared" si="8"/>
        <v>8.9912566879812097</v>
      </c>
      <c r="N102" s="564"/>
      <c r="O102" s="564"/>
      <c r="P102" s="564"/>
      <c r="Q102" s="565"/>
      <c r="R102" s="566"/>
      <c r="S102" s="567"/>
      <c r="T102" s="568"/>
      <c r="U102" s="569"/>
      <c r="V102" s="570">
        <v>136</v>
      </c>
      <c r="W102" s="570">
        <v>164</v>
      </c>
      <c r="X102" s="571" t="s">
        <v>170</v>
      </c>
    </row>
    <row r="103" spans="1:24" s="554" customFormat="1" ht="15.95" customHeight="1" thickBot="1" x14ac:dyDescent="0.3">
      <c r="A103" s="451" t="s">
        <v>56</v>
      </c>
      <c r="B103" s="452">
        <v>44019</v>
      </c>
      <c r="C103" s="555">
        <v>26.96</v>
      </c>
      <c r="D103" s="556"/>
      <c r="E103" s="556"/>
      <c r="F103" s="557">
        <f t="shared" si="6"/>
        <v>5.5023148148148147E-2</v>
      </c>
      <c r="G103" s="558">
        <v>829</v>
      </c>
      <c r="H103" s="559">
        <f t="shared" si="7"/>
        <v>20.415649978965082</v>
      </c>
      <c r="I103" s="560">
        <v>43.7</v>
      </c>
      <c r="J103" s="561"/>
      <c r="K103" s="561"/>
      <c r="L103" s="562">
        <v>115</v>
      </c>
      <c r="M103" s="563">
        <f t="shared" si="8"/>
        <v>4.2655786350148368</v>
      </c>
      <c r="N103" s="564"/>
      <c r="O103" s="564"/>
      <c r="P103" s="564"/>
      <c r="Q103" s="565">
        <v>1.1041666666666667E-2</v>
      </c>
      <c r="R103" s="566">
        <v>1.3958333333333335E-2</v>
      </c>
      <c r="S103" s="567">
        <v>2.5011574074074075E-2</v>
      </c>
      <c r="T103" s="568">
        <v>5.0115740740740737E-3</v>
      </c>
      <c r="U103" s="569">
        <v>0</v>
      </c>
      <c r="V103" s="570">
        <v>118</v>
      </c>
      <c r="W103" s="570">
        <v>149</v>
      </c>
      <c r="X103" s="571" t="s">
        <v>168</v>
      </c>
    </row>
    <row r="104" spans="1:24" s="554" customFormat="1" ht="15.95" customHeight="1" thickBot="1" x14ac:dyDescent="0.3">
      <c r="A104" s="451" t="s">
        <v>96</v>
      </c>
      <c r="B104" s="452">
        <v>44021</v>
      </c>
      <c r="C104" s="555">
        <v>1.5</v>
      </c>
      <c r="D104" s="556"/>
      <c r="E104" s="556"/>
      <c r="F104" s="557" t="str">
        <f t="shared" si="6"/>
        <v/>
      </c>
      <c r="G104" s="558">
        <v>467</v>
      </c>
      <c r="H104" s="559" t="str">
        <f t="shared" si="7"/>
        <v/>
      </c>
      <c r="I104" s="560"/>
      <c r="J104" s="561"/>
      <c r="K104" s="561"/>
      <c r="L104" s="562"/>
      <c r="M104" s="563" t="str">
        <f t="shared" si="8"/>
        <v/>
      </c>
      <c r="N104" s="564"/>
      <c r="O104" s="564"/>
      <c r="P104" s="564"/>
      <c r="Q104" s="565"/>
      <c r="R104" s="566"/>
      <c r="S104" s="567"/>
      <c r="T104" s="568"/>
      <c r="U104" s="569"/>
      <c r="V104" s="570"/>
      <c r="W104" s="570"/>
      <c r="X104" s="571"/>
    </row>
    <row r="105" spans="1:24" s="554" customFormat="1" ht="15.95" customHeight="1" thickBot="1" x14ac:dyDescent="0.3">
      <c r="A105" s="451" t="s">
        <v>57</v>
      </c>
      <c r="B105" s="452">
        <v>44022</v>
      </c>
      <c r="C105" s="555">
        <v>6.75</v>
      </c>
      <c r="D105" s="556"/>
      <c r="E105" s="556"/>
      <c r="F105" s="557">
        <f t="shared" si="6"/>
        <v>3.3449074074074076E-2</v>
      </c>
      <c r="G105" s="558">
        <v>677</v>
      </c>
      <c r="H105" s="559">
        <f t="shared" si="7"/>
        <v>8.4083044982698958</v>
      </c>
      <c r="I105" s="560">
        <v>14.4</v>
      </c>
      <c r="J105" s="561"/>
      <c r="K105" s="561"/>
      <c r="L105" s="562">
        <v>15</v>
      </c>
      <c r="M105" s="563">
        <f t="shared" si="8"/>
        <v>2.2222222222222223</v>
      </c>
      <c r="N105" s="564"/>
      <c r="O105" s="564"/>
      <c r="P105" s="564"/>
      <c r="Q105" s="565">
        <v>5.7870370370370366E-5</v>
      </c>
      <c r="R105" s="566">
        <v>1.6203703703703703E-3</v>
      </c>
      <c r="S105" s="567">
        <v>7.7777777777777767E-3</v>
      </c>
      <c r="T105" s="568">
        <v>2.0497685185185185E-2</v>
      </c>
      <c r="U105" s="569">
        <v>3.4953703703703705E-3</v>
      </c>
      <c r="V105" s="570">
        <v>146</v>
      </c>
      <c r="W105" s="570">
        <v>165</v>
      </c>
      <c r="X105" s="571"/>
    </row>
    <row r="106" spans="1:24" s="554" customFormat="1" ht="15.95" customHeight="1" thickBot="1" x14ac:dyDescent="0.3">
      <c r="A106" s="451" t="s">
        <v>57</v>
      </c>
      <c r="B106" s="452">
        <v>44026</v>
      </c>
      <c r="C106" s="555">
        <v>9.6300000000000008</v>
      </c>
      <c r="D106" s="556"/>
      <c r="E106" s="556"/>
      <c r="F106" s="557">
        <f t="shared" si="6"/>
        <v>4.9189814814814811E-2</v>
      </c>
      <c r="G106" s="558">
        <v>971</v>
      </c>
      <c r="H106" s="559">
        <f t="shared" si="7"/>
        <v>8.1571764705882366</v>
      </c>
      <c r="I106" s="560">
        <v>13.7</v>
      </c>
      <c r="J106" s="561">
        <v>5.115740740740741E-3</v>
      </c>
      <c r="K106" s="561">
        <v>3.0439814814814821E-3</v>
      </c>
      <c r="L106" s="562">
        <v>32</v>
      </c>
      <c r="M106" s="563">
        <f t="shared" si="8"/>
        <v>3.3229491173416403</v>
      </c>
      <c r="N106" s="564"/>
      <c r="O106" s="564"/>
      <c r="P106" s="564"/>
      <c r="Q106" s="565">
        <v>1.3888888888888889E-4</v>
      </c>
      <c r="R106" s="566">
        <v>9.7222222222222209E-4</v>
      </c>
      <c r="S106" s="567">
        <v>9.571759259259259E-3</v>
      </c>
      <c r="T106" s="568">
        <v>3.4374999999999996E-2</v>
      </c>
      <c r="U106" s="569">
        <v>4.1319444444444442E-3</v>
      </c>
      <c r="V106" s="570">
        <v>148</v>
      </c>
      <c r="W106" s="570">
        <v>163</v>
      </c>
      <c r="X106" s="571"/>
    </row>
    <row r="107" spans="1:24" s="554" customFormat="1" ht="15.95" customHeight="1" thickBot="1" x14ac:dyDescent="0.3">
      <c r="A107" s="451" t="s">
        <v>57</v>
      </c>
      <c r="B107" s="452">
        <v>44028</v>
      </c>
      <c r="C107" s="555">
        <v>15.6</v>
      </c>
      <c r="D107" s="556"/>
      <c r="E107" s="556"/>
      <c r="F107" s="557">
        <f t="shared" si="6"/>
        <v>7.7812499999999993E-2</v>
      </c>
      <c r="G107" s="558">
        <v>1603</v>
      </c>
      <c r="H107" s="559">
        <f t="shared" si="7"/>
        <v>8.3534136546184747</v>
      </c>
      <c r="I107" s="560">
        <v>10.5</v>
      </c>
      <c r="J107" s="561">
        <v>3.9814814814814817E-3</v>
      </c>
      <c r="K107" s="561">
        <v>4.9768518518518521E-3</v>
      </c>
      <c r="L107" s="562">
        <v>96</v>
      </c>
      <c r="M107" s="563">
        <f t="shared" si="8"/>
        <v>6.1538461538461542</v>
      </c>
      <c r="N107" s="564"/>
      <c r="O107" s="564"/>
      <c r="P107" s="564"/>
      <c r="Q107" s="565">
        <v>1.1574074074074073E-5</v>
      </c>
      <c r="R107" s="566">
        <v>2.3148148148148146E-4</v>
      </c>
      <c r="S107" s="567">
        <v>2.1412037037037038E-3</v>
      </c>
      <c r="T107" s="568">
        <v>6.3275462962962964E-2</v>
      </c>
      <c r="U107" s="569">
        <v>1.2152777777777778E-2</v>
      </c>
      <c r="V107" s="570">
        <v>153</v>
      </c>
      <c r="W107" s="570">
        <v>167</v>
      </c>
      <c r="X107" s="571" t="s">
        <v>172</v>
      </c>
    </row>
    <row r="108" spans="1:24" s="554" customFormat="1" ht="15.95" customHeight="1" thickBot="1" x14ac:dyDescent="0.3">
      <c r="A108" s="451" t="s">
        <v>57</v>
      </c>
      <c r="B108" s="452">
        <v>44036</v>
      </c>
      <c r="C108" s="555">
        <v>8.11</v>
      </c>
      <c r="D108" s="556"/>
      <c r="E108" s="556"/>
      <c r="F108" s="557">
        <f t="shared" si="6"/>
        <v>4.7268518518518515E-2</v>
      </c>
      <c r="G108" s="558">
        <v>805</v>
      </c>
      <c r="H108" s="559">
        <f t="shared" si="7"/>
        <v>7.1488736532810968</v>
      </c>
      <c r="I108" s="560">
        <v>10.9</v>
      </c>
      <c r="J108" s="561">
        <v>5.6597222222222222E-3</v>
      </c>
      <c r="K108" s="561">
        <v>3.8194444444444443E-3</v>
      </c>
      <c r="L108" s="562">
        <v>19</v>
      </c>
      <c r="M108" s="563">
        <f t="shared" si="8"/>
        <v>2.342786683107275</v>
      </c>
      <c r="N108" s="564"/>
      <c r="O108" s="564"/>
      <c r="P108" s="564"/>
      <c r="Q108" s="565">
        <v>8.1018518518518516E-5</v>
      </c>
      <c r="R108" s="566">
        <v>1.4895833333333332E-2</v>
      </c>
      <c r="S108" s="567">
        <v>5.6018518518518518E-3</v>
      </c>
      <c r="T108" s="568">
        <v>1.3645833333333331E-2</v>
      </c>
      <c r="U108" s="569">
        <v>1.3043981481481483E-2</v>
      </c>
      <c r="V108" s="570">
        <v>140</v>
      </c>
      <c r="W108" s="570">
        <v>168</v>
      </c>
      <c r="X108" s="571"/>
    </row>
    <row r="109" spans="1:24" s="554" customFormat="1" ht="15.95" customHeight="1" thickBot="1" x14ac:dyDescent="0.3">
      <c r="A109" s="451" t="s">
        <v>56</v>
      </c>
      <c r="B109" s="452">
        <v>44038</v>
      </c>
      <c r="C109" s="555">
        <v>83.04</v>
      </c>
      <c r="D109" s="556"/>
      <c r="E109" s="556"/>
      <c r="F109" s="557">
        <f t="shared" si="6"/>
        <v>0.14254629629629631</v>
      </c>
      <c r="G109" s="558">
        <v>2137</v>
      </c>
      <c r="H109" s="559">
        <f t="shared" si="7"/>
        <v>24.272815849301722</v>
      </c>
      <c r="I109" s="560">
        <v>48.6</v>
      </c>
      <c r="J109" s="561"/>
      <c r="K109" s="561"/>
      <c r="L109" s="562">
        <v>725</v>
      </c>
      <c r="M109" s="563">
        <f t="shared" si="8"/>
        <v>8.7307321772639686</v>
      </c>
      <c r="N109" s="564"/>
      <c r="O109" s="564"/>
      <c r="P109" s="564"/>
      <c r="Q109" s="565">
        <v>5.7175925925925927E-3</v>
      </c>
      <c r="R109" s="566">
        <v>2.3981481481481479E-2</v>
      </c>
      <c r="S109" s="567">
        <v>5.9699074074074071E-2</v>
      </c>
      <c r="T109" s="568">
        <v>5.0694444444444452E-2</v>
      </c>
      <c r="U109" s="569">
        <v>2.4537037037037036E-3</v>
      </c>
      <c r="V109" s="570">
        <v>136</v>
      </c>
      <c r="W109" s="570">
        <v>165</v>
      </c>
      <c r="X109" s="571"/>
    </row>
    <row r="110" spans="1:24" s="554" customFormat="1" ht="15.95" customHeight="1" thickBot="1" x14ac:dyDescent="0.3">
      <c r="A110" s="451" t="s">
        <v>57</v>
      </c>
      <c r="B110" s="452">
        <v>44039</v>
      </c>
      <c r="C110" s="555">
        <v>5.57</v>
      </c>
      <c r="D110" s="556"/>
      <c r="E110" s="556"/>
      <c r="F110" s="557">
        <f t="shared" si="6"/>
        <v>2.8032407407407409E-2</v>
      </c>
      <c r="G110" s="558">
        <v>576</v>
      </c>
      <c r="H110" s="559">
        <f t="shared" si="7"/>
        <v>8.279108175061932</v>
      </c>
      <c r="I110" s="560">
        <v>10.199999999999999</v>
      </c>
      <c r="J110" s="561">
        <v>5.0231481481481481E-3</v>
      </c>
      <c r="K110" s="561">
        <v>4.0740740740740746E-3</v>
      </c>
      <c r="L110" s="562">
        <v>5</v>
      </c>
      <c r="M110" s="563">
        <f t="shared" si="8"/>
        <v>0.89766606822262118</v>
      </c>
      <c r="N110" s="564"/>
      <c r="O110" s="564"/>
      <c r="P110" s="564"/>
      <c r="Q110" s="565">
        <v>1.3888888888888889E-4</v>
      </c>
      <c r="R110" s="566">
        <v>6.3657407407407402E-4</v>
      </c>
      <c r="S110" s="567">
        <v>2.7893518518518519E-3</v>
      </c>
      <c r="T110" s="568">
        <v>2.2442129629629631E-2</v>
      </c>
      <c r="U110" s="569">
        <v>2.0254629629629629E-3</v>
      </c>
      <c r="V110" s="570">
        <v>150</v>
      </c>
      <c r="W110" s="570">
        <v>162</v>
      </c>
      <c r="X110" s="571"/>
    </row>
    <row r="111" spans="1:24" s="554" customFormat="1" ht="15.95" customHeight="1" thickBot="1" x14ac:dyDescent="0.3">
      <c r="A111" s="451" t="s">
        <v>57</v>
      </c>
      <c r="B111" s="452">
        <v>44041</v>
      </c>
      <c r="C111" s="555">
        <v>7.97</v>
      </c>
      <c r="D111" s="556"/>
      <c r="E111" s="556"/>
      <c r="F111" s="557">
        <f t="shared" si="6"/>
        <v>5.2187499999999998E-2</v>
      </c>
      <c r="G111" s="558">
        <v>749</v>
      </c>
      <c r="H111" s="559">
        <f t="shared" si="7"/>
        <v>6.3632734530938118</v>
      </c>
      <c r="I111" s="560">
        <v>10.6</v>
      </c>
      <c r="J111" s="561">
        <v>6.5509259259259262E-3</v>
      </c>
      <c r="K111" s="561">
        <v>3.9120370370370368E-3</v>
      </c>
      <c r="L111" s="562">
        <v>8</v>
      </c>
      <c r="M111" s="563">
        <f t="shared" si="8"/>
        <v>1.0037641154328734</v>
      </c>
      <c r="N111" s="564"/>
      <c r="O111" s="564"/>
      <c r="P111" s="564"/>
      <c r="Q111" s="565">
        <v>2.2673611111111113E-2</v>
      </c>
      <c r="R111" s="566">
        <v>9.8726851851851857E-3</v>
      </c>
      <c r="S111" s="567">
        <v>4.4444444444444444E-3</v>
      </c>
      <c r="T111" s="568">
        <v>1.5196759259259259E-2</v>
      </c>
      <c r="U111" s="569">
        <v>0</v>
      </c>
      <c r="V111" s="570">
        <v>120</v>
      </c>
      <c r="W111" s="570">
        <v>155</v>
      </c>
      <c r="X111" s="571"/>
    </row>
    <row r="112" spans="1:24" s="554" customFormat="1" ht="15.95" customHeight="1" thickBot="1" x14ac:dyDescent="0.3">
      <c r="A112" s="451" t="s">
        <v>57</v>
      </c>
      <c r="B112" s="452">
        <v>44043</v>
      </c>
      <c r="C112" s="555">
        <v>10.029999999999999</v>
      </c>
      <c r="D112" s="556"/>
      <c r="E112" s="556"/>
      <c r="F112" s="557">
        <f t="shared" si="6"/>
        <v>4.7349537037037037E-2</v>
      </c>
      <c r="G112" s="558">
        <v>1048</v>
      </c>
      <c r="H112" s="559">
        <f t="shared" si="7"/>
        <v>8.8262038621363974</v>
      </c>
      <c r="I112" s="560">
        <v>11.6</v>
      </c>
      <c r="J112" s="561">
        <v>4.7222222222222223E-3</v>
      </c>
      <c r="K112" s="561">
        <v>3.5995370370370369E-3</v>
      </c>
      <c r="L112" s="562">
        <v>2</v>
      </c>
      <c r="M112" s="563">
        <f t="shared" si="8"/>
        <v>0.19940179461615157</v>
      </c>
      <c r="N112" s="564"/>
      <c r="O112" s="564"/>
      <c r="P112" s="564"/>
      <c r="Q112" s="565">
        <v>5.7870370370370366E-5</v>
      </c>
      <c r="R112" s="566">
        <v>1.6203703703703703E-4</v>
      </c>
      <c r="S112" s="567">
        <v>1.1574074074074073E-3</v>
      </c>
      <c r="T112" s="568">
        <v>8.8541666666666664E-3</v>
      </c>
      <c r="U112" s="569">
        <v>3.7118055555555557E-2</v>
      </c>
      <c r="V112" s="570">
        <v>161</v>
      </c>
      <c r="W112" s="570">
        <v>170</v>
      </c>
      <c r="X112" s="571"/>
    </row>
    <row r="113" spans="1:24" s="554" customFormat="1" ht="15.95" customHeight="1" thickBot="1" x14ac:dyDescent="0.3">
      <c r="A113" s="451" t="s">
        <v>57</v>
      </c>
      <c r="B113" s="452">
        <v>44047</v>
      </c>
      <c r="C113" s="555">
        <v>7.62</v>
      </c>
      <c r="D113" s="556"/>
      <c r="E113" s="556"/>
      <c r="F113" s="557">
        <f t="shared" si="6"/>
        <v>3.5983796296296298E-2</v>
      </c>
      <c r="G113" s="558">
        <v>771</v>
      </c>
      <c r="H113" s="559">
        <f t="shared" si="7"/>
        <v>8.8234158893534893</v>
      </c>
      <c r="I113" s="560">
        <v>11.1</v>
      </c>
      <c r="J113" s="561">
        <v>4.7222222222222223E-3</v>
      </c>
      <c r="K113" s="561">
        <v>3.7615740740740739E-3</v>
      </c>
      <c r="L113" s="562">
        <v>43</v>
      </c>
      <c r="M113" s="563">
        <f t="shared" si="8"/>
        <v>5.6430446194225725</v>
      </c>
      <c r="N113" s="564"/>
      <c r="O113" s="564"/>
      <c r="P113" s="564"/>
      <c r="Q113" s="565">
        <v>6.9444444444444444E-5</v>
      </c>
      <c r="R113" s="566">
        <v>3.0092592592592595E-4</v>
      </c>
      <c r="S113" s="567">
        <v>1.4814814814814814E-3</v>
      </c>
      <c r="T113" s="568">
        <v>2.9085648148148149E-2</v>
      </c>
      <c r="U113" s="569">
        <v>5.0462962962962961E-3</v>
      </c>
      <c r="V113" s="570">
        <v>152</v>
      </c>
      <c r="W113" s="570">
        <v>167</v>
      </c>
      <c r="X113" s="571"/>
    </row>
    <row r="114" spans="1:24" s="554" customFormat="1" ht="15.95" customHeight="1" thickBot="1" x14ac:dyDescent="0.3">
      <c r="A114" s="451" t="s">
        <v>176</v>
      </c>
      <c r="B114" s="452">
        <v>44048</v>
      </c>
      <c r="C114" s="555">
        <v>0.67600000000000005</v>
      </c>
      <c r="D114" s="556"/>
      <c r="E114" s="556"/>
      <c r="F114" s="557" t="str">
        <f t="shared" si="6"/>
        <v/>
      </c>
      <c r="G114" s="558">
        <v>223</v>
      </c>
      <c r="H114" s="559" t="str">
        <f t="shared" si="7"/>
        <v/>
      </c>
      <c r="I114" s="560"/>
      <c r="J114" s="561"/>
      <c r="K114" s="561"/>
      <c r="L114" s="562"/>
      <c r="M114" s="563" t="str">
        <f t="shared" si="8"/>
        <v/>
      </c>
      <c r="N114" s="564"/>
      <c r="O114" s="564"/>
      <c r="P114" s="564"/>
      <c r="Q114" s="565"/>
      <c r="R114" s="566"/>
      <c r="S114" s="567"/>
      <c r="T114" s="568"/>
      <c r="U114" s="569"/>
      <c r="V114" s="570"/>
      <c r="W114" s="570"/>
      <c r="X114" s="571"/>
    </row>
    <row r="115" spans="1:24" s="554" customFormat="1" ht="15.95" customHeight="1" thickBot="1" x14ac:dyDescent="0.3">
      <c r="A115" s="451" t="s">
        <v>56</v>
      </c>
      <c r="B115" s="452">
        <v>44053</v>
      </c>
      <c r="C115" s="555">
        <v>53.21</v>
      </c>
      <c r="D115" s="556"/>
      <c r="E115" s="556"/>
      <c r="F115" s="557">
        <f t="shared" si="6"/>
        <v>9.1655092592592594E-2</v>
      </c>
      <c r="G115" s="558">
        <v>1419</v>
      </c>
      <c r="H115" s="559">
        <f t="shared" si="7"/>
        <v>24.189417855789873</v>
      </c>
      <c r="I115" s="560">
        <v>49.4</v>
      </c>
      <c r="J115" s="561"/>
      <c r="K115" s="561"/>
      <c r="L115" s="562">
        <v>409</v>
      </c>
      <c r="M115" s="563">
        <f t="shared" si="8"/>
        <v>7.6865250892689341</v>
      </c>
      <c r="N115" s="564"/>
      <c r="O115" s="564"/>
      <c r="P115" s="564"/>
      <c r="Q115" s="565">
        <v>6.3657407407407404E-3</v>
      </c>
      <c r="R115" s="566">
        <v>1.3877314814814815E-2</v>
      </c>
      <c r="S115" s="567">
        <v>3.4583333333333334E-2</v>
      </c>
      <c r="T115" s="568">
        <v>2.8865740740740744E-2</v>
      </c>
      <c r="U115" s="569">
        <v>7.9629629629629634E-3</v>
      </c>
      <c r="V115" s="570">
        <v>135</v>
      </c>
      <c r="W115" s="570">
        <v>166</v>
      </c>
      <c r="X115" s="571"/>
    </row>
    <row r="116" spans="1:24" s="554" customFormat="1" ht="15.95" customHeight="1" thickBot="1" x14ac:dyDescent="0.3">
      <c r="A116" s="451" t="s">
        <v>57</v>
      </c>
      <c r="B116" s="452">
        <v>44055</v>
      </c>
      <c r="C116" s="555">
        <v>9</v>
      </c>
      <c r="D116" s="556"/>
      <c r="E116" s="556"/>
      <c r="F116" s="557">
        <f t="shared" si="6"/>
        <v>4.4953703703703704E-2</v>
      </c>
      <c r="G116" s="558">
        <v>914</v>
      </c>
      <c r="H116" s="559">
        <f t="shared" si="7"/>
        <v>8.3419155509783725</v>
      </c>
      <c r="I116" s="560">
        <v>10.9</v>
      </c>
      <c r="J116" s="561">
        <v>3.8310185185185183E-3</v>
      </c>
      <c r="K116" s="561">
        <v>4.9884259259259265E-3</v>
      </c>
      <c r="L116" s="562">
        <v>5</v>
      </c>
      <c r="M116" s="563">
        <f t="shared" si="8"/>
        <v>0.55555555555555558</v>
      </c>
      <c r="N116" s="564"/>
      <c r="O116" s="564"/>
      <c r="P116" s="564"/>
      <c r="Q116" s="565">
        <v>6.9444444444444444E-5</v>
      </c>
      <c r="R116" s="566">
        <v>3.4722222222222224E-4</v>
      </c>
      <c r="S116" s="567">
        <v>1.6782407407407406E-3</v>
      </c>
      <c r="T116" s="568">
        <v>4.2858796296296298E-2</v>
      </c>
      <c r="U116" s="569">
        <v>0</v>
      </c>
      <c r="V116" s="570">
        <v>150</v>
      </c>
      <c r="W116" s="570">
        <v>157</v>
      </c>
      <c r="X116" s="571"/>
    </row>
    <row r="117" spans="1:24" s="554" customFormat="1" ht="15.95" customHeight="1" thickBot="1" x14ac:dyDescent="0.3">
      <c r="A117" s="451" t="s">
        <v>56</v>
      </c>
      <c r="B117" s="452">
        <v>44059</v>
      </c>
      <c r="C117" s="555">
        <v>40.340000000000003</v>
      </c>
      <c r="D117" s="556"/>
      <c r="E117" s="556"/>
      <c r="F117" s="557">
        <f t="shared" si="6"/>
        <v>7.856481481481481E-2</v>
      </c>
      <c r="G117" s="558">
        <v>1251</v>
      </c>
      <c r="H117" s="559">
        <f t="shared" si="7"/>
        <v>21.394225103123162</v>
      </c>
      <c r="I117" s="560">
        <v>58.4</v>
      </c>
      <c r="J117" s="561"/>
      <c r="K117" s="561"/>
      <c r="L117" s="562">
        <v>563</v>
      </c>
      <c r="M117" s="563">
        <f t="shared" si="8"/>
        <v>13.956370847793751</v>
      </c>
      <c r="N117" s="564"/>
      <c r="O117" s="564"/>
      <c r="P117" s="564"/>
      <c r="Q117" s="565">
        <v>6.4930555555555549E-3</v>
      </c>
      <c r="R117" s="566">
        <v>1.2499999999999999E-2</v>
      </c>
      <c r="S117" s="567">
        <v>2.3483796296296298E-2</v>
      </c>
      <c r="T117" s="568">
        <v>3.6087962962962968E-2</v>
      </c>
      <c r="U117" s="569">
        <v>0</v>
      </c>
      <c r="V117" s="570">
        <v>133</v>
      </c>
      <c r="W117" s="570">
        <v>160</v>
      </c>
      <c r="X117" s="571"/>
    </row>
    <row r="118" spans="1:24" s="554" customFormat="1" ht="15.95" customHeight="1" thickBot="1" x14ac:dyDescent="0.3">
      <c r="A118" s="451" t="s">
        <v>57</v>
      </c>
      <c r="B118" s="452">
        <v>44061</v>
      </c>
      <c r="C118" s="555">
        <v>10.01</v>
      </c>
      <c r="D118" s="556"/>
      <c r="E118" s="556"/>
      <c r="F118" s="557">
        <f t="shared" si="6"/>
        <v>4.6215277777777772E-2</v>
      </c>
      <c r="G118" s="558">
        <v>1066</v>
      </c>
      <c r="H118" s="559">
        <f t="shared" si="7"/>
        <v>9.0247933884297531</v>
      </c>
      <c r="I118" s="560">
        <v>11</v>
      </c>
      <c r="J118" s="561">
        <v>3.7962962962962963E-3</v>
      </c>
      <c r="K118" s="561">
        <v>4.6180555555555558E-3</v>
      </c>
      <c r="L118" s="562">
        <v>5</v>
      </c>
      <c r="M118" s="563">
        <f t="shared" si="8"/>
        <v>0.49950049950049952</v>
      </c>
      <c r="N118" s="564"/>
      <c r="O118" s="564"/>
      <c r="P118" s="564"/>
      <c r="Q118" s="565">
        <v>1.1574074074074073E-5</v>
      </c>
      <c r="R118" s="566">
        <v>1.9675925925925926E-4</v>
      </c>
      <c r="S118" s="567">
        <v>6.4814814814814813E-4</v>
      </c>
      <c r="T118" s="568">
        <v>8.611111111111111E-3</v>
      </c>
      <c r="U118" s="569">
        <v>3.6747685185185182E-2</v>
      </c>
      <c r="V118" s="570">
        <v>162</v>
      </c>
      <c r="W118" s="570">
        <v>171</v>
      </c>
      <c r="X118" s="571"/>
    </row>
    <row r="119" spans="1:24" s="554" customFormat="1" ht="15.95" customHeight="1" thickBot="1" x14ac:dyDescent="0.3">
      <c r="A119" s="451" t="s">
        <v>56</v>
      </c>
      <c r="B119" s="452">
        <v>44063</v>
      </c>
      <c r="C119" s="555">
        <v>36.74</v>
      </c>
      <c r="D119" s="556"/>
      <c r="E119" s="556"/>
      <c r="F119" s="557">
        <f t="shared" si="6"/>
        <v>4.4560185185185182E-2</v>
      </c>
      <c r="G119" s="558">
        <v>1721</v>
      </c>
      <c r="H119" s="559">
        <f t="shared" si="7"/>
        <v>34.354285714285716</v>
      </c>
      <c r="I119" s="560">
        <v>52.7</v>
      </c>
      <c r="J119" s="561"/>
      <c r="K119" s="561"/>
      <c r="L119" s="562">
        <v>617</v>
      </c>
      <c r="M119" s="563">
        <f t="shared" si="8"/>
        <v>16.793685356559607</v>
      </c>
      <c r="N119" s="564"/>
      <c r="O119" s="564"/>
      <c r="P119" s="564"/>
      <c r="Q119" s="565">
        <v>6.8171296296296287E-3</v>
      </c>
      <c r="R119" s="566">
        <v>2.8819444444444444E-3</v>
      </c>
      <c r="S119" s="567">
        <v>9.0624999999999994E-3</v>
      </c>
      <c r="T119" s="568">
        <v>2.0694444444444446E-2</v>
      </c>
      <c r="U119" s="569">
        <v>5.1041666666666666E-3</v>
      </c>
      <c r="V119" s="570">
        <v>134</v>
      </c>
      <c r="W119" s="570">
        <v>166</v>
      </c>
      <c r="X119" s="571"/>
    </row>
    <row r="120" spans="1:24" s="554" customFormat="1" ht="15.95" customHeight="1" thickBot="1" x14ac:dyDescent="0.3">
      <c r="A120" s="451" t="s">
        <v>56</v>
      </c>
      <c r="B120" s="452">
        <v>44066</v>
      </c>
      <c r="C120" s="555">
        <v>60.43</v>
      </c>
      <c r="D120" s="556"/>
      <c r="E120" s="556"/>
      <c r="F120" s="557">
        <f t="shared" si="6"/>
        <v>9.8020833333333335E-2</v>
      </c>
      <c r="G120" s="558">
        <v>1793</v>
      </c>
      <c r="H120" s="559">
        <f t="shared" si="7"/>
        <v>25.687566418703508</v>
      </c>
      <c r="I120" s="560">
        <v>48.9</v>
      </c>
      <c r="J120" s="561"/>
      <c r="K120" s="561"/>
      <c r="L120" s="562">
        <v>573</v>
      </c>
      <c r="M120" s="563">
        <f t="shared" si="8"/>
        <v>9.48204534171769</v>
      </c>
      <c r="N120" s="564"/>
      <c r="O120" s="564"/>
      <c r="P120" s="564"/>
      <c r="Q120" s="565">
        <v>1.8981481481481482E-3</v>
      </c>
      <c r="R120" s="566">
        <v>7.8935185185185185E-3</v>
      </c>
      <c r="S120" s="567">
        <v>2.6435185185185187E-2</v>
      </c>
      <c r="T120" s="568">
        <v>5.6481481481481487E-2</v>
      </c>
      <c r="U120" s="569">
        <v>5.3125000000000004E-3</v>
      </c>
      <c r="V120" s="570">
        <v>143</v>
      </c>
      <c r="W120" s="570">
        <v>163</v>
      </c>
      <c r="X120" s="571"/>
    </row>
    <row r="121" spans="1:24" s="554" customFormat="1" ht="15.95" customHeight="1" thickBot="1" x14ac:dyDescent="0.3">
      <c r="A121" s="451" t="s">
        <v>57</v>
      </c>
      <c r="B121" s="452">
        <v>44067</v>
      </c>
      <c r="C121" s="555">
        <v>4.7300000000000004</v>
      </c>
      <c r="D121" s="556"/>
      <c r="E121" s="556"/>
      <c r="F121" s="557">
        <f t="shared" si="6"/>
        <v>2.3136574074074073E-2</v>
      </c>
      <c r="G121" s="558">
        <v>476</v>
      </c>
      <c r="H121" s="559">
        <f t="shared" si="7"/>
        <v>8.5182591295647843</v>
      </c>
      <c r="I121" s="560">
        <v>16.5</v>
      </c>
      <c r="J121" s="561">
        <v>4.8842592592592592E-3</v>
      </c>
      <c r="K121" s="561">
        <v>2.5231481481481481E-3</v>
      </c>
      <c r="L121" s="562">
        <v>5</v>
      </c>
      <c r="M121" s="563">
        <f t="shared" si="8"/>
        <v>1.0570824524312896</v>
      </c>
      <c r="N121" s="564"/>
      <c r="O121" s="564"/>
      <c r="P121" s="564"/>
      <c r="Q121" s="565">
        <v>1.1574074074074073E-4</v>
      </c>
      <c r="R121" s="566">
        <v>5.0925925925925921E-4</v>
      </c>
      <c r="S121" s="567">
        <v>4.5254629629629629E-3</v>
      </c>
      <c r="T121" s="568">
        <v>1.6400462962962964E-2</v>
      </c>
      <c r="U121" s="569">
        <v>1.5856481481481479E-3</v>
      </c>
      <c r="V121" s="570">
        <v>146</v>
      </c>
      <c r="W121" s="570">
        <v>167</v>
      </c>
      <c r="X121" s="571"/>
    </row>
    <row r="122" spans="1:24" s="554" customFormat="1" ht="15.95" customHeight="1" thickBot="1" x14ac:dyDescent="0.3">
      <c r="A122" s="451" t="s">
        <v>56</v>
      </c>
      <c r="B122" s="452">
        <v>44068</v>
      </c>
      <c r="C122" s="555">
        <v>28.19</v>
      </c>
      <c r="D122" s="556"/>
      <c r="E122" s="556"/>
      <c r="F122" s="557">
        <f t="shared" si="6"/>
        <v>5.0763888888888886E-2</v>
      </c>
      <c r="G122" s="558">
        <v>823</v>
      </c>
      <c r="H122" s="559">
        <f t="shared" si="7"/>
        <v>23.138166894664845</v>
      </c>
      <c r="I122" s="560">
        <v>53</v>
      </c>
      <c r="J122" s="561"/>
      <c r="K122" s="561"/>
      <c r="L122" s="562">
        <v>247</v>
      </c>
      <c r="M122" s="563">
        <f t="shared" si="8"/>
        <v>8.761972330613693</v>
      </c>
      <c r="N122" s="564"/>
      <c r="O122" s="564"/>
      <c r="P122" s="564"/>
      <c r="Q122" s="565">
        <v>2.615740740740741E-3</v>
      </c>
      <c r="R122" s="566">
        <v>1.4293981481481482E-2</v>
      </c>
      <c r="S122" s="567">
        <v>2.5462962962962962E-2</v>
      </c>
      <c r="T122" s="568">
        <v>8.3912037037037045E-3</v>
      </c>
      <c r="U122" s="569">
        <v>0</v>
      </c>
      <c r="V122" s="570">
        <v>129</v>
      </c>
      <c r="W122" s="570">
        <v>159</v>
      </c>
      <c r="X122" s="571"/>
    </row>
    <row r="123" spans="1:24" s="554" customFormat="1" ht="15.95" customHeight="1" thickBot="1" x14ac:dyDescent="0.3">
      <c r="A123" s="451" t="s">
        <v>57</v>
      </c>
      <c r="B123" s="452">
        <v>44073</v>
      </c>
      <c r="C123" s="555">
        <v>9</v>
      </c>
      <c r="D123" s="556"/>
      <c r="E123" s="556"/>
      <c r="F123" s="557">
        <f t="shared" si="6"/>
        <v>4.2071759259259253E-2</v>
      </c>
      <c r="G123" s="558">
        <v>930</v>
      </c>
      <c r="H123" s="559">
        <f t="shared" si="7"/>
        <v>8.9133425034387912</v>
      </c>
      <c r="I123" s="560">
        <v>12</v>
      </c>
      <c r="J123" s="561">
        <v>4.6643518518518518E-3</v>
      </c>
      <c r="K123" s="561">
        <v>3.483796296296296E-3</v>
      </c>
      <c r="L123" s="562">
        <v>20</v>
      </c>
      <c r="M123" s="563">
        <f t="shared" si="8"/>
        <v>2.2222222222222223</v>
      </c>
      <c r="N123" s="564"/>
      <c r="O123" s="564"/>
      <c r="P123" s="564"/>
      <c r="Q123" s="565">
        <v>3.9351851851851852E-4</v>
      </c>
      <c r="R123" s="566">
        <v>6.134259259259259E-4</v>
      </c>
      <c r="S123" s="567">
        <v>6.9444444444444447E-4</v>
      </c>
      <c r="T123" s="568">
        <v>2.2766203703703702E-2</v>
      </c>
      <c r="U123" s="569">
        <v>1.7604166666666667E-2</v>
      </c>
      <c r="V123" s="570">
        <v>156</v>
      </c>
      <c r="W123" s="570">
        <v>168</v>
      </c>
      <c r="X123" s="571"/>
    </row>
    <row r="124" spans="1:24" s="554" customFormat="1" ht="15.95" customHeight="1" thickBot="1" x14ac:dyDescent="0.3">
      <c r="A124" s="451" t="s">
        <v>57</v>
      </c>
      <c r="B124" s="452">
        <v>44075</v>
      </c>
      <c r="C124" s="555">
        <v>6.85</v>
      </c>
      <c r="D124" s="556"/>
      <c r="E124" s="556"/>
      <c r="F124" s="557">
        <f t="shared" si="6"/>
        <v>3.4618055555555562E-2</v>
      </c>
      <c r="G124" s="558">
        <v>705</v>
      </c>
      <c r="H124" s="559">
        <f t="shared" si="7"/>
        <v>8.2447342026078214</v>
      </c>
      <c r="I124" s="560">
        <v>12.9</v>
      </c>
      <c r="J124" s="561">
        <v>4.9768518518518521E-3</v>
      </c>
      <c r="K124" s="561">
        <v>3.2407407407407406E-3</v>
      </c>
      <c r="L124" s="562">
        <v>2</v>
      </c>
      <c r="M124" s="563">
        <f t="shared" si="8"/>
        <v>0.29197080291970806</v>
      </c>
      <c r="N124" s="564"/>
      <c r="O124" s="564"/>
      <c r="P124" s="564"/>
      <c r="Q124" s="565">
        <v>1.0416666666666667E-4</v>
      </c>
      <c r="R124" s="566">
        <v>3.2407407407407406E-4</v>
      </c>
      <c r="S124" s="567">
        <v>4.6296296296296302E-3</v>
      </c>
      <c r="T124" s="568">
        <v>2.1944444444444447E-2</v>
      </c>
      <c r="U124" s="569">
        <v>7.6157407407407415E-3</v>
      </c>
      <c r="V124" s="570">
        <v>150</v>
      </c>
      <c r="W124" s="570">
        <v>169</v>
      </c>
      <c r="X124" s="571"/>
    </row>
    <row r="125" spans="1:24" s="554" customFormat="1" ht="15.95" customHeight="1" thickBot="1" x14ac:dyDescent="0.3">
      <c r="A125" s="451" t="s">
        <v>56</v>
      </c>
      <c r="B125" s="452">
        <v>44077</v>
      </c>
      <c r="C125" s="555">
        <v>61.83</v>
      </c>
      <c r="D125" s="556"/>
      <c r="E125" s="556"/>
      <c r="F125" s="557">
        <f t="shared" si="6"/>
        <v>0.13467592592592595</v>
      </c>
      <c r="G125" s="558">
        <v>2118</v>
      </c>
      <c r="H125" s="559">
        <f t="shared" si="7"/>
        <v>19.129254039188719</v>
      </c>
      <c r="I125" s="560">
        <v>53.6</v>
      </c>
      <c r="J125" s="561"/>
      <c r="K125" s="561"/>
      <c r="L125" s="562">
        <v>1079</v>
      </c>
      <c r="M125" s="563">
        <f t="shared" si="8"/>
        <v>17.45107552967815</v>
      </c>
      <c r="N125" s="564"/>
      <c r="O125" s="564"/>
      <c r="P125" s="564"/>
      <c r="Q125" s="565">
        <v>1.3935185185185184E-2</v>
      </c>
      <c r="R125" s="566">
        <v>1.3923611111111111E-2</v>
      </c>
      <c r="S125" s="567">
        <v>4.7337962962962964E-2</v>
      </c>
      <c r="T125" s="568">
        <v>5.708333333333334E-2</v>
      </c>
      <c r="U125" s="569">
        <v>2.3958333333333336E-3</v>
      </c>
      <c r="V125" s="570">
        <v>135</v>
      </c>
      <c r="W125" s="570">
        <v>165</v>
      </c>
      <c r="X125" s="571"/>
    </row>
    <row r="126" spans="1:24" s="554" customFormat="1" ht="15.95" customHeight="1" thickBot="1" x14ac:dyDescent="0.3">
      <c r="A126" s="451" t="s">
        <v>57</v>
      </c>
      <c r="B126" s="452">
        <v>44078</v>
      </c>
      <c r="C126" s="555">
        <v>9.01</v>
      </c>
      <c r="D126" s="556"/>
      <c r="E126" s="556"/>
      <c r="F126" s="557">
        <f t="shared" si="6"/>
        <v>4.5335648148148153E-2</v>
      </c>
      <c r="G126" s="558">
        <v>934</v>
      </c>
      <c r="H126" s="559">
        <f t="shared" si="7"/>
        <v>8.280827163645645</v>
      </c>
      <c r="I126" s="560">
        <v>11.5</v>
      </c>
      <c r="J126" s="561">
        <v>5.0462962962962961E-3</v>
      </c>
      <c r="K126" s="561">
        <v>3.6111111111111114E-3</v>
      </c>
      <c r="L126" s="562">
        <v>26</v>
      </c>
      <c r="M126" s="563">
        <f t="shared" si="8"/>
        <v>2.8856825749167592</v>
      </c>
      <c r="N126" s="564"/>
      <c r="O126" s="564"/>
      <c r="P126" s="564"/>
      <c r="Q126" s="565">
        <v>6.7129629629629625E-4</v>
      </c>
      <c r="R126" s="566">
        <v>8.2175925925925917E-4</v>
      </c>
      <c r="S126" s="567">
        <v>5.4976851851851853E-3</v>
      </c>
      <c r="T126" s="568">
        <v>3.8344907407407411E-2</v>
      </c>
      <c r="U126" s="569">
        <v>0</v>
      </c>
      <c r="V126" s="570">
        <v>145</v>
      </c>
      <c r="W126" s="570">
        <v>156</v>
      </c>
      <c r="X126" s="571"/>
    </row>
    <row r="127" spans="1:24" s="554" customFormat="1" ht="15.95" customHeight="1" thickBot="1" x14ac:dyDescent="0.3">
      <c r="A127" s="451" t="s">
        <v>56</v>
      </c>
      <c r="B127" s="452">
        <v>44080</v>
      </c>
      <c r="C127" s="555">
        <v>58.67</v>
      </c>
      <c r="D127" s="556"/>
      <c r="E127" s="556"/>
      <c r="F127" s="557">
        <f t="shared" si="6"/>
        <v>9.0543981481481475E-2</v>
      </c>
      <c r="G127" s="558">
        <v>1517</v>
      </c>
      <c r="H127" s="559">
        <f t="shared" si="7"/>
        <v>26.998849546209897</v>
      </c>
      <c r="I127" s="560">
        <v>46.2</v>
      </c>
      <c r="J127" s="561"/>
      <c r="K127" s="561"/>
      <c r="L127" s="562">
        <v>243</v>
      </c>
      <c r="M127" s="563">
        <f t="shared" si="8"/>
        <v>4.1418101244247483</v>
      </c>
      <c r="N127" s="564"/>
      <c r="O127" s="564"/>
      <c r="P127" s="564"/>
      <c r="Q127" s="565">
        <v>9.6064814814814808E-4</v>
      </c>
      <c r="R127" s="566">
        <v>5.9837962962962961E-3</v>
      </c>
      <c r="S127" s="567">
        <v>4.0138888888888884E-2</v>
      </c>
      <c r="T127" s="568">
        <v>4.2094907407407407E-2</v>
      </c>
      <c r="U127" s="569">
        <v>1.3657407407407409E-3</v>
      </c>
      <c r="V127" s="570">
        <v>140</v>
      </c>
      <c r="W127" s="570">
        <v>163</v>
      </c>
      <c r="X127" s="571"/>
    </row>
    <row r="128" spans="1:24" s="554" customFormat="1" ht="15.95" customHeight="1" thickBot="1" x14ac:dyDescent="0.3">
      <c r="A128" s="451" t="s">
        <v>57</v>
      </c>
      <c r="B128" s="452">
        <v>44082</v>
      </c>
      <c r="C128" s="555">
        <v>10.01</v>
      </c>
      <c r="D128" s="556"/>
      <c r="E128" s="556"/>
      <c r="F128" s="557">
        <f t="shared" si="6"/>
        <v>4.71875E-2</v>
      </c>
      <c r="G128" s="558">
        <v>1057</v>
      </c>
      <c r="H128" s="559">
        <f t="shared" si="7"/>
        <v>8.8388520971302427</v>
      </c>
      <c r="I128" s="560">
        <v>9.9</v>
      </c>
      <c r="J128" s="561">
        <v>4.7222222222222223E-3</v>
      </c>
      <c r="K128" s="561">
        <v>4.2013888888888891E-3</v>
      </c>
      <c r="L128" s="562">
        <v>3</v>
      </c>
      <c r="M128" s="563">
        <f t="shared" si="8"/>
        <v>0.29970029970029971</v>
      </c>
      <c r="N128" s="564"/>
      <c r="O128" s="564"/>
      <c r="P128" s="564"/>
      <c r="Q128" s="565">
        <v>6.9444444444444444E-5</v>
      </c>
      <c r="R128" s="566">
        <v>3.0092592592592595E-4</v>
      </c>
      <c r="S128" s="567">
        <v>4.340277777777778E-3</v>
      </c>
      <c r="T128" s="568">
        <v>2.836805555555556E-2</v>
      </c>
      <c r="U128" s="569">
        <v>1.4108796296296295E-2</v>
      </c>
      <c r="V128" s="570">
        <v>152</v>
      </c>
      <c r="W128" s="570">
        <v>168</v>
      </c>
      <c r="X128" s="571"/>
    </row>
    <row r="129" spans="1:24" s="554" customFormat="1" ht="15.95" customHeight="1" thickBot="1" x14ac:dyDescent="0.3">
      <c r="A129" s="451"/>
      <c r="B129" s="452"/>
      <c r="C129" s="555"/>
      <c r="D129" s="556"/>
      <c r="E129" s="556"/>
      <c r="F129" s="557" t="str">
        <f t="shared" si="6"/>
        <v/>
      </c>
      <c r="G129" s="558"/>
      <c r="H129" s="559" t="str">
        <f t="shared" si="7"/>
        <v/>
      </c>
      <c r="I129" s="560"/>
      <c r="J129" s="561"/>
      <c r="K129" s="561"/>
      <c r="L129" s="562"/>
      <c r="M129" s="563" t="str">
        <f t="shared" si="8"/>
        <v/>
      </c>
      <c r="N129" s="564"/>
      <c r="O129" s="564"/>
      <c r="P129" s="564"/>
      <c r="Q129" s="565"/>
      <c r="R129" s="566"/>
      <c r="S129" s="567"/>
      <c r="T129" s="568"/>
      <c r="U129" s="569"/>
      <c r="V129" s="570"/>
      <c r="W129" s="570"/>
      <c r="X129" s="571"/>
    </row>
    <row r="130" spans="1:24" s="554" customFormat="1" ht="15.95" customHeight="1" thickBot="1" x14ac:dyDescent="0.3">
      <c r="A130" s="451"/>
      <c r="B130" s="452"/>
      <c r="C130" s="555"/>
      <c r="D130" s="556"/>
      <c r="E130" s="556"/>
      <c r="F130" s="557" t="str">
        <f t="shared" si="6"/>
        <v/>
      </c>
      <c r="G130" s="558"/>
      <c r="H130" s="559" t="str">
        <f t="shared" si="7"/>
        <v/>
      </c>
      <c r="I130" s="560"/>
      <c r="J130" s="561"/>
      <c r="K130" s="561"/>
      <c r="L130" s="562"/>
      <c r="M130" s="563" t="str">
        <f t="shared" si="8"/>
        <v/>
      </c>
      <c r="N130" s="564"/>
      <c r="O130" s="564"/>
      <c r="P130" s="564"/>
      <c r="Q130" s="565"/>
      <c r="R130" s="566"/>
      <c r="S130" s="567"/>
      <c r="T130" s="568"/>
      <c r="U130" s="569"/>
      <c r="V130" s="570"/>
      <c r="W130" s="570"/>
      <c r="X130" s="571"/>
    </row>
    <row r="131" spans="1:24" s="554" customFormat="1" ht="15.95" customHeight="1" thickBot="1" x14ac:dyDescent="0.3">
      <c r="A131" s="451"/>
      <c r="B131" s="452"/>
      <c r="C131" s="555"/>
      <c r="D131" s="556"/>
      <c r="E131" s="556"/>
      <c r="F131" s="557" t="str">
        <f t="shared" si="6"/>
        <v/>
      </c>
      <c r="G131" s="558"/>
      <c r="H131" s="559" t="str">
        <f t="shared" si="7"/>
        <v/>
      </c>
      <c r="I131" s="560"/>
      <c r="J131" s="561"/>
      <c r="K131" s="561"/>
      <c r="L131" s="562"/>
      <c r="M131" s="563" t="str">
        <f t="shared" si="8"/>
        <v/>
      </c>
      <c r="N131" s="564"/>
      <c r="O131" s="564"/>
      <c r="P131" s="564"/>
      <c r="Q131" s="565"/>
      <c r="R131" s="566"/>
      <c r="S131" s="567"/>
      <c r="T131" s="568"/>
      <c r="U131" s="569"/>
      <c r="V131" s="570"/>
      <c r="W131" s="570"/>
      <c r="X131" s="571"/>
    </row>
    <row r="132" spans="1:24" s="554" customFormat="1" ht="15.95" customHeight="1" thickBot="1" x14ac:dyDescent="0.3">
      <c r="A132" s="451"/>
      <c r="B132" s="452"/>
      <c r="C132" s="555"/>
      <c r="D132" s="556"/>
      <c r="E132" s="556"/>
      <c r="F132" s="557" t="str">
        <f t="shared" si="6"/>
        <v/>
      </c>
      <c r="G132" s="558"/>
      <c r="H132" s="559" t="str">
        <f t="shared" si="7"/>
        <v/>
      </c>
      <c r="I132" s="560"/>
      <c r="J132" s="561"/>
      <c r="K132" s="561"/>
      <c r="L132" s="562"/>
      <c r="M132" s="563" t="str">
        <f t="shared" si="8"/>
        <v/>
      </c>
      <c r="N132" s="564"/>
      <c r="O132" s="564"/>
      <c r="P132" s="564"/>
      <c r="Q132" s="565"/>
      <c r="R132" s="566"/>
      <c r="S132" s="567"/>
      <c r="T132" s="568"/>
      <c r="U132" s="569"/>
      <c r="V132" s="570"/>
      <c r="W132" s="570"/>
      <c r="X132" s="571"/>
    </row>
    <row r="133" spans="1:24" s="554" customFormat="1" ht="15.95" customHeight="1" thickBot="1" x14ac:dyDescent="0.3">
      <c r="A133" s="451"/>
      <c r="B133" s="452"/>
      <c r="C133" s="555"/>
      <c r="D133" s="556"/>
      <c r="E133" s="556"/>
      <c r="F133" s="557" t="str">
        <f t="shared" si="6"/>
        <v/>
      </c>
      <c r="G133" s="558"/>
      <c r="H133" s="559" t="str">
        <f t="shared" si="7"/>
        <v/>
      </c>
      <c r="I133" s="560"/>
      <c r="J133" s="561"/>
      <c r="K133" s="561"/>
      <c r="L133" s="562"/>
      <c r="M133" s="563" t="str">
        <f t="shared" si="8"/>
        <v/>
      </c>
      <c r="N133" s="564"/>
      <c r="O133" s="564"/>
      <c r="P133" s="564"/>
      <c r="Q133" s="565"/>
      <c r="R133" s="566"/>
      <c r="S133" s="567"/>
      <c r="T133" s="568"/>
      <c r="U133" s="569"/>
      <c r="V133" s="570"/>
      <c r="W133" s="570"/>
      <c r="X133" s="571"/>
    </row>
    <row r="134" spans="1:24" s="554" customFormat="1" ht="15.95" customHeight="1" thickBot="1" x14ac:dyDescent="0.3">
      <c r="A134" s="451"/>
      <c r="B134" s="452"/>
      <c r="C134" s="555"/>
      <c r="D134" s="556"/>
      <c r="E134" s="556"/>
      <c r="F134" s="557" t="str">
        <f t="shared" si="6"/>
        <v/>
      </c>
      <c r="G134" s="558"/>
      <c r="H134" s="559" t="str">
        <f t="shared" si="7"/>
        <v/>
      </c>
      <c r="I134" s="560"/>
      <c r="J134" s="561"/>
      <c r="K134" s="561"/>
      <c r="L134" s="562"/>
      <c r="M134" s="563" t="str">
        <f t="shared" si="8"/>
        <v/>
      </c>
      <c r="N134" s="564"/>
      <c r="O134" s="564"/>
      <c r="P134" s="564"/>
      <c r="Q134" s="565"/>
      <c r="R134" s="566"/>
      <c r="S134" s="567"/>
      <c r="T134" s="568"/>
      <c r="U134" s="569"/>
      <c r="V134" s="570"/>
      <c r="W134" s="570"/>
      <c r="X134" s="571"/>
    </row>
    <row r="135" spans="1:24" s="554" customFormat="1" ht="15.95" customHeight="1" thickBot="1" x14ac:dyDescent="0.3">
      <c r="A135" s="451"/>
      <c r="B135" s="452"/>
      <c r="C135" s="555"/>
      <c r="D135" s="556"/>
      <c r="E135" s="556"/>
      <c r="F135" s="557" t="str">
        <f t="shared" si="6"/>
        <v/>
      </c>
      <c r="G135" s="558"/>
      <c r="H135" s="559" t="str">
        <f t="shared" si="7"/>
        <v/>
      </c>
      <c r="I135" s="560"/>
      <c r="J135" s="561"/>
      <c r="K135" s="561"/>
      <c r="L135" s="562"/>
      <c r="M135" s="563" t="str">
        <f t="shared" si="8"/>
        <v/>
      </c>
      <c r="N135" s="564"/>
      <c r="O135" s="564"/>
      <c r="P135" s="564"/>
      <c r="Q135" s="565"/>
      <c r="R135" s="566"/>
      <c r="S135" s="567"/>
      <c r="T135" s="568"/>
      <c r="U135" s="569"/>
      <c r="V135" s="570"/>
      <c r="W135" s="570"/>
      <c r="X135" s="571"/>
    </row>
    <row r="136" spans="1:24" s="554" customFormat="1" ht="15.95" customHeight="1" thickBot="1" x14ac:dyDescent="0.3">
      <c r="A136" s="451"/>
      <c r="B136" s="452"/>
      <c r="C136" s="555"/>
      <c r="D136" s="556"/>
      <c r="E136" s="556"/>
      <c r="F136" s="557" t="str">
        <f t="shared" ref="F136:F199" si="9">IF(SUM(Q136:U136)=0,"",SUM(Q136:U136))</f>
        <v/>
      </c>
      <c r="G136" s="558"/>
      <c r="H136" s="559" t="str">
        <f t="shared" ref="H136:H199" si="10">IF(F136&lt;&gt;"",C136/F136/24,"")</f>
        <v/>
      </c>
      <c r="I136" s="560"/>
      <c r="J136" s="561"/>
      <c r="K136" s="561"/>
      <c r="L136" s="562"/>
      <c r="M136" s="563" t="str">
        <f t="shared" ref="M136:M199" si="11">IF(OR(C136="",L136=""),"",L136/C136)</f>
        <v/>
      </c>
      <c r="N136" s="564"/>
      <c r="O136" s="564"/>
      <c r="P136" s="564"/>
      <c r="Q136" s="565"/>
      <c r="R136" s="566"/>
      <c r="S136" s="567"/>
      <c r="T136" s="568"/>
      <c r="U136" s="569"/>
      <c r="V136" s="570"/>
      <c r="W136" s="570"/>
      <c r="X136" s="571"/>
    </row>
    <row r="137" spans="1:24" s="554" customFormat="1" ht="15.95" customHeight="1" thickBot="1" x14ac:dyDescent="0.3">
      <c r="A137" s="451"/>
      <c r="B137" s="452"/>
      <c r="C137" s="555"/>
      <c r="D137" s="556"/>
      <c r="E137" s="556"/>
      <c r="F137" s="557" t="str">
        <f t="shared" si="9"/>
        <v/>
      </c>
      <c r="G137" s="558"/>
      <c r="H137" s="559" t="str">
        <f t="shared" si="10"/>
        <v/>
      </c>
      <c r="I137" s="560"/>
      <c r="J137" s="561"/>
      <c r="K137" s="561"/>
      <c r="L137" s="562"/>
      <c r="M137" s="563" t="str">
        <f t="shared" si="11"/>
        <v/>
      </c>
      <c r="N137" s="564"/>
      <c r="O137" s="564"/>
      <c r="P137" s="564"/>
      <c r="Q137" s="565"/>
      <c r="R137" s="566"/>
      <c r="S137" s="567"/>
      <c r="T137" s="568"/>
      <c r="U137" s="569"/>
      <c r="V137" s="570"/>
      <c r="W137" s="570"/>
      <c r="X137" s="571"/>
    </row>
    <row r="138" spans="1:24" s="554" customFormat="1" ht="15.95" customHeight="1" thickBot="1" x14ac:dyDescent="0.3">
      <c r="A138" s="451"/>
      <c r="B138" s="452"/>
      <c r="C138" s="555"/>
      <c r="D138" s="556"/>
      <c r="E138" s="556"/>
      <c r="F138" s="557" t="str">
        <f t="shared" si="9"/>
        <v/>
      </c>
      <c r="G138" s="558"/>
      <c r="H138" s="559" t="str">
        <f t="shared" si="10"/>
        <v/>
      </c>
      <c r="I138" s="560"/>
      <c r="J138" s="561"/>
      <c r="K138" s="561"/>
      <c r="L138" s="562"/>
      <c r="M138" s="563" t="str">
        <f t="shared" si="11"/>
        <v/>
      </c>
      <c r="N138" s="564"/>
      <c r="O138" s="564"/>
      <c r="P138" s="564"/>
      <c r="Q138" s="565"/>
      <c r="R138" s="566"/>
      <c r="S138" s="567"/>
      <c r="T138" s="568"/>
      <c r="U138" s="569"/>
      <c r="V138" s="570"/>
      <c r="W138" s="570"/>
      <c r="X138" s="571"/>
    </row>
    <row r="139" spans="1:24" s="554" customFormat="1" ht="15.95" customHeight="1" thickBot="1" x14ac:dyDescent="0.3">
      <c r="A139" s="451"/>
      <c r="B139" s="452"/>
      <c r="C139" s="555"/>
      <c r="D139" s="556"/>
      <c r="E139" s="556"/>
      <c r="F139" s="557" t="str">
        <f t="shared" si="9"/>
        <v/>
      </c>
      <c r="G139" s="558"/>
      <c r="H139" s="559" t="str">
        <f t="shared" si="10"/>
        <v/>
      </c>
      <c r="I139" s="560"/>
      <c r="J139" s="561"/>
      <c r="K139" s="561"/>
      <c r="L139" s="562"/>
      <c r="M139" s="563" t="str">
        <f t="shared" si="11"/>
        <v/>
      </c>
      <c r="N139" s="564"/>
      <c r="O139" s="564"/>
      <c r="P139" s="564"/>
      <c r="Q139" s="565"/>
      <c r="R139" s="566"/>
      <c r="S139" s="567"/>
      <c r="T139" s="568"/>
      <c r="U139" s="569"/>
      <c r="V139" s="570"/>
      <c r="W139" s="570"/>
      <c r="X139" s="571"/>
    </row>
    <row r="140" spans="1:24" s="554" customFormat="1" ht="15.95" customHeight="1" thickBot="1" x14ac:dyDescent="0.3">
      <c r="A140" s="451"/>
      <c r="B140" s="452"/>
      <c r="C140" s="555"/>
      <c r="D140" s="556"/>
      <c r="E140" s="556"/>
      <c r="F140" s="557" t="str">
        <f t="shared" si="9"/>
        <v/>
      </c>
      <c r="G140" s="558"/>
      <c r="H140" s="559" t="str">
        <f t="shared" si="10"/>
        <v/>
      </c>
      <c r="I140" s="560"/>
      <c r="J140" s="561"/>
      <c r="K140" s="561"/>
      <c r="L140" s="562"/>
      <c r="M140" s="563" t="str">
        <f t="shared" si="11"/>
        <v/>
      </c>
      <c r="N140" s="564"/>
      <c r="O140" s="564"/>
      <c r="P140" s="564"/>
      <c r="Q140" s="565"/>
      <c r="R140" s="566"/>
      <c r="S140" s="567"/>
      <c r="T140" s="568"/>
      <c r="U140" s="569"/>
      <c r="V140" s="570"/>
      <c r="W140" s="570"/>
      <c r="X140" s="571"/>
    </row>
    <row r="141" spans="1:24" s="554" customFormat="1" ht="15.95" customHeight="1" thickBot="1" x14ac:dyDescent="0.3">
      <c r="A141" s="451"/>
      <c r="B141" s="452"/>
      <c r="C141" s="555"/>
      <c r="D141" s="556"/>
      <c r="E141" s="556"/>
      <c r="F141" s="557" t="str">
        <f t="shared" si="9"/>
        <v/>
      </c>
      <c r="G141" s="558"/>
      <c r="H141" s="559" t="str">
        <f t="shared" si="10"/>
        <v/>
      </c>
      <c r="I141" s="560"/>
      <c r="J141" s="561"/>
      <c r="K141" s="561"/>
      <c r="L141" s="562"/>
      <c r="M141" s="563" t="str">
        <f t="shared" si="11"/>
        <v/>
      </c>
      <c r="N141" s="564"/>
      <c r="O141" s="564"/>
      <c r="P141" s="564"/>
      <c r="Q141" s="565"/>
      <c r="R141" s="566"/>
      <c r="S141" s="567"/>
      <c r="T141" s="568"/>
      <c r="U141" s="569"/>
      <c r="V141" s="570"/>
      <c r="W141" s="570"/>
      <c r="X141" s="571"/>
    </row>
    <row r="142" spans="1:24" s="554" customFormat="1" ht="15.95" customHeight="1" thickBot="1" x14ac:dyDescent="0.3">
      <c r="A142" s="451"/>
      <c r="B142" s="452"/>
      <c r="C142" s="555"/>
      <c r="D142" s="556"/>
      <c r="E142" s="556"/>
      <c r="F142" s="557" t="str">
        <f t="shared" si="9"/>
        <v/>
      </c>
      <c r="G142" s="558"/>
      <c r="H142" s="559" t="str">
        <f t="shared" si="10"/>
        <v/>
      </c>
      <c r="I142" s="560"/>
      <c r="J142" s="561"/>
      <c r="K142" s="561"/>
      <c r="L142" s="562"/>
      <c r="M142" s="563" t="str">
        <f t="shared" si="11"/>
        <v/>
      </c>
      <c r="N142" s="564"/>
      <c r="O142" s="564"/>
      <c r="P142" s="564"/>
      <c r="Q142" s="565"/>
      <c r="R142" s="566"/>
      <c r="S142" s="567"/>
      <c r="T142" s="568"/>
      <c r="U142" s="569"/>
      <c r="V142" s="570"/>
      <c r="W142" s="570"/>
      <c r="X142" s="571"/>
    </row>
    <row r="143" spans="1:24" s="554" customFormat="1" ht="15.95" customHeight="1" thickBot="1" x14ac:dyDescent="0.3">
      <c r="A143" s="451"/>
      <c r="B143" s="452"/>
      <c r="C143" s="555"/>
      <c r="D143" s="556"/>
      <c r="E143" s="556"/>
      <c r="F143" s="557" t="str">
        <f t="shared" si="9"/>
        <v/>
      </c>
      <c r="G143" s="558"/>
      <c r="H143" s="559" t="str">
        <f t="shared" si="10"/>
        <v/>
      </c>
      <c r="I143" s="560"/>
      <c r="J143" s="561"/>
      <c r="K143" s="561"/>
      <c r="L143" s="562"/>
      <c r="M143" s="563" t="str">
        <f t="shared" si="11"/>
        <v/>
      </c>
      <c r="N143" s="564"/>
      <c r="O143" s="564"/>
      <c r="P143" s="564"/>
      <c r="Q143" s="565"/>
      <c r="R143" s="566"/>
      <c r="S143" s="567"/>
      <c r="T143" s="568"/>
      <c r="U143" s="569"/>
      <c r="V143" s="570"/>
      <c r="W143" s="570"/>
      <c r="X143" s="571"/>
    </row>
    <row r="144" spans="1:24" s="554" customFormat="1" ht="15.95" customHeight="1" thickBot="1" x14ac:dyDescent="0.3">
      <c r="A144" s="451"/>
      <c r="B144" s="452"/>
      <c r="C144" s="555"/>
      <c r="D144" s="556"/>
      <c r="E144" s="556"/>
      <c r="F144" s="557" t="str">
        <f t="shared" si="9"/>
        <v/>
      </c>
      <c r="G144" s="558"/>
      <c r="H144" s="559" t="str">
        <f t="shared" si="10"/>
        <v/>
      </c>
      <c r="I144" s="560"/>
      <c r="J144" s="561"/>
      <c r="K144" s="561"/>
      <c r="L144" s="562"/>
      <c r="M144" s="563" t="str">
        <f t="shared" si="11"/>
        <v/>
      </c>
      <c r="N144" s="564"/>
      <c r="O144" s="564"/>
      <c r="P144" s="564"/>
      <c r="Q144" s="565"/>
      <c r="R144" s="566"/>
      <c r="S144" s="567"/>
      <c r="T144" s="568"/>
      <c r="U144" s="569"/>
      <c r="V144" s="570"/>
      <c r="W144" s="570"/>
      <c r="X144" s="571"/>
    </row>
    <row r="145" spans="1:24" ht="15.75" thickBot="1" x14ac:dyDescent="0.3">
      <c r="A145" s="451"/>
      <c r="B145" s="452"/>
      <c r="C145" s="555"/>
      <c r="D145" s="556"/>
      <c r="E145" s="556"/>
      <c r="F145" s="557" t="str">
        <f t="shared" si="9"/>
        <v/>
      </c>
      <c r="G145" s="558"/>
      <c r="H145" s="559" t="str">
        <f t="shared" si="10"/>
        <v/>
      </c>
      <c r="I145" s="560"/>
      <c r="J145" s="561"/>
      <c r="K145" s="561"/>
      <c r="L145" s="562"/>
      <c r="M145" s="563" t="str">
        <f t="shared" si="11"/>
        <v/>
      </c>
      <c r="N145" s="575"/>
      <c r="O145" s="575"/>
      <c r="P145" s="575"/>
      <c r="Q145" s="565"/>
      <c r="R145" s="566"/>
      <c r="S145" s="567"/>
      <c r="T145" s="568"/>
      <c r="U145" s="569"/>
      <c r="V145" s="570"/>
      <c r="W145" s="570"/>
      <c r="X145" s="571"/>
    </row>
    <row r="146" spans="1:24" ht="15.75" thickBot="1" x14ac:dyDescent="0.3">
      <c r="A146" s="451"/>
      <c r="B146" s="452"/>
      <c r="C146" s="555"/>
      <c r="D146" s="556"/>
      <c r="E146" s="556"/>
      <c r="F146" s="557" t="str">
        <f t="shared" si="9"/>
        <v/>
      </c>
      <c r="G146" s="558"/>
      <c r="H146" s="559" t="str">
        <f t="shared" si="10"/>
        <v/>
      </c>
      <c r="I146" s="560"/>
      <c r="J146" s="561"/>
      <c r="K146" s="561"/>
      <c r="L146" s="562"/>
      <c r="M146" s="563" t="str">
        <f t="shared" si="11"/>
        <v/>
      </c>
      <c r="N146" s="575"/>
      <c r="O146" s="575"/>
      <c r="P146" s="575"/>
      <c r="Q146" s="565"/>
      <c r="R146" s="566"/>
      <c r="S146" s="567"/>
      <c r="T146" s="568"/>
      <c r="U146" s="569"/>
      <c r="V146" s="570"/>
      <c r="W146" s="570"/>
      <c r="X146" s="571"/>
    </row>
    <row r="147" spans="1:24" ht="15.75" thickBot="1" x14ac:dyDescent="0.3">
      <c r="A147" s="451"/>
      <c r="B147" s="452"/>
      <c r="C147" s="555"/>
      <c r="D147" s="556"/>
      <c r="E147" s="556"/>
      <c r="F147" s="557" t="str">
        <f t="shared" si="9"/>
        <v/>
      </c>
      <c r="G147" s="558"/>
      <c r="H147" s="559" t="str">
        <f t="shared" si="10"/>
        <v/>
      </c>
      <c r="I147" s="560"/>
      <c r="J147" s="561"/>
      <c r="K147" s="561"/>
      <c r="L147" s="562"/>
      <c r="M147" s="563" t="str">
        <f t="shared" si="11"/>
        <v/>
      </c>
      <c r="N147" s="575"/>
      <c r="O147" s="575"/>
      <c r="P147" s="575"/>
      <c r="Q147" s="565"/>
      <c r="R147" s="566"/>
      <c r="S147" s="567"/>
      <c r="T147" s="568"/>
      <c r="U147" s="569"/>
      <c r="V147" s="570"/>
      <c r="W147" s="570"/>
      <c r="X147" s="571"/>
    </row>
    <row r="148" spans="1:24" ht="15.75" thickBot="1" x14ac:dyDescent="0.3">
      <c r="A148" s="451"/>
      <c r="B148" s="452"/>
      <c r="C148" s="555"/>
      <c r="D148" s="556"/>
      <c r="E148" s="556"/>
      <c r="F148" s="557" t="str">
        <f t="shared" si="9"/>
        <v/>
      </c>
      <c r="G148" s="558"/>
      <c r="H148" s="559" t="str">
        <f t="shared" si="10"/>
        <v/>
      </c>
      <c r="I148" s="560"/>
      <c r="J148" s="561"/>
      <c r="K148" s="561"/>
      <c r="L148" s="562"/>
      <c r="M148" s="563" t="str">
        <f t="shared" si="11"/>
        <v/>
      </c>
      <c r="N148" s="575"/>
      <c r="O148" s="575"/>
      <c r="P148" s="575"/>
      <c r="Q148" s="565"/>
      <c r="R148" s="566"/>
      <c r="S148" s="567"/>
      <c r="T148" s="568"/>
      <c r="U148" s="569"/>
      <c r="V148" s="570"/>
      <c r="W148" s="570"/>
      <c r="X148" s="571"/>
    </row>
    <row r="149" spans="1:24" ht="15.75" thickBot="1" x14ac:dyDescent="0.3">
      <c r="A149" s="451"/>
      <c r="B149" s="452"/>
      <c r="C149" s="555"/>
      <c r="D149" s="556"/>
      <c r="E149" s="556"/>
      <c r="F149" s="557" t="str">
        <f t="shared" si="9"/>
        <v/>
      </c>
      <c r="G149" s="558"/>
      <c r="H149" s="559" t="str">
        <f t="shared" si="10"/>
        <v/>
      </c>
      <c r="I149" s="560"/>
      <c r="J149" s="561"/>
      <c r="K149" s="561"/>
      <c r="L149" s="562"/>
      <c r="M149" s="563" t="str">
        <f t="shared" si="11"/>
        <v/>
      </c>
      <c r="N149" s="575"/>
      <c r="O149" s="575"/>
      <c r="P149" s="575"/>
      <c r="Q149" s="565"/>
      <c r="R149" s="566"/>
      <c r="S149" s="567"/>
      <c r="T149" s="568"/>
      <c r="U149" s="569"/>
      <c r="V149" s="570"/>
      <c r="W149" s="570"/>
      <c r="X149" s="571"/>
    </row>
    <row r="150" spans="1:24" ht="15.75" thickBot="1" x14ac:dyDescent="0.3">
      <c r="A150" s="451"/>
      <c r="B150" s="452"/>
      <c r="C150" s="555"/>
      <c r="D150" s="556"/>
      <c r="E150" s="556"/>
      <c r="F150" s="557" t="str">
        <f t="shared" si="9"/>
        <v/>
      </c>
      <c r="G150" s="558"/>
      <c r="H150" s="559" t="str">
        <f t="shared" si="10"/>
        <v/>
      </c>
      <c r="I150" s="560"/>
      <c r="J150" s="561"/>
      <c r="K150" s="561"/>
      <c r="L150" s="562"/>
      <c r="M150" s="563" t="str">
        <f t="shared" si="11"/>
        <v/>
      </c>
      <c r="N150" s="575"/>
      <c r="O150" s="575"/>
      <c r="P150" s="575"/>
      <c r="Q150" s="565"/>
      <c r="R150" s="566"/>
      <c r="S150" s="567"/>
      <c r="T150" s="568"/>
      <c r="U150" s="569"/>
      <c r="V150" s="570"/>
      <c r="W150" s="570"/>
      <c r="X150" s="571"/>
    </row>
    <row r="151" spans="1:24" ht="15.75" thickBot="1" x14ac:dyDescent="0.3">
      <c r="A151" s="451"/>
      <c r="B151" s="452"/>
      <c r="C151" s="555"/>
      <c r="D151" s="556"/>
      <c r="E151" s="556"/>
      <c r="F151" s="557" t="str">
        <f t="shared" si="9"/>
        <v/>
      </c>
      <c r="G151" s="558"/>
      <c r="H151" s="559" t="str">
        <f t="shared" si="10"/>
        <v/>
      </c>
      <c r="I151" s="560"/>
      <c r="J151" s="561"/>
      <c r="K151" s="561"/>
      <c r="L151" s="562"/>
      <c r="M151" s="563" t="str">
        <f t="shared" si="11"/>
        <v/>
      </c>
      <c r="N151" s="575"/>
      <c r="O151" s="575"/>
      <c r="P151" s="575"/>
      <c r="Q151" s="565"/>
      <c r="R151" s="566"/>
      <c r="S151" s="567"/>
      <c r="T151" s="568"/>
      <c r="U151" s="569"/>
      <c r="V151" s="570"/>
      <c r="W151" s="570"/>
      <c r="X151" s="571"/>
    </row>
    <row r="152" spans="1:24" ht="15.75" thickBot="1" x14ac:dyDescent="0.3">
      <c r="A152" s="451"/>
      <c r="B152" s="452"/>
      <c r="C152" s="555"/>
      <c r="D152" s="556"/>
      <c r="E152" s="556"/>
      <c r="F152" s="557" t="str">
        <f t="shared" si="9"/>
        <v/>
      </c>
      <c r="G152" s="558"/>
      <c r="H152" s="559" t="str">
        <f t="shared" si="10"/>
        <v/>
      </c>
      <c r="I152" s="560"/>
      <c r="J152" s="561"/>
      <c r="K152" s="561"/>
      <c r="L152" s="562"/>
      <c r="M152" s="563" t="str">
        <f t="shared" si="11"/>
        <v/>
      </c>
      <c r="N152" s="575"/>
      <c r="O152" s="575"/>
      <c r="P152" s="575"/>
      <c r="Q152" s="565"/>
      <c r="R152" s="566"/>
      <c r="S152" s="567"/>
      <c r="T152" s="568"/>
      <c r="U152" s="569"/>
      <c r="V152" s="570"/>
      <c r="W152" s="570"/>
      <c r="X152" s="571"/>
    </row>
    <row r="153" spans="1:24" ht="15.75" thickBot="1" x14ac:dyDescent="0.3">
      <c r="A153" s="451"/>
      <c r="B153" s="452"/>
      <c r="C153" s="555"/>
      <c r="D153" s="556"/>
      <c r="E153" s="556"/>
      <c r="F153" s="557" t="str">
        <f t="shared" si="9"/>
        <v/>
      </c>
      <c r="G153" s="558"/>
      <c r="H153" s="559" t="str">
        <f t="shared" si="10"/>
        <v/>
      </c>
      <c r="I153" s="560"/>
      <c r="J153" s="561"/>
      <c r="K153" s="561"/>
      <c r="L153" s="562"/>
      <c r="M153" s="563" t="str">
        <f t="shared" si="11"/>
        <v/>
      </c>
      <c r="N153" s="575"/>
      <c r="O153" s="575"/>
      <c r="P153" s="575"/>
      <c r="Q153" s="565"/>
      <c r="R153" s="566"/>
      <c r="S153" s="567"/>
      <c r="T153" s="568"/>
      <c r="U153" s="569"/>
      <c r="V153" s="570"/>
      <c r="W153" s="570"/>
      <c r="X153" s="571"/>
    </row>
    <row r="154" spans="1:24" ht="15.75" thickBot="1" x14ac:dyDescent="0.3">
      <c r="A154" s="451"/>
      <c r="B154" s="452"/>
      <c r="C154" s="555"/>
      <c r="D154" s="556"/>
      <c r="E154" s="556"/>
      <c r="F154" s="557" t="str">
        <f t="shared" si="9"/>
        <v/>
      </c>
      <c r="G154" s="558"/>
      <c r="H154" s="559" t="str">
        <f t="shared" si="10"/>
        <v/>
      </c>
      <c r="I154" s="560"/>
      <c r="J154" s="561"/>
      <c r="K154" s="561"/>
      <c r="L154" s="562"/>
      <c r="M154" s="563" t="str">
        <f t="shared" si="11"/>
        <v/>
      </c>
      <c r="N154" s="575"/>
      <c r="O154" s="575"/>
      <c r="P154" s="575"/>
      <c r="Q154" s="565"/>
      <c r="R154" s="566"/>
      <c r="S154" s="567"/>
      <c r="T154" s="568"/>
      <c r="U154" s="569"/>
      <c r="V154" s="570"/>
      <c r="W154" s="570"/>
      <c r="X154" s="571"/>
    </row>
    <row r="155" spans="1:24" ht="15.75" thickBot="1" x14ac:dyDescent="0.3">
      <c r="A155" s="451"/>
      <c r="B155" s="452"/>
      <c r="C155" s="555"/>
      <c r="D155" s="556"/>
      <c r="E155" s="556"/>
      <c r="F155" s="557" t="str">
        <f t="shared" si="9"/>
        <v/>
      </c>
      <c r="G155" s="558"/>
      <c r="H155" s="559" t="str">
        <f t="shared" si="10"/>
        <v/>
      </c>
      <c r="I155" s="560"/>
      <c r="J155" s="561"/>
      <c r="K155" s="561"/>
      <c r="L155" s="562"/>
      <c r="M155" s="563" t="str">
        <f t="shared" si="11"/>
        <v/>
      </c>
      <c r="N155" s="575"/>
      <c r="O155" s="575"/>
      <c r="P155" s="575"/>
      <c r="Q155" s="565"/>
      <c r="R155" s="566"/>
      <c r="S155" s="567"/>
      <c r="T155" s="568"/>
      <c r="U155" s="569"/>
      <c r="V155" s="570"/>
      <c r="W155" s="570"/>
      <c r="X155" s="571"/>
    </row>
    <row r="156" spans="1:24" ht="15.75" thickBot="1" x14ac:dyDescent="0.3">
      <c r="A156" s="451"/>
      <c r="B156" s="452"/>
      <c r="C156" s="555"/>
      <c r="D156" s="556"/>
      <c r="E156" s="556"/>
      <c r="F156" s="557" t="str">
        <f t="shared" si="9"/>
        <v/>
      </c>
      <c r="G156" s="558"/>
      <c r="H156" s="559" t="str">
        <f t="shared" si="10"/>
        <v/>
      </c>
      <c r="I156" s="560"/>
      <c r="J156" s="561"/>
      <c r="K156" s="561"/>
      <c r="L156" s="562"/>
      <c r="M156" s="563" t="str">
        <f t="shared" si="11"/>
        <v/>
      </c>
      <c r="N156" s="575"/>
      <c r="O156" s="575"/>
      <c r="P156" s="575"/>
      <c r="Q156" s="565"/>
      <c r="R156" s="566"/>
      <c r="S156" s="567"/>
      <c r="T156" s="568"/>
      <c r="U156" s="569"/>
      <c r="V156" s="570"/>
      <c r="W156" s="570"/>
      <c r="X156" s="571"/>
    </row>
    <row r="157" spans="1:24" ht="15.75" thickBot="1" x14ac:dyDescent="0.3">
      <c r="A157" s="451"/>
      <c r="B157" s="452"/>
      <c r="C157" s="555"/>
      <c r="D157" s="556"/>
      <c r="E157" s="556"/>
      <c r="F157" s="557" t="str">
        <f t="shared" si="9"/>
        <v/>
      </c>
      <c r="G157" s="558"/>
      <c r="H157" s="559" t="str">
        <f t="shared" si="10"/>
        <v/>
      </c>
      <c r="I157" s="560"/>
      <c r="J157" s="561"/>
      <c r="K157" s="561"/>
      <c r="L157" s="562"/>
      <c r="M157" s="563" t="str">
        <f t="shared" si="11"/>
        <v/>
      </c>
      <c r="N157" s="575"/>
      <c r="O157" s="575"/>
      <c r="P157" s="575"/>
      <c r="Q157" s="565"/>
      <c r="R157" s="566"/>
      <c r="S157" s="567"/>
      <c r="T157" s="568"/>
      <c r="U157" s="569"/>
      <c r="V157" s="570"/>
      <c r="W157" s="570"/>
      <c r="X157" s="571"/>
    </row>
    <row r="158" spans="1:24" ht="15.75" thickBot="1" x14ac:dyDescent="0.3">
      <c r="A158" s="451"/>
      <c r="B158" s="452"/>
      <c r="C158" s="555"/>
      <c r="D158" s="556"/>
      <c r="E158" s="556"/>
      <c r="F158" s="557" t="str">
        <f t="shared" si="9"/>
        <v/>
      </c>
      <c r="G158" s="558"/>
      <c r="H158" s="559" t="str">
        <f t="shared" si="10"/>
        <v/>
      </c>
      <c r="I158" s="560"/>
      <c r="J158" s="561"/>
      <c r="K158" s="561"/>
      <c r="L158" s="562"/>
      <c r="M158" s="563" t="str">
        <f t="shared" si="11"/>
        <v/>
      </c>
      <c r="N158" s="575"/>
      <c r="O158" s="575"/>
      <c r="P158" s="575"/>
      <c r="Q158" s="565"/>
      <c r="R158" s="566"/>
      <c r="S158" s="567"/>
      <c r="T158" s="568"/>
      <c r="U158" s="569"/>
      <c r="V158" s="570"/>
      <c r="W158" s="570"/>
      <c r="X158" s="571"/>
    </row>
    <row r="159" spans="1:24" ht="15.75" thickBot="1" x14ac:dyDescent="0.3">
      <c r="A159" s="451"/>
      <c r="B159" s="452"/>
      <c r="C159" s="555"/>
      <c r="D159" s="556"/>
      <c r="E159" s="556"/>
      <c r="F159" s="557" t="str">
        <f t="shared" si="9"/>
        <v/>
      </c>
      <c r="G159" s="558"/>
      <c r="H159" s="559" t="str">
        <f t="shared" si="10"/>
        <v/>
      </c>
      <c r="I159" s="560"/>
      <c r="J159" s="561"/>
      <c r="K159" s="561"/>
      <c r="L159" s="562"/>
      <c r="M159" s="563" t="str">
        <f t="shared" si="11"/>
        <v/>
      </c>
      <c r="N159" s="575"/>
      <c r="O159" s="575"/>
      <c r="P159" s="575"/>
      <c r="Q159" s="565"/>
      <c r="R159" s="566"/>
      <c r="S159" s="567"/>
      <c r="T159" s="568"/>
      <c r="U159" s="569"/>
      <c r="V159" s="570"/>
      <c r="W159" s="570"/>
      <c r="X159" s="571"/>
    </row>
    <row r="160" spans="1:24" ht="15.75" thickBot="1" x14ac:dyDescent="0.3">
      <c r="A160" s="451"/>
      <c r="B160" s="452"/>
      <c r="C160" s="555"/>
      <c r="D160" s="556"/>
      <c r="E160" s="556"/>
      <c r="F160" s="557" t="str">
        <f t="shared" si="9"/>
        <v/>
      </c>
      <c r="G160" s="558"/>
      <c r="H160" s="559" t="str">
        <f t="shared" si="10"/>
        <v/>
      </c>
      <c r="I160" s="560"/>
      <c r="J160" s="561"/>
      <c r="K160" s="561"/>
      <c r="L160" s="562"/>
      <c r="M160" s="563" t="str">
        <f t="shared" si="11"/>
        <v/>
      </c>
      <c r="N160" s="575"/>
      <c r="O160" s="575"/>
      <c r="P160" s="575"/>
      <c r="Q160" s="565"/>
      <c r="R160" s="566"/>
      <c r="S160" s="567"/>
      <c r="T160" s="568"/>
      <c r="U160" s="569"/>
      <c r="V160" s="570"/>
      <c r="W160" s="570"/>
      <c r="X160" s="571"/>
    </row>
    <row r="161" spans="1:24" ht="15.75" thickBot="1" x14ac:dyDescent="0.3">
      <c r="A161" s="451"/>
      <c r="B161" s="452"/>
      <c r="C161" s="555"/>
      <c r="D161" s="556"/>
      <c r="E161" s="556"/>
      <c r="F161" s="557" t="str">
        <f t="shared" si="9"/>
        <v/>
      </c>
      <c r="G161" s="558"/>
      <c r="H161" s="559" t="str">
        <f t="shared" si="10"/>
        <v/>
      </c>
      <c r="I161" s="560"/>
      <c r="J161" s="561"/>
      <c r="K161" s="561"/>
      <c r="L161" s="562"/>
      <c r="M161" s="563" t="str">
        <f t="shared" si="11"/>
        <v/>
      </c>
      <c r="N161" s="575"/>
      <c r="O161" s="575"/>
      <c r="P161" s="575"/>
      <c r="Q161" s="565"/>
      <c r="R161" s="566"/>
      <c r="S161" s="567"/>
      <c r="T161" s="568"/>
      <c r="U161" s="569"/>
      <c r="V161" s="570"/>
      <c r="W161" s="570"/>
      <c r="X161" s="571"/>
    </row>
    <row r="162" spans="1:24" ht="15.75" thickBot="1" x14ac:dyDescent="0.3">
      <c r="A162" s="451"/>
      <c r="B162" s="452"/>
      <c r="C162" s="555"/>
      <c r="D162" s="556"/>
      <c r="E162" s="556"/>
      <c r="F162" s="557" t="str">
        <f t="shared" si="9"/>
        <v/>
      </c>
      <c r="G162" s="558"/>
      <c r="H162" s="559" t="str">
        <f t="shared" si="10"/>
        <v/>
      </c>
      <c r="I162" s="560"/>
      <c r="J162" s="561"/>
      <c r="K162" s="561"/>
      <c r="L162" s="562"/>
      <c r="M162" s="563" t="str">
        <f t="shared" si="11"/>
        <v/>
      </c>
      <c r="N162" s="575"/>
      <c r="O162" s="575"/>
      <c r="P162" s="575"/>
      <c r="Q162" s="565"/>
      <c r="R162" s="566"/>
      <c r="S162" s="567"/>
      <c r="T162" s="568"/>
      <c r="U162" s="569"/>
      <c r="V162" s="570"/>
      <c r="W162" s="570"/>
      <c r="X162" s="571"/>
    </row>
    <row r="163" spans="1:24" ht="15.75" thickBot="1" x14ac:dyDescent="0.3">
      <c r="A163" s="451"/>
      <c r="B163" s="452"/>
      <c r="C163" s="555"/>
      <c r="D163" s="556"/>
      <c r="E163" s="556"/>
      <c r="F163" s="557" t="str">
        <f t="shared" si="9"/>
        <v/>
      </c>
      <c r="G163" s="558"/>
      <c r="H163" s="559" t="str">
        <f t="shared" si="10"/>
        <v/>
      </c>
      <c r="I163" s="560"/>
      <c r="J163" s="561"/>
      <c r="K163" s="561"/>
      <c r="L163" s="562"/>
      <c r="M163" s="563" t="str">
        <f t="shared" si="11"/>
        <v/>
      </c>
      <c r="N163" s="575"/>
      <c r="O163" s="575"/>
      <c r="P163" s="575"/>
      <c r="Q163" s="565"/>
      <c r="R163" s="566"/>
      <c r="S163" s="567"/>
      <c r="T163" s="568"/>
      <c r="U163" s="569"/>
      <c r="V163" s="570"/>
      <c r="W163" s="570"/>
      <c r="X163" s="571"/>
    </row>
    <row r="164" spans="1:24" ht="15.75" thickBot="1" x14ac:dyDescent="0.3">
      <c r="A164" s="451"/>
      <c r="B164" s="452"/>
      <c r="C164" s="555"/>
      <c r="D164" s="556"/>
      <c r="E164" s="556"/>
      <c r="F164" s="557" t="str">
        <f t="shared" si="9"/>
        <v/>
      </c>
      <c r="G164" s="558"/>
      <c r="H164" s="559" t="str">
        <f t="shared" si="10"/>
        <v/>
      </c>
      <c r="I164" s="560"/>
      <c r="J164" s="561"/>
      <c r="K164" s="561"/>
      <c r="L164" s="562"/>
      <c r="M164" s="563" t="str">
        <f t="shared" si="11"/>
        <v/>
      </c>
      <c r="N164" s="575"/>
      <c r="O164" s="575"/>
      <c r="P164" s="575"/>
      <c r="Q164" s="565"/>
      <c r="R164" s="566"/>
      <c r="S164" s="567"/>
      <c r="T164" s="568"/>
      <c r="U164" s="569"/>
      <c r="V164" s="570"/>
      <c r="W164" s="570"/>
      <c r="X164" s="571"/>
    </row>
    <row r="165" spans="1:24" ht="15.75" thickBot="1" x14ac:dyDescent="0.3">
      <c r="A165" s="451"/>
      <c r="B165" s="452"/>
      <c r="C165" s="555"/>
      <c r="D165" s="556"/>
      <c r="E165" s="556"/>
      <c r="F165" s="557" t="str">
        <f t="shared" si="9"/>
        <v/>
      </c>
      <c r="G165" s="558"/>
      <c r="H165" s="559" t="str">
        <f t="shared" si="10"/>
        <v/>
      </c>
      <c r="I165" s="560"/>
      <c r="J165" s="561"/>
      <c r="K165" s="561"/>
      <c r="L165" s="562"/>
      <c r="M165" s="563" t="str">
        <f t="shared" si="11"/>
        <v/>
      </c>
      <c r="N165" s="575"/>
      <c r="O165" s="575"/>
      <c r="P165" s="575"/>
      <c r="Q165" s="565"/>
      <c r="R165" s="566"/>
      <c r="S165" s="567"/>
      <c r="T165" s="568"/>
      <c r="U165" s="569"/>
      <c r="V165" s="570"/>
      <c r="W165" s="570"/>
      <c r="X165" s="571"/>
    </row>
    <row r="166" spans="1:24" ht="15.75" thickBot="1" x14ac:dyDescent="0.3">
      <c r="A166" s="451"/>
      <c r="B166" s="452"/>
      <c r="C166" s="555"/>
      <c r="D166" s="556"/>
      <c r="E166" s="556"/>
      <c r="F166" s="557" t="str">
        <f t="shared" si="9"/>
        <v/>
      </c>
      <c r="G166" s="558"/>
      <c r="H166" s="559" t="str">
        <f t="shared" si="10"/>
        <v/>
      </c>
      <c r="I166" s="560"/>
      <c r="J166" s="561"/>
      <c r="K166" s="561"/>
      <c r="L166" s="562"/>
      <c r="M166" s="563" t="str">
        <f t="shared" si="11"/>
        <v/>
      </c>
      <c r="N166" s="575"/>
      <c r="O166" s="575"/>
      <c r="P166" s="575"/>
      <c r="Q166" s="565"/>
      <c r="R166" s="566"/>
      <c r="S166" s="567"/>
      <c r="T166" s="568"/>
      <c r="U166" s="569"/>
      <c r="V166" s="570"/>
      <c r="W166" s="570"/>
      <c r="X166" s="571"/>
    </row>
    <row r="167" spans="1:24" ht="15.75" thickBot="1" x14ac:dyDescent="0.3">
      <c r="A167" s="451"/>
      <c r="B167" s="452"/>
      <c r="C167" s="555"/>
      <c r="D167" s="556"/>
      <c r="E167" s="556"/>
      <c r="F167" s="557" t="str">
        <f t="shared" si="9"/>
        <v/>
      </c>
      <c r="G167" s="558"/>
      <c r="H167" s="559" t="str">
        <f t="shared" si="10"/>
        <v/>
      </c>
      <c r="I167" s="560"/>
      <c r="J167" s="561"/>
      <c r="K167" s="561"/>
      <c r="L167" s="562"/>
      <c r="M167" s="563" t="str">
        <f t="shared" si="11"/>
        <v/>
      </c>
      <c r="N167" s="575"/>
      <c r="O167" s="575"/>
      <c r="P167" s="575"/>
      <c r="Q167" s="565"/>
      <c r="R167" s="566"/>
      <c r="S167" s="567"/>
      <c r="T167" s="568"/>
      <c r="U167" s="569"/>
      <c r="V167" s="570"/>
      <c r="W167" s="570"/>
      <c r="X167" s="571"/>
    </row>
    <row r="168" spans="1:24" ht="15.75" thickBot="1" x14ac:dyDescent="0.3">
      <c r="A168" s="451"/>
      <c r="B168" s="452"/>
      <c r="C168" s="555"/>
      <c r="D168" s="556"/>
      <c r="E168" s="556"/>
      <c r="F168" s="557" t="str">
        <f t="shared" si="9"/>
        <v/>
      </c>
      <c r="G168" s="558"/>
      <c r="H168" s="559" t="str">
        <f t="shared" si="10"/>
        <v/>
      </c>
      <c r="I168" s="560"/>
      <c r="J168" s="561"/>
      <c r="K168" s="561"/>
      <c r="L168" s="562"/>
      <c r="M168" s="563" t="str">
        <f t="shared" si="11"/>
        <v/>
      </c>
      <c r="N168" s="575"/>
      <c r="O168" s="575"/>
      <c r="P168" s="575"/>
      <c r="Q168" s="565"/>
      <c r="R168" s="566"/>
      <c r="S168" s="567"/>
      <c r="T168" s="568"/>
      <c r="U168" s="569"/>
      <c r="V168" s="570"/>
      <c r="W168" s="570"/>
      <c r="X168" s="571"/>
    </row>
    <row r="169" spans="1:24" ht="15.75" thickBot="1" x14ac:dyDescent="0.3">
      <c r="A169" s="451"/>
      <c r="B169" s="452"/>
      <c r="C169" s="555"/>
      <c r="D169" s="556"/>
      <c r="E169" s="556"/>
      <c r="F169" s="557" t="str">
        <f t="shared" si="9"/>
        <v/>
      </c>
      <c r="G169" s="558"/>
      <c r="H169" s="559" t="str">
        <f t="shared" si="10"/>
        <v/>
      </c>
      <c r="I169" s="560"/>
      <c r="J169" s="561"/>
      <c r="K169" s="561"/>
      <c r="L169" s="562"/>
      <c r="M169" s="563" t="str">
        <f t="shared" si="11"/>
        <v/>
      </c>
      <c r="N169" s="575"/>
      <c r="O169" s="575"/>
      <c r="P169" s="575"/>
      <c r="Q169" s="565"/>
      <c r="R169" s="566"/>
      <c r="S169" s="567"/>
      <c r="T169" s="568"/>
      <c r="U169" s="569"/>
      <c r="V169" s="570"/>
      <c r="W169" s="570"/>
      <c r="X169" s="571"/>
    </row>
    <row r="170" spans="1:24" ht="15.75" thickBot="1" x14ac:dyDescent="0.3">
      <c r="A170" s="451"/>
      <c r="B170" s="452"/>
      <c r="C170" s="555"/>
      <c r="D170" s="556"/>
      <c r="E170" s="556"/>
      <c r="F170" s="557" t="str">
        <f t="shared" si="9"/>
        <v/>
      </c>
      <c r="G170" s="558"/>
      <c r="H170" s="559" t="str">
        <f t="shared" si="10"/>
        <v/>
      </c>
      <c r="I170" s="560"/>
      <c r="J170" s="561"/>
      <c r="K170" s="561"/>
      <c r="L170" s="562"/>
      <c r="M170" s="563" t="str">
        <f t="shared" si="11"/>
        <v/>
      </c>
      <c r="N170" s="575"/>
      <c r="O170" s="575"/>
      <c r="P170" s="575"/>
      <c r="Q170" s="565"/>
      <c r="R170" s="566"/>
      <c r="S170" s="567"/>
      <c r="T170" s="568"/>
      <c r="U170" s="569"/>
      <c r="V170" s="570"/>
      <c r="W170" s="570"/>
      <c r="X170" s="571"/>
    </row>
    <row r="171" spans="1:24" ht="15.75" thickBot="1" x14ac:dyDescent="0.3">
      <c r="A171" s="451"/>
      <c r="B171" s="452"/>
      <c r="C171" s="555"/>
      <c r="D171" s="556"/>
      <c r="E171" s="556"/>
      <c r="F171" s="557" t="str">
        <f t="shared" si="9"/>
        <v/>
      </c>
      <c r="G171" s="558"/>
      <c r="H171" s="559" t="str">
        <f t="shared" si="10"/>
        <v/>
      </c>
      <c r="I171" s="560"/>
      <c r="J171" s="561"/>
      <c r="K171" s="561"/>
      <c r="L171" s="562"/>
      <c r="M171" s="563" t="str">
        <f t="shared" si="11"/>
        <v/>
      </c>
      <c r="N171" s="575"/>
      <c r="O171" s="575"/>
      <c r="P171" s="575"/>
      <c r="Q171" s="565"/>
      <c r="R171" s="566"/>
      <c r="S171" s="567"/>
      <c r="T171" s="568"/>
      <c r="U171" s="569"/>
      <c r="V171" s="570"/>
      <c r="W171" s="570"/>
      <c r="X171" s="571"/>
    </row>
    <row r="172" spans="1:24" ht="15.75" thickBot="1" x14ac:dyDescent="0.3">
      <c r="A172" s="451"/>
      <c r="B172" s="452"/>
      <c r="C172" s="555"/>
      <c r="D172" s="556"/>
      <c r="E172" s="556"/>
      <c r="F172" s="557" t="str">
        <f t="shared" si="9"/>
        <v/>
      </c>
      <c r="G172" s="558"/>
      <c r="H172" s="559" t="str">
        <f t="shared" si="10"/>
        <v/>
      </c>
      <c r="I172" s="560"/>
      <c r="J172" s="561"/>
      <c r="K172" s="561"/>
      <c r="L172" s="562"/>
      <c r="M172" s="563" t="str">
        <f t="shared" si="11"/>
        <v/>
      </c>
      <c r="N172" s="575"/>
      <c r="O172" s="575"/>
      <c r="P172" s="575"/>
      <c r="Q172" s="565"/>
      <c r="R172" s="566"/>
      <c r="S172" s="567"/>
      <c r="T172" s="568"/>
      <c r="U172" s="569"/>
      <c r="V172" s="570"/>
      <c r="W172" s="570"/>
      <c r="X172" s="571"/>
    </row>
    <row r="173" spans="1:24" ht="15.75" thickBot="1" x14ac:dyDescent="0.3">
      <c r="A173" s="451"/>
      <c r="B173" s="452"/>
      <c r="C173" s="555"/>
      <c r="D173" s="556"/>
      <c r="E173" s="556"/>
      <c r="F173" s="557" t="str">
        <f t="shared" si="9"/>
        <v/>
      </c>
      <c r="G173" s="558"/>
      <c r="H173" s="559" t="str">
        <f t="shared" si="10"/>
        <v/>
      </c>
      <c r="I173" s="560"/>
      <c r="J173" s="561"/>
      <c r="K173" s="561"/>
      <c r="L173" s="562"/>
      <c r="M173" s="563" t="str">
        <f t="shared" si="11"/>
        <v/>
      </c>
      <c r="N173" s="575"/>
      <c r="O173" s="575"/>
      <c r="P173" s="575"/>
      <c r="Q173" s="565"/>
      <c r="R173" s="566"/>
      <c r="S173" s="567"/>
      <c r="T173" s="568"/>
      <c r="U173" s="569"/>
      <c r="V173" s="570"/>
      <c r="W173" s="570"/>
      <c r="X173" s="571"/>
    </row>
    <row r="174" spans="1:24" ht="15.75" thickBot="1" x14ac:dyDescent="0.3">
      <c r="A174" s="451"/>
      <c r="B174" s="452"/>
      <c r="C174" s="555"/>
      <c r="D174" s="556"/>
      <c r="E174" s="556"/>
      <c r="F174" s="557" t="str">
        <f t="shared" si="9"/>
        <v/>
      </c>
      <c r="G174" s="558"/>
      <c r="H174" s="559" t="str">
        <f t="shared" si="10"/>
        <v/>
      </c>
      <c r="I174" s="560"/>
      <c r="J174" s="561"/>
      <c r="K174" s="561"/>
      <c r="L174" s="562"/>
      <c r="M174" s="563" t="str">
        <f t="shared" si="11"/>
        <v/>
      </c>
      <c r="N174" s="575"/>
      <c r="O174" s="575"/>
      <c r="P174" s="575"/>
      <c r="Q174" s="565"/>
      <c r="R174" s="566"/>
      <c r="S174" s="567"/>
      <c r="T174" s="568"/>
      <c r="U174" s="569"/>
      <c r="V174" s="570"/>
      <c r="W174" s="570"/>
      <c r="X174" s="571"/>
    </row>
    <row r="175" spans="1:24" ht="15.75" thickBot="1" x14ac:dyDescent="0.3">
      <c r="A175" s="451"/>
      <c r="B175" s="452"/>
      <c r="C175" s="555"/>
      <c r="D175" s="556"/>
      <c r="E175" s="556"/>
      <c r="F175" s="557" t="str">
        <f t="shared" si="9"/>
        <v/>
      </c>
      <c r="G175" s="558"/>
      <c r="H175" s="559" t="str">
        <f t="shared" si="10"/>
        <v/>
      </c>
      <c r="I175" s="560"/>
      <c r="J175" s="561"/>
      <c r="K175" s="561"/>
      <c r="L175" s="562"/>
      <c r="M175" s="563" t="str">
        <f t="shared" si="11"/>
        <v/>
      </c>
      <c r="N175" s="575"/>
      <c r="O175" s="575"/>
      <c r="P175" s="575"/>
      <c r="Q175" s="565"/>
      <c r="R175" s="566"/>
      <c r="S175" s="567"/>
      <c r="T175" s="568"/>
      <c r="U175" s="569"/>
      <c r="V175" s="570"/>
      <c r="W175" s="570"/>
      <c r="X175" s="571"/>
    </row>
    <row r="176" spans="1:24" ht="15.75" thickBot="1" x14ac:dyDescent="0.3">
      <c r="A176" s="451"/>
      <c r="B176" s="452"/>
      <c r="C176" s="555"/>
      <c r="D176" s="556"/>
      <c r="E176" s="556"/>
      <c r="F176" s="557" t="str">
        <f t="shared" si="9"/>
        <v/>
      </c>
      <c r="G176" s="558"/>
      <c r="H176" s="559" t="str">
        <f t="shared" si="10"/>
        <v/>
      </c>
      <c r="I176" s="560"/>
      <c r="J176" s="561"/>
      <c r="K176" s="561"/>
      <c r="L176" s="562"/>
      <c r="M176" s="563" t="str">
        <f t="shared" si="11"/>
        <v/>
      </c>
      <c r="N176" s="575"/>
      <c r="O176" s="575"/>
      <c r="P176" s="575"/>
      <c r="Q176" s="565"/>
      <c r="R176" s="566"/>
      <c r="S176" s="567"/>
      <c r="T176" s="568"/>
      <c r="U176" s="569"/>
      <c r="V176" s="570"/>
      <c r="W176" s="570"/>
      <c r="X176" s="571"/>
    </row>
    <row r="177" spans="1:24" ht="15.75" thickBot="1" x14ac:dyDescent="0.3">
      <c r="A177" s="451"/>
      <c r="B177" s="452"/>
      <c r="C177" s="555"/>
      <c r="D177" s="556"/>
      <c r="E177" s="556"/>
      <c r="F177" s="557" t="str">
        <f t="shared" si="9"/>
        <v/>
      </c>
      <c r="G177" s="558"/>
      <c r="H177" s="559" t="str">
        <f t="shared" si="10"/>
        <v/>
      </c>
      <c r="I177" s="560"/>
      <c r="J177" s="561"/>
      <c r="K177" s="561"/>
      <c r="L177" s="562"/>
      <c r="M177" s="563" t="str">
        <f t="shared" si="11"/>
        <v/>
      </c>
      <c r="N177" s="575"/>
      <c r="O177" s="575"/>
      <c r="P177" s="575"/>
      <c r="Q177" s="565"/>
      <c r="R177" s="566"/>
      <c r="S177" s="567"/>
      <c r="T177" s="568"/>
      <c r="U177" s="569"/>
      <c r="V177" s="570"/>
      <c r="W177" s="570"/>
      <c r="X177" s="571"/>
    </row>
    <row r="178" spans="1:24" ht="15.75" thickBot="1" x14ac:dyDescent="0.3">
      <c r="A178" s="451"/>
      <c r="B178" s="452"/>
      <c r="C178" s="555"/>
      <c r="D178" s="556"/>
      <c r="E178" s="556"/>
      <c r="F178" s="557" t="str">
        <f t="shared" si="9"/>
        <v/>
      </c>
      <c r="G178" s="558"/>
      <c r="H178" s="559" t="str">
        <f t="shared" si="10"/>
        <v/>
      </c>
      <c r="I178" s="560"/>
      <c r="J178" s="561"/>
      <c r="K178" s="561"/>
      <c r="L178" s="562"/>
      <c r="M178" s="563" t="str">
        <f t="shared" si="11"/>
        <v/>
      </c>
      <c r="N178" s="575"/>
      <c r="O178" s="575"/>
      <c r="P178" s="575"/>
      <c r="Q178" s="565"/>
      <c r="R178" s="566"/>
      <c r="S178" s="567"/>
      <c r="T178" s="568"/>
      <c r="U178" s="569"/>
      <c r="V178" s="570"/>
      <c r="W178" s="570"/>
      <c r="X178" s="571"/>
    </row>
    <row r="179" spans="1:24" ht="15.75" thickBot="1" x14ac:dyDescent="0.3">
      <c r="A179" s="451"/>
      <c r="B179" s="452"/>
      <c r="C179" s="555"/>
      <c r="D179" s="556"/>
      <c r="E179" s="556"/>
      <c r="F179" s="557" t="str">
        <f t="shared" si="9"/>
        <v/>
      </c>
      <c r="G179" s="558"/>
      <c r="H179" s="559" t="str">
        <f t="shared" si="10"/>
        <v/>
      </c>
      <c r="I179" s="560"/>
      <c r="J179" s="561"/>
      <c r="K179" s="561"/>
      <c r="L179" s="562"/>
      <c r="M179" s="563" t="str">
        <f t="shared" si="11"/>
        <v/>
      </c>
      <c r="N179" s="575"/>
      <c r="O179" s="575"/>
      <c r="P179" s="575"/>
      <c r="Q179" s="565"/>
      <c r="R179" s="566"/>
      <c r="S179" s="567"/>
      <c r="T179" s="568"/>
      <c r="U179" s="569"/>
      <c r="V179" s="570"/>
      <c r="W179" s="570"/>
      <c r="X179" s="571"/>
    </row>
    <row r="180" spans="1:24" ht="15.75" thickBot="1" x14ac:dyDescent="0.3">
      <c r="A180" s="451"/>
      <c r="B180" s="452"/>
      <c r="C180" s="555"/>
      <c r="D180" s="556"/>
      <c r="E180" s="556"/>
      <c r="F180" s="557" t="str">
        <f t="shared" si="9"/>
        <v/>
      </c>
      <c r="G180" s="558"/>
      <c r="H180" s="559" t="str">
        <f t="shared" si="10"/>
        <v/>
      </c>
      <c r="I180" s="560"/>
      <c r="J180" s="561"/>
      <c r="K180" s="561"/>
      <c r="L180" s="562"/>
      <c r="M180" s="563" t="str">
        <f t="shared" si="11"/>
        <v/>
      </c>
      <c r="N180" s="575"/>
      <c r="O180" s="575"/>
      <c r="P180" s="575"/>
      <c r="Q180" s="565"/>
      <c r="R180" s="566"/>
      <c r="S180" s="567"/>
      <c r="T180" s="568"/>
      <c r="U180" s="569"/>
      <c r="V180" s="570"/>
      <c r="W180" s="570"/>
      <c r="X180" s="571"/>
    </row>
    <row r="181" spans="1:24" ht="15.75" thickBot="1" x14ac:dyDescent="0.3">
      <c r="A181" s="451"/>
      <c r="B181" s="452"/>
      <c r="C181" s="555"/>
      <c r="D181" s="556"/>
      <c r="E181" s="556"/>
      <c r="F181" s="557" t="str">
        <f t="shared" si="9"/>
        <v/>
      </c>
      <c r="G181" s="558"/>
      <c r="H181" s="559" t="str">
        <f t="shared" si="10"/>
        <v/>
      </c>
      <c r="I181" s="560"/>
      <c r="J181" s="561"/>
      <c r="K181" s="561"/>
      <c r="L181" s="562"/>
      <c r="M181" s="563" t="str">
        <f t="shared" si="11"/>
        <v/>
      </c>
      <c r="N181" s="575"/>
      <c r="O181" s="575"/>
      <c r="P181" s="575"/>
      <c r="Q181" s="565"/>
      <c r="R181" s="566"/>
      <c r="S181" s="567"/>
      <c r="T181" s="568"/>
      <c r="U181" s="569"/>
      <c r="V181" s="570"/>
      <c r="W181" s="570"/>
      <c r="X181" s="571"/>
    </row>
    <row r="182" spans="1:24" ht="15.75" thickBot="1" x14ac:dyDescent="0.3">
      <c r="A182" s="451"/>
      <c r="B182" s="452"/>
      <c r="C182" s="555"/>
      <c r="D182" s="556"/>
      <c r="E182" s="556"/>
      <c r="F182" s="557" t="str">
        <f t="shared" si="9"/>
        <v/>
      </c>
      <c r="G182" s="558"/>
      <c r="H182" s="559" t="str">
        <f t="shared" si="10"/>
        <v/>
      </c>
      <c r="I182" s="560"/>
      <c r="J182" s="561"/>
      <c r="K182" s="561"/>
      <c r="L182" s="562"/>
      <c r="M182" s="563" t="str">
        <f t="shared" si="11"/>
        <v/>
      </c>
      <c r="N182" s="575"/>
      <c r="O182" s="575"/>
      <c r="P182" s="575"/>
      <c r="Q182" s="565"/>
      <c r="R182" s="566"/>
      <c r="S182" s="567"/>
      <c r="T182" s="568"/>
      <c r="U182" s="569"/>
      <c r="V182" s="570"/>
      <c r="W182" s="570"/>
      <c r="X182" s="571"/>
    </row>
    <row r="183" spans="1:24" ht="15.75" thickBot="1" x14ac:dyDescent="0.3">
      <c r="A183" s="451"/>
      <c r="B183" s="452"/>
      <c r="C183" s="555"/>
      <c r="D183" s="556"/>
      <c r="E183" s="556"/>
      <c r="F183" s="557" t="str">
        <f t="shared" si="9"/>
        <v/>
      </c>
      <c r="G183" s="558"/>
      <c r="H183" s="559" t="str">
        <f t="shared" si="10"/>
        <v/>
      </c>
      <c r="I183" s="560"/>
      <c r="J183" s="561"/>
      <c r="K183" s="561"/>
      <c r="L183" s="562"/>
      <c r="M183" s="563" t="str">
        <f t="shared" si="11"/>
        <v/>
      </c>
      <c r="N183" s="575"/>
      <c r="O183" s="575"/>
      <c r="P183" s="575"/>
      <c r="Q183" s="565"/>
      <c r="R183" s="566"/>
      <c r="S183" s="567"/>
      <c r="T183" s="568"/>
      <c r="U183" s="569"/>
      <c r="V183" s="570"/>
      <c r="W183" s="570"/>
      <c r="X183" s="571"/>
    </row>
    <row r="184" spans="1:24" ht="15.75" thickBot="1" x14ac:dyDescent="0.3">
      <c r="A184" s="451"/>
      <c r="B184" s="452"/>
      <c r="C184" s="555"/>
      <c r="D184" s="556"/>
      <c r="E184" s="556"/>
      <c r="F184" s="557" t="str">
        <f t="shared" si="9"/>
        <v/>
      </c>
      <c r="G184" s="558"/>
      <c r="H184" s="559" t="str">
        <f t="shared" si="10"/>
        <v/>
      </c>
      <c r="I184" s="560"/>
      <c r="J184" s="561"/>
      <c r="K184" s="561"/>
      <c r="L184" s="562"/>
      <c r="M184" s="563" t="str">
        <f t="shared" si="11"/>
        <v/>
      </c>
      <c r="N184" s="575"/>
      <c r="O184" s="575"/>
      <c r="P184" s="575"/>
      <c r="Q184" s="565"/>
      <c r="R184" s="566"/>
      <c r="S184" s="567"/>
      <c r="T184" s="568"/>
      <c r="U184" s="569"/>
      <c r="V184" s="570"/>
      <c r="W184" s="570"/>
      <c r="X184" s="571"/>
    </row>
    <row r="185" spans="1:24" ht="15.75" thickBot="1" x14ac:dyDescent="0.3">
      <c r="A185" s="451"/>
      <c r="B185" s="452"/>
      <c r="C185" s="555"/>
      <c r="D185" s="556"/>
      <c r="E185" s="556"/>
      <c r="F185" s="557" t="str">
        <f t="shared" si="9"/>
        <v/>
      </c>
      <c r="G185" s="558"/>
      <c r="H185" s="559" t="str">
        <f t="shared" si="10"/>
        <v/>
      </c>
      <c r="I185" s="560"/>
      <c r="J185" s="561"/>
      <c r="K185" s="561"/>
      <c r="L185" s="562"/>
      <c r="M185" s="563" t="str">
        <f t="shared" si="11"/>
        <v/>
      </c>
      <c r="N185" s="575"/>
      <c r="O185" s="575"/>
      <c r="P185" s="575"/>
      <c r="Q185" s="565"/>
      <c r="R185" s="566"/>
      <c r="S185" s="567"/>
      <c r="T185" s="568"/>
      <c r="U185" s="569"/>
      <c r="V185" s="570"/>
      <c r="W185" s="570"/>
      <c r="X185" s="571"/>
    </row>
    <row r="186" spans="1:24" ht="15.75" thickBot="1" x14ac:dyDescent="0.3">
      <c r="A186" s="451"/>
      <c r="B186" s="452"/>
      <c r="C186" s="555"/>
      <c r="D186" s="556"/>
      <c r="E186" s="556"/>
      <c r="F186" s="557" t="str">
        <f t="shared" si="9"/>
        <v/>
      </c>
      <c r="G186" s="558"/>
      <c r="H186" s="559" t="str">
        <f t="shared" si="10"/>
        <v/>
      </c>
      <c r="I186" s="560"/>
      <c r="J186" s="561"/>
      <c r="K186" s="561"/>
      <c r="L186" s="562"/>
      <c r="M186" s="563" t="str">
        <f t="shared" si="11"/>
        <v/>
      </c>
      <c r="N186" s="575"/>
      <c r="O186" s="575"/>
      <c r="P186" s="575"/>
      <c r="Q186" s="565"/>
      <c r="R186" s="566"/>
      <c r="S186" s="567"/>
      <c r="T186" s="568"/>
      <c r="U186" s="569"/>
      <c r="V186" s="570"/>
      <c r="W186" s="570"/>
      <c r="X186" s="571"/>
    </row>
    <row r="187" spans="1:24" ht="15.75" thickBot="1" x14ac:dyDescent="0.3">
      <c r="A187" s="451"/>
      <c r="B187" s="452"/>
      <c r="C187" s="555"/>
      <c r="D187" s="556"/>
      <c r="E187" s="556"/>
      <c r="F187" s="557" t="str">
        <f t="shared" si="9"/>
        <v/>
      </c>
      <c r="G187" s="558"/>
      <c r="H187" s="559" t="str">
        <f t="shared" si="10"/>
        <v/>
      </c>
      <c r="I187" s="560"/>
      <c r="J187" s="561"/>
      <c r="K187" s="561"/>
      <c r="L187" s="562"/>
      <c r="M187" s="563" t="str">
        <f t="shared" si="11"/>
        <v/>
      </c>
      <c r="N187" s="575"/>
      <c r="O187" s="575"/>
      <c r="P187" s="575"/>
      <c r="Q187" s="565"/>
      <c r="R187" s="566"/>
      <c r="S187" s="567"/>
      <c r="T187" s="568"/>
      <c r="U187" s="569"/>
      <c r="V187" s="570"/>
      <c r="W187" s="570"/>
      <c r="X187" s="571"/>
    </row>
    <row r="188" spans="1:24" ht="15.75" thickBot="1" x14ac:dyDescent="0.3">
      <c r="A188" s="451"/>
      <c r="B188" s="452"/>
      <c r="C188" s="555"/>
      <c r="D188" s="556"/>
      <c r="E188" s="556"/>
      <c r="F188" s="557" t="str">
        <f t="shared" si="9"/>
        <v/>
      </c>
      <c r="G188" s="558"/>
      <c r="H188" s="559" t="str">
        <f t="shared" si="10"/>
        <v/>
      </c>
      <c r="I188" s="560"/>
      <c r="J188" s="561"/>
      <c r="K188" s="561"/>
      <c r="L188" s="562"/>
      <c r="M188" s="563" t="str">
        <f t="shared" si="11"/>
        <v/>
      </c>
      <c r="N188" s="575"/>
      <c r="O188" s="575"/>
      <c r="P188" s="575"/>
      <c r="Q188" s="565"/>
      <c r="R188" s="566"/>
      <c r="S188" s="567"/>
      <c r="T188" s="568"/>
      <c r="U188" s="569"/>
      <c r="V188" s="570"/>
      <c r="W188" s="570"/>
      <c r="X188" s="571"/>
    </row>
    <row r="189" spans="1:24" ht="15.75" thickBot="1" x14ac:dyDescent="0.3">
      <c r="A189" s="451"/>
      <c r="B189" s="452"/>
      <c r="C189" s="555"/>
      <c r="D189" s="556"/>
      <c r="E189" s="556"/>
      <c r="F189" s="557" t="str">
        <f t="shared" si="9"/>
        <v/>
      </c>
      <c r="G189" s="558"/>
      <c r="H189" s="559" t="str">
        <f t="shared" si="10"/>
        <v/>
      </c>
      <c r="I189" s="560"/>
      <c r="J189" s="561"/>
      <c r="K189" s="561"/>
      <c r="L189" s="562"/>
      <c r="M189" s="563" t="str">
        <f t="shared" si="11"/>
        <v/>
      </c>
      <c r="N189" s="575"/>
      <c r="O189" s="575"/>
      <c r="P189" s="575"/>
      <c r="Q189" s="565"/>
      <c r="R189" s="566"/>
      <c r="S189" s="567"/>
      <c r="T189" s="568"/>
      <c r="U189" s="569"/>
      <c r="V189" s="570"/>
      <c r="W189" s="570"/>
      <c r="X189" s="571"/>
    </row>
    <row r="190" spans="1:24" ht="15.75" thickBot="1" x14ac:dyDescent="0.3">
      <c r="A190" s="451"/>
      <c r="B190" s="452"/>
      <c r="C190" s="555"/>
      <c r="D190" s="556"/>
      <c r="E190" s="556"/>
      <c r="F190" s="557" t="str">
        <f t="shared" si="9"/>
        <v/>
      </c>
      <c r="G190" s="558"/>
      <c r="H190" s="559" t="str">
        <f t="shared" si="10"/>
        <v/>
      </c>
      <c r="I190" s="560"/>
      <c r="J190" s="561"/>
      <c r="K190" s="561"/>
      <c r="L190" s="562"/>
      <c r="M190" s="563" t="str">
        <f t="shared" si="11"/>
        <v/>
      </c>
      <c r="N190" s="575"/>
      <c r="O190" s="575"/>
      <c r="P190" s="575"/>
      <c r="Q190" s="565"/>
      <c r="R190" s="566"/>
      <c r="S190" s="567"/>
      <c r="T190" s="568"/>
      <c r="U190" s="569"/>
      <c r="V190" s="570"/>
      <c r="W190" s="570"/>
      <c r="X190" s="571"/>
    </row>
    <row r="191" spans="1:24" ht="15.75" thickBot="1" x14ac:dyDescent="0.3">
      <c r="A191" s="451"/>
      <c r="B191" s="452"/>
      <c r="C191" s="555"/>
      <c r="D191" s="556"/>
      <c r="E191" s="556"/>
      <c r="F191" s="557" t="str">
        <f t="shared" si="9"/>
        <v/>
      </c>
      <c r="G191" s="558"/>
      <c r="H191" s="559" t="str">
        <f t="shared" si="10"/>
        <v/>
      </c>
      <c r="I191" s="560"/>
      <c r="J191" s="561"/>
      <c r="K191" s="561"/>
      <c r="L191" s="562"/>
      <c r="M191" s="563" t="str">
        <f t="shared" si="11"/>
        <v/>
      </c>
      <c r="N191" s="575"/>
      <c r="O191" s="575"/>
      <c r="P191" s="575"/>
      <c r="Q191" s="565"/>
      <c r="R191" s="566"/>
      <c r="S191" s="567"/>
      <c r="T191" s="568"/>
      <c r="U191" s="569"/>
      <c r="V191" s="570"/>
      <c r="W191" s="570"/>
      <c r="X191" s="571"/>
    </row>
    <row r="192" spans="1:24" ht="15.75" thickBot="1" x14ac:dyDescent="0.3">
      <c r="A192" s="451"/>
      <c r="B192" s="452"/>
      <c r="C192" s="555"/>
      <c r="D192" s="556"/>
      <c r="E192" s="556"/>
      <c r="F192" s="557" t="str">
        <f t="shared" si="9"/>
        <v/>
      </c>
      <c r="G192" s="558"/>
      <c r="H192" s="559" t="str">
        <f t="shared" si="10"/>
        <v/>
      </c>
      <c r="I192" s="560"/>
      <c r="J192" s="561"/>
      <c r="K192" s="561"/>
      <c r="L192" s="562"/>
      <c r="M192" s="563" t="str">
        <f t="shared" si="11"/>
        <v/>
      </c>
      <c r="N192" s="575"/>
      <c r="O192" s="575"/>
      <c r="P192" s="575"/>
      <c r="Q192" s="565"/>
      <c r="R192" s="566"/>
      <c r="S192" s="567"/>
      <c r="T192" s="568"/>
      <c r="U192" s="569"/>
      <c r="V192" s="570"/>
      <c r="W192" s="570"/>
      <c r="X192" s="571"/>
    </row>
    <row r="193" spans="1:24" ht="15.75" thickBot="1" x14ac:dyDescent="0.3">
      <c r="A193" s="451"/>
      <c r="B193" s="452"/>
      <c r="C193" s="555"/>
      <c r="D193" s="556"/>
      <c r="E193" s="556"/>
      <c r="F193" s="557" t="str">
        <f t="shared" si="9"/>
        <v/>
      </c>
      <c r="G193" s="558"/>
      <c r="H193" s="559" t="str">
        <f t="shared" si="10"/>
        <v/>
      </c>
      <c r="I193" s="560"/>
      <c r="J193" s="561"/>
      <c r="K193" s="561"/>
      <c r="L193" s="562"/>
      <c r="M193" s="563" t="str">
        <f t="shared" si="11"/>
        <v/>
      </c>
      <c r="N193" s="575"/>
      <c r="O193" s="575"/>
      <c r="P193" s="575"/>
      <c r="Q193" s="565"/>
      <c r="R193" s="566"/>
      <c r="S193" s="567"/>
      <c r="T193" s="568"/>
      <c r="U193" s="569"/>
      <c r="V193" s="570"/>
      <c r="W193" s="570"/>
      <c r="X193" s="571"/>
    </row>
    <row r="194" spans="1:24" ht="15.75" thickBot="1" x14ac:dyDescent="0.3">
      <c r="A194" s="451"/>
      <c r="B194" s="452"/>
      <c r="C194" s="555"/>
      <c r="D194" s="556"/>
      <c r="E194" s="556"/>
      <c r="F194" s="557" t="str">
        <f t="shared" si="9"/>
        <v/>
      </c>
      <c r="G194" s="558"/>
      <c r="H194" s="559" t="str">
        <f t="shared" si="10"/>
        <v/>
      </c>
      <c r="I194" s="560"/>
      <c r="J194" s="561"/>
      <c r="K194" s="561"/>
      <c r="L194" s="562"/>
      <c r="M194" s="563" t="str">
        <f t="shared" si="11"/>
        <v/>
      </c>
      <c r="N194" s="575"/>
      <c r="O194" s="575"/>
      <c r="P194" s="575"/>
      <c r="Q194" s="565"/>
      <c r="R194" s="566"/>
      <c r="S194" s="567"/>
      <c r="T194" s="568"/>
      <c r="U194" s="569"/>
      <c r="V194" s="570"/>
      <c r="W194" s="570"/>
      <c r="X194" s="571"/>
    </row>
    <row r="195" spans="1:24" ht="15.75" thickBot="1" x14ac:dyDescent="0.3">
      <c r="A195" s="451"/>
      <c r="B195" s="452"/>
      <c r="C195" s="555"/>
      <c r="D195" s="556"/>
      <c r="E195" s="556"/>
      <c r="F195" s="557" t="str">
        <f t="shared" si="9"/>
        <v/>
      </c>
      <c r="G195" s="558"/>
      <c r="H195" s="559" t="str">
        <f t="shared" si="10"/>
        <v/>
      </c>
      <c r="I195" s="560"/>
      <c r="J195" s="561"/>
      <c r="K195" s="561"/>
      <c r="L195" s="562"/>
      <c r="M195" s="563" t="str">
        <f t="shared" si="11"/>
        <v/>
      </c>
      <c r="N195" s="575"/>
      <c r="O195" s="575"/>
      <c r="P195" s="575"/>
      <c r="Q195" s="565"/>
      <c r="R195" s="566"/>
      <c r="S195" s="567"/>
      <c r="T195" s="568"/>
      <c r="U195" s="569"/>
      <c r="V195" s="570"/>
      <c r="W195" s="570"/>
      <c r="X195" s="571"/>
    </row>
    <row r="196" spans="1:24" ht="15.75" thickBot="1" x14ac:dyDescent="0.3">
      <c r="A196" s="451"/>
      <c r="B196" s="452"/>
      <c r="C196" s="555"/>
      <c r="D196" s="556"/>
      <c r="E196" s="556"/>
      <c r="F196" s="557" t="str">
        <f t="shared" si="9"/>
        <v/>
      </c>
      <c r="G196" s="558"/>
      <c r="H196" s="559" t="str">
        <f t="shared" si="10"/>
        <v/>
      </c>
      <c r="I196" s="560"/>
      <c r="J196" s="561"/>
      <c r="K196" s="561"/>
      <c r="L196" s="562"/>
      <c r="M196" s="563" t="str">
        <f t="shared" si="11"/>
        <v/>
      </c>
      <c r="N196" s="575"/>
      <c r="O196" s="575"/>
      <c r="P196" s="575"/>
      <c r="Q196" s="565"/>
      <c r="R196" s="566"/>
      <c r="S196" s="567"/>
      <c r="T196" s="568"/>
      <c r="U196" s="569"/>
      <c r="V196" s="570"/>
      <c r="W196" s="570"/>
      <c r="X196" s="571"/>
    </row>
    <row r="197" spans="1:24" ht="15.75" thickBot="1" x14ac:dyDescent="0.3">
      <c r="A197" s="451"/>
      <c r="B197" s="452"/>
      <c r="C197" s="555"/>
      <c r="D197" s="556"/>
      <c r="E197" s="556"/>
      <c r="F197" s="557" t="str">
        <f t="shared" si="9"/>
        <v/>
      </c>
      <c r="G197" s="558"/>
      <c r="H197" s="559" t="str">
        <f t="shared" si="10"/>
        <v/>
      </c>
      <c r="I197" s="560"/>
      <c r="J197" s="561"/>
      <c r="K197" s="561"/>
      <c r="L197" s="562"/>
      <c r="M197" s="563" t="str">
        <f t="shared" si="11"/>
        <v/>
      </c>
      <c r="N197" s="575"/>
      <c r="O197" s="575"/>
      <c r="P197" s="575"/>
      <c r="Q197" s="565"/>
      <c r="R197" s="566"/>
      <c r="S197" s="567"/>
      <c r="T197" s="568"/>
      <c r="U197" s="569"/>
      <c r="V197" s="570"/>
      <c r="W197" s="570"/>
      <c r="X197" s="571"/>
    </row>
    <row r="198" spans="1:24" ht="15.75" thickBot="1" x14ac:dyDescent="0.3">
      <c r="A198" s="451"/>
      <c r="B198" s="452"/>
      <c r="C198" s="555"/>
      <c r="D198" s="556"/>
      <c r="E198" s="556"/>
      <c r="F198" s="557" t="str">
        <f t="shared" si="9"/>
        <v/>
      </c>
      <c r="G198" s="558"/>
      <c r="H198" s="559" t="str">
        <f t="shared" si="10"/>
        <v/>
      </c>
      <c r="I198" s="560"/>
      <c r="J198" s="561"/>
      <c r="K198" s="561"/>
      <c r="L198" s="562"/>
      <c r="M198" s="563" t="str">
        <f t="shared" si="11"/>
        <v/>
      </c>
      <c r="N198" s="575"/>
      <c r="O198" s="575"/>
      <c r="P198" s="575"/>
      <c r="Q198" s="565"/>
      <c r="R198" s="566"/>
      <c r="S198" s="567"/>
      <c r="T198" s="568"/>
      <c r="U198" s="569"/>
      <c r="V198" s="570"/>
      <c r="W198" s="570"/>
      <c r="X198" s="571"/>
    </row>
    <row r="199" spans="1:24" ht="15.75" thickBot="1" x14ac:dyDescent="0.3">
      <c r="A199" s="451"/>
      <c r="B199" s="452"/>
      <c r="C199" s="555"/>
      <c r="D199" s="556"/>
      <c r="E199" s="556"/>
      <c r="F199" s="557" t="str">
        <f t="shared" si="9"/>
        <v/>
      </c>
      <c r="G199" s="558"/>
      <c r="H199" s="559" t="str">
        <f t="shared" si="10"/>
        <v/>
      </c>
      <c r="I199" s="560"/>
      <c r="J199" s="561"/>
      <c r="K199" s="561"/>
      <c r="L199" s="562"/>
      <c r="M199" s="563" t="str">
        <f t="shared" si="11"/>
        <v/>
      </c>
      <c r="N199" s="575"/>
      <c r="O199" s="575"/>
      <c r="P199" s="575"/>
      <c r="Q199" s="565"/>
      <c r="R199" s="566"/>
      <c r="S199" s="567"/>
      <c r="T199" s="568"/>
      <c r="U199" s="569"/>
      <c r="V199" s="570"/>
      <c r="W199" s="570"/>
      <c r="X199" s="571"/>
    </row>
    <row r="200" spans="1:24" ht="15.75" thickBot="1" x14ac:dyDescent="0.3">
      <c r="A200" s="451"/>
      <c r="B200" s="452"/>
      <c r="C200" s="555"/>
      <c r="D200" s="556"/>
      <c r="E200" s="556"/>
      <c r="F200" s="557" t="str">
        <f t="shared" ref="F200:F263" si="12">IF(SUM(Q200:U200)=0,"",SUM(Q200:U200))</f>
        <v/>
      </c>
      <c r="G200" s="558"/>
      <c r="H200" s="559" t="str">
        <f t="shared" ref="H200:H263" si="13">IF(F200&lt;&gt;"",C200/F200/24,"")</f>
        <v/>
      </c>
      <c r="I200" s="560"/>
      <c r="J200" s="561"/>
      <c r="K200" s="561"/>
      <c r="L200" s="562"/>
      <c r="M200" s="563" t="str">
        <f t="shared" ref="M200:M263" si="14">IF(OR(C200="",L200=""),"",L200/C200)</f>
        <v/>
      </c>
      <c r="N200" s="575"/>
      <c r="O200" s="575"/>
      <c r="P200" s="575"/>
      <c r="Q200" s="565"/>
      <c r="R200" s="566"/>
      <c r="S200" s="567"/>
      <c r="T200" s="568"/>
      <c r="U200" s="569"/>
      <c r="V200" s="570"/>
      <c r="W200" s="570"/>
      <c r="X200" s="571"/>
    </row>
    <row r="201" spans="1:24" ht="15.75" thickBot="1" x14ac:dyDescent="0.3">
      <c r="A201" s="451"/>
      <c r="B201" s="452"/>
      <c r="C201" s="555"/>
      <c r="D201" s="556"/>
      <c r="E201" s="556"/>
      <c r="F201" s="557" t="str">
        <f t="shared" si="12"/>
        <v/>
      </c>
      <c r="G201" s="558"/>
      <c r="H201" s="559" t="str">
        <f t="shared" si="13"/>
        <v/>
      </c>
      <c r="I201" s="560"/>
      <c r="J201" s="561"/>
      <c r="K201" s="561"/>
      <c r="L201" s="562"/>
      <c r="M201" s="563" t="str">
        <f t="shared" si="14"/>
        <v/>
      </c>
      <c r="N201" s="575"/>
      <c r="O201" s="575"/>
      <c r="P201" s="575"/>
      <c r="Q201" s="565"/>
      <c r="R201" s="566"/>
      <c r="S201" s="567"/>
      <c r="T201" s="568"/>
      <c r="U201" s="569"/>
      <c r="V201" s="570"/>
      <c r="W201" s="570"/>
      <c r="X201" s="571"/>
    </row>
    <row r="202" spans="1:24" ht="15.75" thickBot="1" x14ac:dyDescent="0.3">
      <c r="A202" s="451"/>
      <c r="B202" s="452"/>
      <c r="C202" s="555"/>
      <c r="D202" s="556"/>
      <c r="E202" s="556"/>
      <c r="F202" s="557" t="str">
        <f t="shared" si="12"/>
        <v/>
      </c>
      <c r="G202" s="558"/>
      <c r="H202" s="559" t="str">
        <f t="shared" si="13"/>
        <v/>
      </c>
      <c r="I202" s="560"/>
      <c r="J202" s="561"/>
      <c r="K202" s="561"/>
      <c r="L202" s="562"/>
      <c r="M202" s="563" t="str">
        <f t="shared" si="14"/>
        <v/>
      </c>
      <c r="N202" s="575"/>
      <c r="O202" s="575"/>
      <c r="P202" s="575"/>
      <c r="Q202" s="565"/>
      <c r="R202" s="566"/>
      <c r="S202" s="567"/>
      <c r="T202" s="568"/>
      <c r="U202" s="569"/>
      <c r="V202" s="570"/>
      <c r="W202" s="570"/>
      <c r="X202" s="571"/>
    </row>
    <row r="203" spans="1:24" ht="15.75" thickBot="1" x14ac:dyDescent="0.3">
      <c r="A203" s="451"/>
      <c r="B203" s="452"/>
      <c r="C203" s="555"/>
      <c r="D203" s="556"/>
      <c r="E203" s="556"/>
      <c r="F203" s="557" t="str">
        <f t="shared" si="12"/>
        <v/>
      </c>
      <c r="G203" s="558"/>
      <c r="H203" s="559" t="str">
        <f t="shared" si="13"/>
        <v/>
      </c>
      <c r="I203" s="560"/>
      <c r="J203" s="561"/>
      <c r="K203" s="561"/>
      <c r="L203" s="562"/>
      <c r="M203" s="563" t="str">
        <f t="shared" si="14"/>
        <v/>
      </c>
      <c r="N203" s="575"/>
      <c r="O203" s="575"/>
      <c r="P203" s="575"/>
      <c r="Q203" s="565"/>
      <c r="R203" s="566"/>
      <c r="S203" s="567"/>
      <c r="T203" s="568"/>
      <c r="U203" s="569"/>
      <c r="V203" s="570"/>
      <c r="W203" s="570"/>
      <c r="X203" s="571"/>
    </row>
    <row r="204" spans="1:24" ht="15.75" thickBot="1" x14ac:dyDescent="0.3">
      <c r="A204" s="451"/>
      <c r="B204" s="452"/>
      <c r="C204" s="555"/>
      <c r="D204" s="556"/>
      <c r="E204" s="556"/>
      <c r="F204" s="557" t="str">
        <f t="shared" si="12"/>
        <v/>
      </c>
      <c r="G204" s="558"/>
      <c r="H204" s="559" t="str">
        <f t="shared" si="13"/>
        <v/>
      </c>
      <c r="I204" s="560"/>
      <c r="J204" s="561"/>
      <c r="K204" s="561"/>
      <c r="L204" s="562"/>
      <c r="M204" s="563" t="str">
        <f t="shared" si="14"/>
        <v/>
      </c>
      <c r="N204" s="575"/>
      <c r="O204" s="575"/>
      <c r="P204" s="575"/>
      <c r="Q204" s="565"/>
      <c r="R204" s="566"/>
      <c r="S204" s="567"/>
      <c r="T204" s="568"/>
      <c r="U204" s="569"/>
      <c r="V204" s="570"/>
      <c r="W204" s="570"/>
      <c r="X204" s="571"/>
    </row>
    <row r="205" spans="1:24" ht="15.75" thickBot="1" x14ac:dyDescent="0.3">
      <c r="A205" s="451"/>
      <c r="B205" s="452"/>
      <c r="C205" s="555"/>
      <c r="D205" s="556"/>
      <c r="E205" s="556"/>
      <c r="F205" s="557" t="str">
        <f t="shared" si="12"/>
        <v/>
      </c>
      <c r="G205" s="558"/>
      <c r="H205" s="559" t="str">
        <f t="shared" si="13"/>
        <v/>
      </c>
      <c r="I205" s="560"/>
      <c r="J205" s="561"/>
      <c r="K205" s="561"/>
      <c r="L205" s="562"/>
      <c r="M205" s="563" t="str">
        <f t="shared" si="14"/>
        <v/>
      </c>
      <c r="N205" s="575"/>
      <c r="O205" s="575"/>
      <c r="P205" s="575"/>
      <c r="Q205" s="565"/>
      <c r="R205" s="566"/>
      <c r="S205" s="567"/>
      <c r="T205" s="568"/>
      <c r="U205" s="569"/>
      <c r="V205" s="570"/>
      <c r="W205" s="570"/>
      <c r="X205" s="571"/>
    </row>
    <row r="206" spans="1:24" ht="15.75" thickBot="1" x14ac:dyDescent="0.3">
      <c r="A206" s="451"/>
      <c r="B206" s="452"/>
      <c r="C206" s="555"/>
      <c r="D206" s="556"/>
      <c r="E206" s="556"/>
      <c r="F206" s="557" t="str">
        <f t="shared" si="12"/>
        <v/>
      </c>
      <c r="G206" s="558"/>
      <c r="H206" s="559" t="str">
        <f t="shared" si="13"/>
        <v/>
      </c>
      <c r="I206" s="560"/>
      <c r="J206" s="561"/>
      <c r="K206" s="561"/>
      <c r="L206" s="562"/>
      <c r="M206" s="563" t="str">
        <f t="shared" si="14"/>
        <v/>
      </c>
      <c r="N206" s="575"/>
      <c r="O206" s="575"/>
      <c r="P206" s="575"/>
      <c r="Q206" s="565"/>
      <c r="R206" s="566"/>
      <c r="S206" s="567"/>
      <c r="T206" s="568"/>
      <c r="U206" s="569"/>
      <c r="V206" s="570"/>
      <c r="W206" s="570"/>
      <c r="X206" s="571"/>
    </row>
    <row r="207" spans="1:24" ht="15.75" thickBot="1" x14ac:dyDescent="0.3">
      <c r="A207" s="451"/>
      <c r="B207" s="452"/>
      <c r="C207" s="555"/>
      <c r="D207" s="556"/>
      <c r="E207" s="556"/>
      <c r="F207" s="557" t="str">
        <f t="shared" si="12"/>
        <v/>
      </c>
      <c r="G207" s="558"/>
      <c r="H207" s="559" t="str">
        <f t="shared" si="13"/>
        <v/>
      </c>
      <c r="I207" s="560"/>
      <c r="J207" s="561"/>
      <c r="K207" s="561"/>
      <c r="L207" s="562"/>
      <c r="M207" s="563" t="str">
        <f t="shared" si="14"/>
        <v/>
      </c>
      <c r="N207" s="575"/>
      <c r="O207" s="575"/>
      <c r="P207" s="575"/>
      <c r="Q207" s="565"/>
      <c r="R207" s="566"/>
      <c r="S207" s="567"/>
      <c r="T207" s="568"/>
      <c r="U207" s="569"/>
      <c r="V207" s="570"/>
      <c r="W207" s="570"/>
      <c r="X207" s="571"/>
    </row>
    <row r="208" spans="1:24" ht="15.75" thickBot="1" x14ac:dyDescent="0.3">
      <c r="A208" s="451"/>
      <c r="B208" s="452"/>
      <c r="C208" s="555"/>
      <c r="D208" s="556"/>
      <c r="E208" s="556"/>
      <c r="F208" s="557" t="str">
        <f t="shared" si="12"/>
        <v/>
      </c>
      <c r="G208" s="558"/>
      <c r="H208" s="559" t="str">
        <f t="shared" si="13"/>
        <v/>
      </c>
      <c r="I208" s="560"/>
      <c r="J208" s="561"/>
      <c r="K208" s="561"/>
      <c r="L208" s="562"/>
      <c r="M208" s="563" t="str">
        <f t="shared" si="14"/>
        <v/>
      </c>
      <c r="N208" s="575"/>
      <c r="O208" s="575"/>
      <c r="P208" s="575"/>
      <c r="Q208" s="565"/>
      <c r="R208" s="566"/>
      <c r="S208" s="567"/>
      <c r="T208" s="568"/>
      <c r="U208" s="569"/>
      <c r="V208" s="570"/>
      <c r="W208" s="570"/>
      <c r="X208" s="571"/>
    </row>
    <row r="209" spans="1:24" ht="15.75" thickBot="1" x14ac:dyDescent="0.3">
      <c r="A209" s="451"/>
      <c r="B209" s="452"/>
      <c r="C209" s="555"/>
      <c r="D209" s="556"/>
      <c r="E209" s="556"/>
      <c r="F209" s="557" t="str">
        <f t="shared" si="12"/>
        <v/>
      </c>
      <c r="G209" s="558"/>
      <c r="H209" s="559" t="str">
        <f t="shared" si="13"/>
        <v/>
      </c>
      <c r="I209" s="560"/>
      <c r="J209" s="561"/>
      <c r="K209" s="561"/>
      <c r="L209" s="562"/>
      <c r="M209" s="563" t="str">
        <f t="shared" si="14"/>
        <v/>
      </c>
      <c r="N209" s="575"/>
      <c r="O209" s="575"/>
      <c r="P209" s="575"/>
      <c r="Q209" s="565"/>
      <c r="R209" s="566"/>
      <c r="S209" s="567"/>
      <c r="T209" s="568"/>
      <c r="U209" s="569"/>
      <c r="V209" s="570"/>
      <c r="W209" s="570"/>
      <c r="X209" s="571"/>
    </row>
    <row r="210" spans="1:24" ht="15.75" thickBot="1" x14ac:dyDescent="0.3">
      <c r="A210" s="451"/>
      <c r="B210" s="452"/>
      <c r="C210" s="555"/>
      <c r="D210" s="556"/>
      <c r="E210" s="556"/>
      <c r="F210" s="557" t="str">
        <f t="shared" si="12"/>
        <v/>
      </c>
      <c r="G210" s="558"/>
      <c r="H210" s="559" t="str">
        <f t="shared" si="13"/>
        <v/>
      </c>
      <c r="I210" s="560"/>
      <c r="J210" s="561"/>
      <c r="K210" s="561"/>
      <c r="L210" s="562"/>
      <c r="M210" s="563" t="str">
        <f t="shared" si="14"/>
        <v/>
      </c>
      <c r="N210" s="575"/>
      <c r="O210" s="575"/>
      <c r="P210" s="575"/>
      <c r="Q210" s="565"/>
      <c r="R210" s="566"/>
      <c r="S210" s="567"/>
      <c r="T210" s="568"/>
      <c r="U210" s="569"/>
      <c r="V210" s="570"/>
      <c r="W210" s="570"/>
      <c r="X210" s="571"/>
    </row>
    <row r="211" spans="1:24" ht="15.75" thickBot="1" x14ac:dyDescent="0.3">
      <c r="A211" s="451"/>
      <c r="B211" s="452"/>
      <c r="C211" s="555"/>
      <c r="D211" s="556"/>
      <c r="E211" s="556"/>
      <c r="F211" s="557" t="str">
        <f t="shared" si="12"/>
        <v/>
      </c>
      <c r="G211" s="558"/>
      <c r="H211" s="559" t="str">
        <f t="shared" si="13"/>
        <v/>
      </c>
      <c r="I211" s="560"/>
      <c r="J211" s="561"/>
      <c r="K211" s="561"/>
      <c r="L211" s="562"/>
      <c r="M211" s="563" t="str">
        <f t="shared" si="14"/>
        <v/>
      </c>
      <c r="N211" s="575"/>
      <c r="O211" s="575"/>
      <c r="P211" s="575"/>
      <c r="Q211" s="565"/>
      <c r="R211" s="566"/>
      <c r="S211" s="567"/>
      <c r="T211" s="568"/>
      <c r="U211" s="569"/>
      <c r="V211" s="570"/>
      <c r="W211" s="570"/>
      <c r="X211" s="571"/>
    </row>
    <row r="212" spans="1:24" ht="15.75" thickBot="1" x14ac:dyDescent="0.3">
      <c r="A212" s="451"/>
      <c r="B212" s="452"/>
      <c r="C212" s="555"/>
      <c r="D212" s="556"/>
      <c r="E212" s="556"/>
      <c r="F212" s="557" t="str">
        <f t="shared" si="12"/>
        <v/>
      </c>
      <c r="G212" s="558"/>
      <c r="H212" s="559" t="str">
        <f t="shared" si="13"/>
        <v/>
      </c>
      <c r="I212" s="560"/>
      <c r="J212" s="561"/>
      <c r="K212" s="561"/>
      <c r="L212" s="562"/>
      <c r="M212" s="563" t="str">
        <f t="shared" si="14"/>
        <v/>
      </c>
      <c r="N212" s="575"/>
      <c r="O212" s="575"/>
      <c r="P212" s="575"/>
      <c r="Q212" s="565"/>
      <c r="R212" s="566"/>
      <c r="S212" s="567"/>
      <c r="T212" s="568"/>
      <c r="U212" s="569"/>
      <c r="V212" s="570"/>
      <c r="W212" s="570"/>
      <c r="X212" s="571"/>
    </row>
    <row r="213" spans="1:24" ht="15.75" thickBot="1" x14ac:dyDescent="0.3">
      <c r="A213" s="451"/>
      <c r="B213" s="452"/>
      <c r="C213" s="555"/>
      <c r="D213" s="556"/>
      <c r="E213" s="556"/>
      <c r="F213" s="557" t="str">
        <f t="shared" si="12"/>
        <v/>
      </c>
      <c r="G213" s="558"/>
      <c r="H213" s="559" t="str">
        <f t="shared" si="13"/>
        <v/>
      </c>
      <c r="I213" s="560"/>
      <c r="J213" s="561"/>
      <c r="K213" s="561"/>
      <c r="L213" s="562"/>
      <c r="M213" s="563" t="str">
        <f t="shared" si="14"/>
        <v/>
      </c>
      <c r="N213" s="575"/>
      <c r="O213" s="575"/>
      <c r="P213" s="575"/>
      <c r="Q213" s="565"/>
      <c r="R213" s="566"/>
      <c r="S213" s="567"/>
      <c r="T213" s="568"/>
      <c r="U213" s="569"/>
      <c r="V213" s="570"/>
      <c r="W213" s="570"/>
      <c r="X213" s="571"/>
    </row>
    <row r="214" spans="1:24" ht="15.75" thickBot="1" x14ac:dyDescent="0.3">
      <c r="A214" s="451"/>
      <c r="B214" s="452"/>
      <c r="C214" s="555"/>
      <c r="D214" s="556"/>
      <c r="E214" s="556"/>
      <c r="F214" s="557" t="str">
        <f t="shared" si="12"/>
        <v/>
      </c>
      <c r="G214" s="558"/>
      <c r="H214" s="559" t="str">
        <f t="shared" si="13"/>
        <v/>
      </c>
      <c r="I214" s="560"/>
      <c r="J214" s="561"/>
      <c r="K214" s="561"/>
      <c r="L214" s="562"/>
      <c r="M214" s="563" t="str">
        <f t="shared" si="14"/>
        <v/>
      </c>
      <c r="N214" s="575"/>
      <c r="O214" s="575"/>
      <c r="P214" s="575"/>
      <c r="Q214" s="565"/>
      <c r="R214" s="566"/>
      <c r="S214" s="567"/>
      <c r="T214" s="568"/>
      <c r="U214" s="569"/>
      <c r="V214" s="570"/>
      <c r="W214" s="570"/>
      <c r="X214" s="571"/>
    </row>
    <row r="215" spans="1:24" ht="15.75" thickBot="1" x14ac:dyDescent="0.3">
      <c r="A215" s="451"/>
      <c r="B215" s="452"/>
      <c r="C215" s="555"/>
      <c r="D215" s="556"/>
      <c r="E215" s="556"/>
      <c r="F215" s="557" t="str">
        <f t="shared" si="12"/>
        <v/>
      </c>
      <c r="G215" s="558"/>
      <c r="H215" s="559" t="str">
        <f t="shared" si="13"/>
        <v/>
      </c>
      <c r="I215" s="560"/>
      <c r="J215" s="561"/>
      <c r="K215" s="561"/>
      <c r="L215" s="562"/>
      <c r="M215" s="563" t="str">
        <f t="shared" si="14"/>
        <v/>
      </c>
      <c r="N215" s="575"/>
      <c r="O215" s="575"/>
      <c r="P215" s="575"/>
      <c r="Q215" s="565"/>
      <c r="R215" s="566"/>
      <c r="S215" s="567"/>
      <c r="T215" s="568"/>
      <c r="U215" s="569"/>
      <c r="V215" s="570"/>
      <c r="W215" s="570"/>
      <c r="X215" s="571"/>
    </row>
    <row r="216" spans="1:24" ht="15.75" thickBot="1" x14ac:dyDescent="0.3">
      <c r="A216" s="451"/>
      <c r="B216" s="452"/>
      <c r="C216" s="555"/>
      <c r="D216" s="556"/>
      <c r="E216" s="556"/>
      <c r="F216" s="557" t="str">
        <f t="shared" si="12"/>
        <v/>
      </c>
      <c r="G216" s="558"/>
      <c r="H216" s="559" t="str">
        <f t="shared" si="13"/>
        <v/>
      </c>
      <c r="I216" s="560"/>
      <c r="J216" s="561"/>
      <c r="K216" s="561"/>
      <c r="L216" s="562"/>
      <c r="M216" s="563" t="str">
        <f t="shared" si="14"/>
        <v/>
      </c>
      <c r="N216" s="575"/>
      <c r="O216" s="575"/>
      <c r="P216" s="575"/>
      <c r="Q216" s="565"/>
      <c r="R216" s="566"/>
      <c r="S216" s="567"/>
      <c r="T216" s="568"/>
      <c r="U216" s="569"/>
      <c r="V216" s="570"/>
      <c r="W216" s="570"/>
      <c r="X216" s="571"/>
    </row>
    <row r="217" spans="1:24" ht="15.75" thickBot="1" x14ac:dyDescent="0.3">
      <c r="A217" s="451"/>
      <c r="B217" s="452"/>
      <c r="C217" s="555"/>
      <c r="D217" s="556"/>
      <c r="E217" s="556"/>
      <c r="F217" s="557" t="str">
        <f t="shared" si="12"/>
        <v/>
      </c>
      <c r="G217" s="558"/>
      <c r="H217" s="559" t="str">
        <f t="shared" si="13"/>
        <v/>
      </c>
      <c r="I217" s="560"/>
      <c r="J217" s="561"/>
      <c r="K217" s="561"/>
      <c r="L217" s="562"/>
      <c r="M217" s="563" t="str">
        <f t="shared" si="14"/>
        <v/>
      </c>
      <c r="N217" s="575"/>
      <c r="O217" s="575"/>
      <c r="P217" s="575"/>
      <c r="Q217" s="565"/>
      <c r="R217" s="566"/>
      <c r="S217" s="567"/>
      <c r="T217" s="568"/>
      <c r="U217" s="569"/>
      <c r="V217" s="570"/>
      <c r="W217" s="570"/>
      <c r="X217" s="571"/>
    </row>
    <row r="218" spans="1:24" ht="15.75" thickBot="1" x14ac:dyDescent="0.3">
      <c r="A218" s="451"/>
      <c r="B218" s="452"/>
      <c r="C218" s="555"/>
      <c r="D218" s="556"/>
      <c r="E218" s="556"/>
      <c r="F218" s="557" t="str">
        <f t="shared" si="12"/>
        <v/>
      </c>
      <c r="G218" s="558"/>
      <c r="H218" s="559" t="str">
        <f t="shared" si="13"/>
        <v/>
      </c>
      <c r="I218" s="560"/>
      <c r="J218" s="561"/>
      <c r="K218" s="561"/>
      <c r="L218" s="562"/>
      <c r="M218" s="563" t="str">
        <f t="shared" si="14"/>
        <v/>
      </c>
      <c r="N218" s="575"/>
      <c r="O218" s="575"/>
      <c r="P218" s="575"/>
      <c r="Q218" s="565"/>
      <c r="R218" s="566"/>
      <c r="S218" s="567"/>
      <c r="T218" s="568"/>
      <c r="U218" s="569"/>
      <c r="V218" s="570"/>
      <c r="W218" s="570"/>
      <c r="X218" s="571"/>
    </row>
    <row r="219" spans="1:24" ht="15.75" thickBot="1" x14ac:dyDescent="0.3">
      <c r="A219" s="451"/>
      <c r="B219" s="452"/>
      <c r="C219" s="555"/>
      <c r="D219" s="556"/>
      <c r="E219" s="556"/>
      <c r="F219" s="557" t="str">
        <f t="shared" si="12"/>
        <v/>
      </c>
      <c r="G219" s="558"/>
      <c r="H219" s="559" t="str">
        <f t="shared" si="13"/>
        <v/>
      </c>
      <c r="I219" s="560"/>
      <c r="J219" s="561"/>
      <c r="K219" s="561"/>
      <c r="L219" s="562"/>
      <c r="M219" s="563" t="str">
        <f t="shared" si="14"/>
        <v/>
      </c>
      <c r="N219" s="575"/>
      <c r="O219" s="575"/>
      <c r="P219" s="575"/>
      <c r="Q219" s="565"/>
      <c r="R219" s="566"/>
      <c r="S219" s="567"/>
      <c r="T219" s="568"/>
      <c r="U219" s="569"/>
      <c r="V219" s="570"/>
      <c r="W219" s="570"/>
      <c r="X219" s="571"/>
    </row>
    <row r="220" spans="1:24" ht="15.75" thickBot="1" x14ac:dyDescent="0.3">
      <c r="A220" s="451"/>
      <c r="B220" s="452"/>
      <c r="C220" s="555"/>
      <c r="D220" s="556"/>
      <c r="E220" s="556"/>
      <c r="F220" s="557" t="str">
        <f t="shared" si="12"/>
        <v/>
      </c>
      <c r="G220" s="558"/>
      <c r="H220" s="559" t="str">
        <f t="shared" si="13"/>
        <v/>
      </c>
      <c r="I220" s="560"/>
      <c r="J220" s="561"/>
      <c r="K220" s="561"/>
      <c r="L220" s="562"/>
      <c r="M220" s="563" t="str">
        <f t="shared" si="14"/>
        <v/>
      </c>
      <c r="N220" s="575"/>
      <c r="O220" s="575"/>
      <c r="P220" s="575"/>
      <c r="Q220" s="565"/>
      <c r="R220" s="566"/>
      <c r="S220" s="567"/>
      <c r="T220" s="568"/>
      <c r="U220" s="569"/>
      <c r="V220" s="570"/>
      <c r="W220" s="570"/>
      <c r="X220" s="571"/>
    </row>
    <row r="221" spans="1:24" ht="15.75" thickBot="1" x14ac:dyDescent="0.3">
      <c r="A221" s="451"/>
      <c r="B221" s="452"/>
      <c r="C221" s="555"/>
      <c r="D221" s="556"/>
      <c r="E221" s="556"/>
      <c r="F221" s="557" t="str">
        <f t="shared" si="12"/>
        <v/>
      </c>
      <c r="G221" s="558"/>
      <c r="H221" s="559" t="str">
        <f t="shared" si="13"/>
        <v/>
      </c>
      <c r="I221" s="560"/>
      <c r="J221" s="561"/>
      <c r="K221" s="561"/>
      <c r="L221" s="562"/>
      <c r="M221" s="563" t="str">
        <f t="shared" si="14"/>
        <v/>
      </c>
      <c r="N221" s="575"/>
      <c r="O221" s="575"/>
      <c r="P221" s="575"/>
      <c r="Q221" s="565"/>
      <c r="R221" s="566"/>
      <c r="S221" s="567"/>
      <c r="T221" s="568"/>
      <c r="U221" s="569"/>
      <c r="V221" s="570"/>
      <c r="W221" s="570"/>
      <c r="X221" s="571"/>
    </row>
    <row r="222" spans="1:24" ht="15.75" thickBot="1" x14ac:dyDescent="0.3">
      <c r="A222" s="451"/>
      <c r="B222" s="452"/>
      <c r="C222" s="555"/>
      <c r="D222" s="556"/>
      <c r="E222" s="556"/>
      <c r="F222" s="557" t="str">
        <f t="shared" si="12"/>
        <v/>
      </c>
      <c r="G222" s="558"/>
      <c r="H222" s="559" t="str">
        <f t="shared" si="13"/>
        <v/>
      </c>
      <c r="I222" s="560"/>
      <c r="J222" s="561"/>
      <c r="K222" s="561"/>
      <c r="L222" s="562"/>
      <c r="M222" s="563" t="str">
        <f t="shared" si="14"/>
        <v/>
      </c>
      <c r="N222" s="575"/>
      <c r="O222" s="575"/>
      <c r="P222" s="575"/>
      <c r="Q222" s="565"/>
      <c r="R222" s="566"/>
      <c r="S222" s="567"/>
      <c r="T222" s="568"/>
      <c r="U222" s="569"/>
      <c r="V222" s="570"/>
      <c r="W222" s="570"/>
      <c r="X222" s="571"/>
    </row>
    <row r="223" spans="1:24" ht="15.75" thickBot="1" x14ac:dyDescent="0.3">
      <c r="A223" s="451"/>
      <c r="B223" s="452"/>
      <c r="C223" s="555"/>
      <c r="D223" s="556"/>
      <c r="E223" s="556"/>
      <c r="F223" s="557" t="str">
        <f t="shared" si="12"/>
        <v/>
      </c>
      <c r="G223" s="558"/>
      <c r="H223" s="559" t="str">
        <f t="shared" si="13"/>
        <v/>
      </c>
      <c r="I223" s="560"/>
      <c r="J223" s="561"/>
      <c r="K223" s="561"/>
      <c r="L223" s="562"/>
      <c r="M223" s="563" t="str">
        <f t="shared" si="14"/>
        <v/>
      </c>
      <c r="N223" s="575"/>
      <c r="O223" s="575"/>
      <c r="P223" s="575"/>
      <c r="Q223" s="565"/>
      <c r="R223" s="566"/>
      <c r="S223" s="567"/>
      <c r="T223" s="568"/>
      <c r="U223" s="569"/>
      <c r="V223" s="570"/>
      <c r="W223" s="570"/>
      <c r="X223" s="571"/>
    </row>
    <row r="224" spans="1:24" ht="15.75" thickBot="1" x14ac:dyDescent="0.3">
      <c r="A224" s="451"/>
      <c r="B224" s="452"/>
      <c r="C224" s="555"/>
      <c r="D224" s="556"/>
      <c r="E224" s="556"/>
      <c r="F224" s="557" t="str">
        <f t="shared" si="12"/>
        <v/>
      </c>
      <c r="G224" s="558"/>
      <c r="H224" s="559" t="str">
        <f t="shared" si="13"/>
        <v/>
      </c>
      <c r="I224" s="560"/>
      <c r="J224" s="561"/>
      <c r="K224" s="561"/>
      <c r="L224" s="562"/>
      <c r="M224" s="563" t="str">
        <f t="shared" si="14"/>
        <v/>
      </c>
      <c r="N224" s="575"/>
      <c r="O224" s="575"/>
      <c r="P224" s="575"/>
      <c r="Q224" s="565"/>
      <c r="R224" s="566"/>
      <c r="S224" s="567"/>
      <c r="T224" s="568"/>
      <c r="U224" s="569"/>
      <c r="V224" s="570"/>
      <c r="W224" s="570"/>
      <c r="X224" s="571"/>
    </row>
    <row r="225" spans="1:24" ht="15.75" thickBot="1" x14ac:dyDescent="0.3">
      <c r="A225" s="451"/>
      <c r="B225" s="452"/>
      <c r="C225" s="555"/>
      <c r="D225" s="556"/>
      <c r="E225" s="556"/>
      <c r="F225" s="557" t="str">
        <f t="shared" si="12"/>
        <v/>
      </c>
      <c r="G225" s="558"/>
      <c r="H225" s="559" t="str">
        <f t="shared" si="13"/>
        <v/>
      </c>
      <c r="I225" s="560"/>
      <c r="J225" s="561"/>
      <c r="K225" s="561"/>
      <c r="L225" s="562"/>
      <c r="M225" s="563" t="str">
        <f t="shared" si="14"/>
        <v/>
      </c>
      <c r="N225" s="575"/>
      <c r="O225" s="575"/>
      <c r="P225" s="575"/>
      <c r="Q225" s="565"/>
      <c r="R225" s="566"/>
      <c r="S225" s="567"/>
      <c r="T225" s="568"/>
      <c r="U225" s="569"/>
      <c r="V225" s="570"/>
      <c r="W225" s="570"/>
      <c r="X225" s="571"/>
    </row>
    <row r="226" spans="1:24" ht="15.75" thickBot="1" x14ac:dyDescent="0.3">
      <c r="A226" s="451"/>
      <c r="B226" s="452"/>
      <c r="C226" s="555"/>
      <c r="D226" s="556"/>
      <c r="E226" s="556"/>
      <c r="F226" s="557" t="str">
        <f t="shared" si="12"/>
        <v/>
      </c>
      <c r="G226" s="558"/>
      <c r="H226" s="559" t="str">
        <f t="shared" si="13"/>
        <v/>
      </c>
      <c r="I226" s="560"/>
      <c r="J226" s="561"/>
      <c r="K226" s="561"/>
      <c r="L226" s="562"/>
      <c r="M226" s="563" t="str">
        <f t="shared" si="14"/>
        <v/>
      </c>
      <c r="N226" s="575"/>
      <c r="O226" s="575"/>
      <c r="P226" s="575"/>
      <c r="Q226" s="565"/>
      <c r="R226" s="566"/>
      <c r="S226" s="567"/>
      <c r="T226" s="568"/>
      <c r="U226" s="569"/>
      <c r="V226" s="570"/>
      <c r="W226" s="570"/>
      <c r="X226" s="571"/>
    </row>
    <row r="227" spans="1:24" ht="15.75" thickBot="1" x14ac:dyDescent="0.3">
      <c r="A227" s="451"/>
      <c r="B227" s="452"/>
      <c r="C227" s="555"/>
      <c r="D227" s="556"/>
      <c r="E227" s="556"/>
      <c r="F227" s="557" t="str">
        <f t="shared" si="12"/>
        <v/>
      </c>
      <c r="G227" s="558"/>
      <c r="H227" s="559" t="str">
        <f t="shared" si="13"/>
        <v/>
      </c>
      <c r="I227" s="560"/>
      <c r="J227" s="561"/>
      <c r="K227" s="561"/>
      <c r="L227" s="562"/>
      <c r="M227" s="563" t="str">
        <f t="shared" si="14"/>
        <v/>
      </c>
      <c r="N227" s="575"/>
      <c r="O227" s="575"/>
      <c r="P227" s="575"/>
      <c r="Q227" s="565"/>
      <c r="R227" s="566"/>
      <c r="S227" s="567"/>
      <c r="T227" s="568"/>
      <c r="U227" s="569"/>
      <c r="V227" s="570"/>
      <c r="W227" s="570"/>
      <c r="X227" s="571"/>
    </row>
    <row r="228" spans="1:24" ht="15.75" thickBot="1" x14ac:dyDescent="0.3">
      <c r="A228" s="451"/>
      <c r="B228" s="452"/>
      <c r="C228" s="555"/>
      <c r="D228" s="556"/>
      <c r="E228" s="556"/>
      <c r="F228" s="557" t="str">
        <f t="shared" si="12"/>
        <v/>
      </c>
      <c r="G228" s="558"/>
      <c r="H228" s="559" t="str">
        <f t="shared" si="13"/>
        <v/>
      </c>
      <c r="I228" s="560"/>
      <c r="J228" s="561"/>
      <c r="K228" s="561"/>
      <c r="L228" s="562"/>
      <c r="M228" s="563" t="str">
        <f t="shared" si="14"/>
        <v/>
      </c>
      <c r="N228" s="575"/>
      <c r="O228" s="575"/>
      <c r="P228" s="575"/>
      <c r="Q228" s="565"/>
      <c r="R228" s="566"/>
      <c r="S228" s="567"/>
      <c r="T228" s="568"/>
      <c r="U228" s="569"/>
      <c r="V228" s="570"/>
      <c r="W228" s="570"/>
      <c r="X228" s="571"/>
    </row>
    <row r="229" spans="1:24" ht="15.75" thickBot="1" x14ac:dyDescent="0.3">
      <c r="A229" s="451"/>
      <c r="B229" s="452"/>
      <c r="C229" s="555"/>
      <c r="D229" s="556"/>
      <c r="E229" s="556"/>
      <c r="F229" s="557" t="str">
        <f t="shared" si="12"/>
        <v/>
      </c>
      <c r="G229" s="558"/>
      <c r="H229" s="559" t="str">
        <f t="shared" si="13"/>
        <v/>
      </c>
      <c r="I229" s="560"/>
      <c r="J229" s="561"/>
      <c r="K229" s="561"/>
      <c r="L229" s="562"/>
      <c r="M229" s="563" t="str">
        <f t="shared" si="14"/>
        <v/>
      </c>
      <c r="N229" s="575"/>
      <c r="O229" s="575"/>
      <c r="P229" s="575"/>
      <c r="Q229" s="565"/>
      <c r="R229" s="566"/>
      <c r="S229" s="567"/>
      <c r="T229" s="568"/>
      <c r="U229" s="569"/>
      <c r="V229" s="570"/>
      <c r="W229" s="570"/>
      <c r="X229" s="571"/>
    </row>
    <row r="230" spans="1:24" ht="15.75" thickBot="1" x14ac:dyDescent="0.3">
      <c r="A230" s="451"/>
      <c r="B230" s="452"/>
      <c r="C230" s="555"/>
      <c r="D230" s="556"/>
      <c r="E230" s="556"/>
      <c r="F230" s="557" t="str">
        <f t="shared" si="12"/>
        <v/>
      </c>
      <c r="G230" s="558"/>
      <c r="H230" s="559" t="str">
        <f t="shared" si="13"/>
        <v/>
      </c>
      <c r="I230" s="560"/>
      <c r="J230" s="561"/>
      <c r="K230" s="561"/>
      <c r="L230" s="562"/>
      <c r="M230" s="563" t="str">
        <f t="shared" si="14"/>
        <v/>
      </c>
      <c r="N230" s="575"/>
      <c r="O230" s="575"/>
      <c r="P230" s="575"/>
      <c r="Q230" s="565"/>
      <c r="R230" s="566"/>
      <c r="S230" s="567"/>
      <c r="T230" s="568"/>
      <c r="U230" s="569"/>
      <c r="V230" s="570"/>
      <c r="W230" s="570"/>
      <c r="X230" s="571"/>
    </row>
    <row r="231" spans="1:24" ht="15.75" thickBot="1" x14ac:dyDescent="0.3">
      <c r="A231" s="451"/>
      <c r="B231" s="452"/>
      <c r="C231" s="555"/>
      <c r="D231" s="556"/>
      <c r="E231" s="556"/>
      <c r="F231" s="557" t="str">
        <f t="shared" si="12"/>
        <v/>
      </c>
      <c r="G231" s="558"/>
      <c r="H231" s="559" t="str">
        <f t="shared" si="13"/>
        <v/>
      </c>
      <c r="I231" s="560"/>
      <c r="J231" s="561"/>
      <c r="K231" s="561"/>
      <c r="L231" s="562"/>
      <c r="M231" s="563" t="str">
        <f t="shared" si="14"/>
        <v/>
      </c>
      <c r="N231" s="575"/>
      <c r="O231" s="575"/>
      <c r="P231" s="575"/>
      <c r="Q231" s="565"/>
      <c r="R231" s="566"/>
      <c r="S231" s="567"/>
      <c r="T231" s="568"/>
      <c r="U231" s="569"/>
      <c r="V231" s="570"/>
      <c r="W231" s="570"/>
      <c r="X231" s="571"/>
    </row>
    <row r="232" spans="1:24" ht="15.75" thickBot="1" x14ac:dyDescent="0.3">
      <c r="A232" s="451"/>
      <c r="B232" s="452"/>
      <c r="C232" s="555"/>
      <c r="D232" s="556"/>
      <c r="E232" s="556"/>
      <c r="F232" s="557" t="str">
        <f t="shared" si="12"/>
        <v/>
      </c>
      <c r="G232" s="558"/>
      <c r="H232" s="559" t="str">
        <f t="shared" si="13"/>
        <v/>
      </c>
      <c r="I232" s="560"/>
      <c r="J232" s="561"/>
      <c r="K232" s="561"/>
      <c r="L232" s="562"/>
      <c r="M232" s="563" t="str">
        <f t="shared" si="14"/>
        <v/>
      </c>
      <c r="N232" s="575"/>
      <c r="O232" s="575"/>
      <c r="P232" s="575"/>
      <c r="Q232" s="565"/>
      <c r="R232" s="566"/>
      <c r="S232" s="567"/>
      <c r="T232" s="568"/>
      <c r="U232" s="569"/>
      <c r="V232" s="570"/>
      <c r="W232" s="570"/>
      <c r="X232" s="571"/>
    </row>
    <row r="233" spans="1:24" ht="15.75" thickBot="1" x14ac:dyDescent="0.3">
      <c r="A233" s="451"/>
      <c r="B233" s="452"/>
      <c r="C233" s="555"/>
      <c r="D233" s="556"/>
      <c r="E233" s="556"/>
      <c r="F233" s="557" t="str">
        <f t="shared" si="12"/>
        <v/>
      </c>
      <c r="G233" s="558"/>
      <c r="H233" s="559" t="str">
        <f t="shared" si="13"/>
        <v/>
      </c>
      <c r="I233" s="560"/>
      <c r="J233" s="561"/>
      <c r="K233" s="561"/>
      <c r="L233" s="562"/>
      <c r="M233" s="563" t="str">
        <f t="shared" si="14"/>
        <v/>
      </c>
      <c r="N233" s="575"/>
      <c r="O233" s="575"/>
      <c r="P233" s="575"/>
      <c r="Q233" s="565"/>
      <c r="R233" s="566"/>
      <c r="S233" s="567"/>
      <c r="T233" s="568"/>
      <c r="U233" s="569"/>
      <c r="V233" s="570"/>
      <c r="W233" s="570"/>
      <c r="X233" s="571"/>
    </row>
    <row r="234" spans="1:24" ht="15.75" thickBot="1" x14ac:dyDescent="0.3">
      <c r="A234" s="451"/>
      <c r="B234" s="452"/>
      <c r="C234" s="555"/>
      <c r="D234" s="556"/>
      <c r="E234" s="556"/>
      <c r="F234" s="557" t="str">
        <f t="shared" si="12"/>
        <v/>
      </c>
      <c r="G234" s="558"/>
      <c r="H234" s="559" t="str">
        <f t="shared" si="13"/>
        <v/>
      </c>
      <c r="I234" s="560"/>
      <c r="J234" s="561"/>
      <c r="K234" s="561"/>
      <c r="L234" s="562"/>
      <c r="M234" s="563" t="str">
        <f t="shared" si="14"/>
        <v/>
      </c>
      <c r="N234" s="575"/>
      <c r="O234" s="575"/>
      <c r="P234" s="575"/>
      <c r="Q234" s="565"/>
      <c r="R234" s="566"/>
      <c r="S234" s="567"/>
      <c r="T234" s="568"/>
      <c r="U234" s="569"/>
      <c r="V234" s="570"/>
      <c r="W234" s="570"/>
      <c r="X234" s="571"/>
    </row>
    <row r="235" spans="1:24" ht="15.75" thickBot="1" x14ac:dyDescent="0.3">
      <c r="A235" s="451"/>
      <c r="B235" s="452"/>
      <c r="C235" s="555"/>
      <c r="D235" s="556"/>
      <c r="E235" s="556"/>
      <c r="F235" s="557" t="str">
        <f t="shared" si="12"/>
        <v/>
      </c>
      <c r="G235" s="558"/>
      <c r="H235" s="559" t="str">
        <f t="shared" si="13"/>
        <v/>
      </c>
      <c r="I235" s="560"/>
      <c r="J235" s="561"/>
      <c r="K235" s="561"/>
      <c r="L235" s="562"/>
      <c r="M235" s="563" t="str">
        <f t="shared" si="14"/>
        <v/>
      </c>
      <c r="N235" s="575"/>
      <c r="O235" s="575"/>
      <c r="P235" s="575"/>
      <c r="Q235" s="565"/>
      <c r="R235" s="566"/>
      <c r="S235" s="567"/>
      <c r="T235" s="568"/>
      <c r="U235" s="569"/>
      <c r="V235" s="570"/>
      <c r="W235" s="570"/>
      <c r="X235" s="571"/>
    </row>
    <row r="236" spans="1:24" ht="15.75" thickBot="1" x14ac:dyDescent="0.3">
      <c r="A236" s="451"/>
      <c r="B236" s="452"/>
      <c r="C236" s="555"/>
      <c r="D236" s="556"/>
      <c r="E236" s="556"/>
      <c r="F236" s="557" t="str">
        <f t="shared" si="12"/>
        <v/>
      </c>
      <c r="G236" s="558"/>
      <c r="H236" s="559" t="str">
        <f t="shared" si="13"/>
        <v/>
      </c>
      <c r="I236" s="560"/>
      <c r="J236" s="561"/>
      <c r="K236" s="561"/>
      <c r="L236" s="562"/>
      <c r="M236" s="563" t="str">
        <f t="shared" si="14"/>
        <v/>
      </c>
      <c r="N236" s="575"/>
      <c r="O236" s="575"/>
      <c r="P236" s="575"/>
      <c r="Q236" s="565"/>
      <c r="R236" s="566"/>
      <c r="S236" s="567"/>
      <c r="T236" s="568"/>
      <c r="U236" s="569"/>
      <c r="V236" s="570"/>
      <c r="W236" s="570"/>
      <c r="X236" s="571"/>
    </row>
    <row r="237" spans="1:24" ht="15.75" thickBot="1" x14ac:dyDescent="0.3">
      <c r="A237" s="451"/>
      <c r="B237" s="452"/>
      <c r="C237" s="555"/>
      <c r="D237" s="556"/>
      <c r="E237" s="556"/>
      <c r="F237" s="557" t="str">
        <f t="shared" si="12"/>
        <v/>
      </c>
      <c r="G237" s="558"/>
      <c r="H237" s="559" t="str">
        <f t="shared" si="13"/>
        <v/>
      </c>
      <c r="I237" s="560"/>
      <c r="J237" s="561"/>
      <c r="K237" s="561"/>
      <c r="L237" s="562"/>
      <c r="M237" s="563" t="str">
        <f t="shared" si="14"/>
        <v/>
      </c>
      <c r="N237" s="575"/>
      <c r="O237" s="575"/>
      <c r="P237" s="575"/>
      <c r="Q237" s="565"/>
      <c r="R237" s="566"/>
      <c r="S237" s="567"/>
      <c r="T237" s="568"/>
      <c r="U237" s="569"/>
      <c r="V237" s="570"/>
      <c r="W237" s="570"/>
      <c r="X237" s="571"/>
    </row>
    <row r="238" spans="1:24" ht="15.75" thickBot="1" x14ac:dyDescent="0.3">
      <c r="A238" s="451"/>
      <c r="B238" s="452"/>
      <c r="C238" s="555"/>
      <c r="D238" s="556"/>
      <c r="E238" s="556"/>
      <c r="F238" s="557" t="str">
        <f t="shared" si="12"/>
        <v/>
      </c>
      <c r="G238" s="558"/>
      <c r="H238" s="559" t="str">
        <f t="shared" si="13"/>
        <v/>
      </c>
      <c r="I238" s="560"/>
      <c r="J238" s="561"/>
      <c r="K238" s="561"/>
      <c r="L238" s="562"/>
      <c r="M238" s="563" t="str">
        <f t="shared" si="14"/>
        <v/>
      </c>
      <c r="N238" s="575"/>
      <c r="O238" s="575"/>
      <c r="P238" s="575"/>
      <c r="Q238" s="565"/>
      <c r="R238" s="566"/>
      <c r="S238" s="567"/>
      <c r="T238" s="568"/>
      <c r="U238" s="569"/>
      <c r="V238" s="570"/>
      <c r="W238" s="570"/>
      <c r="X238" s="571"/>
    </row>
    <row r="239" spans="1:24" ht="15.75" thickBot="1" x14ac:dyDescent="0.3">
      <c r="A239" s="451"/>
      <c r="B239" s="452"/>
      <c r="C239" s="555"/>
      <c r="D239" s="556"/>
      <c r="E239" s="556"/>
      <c r="F239" s="557" t="str">
        <f t="shared" si="12"/>
        <v/>
      </c>
      <c r="G239" s="558"/>
      <c r="H239" s="559" t="str">
        <f t="shared" si="13"/>
        <v/>
      </c>
      <c r="I239" s="560"/>
      <c r="J239" s="561"/>
      <c r="K239" s="561"/>
      <c r="L239" s="562"/>
      <c r="M239" s="563" t="str">
        <f t="shared" si="14"/>
        <v/>
      </c>
      <c r="N239" s="575"/>
      <c r="O239" s="575"/>
      <c r="P239" s="575"/>
      <c r="Q239" s="565"/>
      <c r="R239" s="566"/>
      <c r="S239" s="567"/>
      <c r="T239" s="568"/>
      <c r="U239" s="569"/>
      <c r="V239" s="570"/>
      <c r="W239" s="570"/>
      <c r="X239" s="571"/>
    </row>
    <row r="240" spans="1:24" ht="15.75" thickBot="1" x14ac:dyDescent="0.3">
      <c r="A240" s="451"/>
      <c r="B240" s="452"/>
      <c r="C240" s="555"/>
      <c r="D240" s="556"/>
      <c r="E240" s="556"/>
      <c r="F240" s="557" t="str">
        <f t="shared" si="12"/>
        <v/>
      </c>
      <c r="G240" s="558"/>
      <c r="H240" s="559" t="str">
        <f t="shared" si="13"/>
        <v/>
      </c>
      <c r="I240" s="560"/>
      <c r="J240" s="561"/>
      <c r="K240" s="561"/>
      <c r="L240" s="562"/>
      <c r="M240" s="563" t="str">
        <f t="shared" si="14"/>
        <v/>
      </c>
      <c r="N240" s="575"/>
      <c r="O240" s="575"/>
      <c r="P240" s="575"/>
      <c r="Q240" s="565"/>
      <c r="R240" s="566"/>
      <c r="S240" s="567"/>
      <c r="T240" s="568"/>
      <c r="U240" s="569"/>
      <c r="V240" s="570"/>
      <c r="W240" s="570"/>
      <c r="X240" s="571"/>
    </row>
    <row r="241" spans="1:24" ht="15.75" thickBot="1" x14ac:dyDescent="0.3">
      <c r="A241" s="451"/>
      <c r="B241" s="452"/>
      <c r="C241" s="555"/>
      <c r="D241" s="556"/>
      <c r="E241" s="556"/>
      <c r="F241" s="557" t="str">
        <f t="shared" si="12"/>
        <v/>
      </c>
      <c r="G241" s="558"/>
      <c r="H241" s="559" t="str">
        <f t="shared" si="13"/>
        <v/>
      </c>
      <c r="I241" s="560"/>
      <c r="J241" s="561"/>
      <c r="K241" s="561"/>
      <c r="L241" s="562"/>
      <c r="M241" s="563" t="str">
        <f t="shared" si="14"/>
        <v/>
      </c>
      <c r="N241" s="575"/>
      <c r="O241" s="575"/>
      <c r="P241" s="575"/>
      <c r="Q241" s="565"/>
      <c r="R241" s="566"/>
      <c r="S241" s="567"/>
      <c r="T241" s="568"/>
      <c r="U241" s="569"/>
      <c r="V241" s="570"/>
      <c r="W241" s="570"/>
      <c r="X241" s="571"/>
    </row>
    <row r="242" spans="1:24" ht="15.75" thickBot="1" x14ac:dyDescent="0.3">
      <c r="A242" s="451"/>
      <c r="B242" s="452"/>
      <c r="C242" s="555"/>
      <c r="D242" s="556"/>
      <c r="E242" s="556"/>
      <c r="F242" s="557" t="str">
        <f t="shared" si="12"/>
        <v/>
      </c>
      <c r="G242" s="558"/>
      <c r="H242" s="559" t="str">
        <f t="shared" si="13"/>
        <v/>
      </c>
      <c r="I242" s="560"/>
      <c r="J242" s="561"/>
      <c r="K242" s="561"/>
      <c r="L242" s="562"/>
      <c r="M242" s="563" t="str">
        <f t="shared" si="14"/>
        <v/>
      </c>
      <c r="N242" s="575"/>
      <c r="O242" s="575"/>
      <c r="P242" s="575"/>
      <c r="Q242" s="565"/>
      <c r="R242" s="566"/>
      <c r="S242" s="567"/>
      <c r="T242" s="568"/>
      <c r="U242" s="569"/>
      <c r="V242" s="570"/>
      <c r="W242" s="570"/>
      <c r="X242" s="571"/>
    </row>
    <row r="243" spans="1:24" ht="15.75" thickBot="1" x14ac:dyDescent="0.3">
      <c r="A243" s="451"/>
      <c r="B243" s="452"/>
      <c r="C243" s="555"/>
      <c r="D243" s="556"/>
      <c r="E243" s="556"/>
      <c r="F243" s="557" t="str">
        <f t="shared" si="12"/>
        <v/>
      </c>
      <c r="G243" s="558"/>
      <c r="H243" s="559" t="str">
        <f t="shared" si="13"/>
        <v/>
      </c>
      <c r="I243" s="560"/>
      <c r="J243" s="561"/>
      <c r="K243" s="561"/>
      <c r="L243" s="562"/>
      <c r="M243" s="563" t="str">
        <f t="shared" si="14"/>
        <v/>
      </c>
      <c r="N243" s="575"/>
      <c r="O243" s="575"/>
      <c r="P243" s="575"/>
      <c r="Q243" s="565"/>
      <c r="R243" s="566"/>
      <c r="S243" s="567"/>
      <c r="T243" s="568"/>
      <c r="U243" s="569"/>
      <c r="V243" s="570"/>
      <c r="W243" s="570"/>
      <c r="X243" s="571"/>
    </row>
    <row r="244" spans="1:24" ht="15.75" thickBot="1" x14ac:dyDescent="0.3">
      <c r="A244" s="451"/>
      <c r="B244" s="452"/>
      <c r="C244" s="555"/>
      <c r="D244" s="556"/>
      <c r="E244" s="556"/>
      <c r="F244" s="557" t="str">
        <f t="shared" si="12"/>
        <v/>
      </c>
      <c r="G244" s="558"/>
      <c r="H244" s="559" t="str">
        <f t="shared" si="13"/>
        <v/>
      </c>
      <c r="I244" s="560"/>
      <c r="J244" s="561"/>
      <c r="K244" s="561"/>
      <c r="L244" s="562"/>
      <c r="M244" s="563" t="str">
        <f t="shared" si="14"/>
        <v/>
      </c>
      <c r="N244" s="575"/>
      <c r="O244" s="575"/>
      <c r="P244" s="575"/>
      <c r="Q244" s="565"/>
      <c r="R244" s="566"/>
      <c r="S244" s="567"/>
      <c r="T244" s="568"/>
      <c r="U244" s="569"/>
      <c r="V244" s="570"/>
      <c r="W244" s="570"/>
      <c r="X244" s="571"/>
    </row>
    <row r="245" spans="1:24" ht="15.75" thickBot="1" x14ac:dyDescent="0.3">
      <c r="A245" s="451"/>
      <c r="B245" s="452"/>
      <c r="C245" s="555"/>
      <c r="D245" s="556"/>
      <c r="E245" s="556"/>
      <c r="F245" s="557" t="str">
        <f t="shared" si="12"/>
        <v/>
      </c>
      <c r="G245" s="558"/>
      <c r="H245" s="559" t="str">
        <f t="shared" si="13"/>
        <v/>
      </c>
      <c r="I245" s="560"/>
      <c r="J245" s="561"/>
      <c r="K245" s="561"/>
      <c r="L245" s="562"/>
      <c r="M245" s="563" t="str">
        <f t="shared" si="14"/>
        <v/>
      </c>
      <c r="N245" s="575"/>
      <c r="O245" s="575"/>
      <c r="P245" s="575"/>
      <c r="Q245" s="565"/>
      <c r="R245" s="566"/>
      <c r="S245" s="567"/>
      <c r="T245" s="568"/>
      <c r="U245" s="569"/>
      <c r="V245" s="570"/>
      <c r="W245" s="570"/>
      <c r="X245" s="571"/>
    </row>
    <row r="246" spans="1:24" ht="15.75" thickBot="1" x14ac:dyDescent="0.3">
      <c r="A246" s="451"/>
      <c r="B246" s="452"/>
      <c r="C246" s="555"/>
      <c r="D246" s="556"/>
      <c r="E246" s="556"/>
      <c r="F246" s="557" t="str">
        <f t="shared" si="12"/>
        <v/>
      </c>
      <c r="G246" s="558"/>
      <c r="H246" s="559" t="str">
        <f t="shared" si="13"/>
        <v/>
      </c>
      <c r="I246" s="560"/>
      <c r="J246" s="561"/>
      <c r="K246" s="561"/>
      <c r="L246" s="562"/>
      <c r="M246" s="563" t="str">
        <f t="shared" si="14"/>
        <v/>
      </c>
      <c r="N246" s="575"/>
      <c r="O246" s="575"/>
      <c r="P246" s="575"/>
      <c r="Q246" s="565"/>
      <c r="R246" s="566"/>
      <c r="S246" s="567"/>
      <c r="T246" s="568"/>
      <c r="U246" s="569"/>
      <c r="V246" s="570"/>
      <c r="W246" s="570"/>
      <c r="X246" s="571"/>
    </row>
    <row r="247" spans="1:24" ht="15.75" thickBot="1" x14ac:dyDescent="0.3">
      <c r="A247" s="451"/>
      <c r="B247" s="452"/>
      <c r="C247" s="555"/>
      <c r="D247" s="556"/>
      <c r="E247" s="556"/>
      <c r="F247" s="557" t="str">
        <f t="shared" si="12"/>
        <v/>
      </c>
      <c r="G247" s="558"/>
      <c r="H247" s="559" t="str">
        <f t="shared" si="13"/>
        <v/>
      </c>
      <c r="I247" s="560"/>
      <c r="J247" s="561"/>
      <c r="K247" s="561"/>
      <c r="L247" s="562"/>
      <c r="M247" s="563" t="str">
        <f t="shared" si="14"/>
        <v/>
      </c>
      <c r="N247" s="575"/>
      <c r="O247" s="575"/>
      <c r="P247" s="575"/>
      <c r="Q247" s="565"/>
      <c r="R247" s="566"/>
      <c r="S247" s="567"/>
      <c r="T247" s="568"/>
      <c r="U247" s="569"/>
      <c r="V247" s="570"/>
      <c r="W247" s="570"/>
      <c r="X247" s="571"/>
    </row>
    <row r="248" spans="1:24" ht="15.75" thickBot="1" x14ac:dyDescent="0.3">
      <c r="A248" s="451"/>
      <c r="B248" s="452"/>
      <c r="C248" s="555"/>
      <c r="D248" s="556"/>
      <c r="E248" s="556"/>
      <c r="F248" s="557" t="str">
        <f t="shared" si="12"/>
        <v/>
      </c>
      <c r="G248" s="558"/>
      <c r="H248" s="559" t="str">
        <f t="shared" si="13"/>
        <v/>
      </c>
      <c r="I248" s="560"/>
      <c r="J248" s="561"/>
      <c r="K248" s="561"/>
      <c r="L248" s="562"/>
      <c r="M248" s="563" t="str">
        <f t="shared" si="14"/>
        <v/>
      </c>
      <c r="N248" s="575"/>
      <c r="O248" s="575"/>
      <c r="P248" s="575"/>
      <c r="Q248" s="565"/>
      <c r="R248" s="566"/>
      <c r="S248" s="567"/>
      <c r="T248" s="568"/>
      <c r="U248" s="569"/>
      <c r="V248" s="570"/>
      <c r="W248" s="570"/>
      <c r="X248" s="571"/>
    </row>
    <row r="249" spans="1:24" ht="15.75" thickBot="1" x14ac:dyDescent="0.3">
      <c r="A249" s="451"/>
      <c r="B249" s="452"/>
      <c r="C249" s="555"/>
      <c r="D249" s="556"/>
      <c r="E249" s="556"/>
      <c r="F249" s="557" t="str">
        <f t="shared" si="12"/>
        <v/>
      </c>
      <c r="G249" s="558"/>
      <c r="H249" s="559" t="str">
        <f t="shared" si="13"/>
        <v/>
      </c>
      <c r="I249" s="560"/>
      <c r="J249" s="561"/>
      <c r="K249" s="561"/>
      <c r="L249" s="562"/>
      <c r="M249" s="563" t="str">
        <f t="shared" si="14"/>
        <v/>
      </c>
      <c r="N249" s="575"/>
      <c r="O249" s="575"/>
      <c r="P249" s="575"/>
      <c r="Q249" s="565"/>
      <c r="R249" s="566"/>
      <c r="S249" s="567"/>
      <c r="T249" s="568"/>
      <c r="U249" s="569"/>
      <c r="V249" s="570"/>
      <c r="W249" s="570"/>
      <c r="X249" s="571"/>
    </row>
    <row r="250" spans="1:24" ht="15.75" thickBot="1" x14ac:dyDescent="0.3">
      <c r="A250" s="451"/>
      <c r="B250" s="452"/>
      <c r="C250" s="555"/>
      <c r="D250" s="556"/>
      <c r="E250" s="556"/>
      <c r="F250" s="557" t="str">
        <f t="shared" si="12"/>
        <v/>
      </c>
      <c r="G250" s="558"/>
      <c r="H250" s="559" t="str">
        <f t="shared" si="13"/>
        <v/>
      </c>
      <c r="I250" s="560"/>
      <c r="J250" s="561"/>
      <c r="K250" s="561"/>
      <c r="L250" s="562"/>
      <c r="M250" s="563" t="str">
        <f t="shared" si="14"/>
        <v/>
      </c>
      <c r="N250" s="575"/>
      <c r="O250" s="575"/>
      <c r="P250" s="575"/>
      <c r="Q250" s="565"/>
      <c r="R250" s="566"/>
      <c r="S250" s="567"/>
      <c r="T250" s="568"/>
      <c r="U250" s="569"/>
      <c r="V250" s="570"/>
      <c r="W250" s="570"/>
      <c r="X250" s="571"/>
    </row>
    <row r="251" spans="1:24" ht="15.75" thickBot="1" x14ac:dyDescent="0.3">
      <c r="A251" s="451"/>
      <c r="B251" s="452"/>
      <c r="C251" s="555"/>
      <c r="D251" s="556"/>
      <c r="E251" s="556"/>
      <c r="F251" s="557" t="str">
        <f t="shared" si="12"/>
        <v/>
      </c>
      <c r="G251" s="558"/>
      <c r="H251" s="559" t="str">
        <f t="shared" si="13"/>
        <v/>
      </c>
      <c r="I251" s="560"/>
      <c r="J251" s="561"/>
      <c r="K251" s="561"/>
      <c r="L251" s="562"/>
      <c r="M251" s="563" t="str">
        <f t="shared" si="14"/>
        <v/>
      </c>
      <c r="N251" s="575"/>
      <c r="O251" s="575"/>
      <c r="P251" s="575"/>
      <c r="Q251" s="565"/>
      <c r="R251" s="566"/>
      <c r="S251" s="567"/>
      <c r="T251" s="568"/>
      <c r="U251" s="569"/>
      <c r="V251" s="570"/>
      <c r="W251" s="570"/>
      <c r="X251" s="571"/>
    </row>
    <row r="252" spans="1:24" ht="15.75" thickBot="1" x14ac:dyDescent="0.3">
      <c r="A252" s="451"/>
      <c r="B252" s="452"/>
      <c r="C252" s="555"/>
      <c r="D252" s="556"/>
      <c r="E252" s="556"/>
      <c r="F252" s="557" t="str">
        <f t="shared" si="12"/>
        <v/>
      </c>
      <c r="G252" s="558"/>
      <c r="H252" s="559" t="str">
        <f t="shared" si="13"/>
        <v/>
      </c>
      <c r="I252" s="560"/>
      <c r="J252" s="561"/>
      <c r="K252" s="561"/>
      <c r="L252" s="562"/>
      <c r="M252" s="563" t="str">
        <f t="shared" si="14"/>
        <v/>
      </c>
      <c r="N252" s="575"/>
      <c r="O252" s="575"/>
      <c r="P252" s="575"/>
      <c r="Q252" s="565"/>
      <c r="R252" s="566"/>
      <c r="S252" s="567"/>
      <c r="T252" s="568"/>
      <c r="U252" s="569"/>
      <c r="V252" s="570"/>
      <c r="W252" s="570"/>
      <c r="X252" s="571"/>
    </row>
    <row r="253" spans="1:24" ht="15.75" thickBot="1" x14ac:dyDescent="0.3">
      <c r="A253" s="451"/>
      <c r="B253" s="452"/>
      <c r="C253" s="555"/>
      <c r="D253" s="556"/>
      <c r="E253" s="556"/>
      <c r="F253" s="557" t="str">
        <f t="shared" si="12"/>
        <v/>
      </c>
      <c r="G253" s="558"/>
      <c r="H253" s="559" t="str">
        <f t="shared" si="13"/>
        <v/>
      </c>
      <c r="I253" s="560"/>
      <c r="J253" s="561"/>
      <c r="K253" s="561"/>
      <c r="L253" s="562"/>
      <c r="M253" s="563" t="str">
        <f t="shared" si="14"/>
        <v/>
      </c>
      <c r="N253" s="575"/>
      <c r="O253" s="575"/>
      <c r="P253" s="575"/>
      <c r="Q253" s="565"/>
      <c r="R253" s="566"/>
      <c r="S253" s="567"/>
      <c r="T253" s="568"/>
      <c r="U253" s="569"/>
      <c r="V253" s="570"/>
      <c r="W253" s="570"/>
      <c r="X253" s="571"/>
    </row>
    <row r="254" spans="1:24" ht="15.75" thickBot="1" x14ac:dyDescent="0.3">
      <c r="A254" s="451"/>
      <c r="B254" s="452"/>
      <c r="C254" s="555"/>
      <c r="D254" s="556"/>
      <c r="E254" s="556"/>
      <c r="F254" s="557" t="str">
        <f t="shared" si="12"/>
        <v/>
      </c>
      <c r="G254" s="558"/>
      <c r="H254" s="559" t="str">
        <f t="shared" si="13"/>
        <v/>
      </c>
      <c r="I254" s="560"/>
      <c r="J254" s="561"/>
      <c r="K254" s="561"/>
      <c r="L254" s="562"/>
      <c r="M254" s="563" t="str">
        <f t="shared" si="14"/>
        <v/>
      </c>
      <c r="N254" s="575"/>
      <c r="O254" s="575"/>
      <c r="P254" s="575"/>
      <c r="Q254" s="565"/>
      <c r="R254" s="566"/>
      <c r="S254" s="567"/>
      <c r="T254" s="568"/>
      <c r="U254" s="569"/>
      <c r="V254" s="570"/>
      <c r="W254" s="570"/>
      <c r="X254" s="571"/>
    </row>
    <row r="255" spans="1:24" ht="15.75" thickBot="1" x14ac:dyDescent="0.3">
      <c r="A255" s="451"/>
      <c r="B255" s="452"/>
      <c r="C255" s="555"/>
      <c r="D255" s="556"/>
      <c r="E255" s="556"/>
      <c r="F255" s="557" t="str">
        <f t="shared" si="12"/>
        <v/>
      </c>
      <c r="G255" s="558"/>
      <c r="H255" s="559" t="str">
        <f t="shared" si="13"/>
        <v/>
      </c>
      <c r="I255" s="560"/>
      <c r="J255" s="561"/>
      <c r="K255" s="561"/>
      <c r="L255" s="562"/>
      <c r="M255" s="563" t="str">
        <f t="shared" si="14"/>
        <v/>
      </c>
      <c r="N255" s="575"/>
      <c r="O255" s="575"/>
      <c r="P255" s="575"/>
      <c r="Q255" s="565"/>
      <c r="R255" s="566"/>
      <c r="S255" s="567"/>
      <c r="T255" s="568"/>
      <c r="U255" s="569"/>
      <c r="V255" s="570"/>
      <c r="W255" s="570"/>
      <c r="X255" s="571"/>
    </row>
    <row r="256" spans="1:24" ht="15.75" thickBot="1" x14ac:dyDescent="0.3">
      <c r="A256" s="451"/>
      <c r="B256" s="452"/>
      <c r="C256" s="555"/>
      <c r="D256" s="556"/>
      <c r="E256" s="556"/>
      <c r="F256" s="557" t="str">
        <f t="shared" si="12"/>
        <v/>
      </c>
      <c r="G256" s="558"/>
      <c r="H256" s="559" t="str">
        <f t="shared" si="13"/>
        <v/>
      </c>
      <c r="I256" s="560"/>
      <c r="J256" s="561"/>
      <c r="K256" s="561"/>
      <c r="L256" s="562"/>
      <c r="M256" s="563" t="str">
        <f t="shared" si="14"/>
        <v/>
      </c>
      <c r="N256" s="575"/>
      <c r="O256" s="575"/>
      <c r="P256" s="575"/>
      <c r="Q256" s="565"/>
      <c r="R256" s="566"/>
      <c r="S256" s="567"/>
      <c r="T256" s="568"/>
      <c r="U256" s="569"/>
      <c r="V256" s="570"/>
      <c r="W256" s="570"/>
      <c r="X256" s="571"/>
    </row>
    <row r="257" spans="1:24" ht="15.75" thickBot="1" x14ac:dyDescent="0.3">
      <c r="A257" s="451"/>
      <c r="B257" s="452"/>
      <c r="C257" s="555"/>
      <c r="D257" s="556"/>
      <c r="E257" s="556"/>
      <c r="F257" s="557" t="str">
        <f t="shared" si="12"/>
        <v/>
      </c>
      <c r="G257" s="558"/>
      <c r="H257" s="559" t="str">
        <f t="shared" si="13"/>
        <v/>
      </c>
      <c r="I257" s="560"/>
      <c r="J257" s="561"/>
      <c r="K257" s="561"/>
      <c r="L257" s="562"/>
      <c r="M257" s="563" t="str">
        <f t="shared" si="14"/>
        <v/>
      </c>
      <c r="N257" s="575"/>
      <c r="O257" s="575"/>
      <c r="P257" s="575"/>
      <c r="Q257" s="565"/>
      <c r="R257" s="566"/>
      <c r="S257" s="567"/>
      <c r="T257" s="568"/>
      <c r="U257" s="569"/>
      <c r="V257" s="570"/>
      <c r="W257" s="570"/>
      <c r="X257" s="571"/>
    </row>
    <row r="258" spans="1:24" ht="15.75" thickBot="1" x14ac:dyDescent="0.3">
      <c r="A258" s="451"/>
      <c r="B258" s="452"/>
      <c r="C258" s="555"/>
      <c r="D258" s="556"/>
      <c r="E258" s="556"/>
      <c r="F258" s="557" t="str">
        <f t="shared" si="12"/>
        <v/>
      </c>
      <c r="G258" s="558"/>
      <c r="H258" s="559" t="str">
        <f t="shared" si="13"/>
        <v/>
      </c>
      <c r="I258" s="560"/>
      <c r="J258" s="561"/>
      <c r="K258" s="561"/>
      <c r="L258" s="562"/>
      <c r="M258" s="563" t="str">
        <f t="shared" si="14"/>
        <v/>
      </c>
      <c r="N258" s="575"/>
      <c r="O258" s="575"/>
      <c r="P258" s="575"/>
      <c r="Q258" s="565"/>
      <c r="R258" s="566"/>
      <c r="S258" s="567"/>
      <c r="T258" s="568"/>
      <c r="U258" s="569"/>
      <c r="V258" s="570"/>
      <c r="W258" s="570"/>
      <c r="X258" s="571"/>
    </row>
    <row r="259" spans="1:24" ht="15.75" thickBot="1" x14ac:dyDescent="0.3">
      <c r="A259" s="451"/>
      <c r="B259" s="452"/>
      <c r="C259" s="555"/>
      <c r="D259" s="556"/>
      <c r="E259" s="556"/>
      <c r="F259" s="557" t="str">
        <f t="shared" si="12"/>
        <v/>
      </c>
      <c r="G259" s="558"/>
      <c r="H259" s="559" t="str">
        <f t="shared" si="13"/>
        <v/>
      </c>
      <c r="I259" s="560"/>
      <c r="J259" s="561"/>
      <c r="K259" s="561"/>
      <c r="L259" s="562"/>
      <c r="M259" s="563" t="str">
        <f t="shared" si="14"/>
        <v/>
      </c>
      <c r="N259" s="575"/>
      <c r="O259" s="575"/>
      <c r="P259" s="575"/>
      <c r="Q259" s="565"/>
      <c r="R259" s="566"/>
      <c r="S259" s="567"/>
      <c r="T259" s="568"/>
      <c r="U259" s="569"/>
      <c r="V259" s="570"/>
      <c r="W259" s="570"/>
      <c r="X259" s="571"/>
    </row>
    <row r="260" spans="1:24" ht="15.75" thickBot="1" x14ac:dyDescent="0.3">
      <c r="A260" s="451"/>
      <c r="B260" s="452"/>
      <c r="C260" s="555"/>
      <c r="D260" s="556"/>
      <c r="E260" s="556"/>
      <c r="F260" s="557" t="str">
        <f t="shared" si="12"/>
        <v/>
      </c>
      <c r="G260" s="558"/>
      <c r="H260" s="559" t="str">
        <f t="shared" si="13"/>
        <v/>
      </c>
      <c r="I260" s="560"/>
      <c r="J260" s="561"/>
      <c r="K260" s="561"/>
      <c r="L260" s="562"/>
      <c r="M260" s="563" t="str">
        <f t="shared" si="14"/>
        <v/>
      </c>
      <c r="N260" s="575"/>
      <c r="O260" s="575"/>
      <c r="P260" s="575"/>
      <c r="Q260" s="565"/>
      <c r="R260" s="566"/>
      <c r="S260" s="567"/>
      <c r="T260" s="568"/>
      <c r="U260" s="569"/>
      <c r="V260" s="570"/>
      <c r="W260" s="570"/>
      <c r="X260" s="571"/>
    </row>
    <row r="261" spans="1:24" ht="15.75" thickBot="1" x14ac:dyDescent="0.3">
      <c r="A261" s="451"/>
      <c r="B261" s="452"/>
      <c r="C261" s="555"/>
      <c r="D261" s="556"/>
      <c r="E261" s="556"/>
      <c r="F261" s="557" t="str">
        <f t="shared" si="12"/>
        <v/>
      </c>
      <c r="G261" s="558"/>
      <c r="H261" s="559" t="str">
        <f t="shared" si="13"/>
        <v/>
      </c>
      <c r="I261" s="560"/>
      <c r="J261" s="561"/>
      <c r="K261" s="561"/>
      <c r="L261" s="562"/>
      <c r="M261" s="563" t="str">
        <f t="shared" si="14"/>
        <v/>
      </c>
      <c r="N261" s="575"/>
      <c r="O261" s="575"/>
      <c r="P261" s="575"/>
      <c r="Q261" s="565"/>
      <c r="R261" s="566"/>
      <c r="S261" s="567"/>
      <c r="T261" s="568"/>
      <c r="U261" s="569"/>
      <c r="V261" s="570"/>
      <c r="W261" s="570"/>
      <c r="X261" s="571"/>
    </row>
    <row r="262" spans="1:24" ht="15.75" thickBot="1" x14ac:dyDescent="0.3">
      <c r="A262" s="451"/>
      <c r="B262" s="452"/>
      <c r="C262" s="555"/>
      <c r="D262" s="556"/>
      <c r="E262" s="556"/>
      <c r="F262" s="557" t="str">
        <f t="shared" si="12"/>
        <v/>
      </c>
      <c r="G262" s="558"/>
      <c r="H262" s="559" t="str">
        <f t="shared" si="13"/>
        <v/>
      </c>
      <c r="I262" s="560"/>
      <c r="J262" s="561"/>
      <c r="K262" s="561"/>
      <c r="L262" s="562"/>
      <c r="M262" s="563" t="str">
        <f t="shared" si="14"/>
        <v/>
      </c>
      <c r="N262" s="575"/>
      <c r="O262" s="575"/>
      <c r="P262" s="575"/>
      <c r="Q262" s="565"/>
      <c r="R262" s="566"/>
      <c r="S262" s="567"/>
      <c r="T262" s="568"/>
      <c r="U262" s="569"/>
      <c r="V262" s="570"/>
      <c r="W262" s="570"/>
      <c r="X262" s="571"/>
    </row>
    <row r="263" spans="1:24" ht="15.75" thickBot="1" x14ac:dyDescent="0.3">
      <c r="A263" s="451"/>
      <c r="B263" s="452"/>
      <c r="C263" s="555"/>
      <c r="D263" s="556"/>
      <c r="E263" s="556"/>
      <c r="F263" s="557" t="str">
        <f t="shared" si="12"/>
        <v/>
      </c>
      <c r="G263" s="558"/>
      <c r="H263" s="559" t="str">
        <f t="shared" si="13"/>
        <v/>
      </c>
      <c r="I263" s="560"/>
      <c r="J263" s="561"/>
      <c r="K263" s="561"/>
      <c r="L263" s="562"/>
      <c r="M263" s="563" t="str">
        <f t="shared" si="14"/>
        <v/>
      </c>
      <c r="N263" s="575"/>
      <c r="O263" s="575"/>
      <c r="P263" s="575"/>
      <c r="Q263" s="565"/>
      <c r="R263" s="566"/>
      <c r="S263" s="567"/>
      <c r="T263" s="568"/>
      <c r="U263" s="569"/>
      <c r="V263" s="570"/>
      <c r="W263" s="570"/>
      <c r="X263" s="571"/>
    </row>
    <row r="264" spans="1:24" ht="15.75" thickBot="1" x14ac:dyDescent="0.3">
      <c r="A264" s="451"/>
      <c r="B264" s="452"/>
      <c r="C264" s="555"/>
      <c r="D264" s="556"/>
      <c r="E264" s="556"/>
      <c r="F264" s="557" t="str">
        <f t="shared" ref="F264:F327" si="15">IF(SUM(Q264:U264)=0,"",SUM(Q264:U264))</f>
        <v/>
      </c>
      <c r="G264" s="558"/>
      <c r="H264" s="559" t="str">
        <f t="shared" ref="H264:H327" si="16">IF(F264&lt;&gt;"",C264/F264/24,"")</f>
        <v/>
      </c>
      <c r="I264" s="560"/>
      <c r="J264" s="561"/>
      <c r="K264" s="561"/>
      <c r="L264" s="562"/>
      <c r="M264" s="563" t="str">
        <f t="shared" ref="M264:M327" si="17">IF(OR(C264="",L264=""),"",L264/C264)</f>
        <v/>
      </c>
      <c r="N264" s="575"/>
      <c r="O264" s="575"/>
      <c r="P264" s="575"/>
      <c r="Q264" s="565"/>
      <c r="R264" s="566"/>
      <c r="S264" s="567"/>
      <c r="T264" s="568"/>
      <c r="U264" s="569"/>
      <c r="V264" s="570"/>
      <c r="W264" s="570"/>
      <c r="X264" s="571"/>
    </row>
    <row r="265" spans="1:24" ht="15.75" thickBot="1" x14ac:dyDescent="0.3">
      <c r="A265" s="451"/>
      <c r="B265" s="452"/>
      <c r="C265" s="555"/>
      <c r="D265" s="556"/>
      <c r="E265" s="556"/>
      <c r="F265" s="557" t="str">
        <f t="shared" si="15"/>
        <v/>
      </c>
      <c r="G265" s="558"/>
      <c r="H265" s="559" t="str">
        <f t="shared" si="16"/>
        <v/>
      </c>
      <c r="I265" s="560"/>
      <c r="J265" s="561"/>
      <c r="K265" s="561"/>
      <c r="L265" s="562"/>
      <c r="M265" s="563" t="str">
        <f t="shared" si="17"/>
        <v/>
      </c>
      <c r="N265" s="575"/>
      <c r="O265" s="575"/>
      <c r="P265" s="575"/>
      <c r="Q265" s="565"/>
      <c r="R265" s="566"/>
      <c r="S265" s="567"/>
      <c r="T265" s="568"/>
      <c r="U265" s="569"/>
      <c r="V265" s="570"/>
      <c r="W265" s="570"/>
      <c r="X265" s="571"/>
    </row>
    <row r="266" spans="1:24" ht="15.75" thickBot="1" x14ac:dyDescent="0.3">
      <c r="A266" s="451"/>
      <c r="B266" s="452"/>
      <c r="C266" s="555"/>
      <c r="D266" s="556"/>
      <c r="E266" s="556"/>
      <c r="F266" s="557" t="str">
        <f t="shared" si="15"/>
        <v/>
      </c>
      <c r="G266" s="558"/>
      <c r="H266" s="559" t="str">
        <f t="shared" si="16"/>
        <v/>
      </c>
      <c r="I266" s="560"/>
      <c r="J266" s="561"/>
      <c r="K266" s="561"/>
      <c r="L266" s="562"/>
      <c r="M266" s="563" t="str">
        <f t="shared" si="17"/>
        <v/>
      </c>
      <c r="N266" s="575"/>
      <c r="O266" s="575"/>
      <c r="P266" s="575"/>
      <c r="Q266" s="565"/>
      <c r="R266" s="566"/>
      <c r="S266" s="567"/>
      <c r="T266" s="568"/>
      <c r="U266" s="569"/>
      <c r="V266" s="570"/>
      <c r="W266" s="570"/>
      <c r="X266" s="571"/>
    </row>
    <row r="267" spans="1:24" ht="15.75" thickBot="1" x14ac:dyDescent="0.3">
      <c r="A267" s="451"/>
      <c r="B267" s="452"/>
      <c r="C267" s="555"/>
      <c r="D267" s="556"/>
      <c r="E267" s="556"/>
      <c r="F267" s="557" t="str">
        <f t="shared" si="15"/>
        <v/>
      </c>
      <c r="G267" s="558"/>
      <c r="H267" s="559" t="str">
        <f t="shared" si="16"/>
        <v/>
      </c>
      <c r="I267" s="560"/>
      <c r="J267" s="561"/>
      <c r="K267" s="561"/>
      <c r="L267" s="562"/>
      <c r="M267" s="563" t="str">
        <f t="shared" si="17"/>
        <v/>
      </c>
      <c r="N267" s="575"/>
      <c r="O267" s="575"/>
      <c r="P267" s="575"/>
      <c r="Q267" s="565"/>
      <c r="R267" s="566"/>
      <c r="S267" s="567"/>
      <c r="T267" s="568"/>
      <c r="U267" s="569"/>
      <c r="V267" s="570"/>
      <c r="W267" s="570"/>
      <c r="X267" s="571"/>
    </row>
    <row r="268" spans="1:24" ht="15.75" thickBot="1" x14ac:dyDescent="0.3">
      <c r="A268" s="451"/>
      <c r="B268" s="452"/>
      <c r="C268" s="555"/>
      <c r="D268" s="556"/>
      <c r="E268" s="556"/>
      <c r="F268" s="557" t="str">
        <f t="shared" si="15"/>
        <v/>
      </c>
      <c r="G268" s="558"/>
      <c r="H268" s="559" t="str">
        <f t="shared" si="16"/>
        <v/>
      </c>
      <c r="I268" s="560"/>
      <c r="J268" s="561"/>
      <c r="K268" s="561"/>
      <c r="L268" s="562"/>
      <c r="M268" s="563" t="str">
        <f t="shared" si="17"/>
        <v/>
      </c>
      <c r="N268" s="575"/>
      <c r="O268" s="575"/>
      <c r="P268" s="575"/>
      <c r="Q268" s="565"/>
      <c r="R268" s="566"/>
      <c r="S268" s="567"/>
      <c r="T268" s="568"/>
      <c r="U268" s="569"/>
      <c r="V268" s="570"/>
      <c r="W268" s="570"/>
      <c r="X268" s="571"/>
    </row>
    <row r="269" spans="1:24" ht="15.75" thickBot="1" x14ac:dyDescent="0.3">
      <c r="A269" s="451"/>
      <c r="B269" s="452"/>
      <c r="C269" s="555"/>
      <c r="D269" s="556"/>
      <c r="E269" s="556"/>
      <c r="F269" s="557" t="str">
        <f t="shared" si="15"/>
        <v/>
      </c>
      <c r="G269" s="558"/>
      <c r="H269" s="559" t="str">
        <f t="shared" si="16"/>
        <v/>
      </c>
      <c r="I269" s="560"/>
      <c r="J269" s="561"/>
      <c r="K269" s="561"/>
      <c r="L269" s="562"/>
      <c r="M269" s="563" t="str">
        <f t="shared" si="17"/>
        <v/>
      </c>
      <c r="N269" s="575"/>
      <c r="O269" s="575"/>
      <c r="P269" s="575"/>
      <c r="Q269" s="565"/>
      <c r="R269" s="566"/>
      <c r="S269" s="567"/>
      <c r="T269" s="568"/>
      <c r="U269" s="569"/>
      <c r="V269" s="570"/>
      <c r="W269" s="570"/>
      <c r="X269" s="571"/>
    </row>
    <row r="270" spans="1:24" ht="15.75" thickBot="1" x14ac:dyDescent="0.3">
      <c r="A270" s="451"/>
      <c r="B270" s="452"/>
      <c r="C270" s="555"/>
      <c r="D270" s="556"/>
      <c r="E270" s="556"/>
      <c r="F270" s="557" t="str">
        <f t="shared" si="15"/>
        <v/>
      </c>
      <c r="G270" s="558"/>
      <c r="H270" s="559" t="str">
        <f t="shared" si="16"/>
        <v/>
      </c>
      <c r="I270" s="560"/>
      <c r="J270" s="561"/>
      <c r="K270" s="561"/>
      <c r="L270" s="562"/>
      <c r="M270" s="563" t="str">
        <f t="shared" si="17"/>
        <v/>
      </c>
      <c r="N270" s="575"/>
      <c r="O270" s="575"/>
      <c r="P270" s="575"/>
      <c r="Q270" s="565"/>
      <c r="R270" s="566"/>
      <c r="S270" s="567"/>
      <c r="T270" s="568"/>
      <c r="U270" s="569"/>
      <c r="V270" s="570"/>
      <c r="W270" s="570"/>
      <c r="X270" s="571"/>
    </row>
    <row r="271" spans="1:24" ht="15.75" thickBot="1" x14ac:dyDescent="0.3">
      <c r="A271" s="451"/>
      <c r="B271" s="452"/>
      <c r="C271" s="555"/>
      <c r="D271" s="556"/>
      <c r="E271" s="556"/>
      <c r="F271" s="557" t="str">
        <f t="shared" si="15"/>
        <v/>
      </c>
      <c r="G271" s="558"/>
      <c r="H271" s="559" t="str">
        <f t="shared" si="16"/>
        <v/>
      </c>
      <c r="I271" s="560"/>
      <c r="J271" s="561"/>
      <c r="K271" s="561"/>
      <c r="L271" s="562"/>
      <c r="M271" s="563" t="str">
        <f t="shared" si="17"/>
        <v/>
      </c>
      <c r="N271" s="575"/>
      <c r="O271" s="575"/>
      <c r="P271" s="575"/>
      <c r="Q271" s="565"/>
      <c r="R271" s="566"/>
      <c r="S271" s="567"/>
      <c r="T271" s="568"/>
      <c r="U271" s="569"/>
      <c r="V271" s="570"/>
      <c r="W271" s="570"/>
      <c r="X271" s="571"/>
    </row>
    <row r="272" spans="1:24" ht="15.75" thickBot="1" x14ac:dyDescent="0.3">
      <c r="A272" s="451"/>
      <c r="B272" s="452"/>
      <c r="C272" s="555"/>
      <c r="D272" s="556"/>
      <c r="E272" s="556"/>
      <c r="F272" s="557" t="str">
        <f t="shared" si="15"/>
        <v/>
      </c>
      <c r="G272" s="558"/>
      <c r="H272" s="559" t="str">
        <f t="shared" si="16"/>
        <v/>
      </c>
      <c r="I272" s="560"/>
      <c r="J272" s="561"/>
      <c r="K272" s="561"/>
      <c r="L272" s="562"/>
      <c r="M272" s="563" t="str">
        <f t="shared" si="17"/>
        <v/>
      </c>
      <c r="N272" s="575"/>
      <c r="O272" s="575"/>
      <c r="P272" s="575"/>
      <c r="Q272" s="565"/>
      <c r="R272" s="566"/>
      <c r="S272" s="567"/>
      <c r="T272" s="568"/>
      <c r="U272" s="569"/>
      <c r="V272" s="570"/>
      <c r="W272" s="570"/>
      <c r="X272" s="571"/>
    </row>
    <row r="273" spans="1:24" ht="15.75" thickBot="1" x14ac:dyDescent="0.3">
      <c r="A273" s="451"/>
      <c r="B273" s="452"/>
      <c r="C273" s="555"/>
      <c r="D273" s="556"/>
      <c r="E273" s="556"/>
      <c r="F273" s="557" t="str">
        <f t="shared" si="15"/>
        <v/>
      </c>
      <c r="G273" s="558"/>
      <c r="H273" s="559" t="str">
        <f t="shared" si="16"/>
        <v/>
      </c>
      <c r="I273" s="560"/>
      <c r="J273" s="561"/>
      <c r="K273" s="561"/>
      <c r="L273" s="562"/>
      <c r="M273" s="563" t="str">
        <f t="shared" si="17"/>
        <v/>
      </c>
      <c r="N273" s="575"/>
      <c r="O273" s="575"/>
      <c r="P273" s="575"/>
      <c r="Q273" s="565"/>
      <c r="R273" s="566"/>
      <c r="S273" s="567"/>
      <c r="T273" s="568"/>
      <c r="U273" s="569"/>
      <c r="V273" s="570"/>
      <c r="W273" s="570"/>
      <c r="X273" s="571"/>
    </row>
    <row r="274" spans="1:24" ht="15.75" thickBot="1" x14ac:dyDescent="0.3">
      <c r="A274" s="451"/>
      <c r="B274" s="452"/>
      <c r="C274" s="555"/>
      <c r="D274" s="556"/>
      <c r="E274" s="556"/>
      <c r="F274" s="557" t="str">
        <f t="shared" si="15"/>
        <v/>
      </c>
      <c r="G274" s="558"/>
      <c r="H274" s="559" t="str">
        <f t="shared" si="16"/>
        <v/>
      </c>
      <c r="I274" s="560"/>
      <c r="J274" s="561"/>
      <c r="K274" s="561"/>
      <c r="L274" s="562"/>
      <c r="M274" s="563" t="str">
        <f t="shared" si="17"/>
        <v/>
      </c>
      <c r="N274" s="575"/>
      <c r="O274" s="575"/>
      <c r="P274" s="575"/>
      <c r="Q274" s="565"/>
      <c r="R274" s="566"/>
      <c r="S274" s="567"/>
      <c r="T274" s="568"/>
      <c r="U274" s="569"/>
      <c r="V274" s="570"/>
      <c r="W274" s="570"/>
      <c r="X274" s="571"/>
    </row>
    <row r="275" spans="1:24" ht="15.75" thickBot="1" x14ac:dyDescent="0.3">
      <c r="A275" s="451"/>
      <c r="B275" s="452"/>
      <c r="C275" s="555"/>
      <c r="D275" s="556"/>
      <c r="E275" s="556"/>
      <c r="F275" s="557" t="str">
        <f t="shared" si="15"/>
        <v/>
      </c>
      <c r="G275" s="558"/>
      <c r="H275" s="559" t="str">
        <f t="shared" si="16"/>
        <v/>
      </c>
      <c r="I275" s="560"/>
      <c r="J275" s="561"/>
      <c r="K275" s="561"/>
      <c r="L275" s="562"/>
      <c r="M275" s="563" t="str">
        <f t="shared" si="17"/>
        <v/>
      </c>
      <c r="N275" s="575"/>
      <c r="O275" s="575"/>
      <c r="P275" s="575"/>
      <c r="Q275" s="565"/>
      <c r="R275" s="566"/>
      <c r="S275" s="567"/>
      <c r="T275" s="568"/>
      <c r="U275" s="569"/>
      <c r="V275" s="570"/>
      <c r="W275" s="570"/>
      <c r="X275" s="571"/>
    </row>
    <row r="276" spans="1:24" ht="15.75" thickBot="1" x14ac:dyDescent="0.3">
      <c r="A276" s="451"/>
      <c r="B276" s="452"/>
      <c r="C276" s="555"/>
      <c r="D276" s="556"/>
      <c r="E276" s="556"/>
      <c r="F276" s="557" t="str">
        <f t="shared" si="15"/>
        <v/>
      </c>
      <c r="G276" s="558"/>
      <c r="H276" s="559" t="str">
        <f t="shared" si="16"/>
        <v/>
      </c>
      <c r="I276" s="560"/>
      <c r="J276" s="561"/>
      <c r="K276" s="561"/>
      <c r="L276" s="562"/>
      <c r="M276" s="563" t="str">
        <f t="shared" si="17"/>
        <v/>
      </c>
      <c r="N276" s="575"/>
      <c r="O276" s="575"/>
      <c r="P276" s="575"/>
      <c r="Q276" s="565"/>
      <c r="R276" s="566"/>
      <c r="S276" s="567"/>
      <c r="T276" s="568"/>
      <c r="U276" s="569"/>
      <c r="V276" s="570"/>
      <c r="W276" s="570"/>
      <c r="X276" s="571"/>
    </row>
    <row r="277" spans="1:24" ht="15.75" thickBot="1" x14ac:dyDescent="0.3">
      <c r="A277" s="451"/>
      <c r="B277" s="452"/>
      <c r="C277" s="555"/>
      <c r="D277" s="556"/>
      <c r="E277" s="556"/>
      <c r="F277" s="557" t="str">
        <f t="shared" si="15"/>
        <v/>
      </c>
      <c r="G277" s="558"/>
      <c r="H277" s="559" t="str">
        <f t="shared" si="16"/>
        <v/>
      </c>
      <c r="I277" s="560"/>
      <c r="J277" s="561"/>
      <c r="K277" s="561"/>
      <c r="L277" s="562"/>
      <c r="M277" s="563" t="str">
        <f t="shared" si="17"/>
        <v/>
      </c>
      <c r="N277" s="575"/>
      <c r="O277" s="575"/>
      <c r="P277" s="575"/>
      <c r="Q277" s="565"/>
      <c r="R277" s="566"/>
      <c r="S277" s="567"/>
      <c r="T277" s="568"/>
      <c r="U277" s="569"/>
      <c r="V277" s="570"/>
      <c r="W277" s="570"/>
      <c r="X277" s="571"/>
    </row>
    <row r="278" spans="1:24" ht="15.75" thickBot="1" x14ac:dyDescent="0.3">
      <c r="A278" s="451"/>
      <c r="B278" s="452"/>
      <c r="C278" s="555"/>
      <c r="D278" s="556"/>
      <c r="E278" s="556"/>
      <c r="F278" s="557" t="str">
        <f t="shared" si="15"/>
        <v/>
      </c>
      <c r="G278" s="558"/>
      <c r="H278" s="559" t="str">
        <f t="shared" si="16"/>
        <v/>
      </c>
      <c r="I278" s="560"/>
      <c r="J278" s="561"/>
      <c r="K278" s="561"/>
      <c r="L278" s="562"/>
      <c r="M278" s="563" t="str">
        <f t="shared" si="17"/>
        <v/>
      </c>
      <c r="N278" s="575"/>
      <c r="O278" s="575"/>
      <c r="P278" s="575"/>
      <c r="Q278" s="565"/>
      <c r="R278" s="566"/>
      <c r="S278" s="567"/>
      <c r="T278" s="568"/>
      <c r="U278" s="569"/>
      <c r="V278" s="570"/>
      <c r="W278" s="570"/>
      <c r="X278" s="571"/>
    </row>
    <row r="279" spans="1:24" ht="15.75" thickBot="1" x14ac:dyDescent="0.3">
      <c r="A279" s="451"/>
      <c r="B279" s="452"/>
      <c r="C279" s="555"/>
      <c r="D279" s="556"/>
      <c r="E279" s="556"/>
      <c r="F279" s="557" t="str">
        <f t="shared" si="15"/>
        <v/>
      </c>
      <c r="G279" s="558"/>
      <c r="H279" s="559" t="str">
        <f t="shared" si="16"/>
        <v/>
      </c>
      <c r="I279" s="560"/>
      <c r="J279" s="561"/>
      <c r="K279" s="561"/>
      <c r="L279" s="562"/>
      <c r="M279" s="563" t="str">
        <f t="shared" si="17"/>
        <v/>
      </c>
      <c r="N279" s="575"/>
      <c r="O279" s="575"/>
      <c r="P279" s="575"/>
      <c r="Q279" s="565"/>
      <c r="R279" s="566"/>
      <c r="S279" s="567"/>
      <c r="T279" s="568"/>
      <c r="U279" s="569"/>
      <c r="V279" s="570"/>
      <c r="W279" s="570"/>
      <c r="X279" s="571"/>
    </row>
    <row r="280" spans="1:24" ht="15.75" thickBot="1" x14ac:dyDescent="0.3">
      <c r="A280" s="451"/>
      <c r="B280" s="452"/>
      <c r="C280" s="555"/>
      <c r="D280" s="556"/>
      <c r="E280" s="556"/>
      <c r="F280" s="557" t="str">
        <f t="shared" si="15"/>
        <v/>
      </c>
      <c r="G280" s="558"/>
      <c r="H280" s="559" t="str">
        <f t="shared" si="16"/>
        <v/>
      </c>
      <c r="I280" s="560"/>
      <c r="J280" s="561"/>
      <c r="K280" s="561"/>
      <c r="L280" s="562"/>
      <c r="M280" s="563" t="str">
        <f t="shared" si="17"/>
        <v/>
      </c>
      <c r="N280" s="575"/>
      <c r="O280" s="575"/>
      <c r="P280" s="575"/>
      <c r="Q280" s="565"/>
      <c r="R280" s="566"/>
      <c r="S280" s="567"/>
      <c r="T280" s="568"/>
      <c r="U280" s="569"/>
      <c r="V280" s="570"/>
      <c r="W280" s="570"/>
      <c r="X280" s="571"/>
    </row>
    <row r="281" spans="1:24" ht="15.75" thickBot="1" x14ac:dyDescent="0.3">
      <c r="A281" s="451"/>
      <c r="B281" s="452"/>
      <c r="C281" s="555"/>
      <c r="D281" s="556"/>
      <c r="E281" s="556"/>
      <c r="F281" s="557" t="str">
        <f t="shared" si="15"/>
        <v/>
      </c>
      <c r="G281" s="558"/>
      <c r="H281" s="559" t="str">
        <f t="shared" si="16"/>
        <v/>
      </c>
      <c r="I281" s="560"/>
      <c r="J281" s="561"/>
      <c r="K281" s="561"/>
      <c r="L281" s="562"/>
      <c r="M281" s="563" t="str">
        <f t="shared" si="17"/>
        <v/>
      </c>
      <c r="N281" s="575"/>
      <c r="O281" s="575"/>
      <c r="P281" s="575"/>
      <c r="Q281" s="565"/>
      <c r="R281" s="566"/>
      <c r="S281" s="567"/>
      <c r="T281" s="568"/>
      <c r="U281" s="569"/>
      <c r="V281" s="570"/>
      <c r="W281" s="570"/>
      <c r="X281" s="571"/>
    </row>
    <row r="282" spans="1:24" ht="15.75" thickBot="1" x14ac:dyDescent="0.3">
      <c r="A282" s="451"/>
      <c r="B282" s="452"/>
      <c r="C282" s="555"/>
      <c r="D282" s="556"/>
      <c r="E282" s="556"/>
      <c r="F282" s="557" t="str">
        <f t="shared" si="15"/>
        <v/>
      </c>
      <c r="G282" s="558"/>
      <c r="H282" s="559" t="str">
        <f t="shared" si="16"/>
        <v/>
      </c>
      <c r="I282" s="560"/>
      <c r="J282" s="561"/>
      <c r="K282" s="561"/>
      <c r="L282" s="562"/>
      <c r="M282" s="563" t="str">
        <f t="shared" si="17"/>
        <v/>
      </c>
      <c r="N282" s="575"/>
      <c r="O282" s="575"/>
      <c r="P282" s="575"/>
      <c r="Q282" s="565"/>
      <c r="R282" s="566"/>
      <c r="S282" s="567"/>
      <c r="T282" s="568"/>
      <c r="U282" s="569"/>
      <c r="V282" s="570"/>
      <c r="W282" s="570"/>
      <c r="X282" s="571"/>
    </row>
    <row r="283" spans="1:24" ht="15.75" thickBot="1" x14ac:dyDescent="0.3">
      <c r="A283" s="451"/>
      <c r="B283" s="452"/>
      <c r="C283" s="555"/>
      <c r="D283" s="556"/>
      <c r="E283" s="556"/>
      <c r="F283" s="557" t="str">
        <f t="shared" si="15"/>
        <v/>
      </c>
      <c r="G283" s="558"/>
      <c r="H283" s="559" t="str">
        <f t="shared" si="16"/>
        <v/>
      </c>
      <c r="I283" s="560"/>
      <c r="J283" s="561"/>
      <c r="K283" s="561"/>
      <c r="L283" s="562"/>
      <c r="M283" s="563" t="str">
        <f t="shared" si="17"/>
        <v/>
      </c>
      <c r="N283" s="575"/>
      <c r="O283" s="575"/>
      <c r="P283" s="575"/>
      <c r="Q283" s="565"/>
      <c r="R283" s="566"/>
      <c r="S283" s="567"/>
      <c r="T283" s="568"/>
      <c r="U283" s="569"/>
      <c r="V283" s="570"/>
      <c r="W283" s="570"/>
      <c r="X283" s="571"/>
    </row>
    <row r="284" spans="1:24" ht="15.75" thickBot="1" x14ac:dyDescent="0.3">
      <c r="A284" s="451"/>
      <c r="B284" s="452"/>
      <c r="C284" s="555"/>
      <c r="D284" s="556"/>
      <c r="E284" s="556"/>
      <c r="F284" s="557" t="str">
        <f t="shared" si="15"/>
        <v/>
      </c>
      <c r="G284" s="558"/>
      <c r="H284" s="559" t="str">
        <f t="shared" si="16"/>
        <v/>
      </c>
      <c r="I284" s="560"/>
      <c r="J284" s="561"/>
      <c r="K284" s="561"/>
      <c r="L284" s="562"/>
      <c r="M284" s="563" t="str">
        <f t="shared" si="17"/>
        <v/>
      </c>
      <c r="N284" s="575"/>
      <c r="O284" s="575"/>
      <c r="P284" s="575"/>
      <c r="Q284" s="565"/>
      <c r="R284" s="566"/>
      <c r="S284" s="567"/>
      <c r="T284" s="568"/>
      <c r="U284" s="569"/>
      <c r="V284" s="570"/>
      <c r="W284" s="570"/>
      <c r="X284" s="571"/>
    </row>
    <row r="285" spans="1:24" ht="15.75" thickBot="1" x14ac:dyDescent="0.3">
      <c r="A285" s="451"/>
      <c r="B285" s="452"/>
      <c r="C285" s="555"/>
      <c r="D285" s="556"/>
      <c r="E285" s="556"/>
      <c r="F285" s="557" t="str">
        <f t="shared" si="15"/>
        <v/>
      </c>
      <c r="G285" s="558"/>
      <c r="H285" s="559" t="str">
        <f t="shared" si="16"/>
        <v/>
      </c>
      <c r="I285" s="560"/>
      <c r="J285" s="561"/>
      <c r="K285" s="561"/>
      <c r="L285" s="562"/>
      <c r="M285" s="563" t="str">
        <f t="shared" si="17"/>
        <v/>
      </c>
      <c r="N285" s="575"/>
      <c r="O285" s="575"/>
      <c r="P285" s="575"/>
      <c r="Q285" s="565"/>
      <c r="R285" s="566"/>
      <c r="S285" s="567"/>
      <c r="T285" s="568"/>
      <c r="U285" s="569"/>
      <c r="V285" s="570"/>
      <c r="W285" s="570"/>
      <c r="X285" s="571"/>
    </row>
    <row r="286" spans="1:24" ht="15.75" thickBot="1" x14ac:dyDescent="0.3">
      <c r="A286" s="451"/>
      <c r="B286" s="452"/>
      <c r="C286" s="555"/>
      <c r="D286" s="556"/>
      <c r="E286" s="556"/>
      <c r="F286" s="557" t="str">
        <f t="shared" si="15"/>
        <v/>
      </c>
      <c r="G286" s="558"/>
      <c r="H286" s="559" t="str">
        <f t="shared" si="16"/>
        <v/>
      </c>
      <c r="I286" s="560"/>
      <c r="J286" s="561"/>
      <c r="K286" s="561"/>
      <c r="L286" s="562"/>
      <c r="M286" s="563" t="str">
        <f t="shared" si="17"/>
        <v/>
      </c>
      <c r="N286" s="575"/>
      <c r="O286" s="575"/>
      <c r="P286" s="575"/>
      <c r="Q286" s="565"/>
      <c r="R286" s="566"/>
      <c r="S286" s="567"/>
      <c r="T286" s="568"/>
      <c r="U286" s="569"/>
      <c r="V286" s="570"/>
      <c r="W286" s="570"/>
      <c r="X286" s="571"/>
    </row>
    <row r="287" spans="1:24" ht="15.75" thickBot="1" x14ac:dyDescent="0.3">
      <c r="A287" s="451"/>
      <c r="B287" s="452"/>
      <c r="C287" s="555"/>
      <c r="D287" s="556"/>
      <c r="E287" s="556"/>
      <c r="F287" s="557" t="str">
        <f t="shared" si="15"/>
        <v/>
      </c>
      <c r="G287" s="558"/>
      <c r="H287" s="559" t="str">
        <f t="shared" si="16"/>
        <v/>
      </c>
      <c r="I287" s="560"/>
      <c r="J287" s="561"/>
      <c r="K287" s="561"/>
      <c r="L287" s="562"/>
      <c r="M287" s="563" t="str">
        <f t="shared" si="17"/>
        <v/>
      </c>
      <c r="N287" s="575"/>
      <c r="O287" s="575"/>
      <c r="P287" s="575"/>
      <c r="Q287" s="565"/>
      <c r="R287" s="566"/>
      <c r="S287" s="567"/>
      <c r="T287" s="568"/>
      <c r="U287" s="569"/>
      <c r="V287" s="570"/>
      <c r="W287" s="570"/>
      <c r="X287" s="571"/>
    </row>
    <row r="288" spans="1:24" ht="15.75" thickBot="1" x14ac:dyDescent="0.3">
      <c r="A288" s="451"/>
      <c r="B288" s="452"/>
      <c r="C288" s="555"/>
      <c r="D288" s="556"/>
      <c r="E288" s="556"/>
      <c r="F288" s="557" t="str">
        <f t="shared" si="15"/>
        <v/>
      </c>
      <c r="G288" s="558"/>
      <c r="H288" s="559" t="str">
        <f t="shared" si="16"/>
        <v/>
      </c>
      <c r="I288" s="560"/>
      <c r="J288" s="561"/>
      <c r="K288" s="561"/>
      <c r="L288" s="562"/>
      <c r="M288" s="563" t="str">
        <f t="shared" si="17"/>
        <v/>
      </c>
      <c r="N288" s="575"/>
      <c r="O288" s="575"/>
      <c r="P288" s="575"/>
      <c r="Q288" s="565"/>
      <c r="R288" s="566"/>
      <c r="S288" s="567"/>
      <c r="T288" s="568"/>
      <c r="U288" s="569"/>
      <c r="V288" s="570"/>
      <c r="W288" s="570"/>
      <c r="X288" s="571"/>
    </row>
    <row r="289" spans="1:24" ht="15.75" thickBot="1" x14ac:dyDescent="0.3">
      <c r="A289" s="451"/>
      <c r="B289" s="452"/>
      <c r="C289" s="555"/>
      <c r="D289" s="556"/>
      <c r="E289" s="556"/>
      <c r="F289" s="557" t="str">
        <f t="shared" si="15"/>
        <v/>
      </c>
      <c r="G289" s="558"/>
      <c r="H289" s="559" t="str">
        <f t="shared" si="16"/>
        <v/>
      </c>
      <c r="I289" s="560"/>
      <c r="J289" s="561"/>
      <c r="K289" s="561"/>
      <c r="L289" s="562"/>
      <c r="M289" s="563" t="str">
        <f t="shared" si="17"/>
        <v/>
      </c>
      <c r="N289" s="575"/>
      <c r="O289" s="575"/>
      <c r="P289" s="575"/>
      <c r="Q289" s="565"/>
      <c r="R289" s="566"/>
      <c r="S289" s="567"/>
      <c r="T289" s="568"/>
      <c r="U289" s="569"/>
      <c r="V289" s="570"/>
      <c r="W289" s="570"/>
      <c r="X289" s="571"/>
    </row>
    <row r="290" spans="1:24" ht="15.75" thickBot="1" x14ac:dyDescent="0.3">
      <c r="A290" s="451"/>
      <c r="B290" s="452"/>
      <c r="C290" s="555"/>
      <c r="D290" s="556"/>
      <c r="E290" s="556"/>
      <c r="F290" s="557" t="str">
        <f t="shared" si="15"/>
        <v/>
      </c>
      <c r="G290" s="558"/>
      <c r="H290" s="559" t="str">
        <f t="shared" si="16"/>
        <v/>
      </c>
      <c r="I290" s="560"/>
      <c r="J290" s="561"/>
      <c r="K290" s="561"/>
      <c r="L290" s="562"/>
      <c r="M290" s="563" t="str">
        <f t="shared" si="17"/>
        <v/>
      </c>
      <c r="N290" s="575"/>
      <c r="O290" s="575"/>
      <c r="P290" s="575"/>
      <c r="Q290" s="565"/>
      <c r="R290" s="566"/>
      <c r="S290" s="567"/>
      <c r="T290" s="568"/>
      <c r="U290" s="569"/>
      <c r="V290" s="570"/>
      <c r="W290" s="570"/>
      <c r="X290" s="571"/>
    </row>
    <row r="291" spans="1:24" ht="15.75" thickBot="1" x14ac:dyDescent="0.3">
      <c r="A291" s="451"/>
      <c r="B291" s="452"/>
      <c r="C291" s="555"/>
      <c r="D291" s="556"/>
      <c r="E291" s="556"/>
      <c r="F291" s="557" t="str">
        <f t="shared" si="15"/>
        <v/>
      </c>
      <c r="G291" s="558"/>
      <c r="H291" s="559" t="str">
        <f t="shared" si="16"/>
        <v/>
      </c>
      <c r="I291" s="560"/>
      <c r="J291" s="561"/>
      <c r="K291" s="561"/>
      <c r="L291" s="562"/>
      <c r="M291" s="563" t="str">
        <f t="shared" si="17"/>
        <v/>
      </c>
      <c r="N291" s="575"/>
      <c r="O291" s="575"/>
      <c r="P291" s="575"/>
      <c r="Q291" s="565"/>
      <c r="R291" s="566"/>
      <c r="S291" s="567"/>
      <c r="T291" s="568"/>
      <c r="U291" s="569"/>
      <c r="V291" s="570"/>
      <c r="W291" s="570"/>
      <c r="X291" s="571"/>
    </row>
    <row r="292" spans="1:24" ht="15.75" thickBot="1" x14ac:dyDescent="0.3">
      <c r="A292" s="451"/>
      <c r="B292" s="452"/>
      <c r="C292" s="555"/>
      <c r="D292" s="556"/>
      <c r="E292" s="556"/>
      <c r="F292" s="557" t="str">
        <f t="shared" si="15"/>
        <v/>
      </c>
      <c r="G292" s="558"/>
      <c r="H292" s="559" t="str">
        <f t="shared" si="16"/>
        <v/>
      </c>
      <c r="I292" s="560"/>
      <c r="J292" s="561"/>
      <c r="K292" s="561"/>
      <c r="L292" s="562"/>
      <c r="M292" s="563" t="str">
        <f t="shared" si="17"/>
        <v/>
      </c>
      <c r="N292" s="575"/>
      <c r="O292" s="575"/>
      <c r="P292" s="575"/>
      <c r="Q292" s="565"/>
      <c r="R292" s="566"/>
      <c r="S292" s="567"/>
      <c r="T292" s="568"/>
      <c r="U292" s="569"/>
      <c r="V292" s="570"/>
      <c r="W292" s="570"/>
      <c r="X292" s="571"/>
    </row>
    <row r="293" spans="1:24" ht="15.75" thickBot="1" x14ac:dyDescent="0.3">
      <c r="A293" s="451"/>
      <c r="B293" s="452"/>
      <c r="C293" s="555"/>
      <c r="D293" s="556"/>
      <c r="E293" s="556"/>
      <c r="F293" s="557" t="str">
        <f t="shared" si="15"/>
        <v/>
      </c>
      <c r="G293" s="558"/>
      <c r="H293" s="559" t="str">
        <f t="shared" si="16"/>
        <v/>
      </c>
      <c r="I293" s="560"/>
      <c r="J293" s="561"/>
      <c r="K293" s="561"/>
      <c r="L293" s="562"/>
      <c r="M293" s="563" t="str">
        <f t="shared" si="17"/>
        <v/>
      </c>
      <c r="N293" s="575"/>
      <c r="O293" s="575"/>
      <c r="P293" s="575"/>
      <c r="Q293" s="565"/>
      <c r="R293" s="566"/>
      <c r="S293" s="567"/>
      <c r="T293" s="568"/>
      <c r="U293" s="569"/>
      <c r="V293" s="570"/>
      <c r="W293" s="570"/>
      <c r="X293" s="571"/>
    </row>
    <row r="294" spans="1:24" ht="15.75" thickBot="1" x14ac:dyDescent="0.3">
      <c r="A294" s="451"/>
      <c r="B294" s="452"/>
      <c r="C294" s="555"/>
      <c r="D294" s="556"/>
      <c r="E294" s="556"/>
      <c r="F294" s="557" t="str">
        <f t="shared" si="15"/>
        <v/>
      </c>
      <c r="G294" s="558"/>
      <c r="H294" s="559" t="str">
        <f t="shared" si="16"/>
        <v/>
      </c>
      <c r="I294" s="560"/>
      <c r="J294" s="561"/>
      <c r="K294" s="561"/>
      <c r="L294" s="562"/>
      <c r="M294" s="563" t="str">
        <f t="shared" si="17"/>
        <v/>
      </c>
      <c r="N294" s="575"/>
      <c r="O294" s="575"/>
      <c r="P294" s="575"/>
      <c r="Q294" s="565"/>
      <c r="R294" s="566"/>
      <c r="S294" s="567"/>
      <c r="T294" s="568"/>
      <c r="U294" s="569"/>
      <c r="V294" s="570"/>
      <c r="W294" s="570"/>
      <c r="X294" s="571"/>
    </row>
    <row r="295" spans="1:24" ht="15.75" thickBot="1" x14ac:dyDescent="0.3">
      <c r="A295" s="451"/>
      <c r="B295" s="452"/>
      <c r="C295" s="555"/>
      <c r="D295" s="556"/>
      <c r="E295" s="556"/>
      <c r="F295" s="557" t="str">
        <f t="shared" si="15"/>
        <v/>
      </c>
      <c r="G295" s="558"/>
      <c r="H295" s="559" t="str">
        <f t="shared" si="16"/>
        <v/>
      </c>
      <c r="I295" s="560"/>
      <c r="J295" s="561"/>
      <c r="K295" s="561"/>
      <c r="L295" s="562"/>
      <c r="M295" s="563" t="str">
        <f t="shared" si="17"/>
        <v/>
      </c>
      <c r="N295" s="575"/>
      <c r="O295" s="575"/>
      <c r="P295" s="575"/>
      <c r="Q295" s="565"/>
      <c r="R295" s="566"/>
      <c r="S295" s="567"/>
      <c r="T295" s="568"/>
      <c r="U295" s="569"/>
      <c r="V295" s="570"/>
      <c r="W295" s="570"/>
      <c r="X295" s="571"/>
    </row>
    <row r="296" spans="1:24" ht="15.75" thickBot="1" x14ac:dyDescent="0.3">
      <c r="A296" s="451"/>
      <c r="B296" s="452"/>
      <c r="C296" s="555"/>
      <c r="D296" s="556"/>
      <c r="E296" s="556"/>
      <c r="F296" s="557" t="str">
        <f t="shared" si="15"/>
        <v/>
      </c>
      <c r="G296" s="558"/>
      <c r="H296" s="559" t="str">
        <f t="shared" si="16"/>
        <v/>
      </c>
      <c r="I296" s="560"/>
      <c r="J296" s="561"/>
      <c r="K296" s="561"/>
      <c r="L296" s="562"/>
      <c r="M296" s="563" t="str">
        <f t="shared" si="17"/>
        <v/>
      </c>
      <c r="N296" s="575"/>
      <c r="O296" s="575"/>
      <c r="P296" s="575"/>
      <c r="Q296" s="565"/>
      <c r="R296" s="566"/>
      <c r="S296" s="567"/>
      <c r="T296" s="568"/>
      <c r="U296" s="569"/>
      <c r="V296" s="570"/>
      <c r="W296" s="570"/>
      <c r="X296" s="571"/>
    </row>
    <row r="297" spans="1:24" ht="15.75" thickBot="1" x14ac:dyDescent="0.3">
      <c r="A297" s="451"/>
      <c r="B297" s="452"/>
      <c r="C297" s="555"/>
      <c r="D297" s="556"/>
      <c r="E297" s="556"/>
      <c r="F297" s="557" t="str">
        <f t="shared" si="15"/>
        <v/>
      </c>
      <c r="G297" s="558"/>
      <c r="H297" s="559" t="str">
        <f t="shared" si="16"/>
        <v/>
      </c>
      <c r="I297" s="560"/>
      <c r="J297" s="561"/>
      <c r="K297" s="561"/>
      <c r="L297" s="562"/>
      <c r="M297" s="563" t="str">
        <f t="shared" si="17"/>
        <v/>
      </c>
      <c r="N297" s="575"/>
      <c r="O297" s="575"/>
      <c r="P297" s="575"/>
      <c r="Q297" s="565"/>
      <c r="R297" s="566"/>
      <c r="S297" s="567"/>
      <c r="T297" s="568"/>
      <c r="U297" s="569"/>
      <c r="V297" s="570"/>
      <c r="W297" s="570"/>
      <c r="X297" s="571"/>
    </row>
    <row r="298" spans="1:24" ht="15.75" thickBot="1" x14ac:dyDescent="0.3">
      <c r="A298" s="451"/>
      <c r="B298" s="452"/>
      <c r="C298" s="555"/>
      <c r="D298" s="556"/>
      <c r="E298" s="556"/>
      <c r="F298" s="557" t="str">
        <f t="shared" si="15"/>
        <v/>
      </c>
      <c r="G298" s="558"/>
      <c r="H298" s="559" t="str">
        <f t="shared" si="16"/>
        <v/>
      </c>
      <c r="I298" s="560"/>
      <c r="J298" s="561"/>
      <c r="K298" s="561"/>
      <c r="L298" s="562"/>
      <c r="M298" s="563" t="str">
        <f t="shared" si="17"/>
        <v/>
      </c>
      <c r="N298" s="575"/>
      <c r="O298" s="575"/>
      <c r="P298" s="575"/>
      <c r="Q298" s="565"/>
      <c r="R298" s="566"/>
      <c r="S298" s="567"/>
      <c r="T298" s="568"/>
      <c r="U298" s="569"/>
      <c r="V298" s="570"/>
      <c r="W298" s="570"/>
      <c r="X298" s="571"/>
    </row>
    <row r="299" spans="1:24" ht="15.75" thickBot="1" x14ac:dyDescent="0.3">
      <c r="A299" s="451"/>
      <c r="B299" s="452"/>
      <c r="C299" s="555"/>
      <c r="D299" s="556"/>
      <c r="E299" s="556"/>
      <c r="F299" s="557" t="str">
        <f t="shared" si="15"/>
        <v/>
      </c>
      <c r="G299" s="558"/>
      <c r="H299" s="559" t="str">
        <f t="shared" si="16"/>
        <v/>
      </c>
      <c r="I299" s="560"/>
      <c r="J299" s="561"/>
      <c r="K299" s="561"/>
      <c r="L299" s="562"/>
      <c r="M299" s="563" t="str">
        <f t="shared" si="17"/>
        <v/>
      </c>
      <c r="N299" s="575"/>
      <c r="O299" s="575"/>
      <c r="P299" s="575"/>
      <c r="Q299" s="565"/>
      <c r="R299" s="566"/>
      <c r="S299" s="567"/>
      <c r="T299" s="568"/>
      <c r="U299" s="569"/>
      <c r="V299" s="570"/>
      <c r="W299" s="570"/>
      <c r="X299" s="571"/>
    </row>
    <row r="300" spans="1:24" ht="15.75" thickBot="1" x14ac:dyDescent="0.3">
      <c r="A300" s="451"/>
      <c r="B300" s="452"/>
      <c r="C300" s="555"/>
      <c r="D300" s="556"/>
      <c r="E300" s="556"/>
      <c r="F300" s="557" t="str">
        <f t="shared" si="15"/>
        <v/>
      </c>
      <c r="G300" s="558"/>
      <c r="H300" s="559" t="str">
        <f t="shared" si="16"/>
        <v/>
      </c>
      <c r="I300" s="560"/>
      <c r="J300" s="561"/>
      <c r="K300" s="561"/>
      <c r="L300" s="562"/>
      <c r="M300" s="563" t="str">
        <f t="shared" si="17"/>
        <v/>
      </c>
      <c r="N300" s="575"/>
      <c r="O300" s="575"/>
      <c r="P300" s="575"/>
      <c r="Q300" s="565"/>
      <c r="R300" s="566"/>
      <c r="S300" s="567"/>
      <c r="T300" s="568"/>
      <c r="U300" s="569"/>
      <c r="V300" s="570"/>
      <c r="W300" s="570"/>
      <c r="X300" s="571"/>
    </row>
    <row r="301" spans="1:24" ht="15.75" thickBot="1" x14ac:dyDescent="0.3">
      <c r="A301" s="451"/>
      <c r="B301" s="452"/>
      <c r="C301" s="555"/>
      <c r="D301" s="556"/>
      <c r="E301" s="556"/>
      <c r="F301" s="557" t="str">
        <f t="shared" si="15"/>
        <v/>
      </c>
      <c r="G301" s="558"/>
      <c r="H301" s="559" t="str">
        <f t="shared" si="16"/>
        <v/>
      </c>
      <c r="I301" s="560"/>
      <c r="J301" s="561"/>
      <c r="K301" s="561"/>
      <c r="L301" s="562"/>
      <c r="M301" s="563" t="str">
        <f t="shared" si="17"/>
        <v/>
      </c>
      <c r="N301" s="575"/>
      <c r="O301" s="575"/>
      <c r="P301" s="575"/>
      <c r="Q301" s="565"/>
      <c r="R301" s="566"/>
      <c r="S301" s="567"/>
      <c r="T301" s="568"/>
      <c r="U301" s="569"/>
      <c r="V301" s="570"/>
      <c r="W301" s="570"/>
      <c r="X301" s="571"/>
    </row>
    <row r="302" spans="1:24" ht="15.75" thickBot="1" x14ac:dyDescent="0.3">
      <c r="A302" s="451"/>
      <c r="B302" s="452"/>
      <c r="C302" s="555"/>
      <c r="D302" s="556"/>
      <c r="E302" s="556"/>
      <c r="F302" s="557" t="str">
        <f t="shared" si="15"/>
        <v/>
      </c>
      <c r="G302" s="558"/>
      <c r="H302" s="559" t="str">
        <f t="shared" si="16"/>
        <v/>
      </c>
      <c r="I302" s="560"/>
      <c r="J302" s="561"/>
      <c r="K302" s="561"/>
      <c r="L302" s="562"/>
      <c r="M302" s="563" t="str">
        <f t="shared" si="17"/>
        <v/>
      </c>
      <c r="N302" s="575"/>
      <c r="O302" s="575"/>
      <c r="P302" s="575"/>
      <c r="Q302" s="565"/>
      <c r="R302" s="566"/>
      <c r="S302" s="567"/>
      <c r="T302" s="568"/>
      <c r="U302" s="569"/>
      <c r="V302" s="570"/>
      <c r="W302" s="570"/>
      <c r="X302" s="571"/>
    </row>
    <row r="303" spans="1:24" ht="15.75" thickBot="1" x14ac:dyDescent="0.3">
      <c r="A303" s="451"/>
      <c r="B303" s="452"/>
      <c r="C303" s="555"/>
      <c r="D303" s="556"/>
      <c r="E303" s="556"/>
      <c r="F303" s="557" t="str">
        <f t="shared" si="15"/>
        <v/>
      </c>
      <c r="G303" s="558"/>
      <c r="H303" s="559" t="str">
        <f t="shared" si="16"/>
        <v/>
      </c>
      <c r="I303" s="560"/>
      <c r="J303" s="561"/>
      <c r="K303" s="561"/>
      <c r="L303" s="562"/>
      <c r="M303" s="563" t="str">
        <f t="shared" si="17"/>
        <v/>
      </c>
      <c r="N303" s="575"/>
      <c r="O303" s="575"/>
      <c r="P303" s="575"/>
      <c r="Q303" s="565"/>
      <c r="R303" s="566"/>
      <c r="S303" s="567"/>
      <c r="T303" s="568"/>
      <c r="U303" s="569"/>
      <c r="V303" s="570"/>
      <c r="W303" s="570"/>
      <c r="X303" s="571"/>
    </row>
    <row r="304" spans="1:24" ht="15.75" thickBot="1" x14ac:dyDescent="0.3">
      <c r="A304" s="451"/>
      <c r="B304" s="452"/>
      <c r="C304" s="555"/>
      <c r="D304" s="556"/>
      <c r="E304" s="556"/>
      <c r="F304" s="557" t="str">
        <f t="shared" si="15"/>
        <v/>
      </c>
      <c r="G304" s="558"/>
      <c r="H304" s="559" t="str">
        <f t="shared" si="16"/>
        <v/>
      </c>
      <c r="I304" s="560"/>
      <c r="J304" s="561"/>
      <c r="K304" s="561"/>
      <c r="L304" s="562"/>
      <c r="M304" s="563" t="str">
        <f t="shared" si="17"/>
        <v/>
      </c>
      <c r="N304" s="575"/>
      <c r="O304" s="575"/>
      <c r="P304" s="575"/>
      <c r="Q304" s="565"/>
      <c r="R304" s="566"/>
      <c r="S304" s="567"/>
      <c r="T304" s="568"/>
      <c r="U304" s="569"/>
      <c r="V304" s="570"/>
      <c r="W304" s="570"/>
      <c r="X304" s="571"/>
    </row>
    <row r="305" spans="1:24" ht="15.75" thickBot="1" x14ac:dyDescent="0.3">
      <c r="A305" s="451"/>
      <c r="B305" s="452"/>
      <c r="C305" s="555"/>
      <c r="D305" s="556"/>
      <c r="E305" s="556"/>
      <c r="F305" s="557" t="str">
        <f t="shared" si="15"/>
        <v/>
      </c>
      <c r="G305" s="558"/>
      <c r="H305" s="559" t="str">
        <f t="shared" si="16"/>
        <v/>
      </c>
      <c r="I305" s="560"/>
      <c r="J305" s="561"/>
      <c r="K305" s="561"/>
      <c r="L305" s="562"/>
      <c r="M305" s="563" t="str">
        <f t="shared" si="17"/>
        <v/>
      </c>
      <c r="N305" s="575"/>
      <c r="O305" s="575"/>
      <c r="P305" s="575"/>
      <c r="Q305" s="565"/>
      <c r="R305" s="566"/>
      <c r="S305" s="567"/>
      <c r="T305" s="568"/>
      <c r="U305" s="569"/>
      <c r="V305" s="570"/>
      <c r="W305" s="570"/>
      <c r="X305" s="571"/>
    </row>
    <row r="306" spans="1:24" ht="15.75" thickBot="1" x14ac:dyDescent="0.3">
      <c r="A306" s="451"/>
      <c r="B306" s="452"/>
      <c r="C306" s="555"/>
      <c r="D306" s="556"/>
      <c r="E306" s="556"/>
      <c r="F306" s="557" t="str">
        <f t="shared" si="15"/>
        <v/>
      </c>
      <c r="G306" s="558"/>
      <c r="H306" s="559" t="str">
        <f t="shared" si="16"/>
        <v/>
      </c>
      <c r="I306" s="560"/>
      <c r="J306" s="561"/>
      <c r="K306" s="561"/>
      <c r="L306" s="562"/>
      <c r="M306" s="563" t="str">
        <f t="shared" si="17"/>
        <v/>
      </c>
      <c r="N306" s="575"/>
      <c r="O306" s="575"/>
      <c r="P306" s="575"/>
      <c r="Q306" s="565"/>
      <c r="R306" s="566"/>
      <c r="S306" s="567"/>
      <c r="T306" s="568"/>
      <c r="U306" s="569"/>
      <c r="V306" s="570"/>
      <c r="W306" s="570"/>
      <c r="X306" s="571"/>
    </row>
    <row r="307" spans="1:24" ht="15.75" thickBot="1" x14ac:dyDescent="0.3">
      <c r="A307" s="451"/>
      <c r="B307" s="452"/>
      <c r="C307" s="555"/>
      <c r="D307" s="556"/>
      <c r="E307" s="556"/>
      <c r="F307" s="557" t="str">
        <f t="shared" si="15"/>
        <v/>
      </c>
      <c r="G307" s="558"/>
      <c r="H307" s="559" t="str">
        <f t="shared" si="16"/>
        <v/>
      </c>
      <c r="I307" s="560"/>
      <c r="J307" s="561"/>
      <c r="K307" s="561"/>
      <c r="L307" s="562"/>
      <c r="M307" s="563" t="str">
        <f t="shared" si="17"/>
        <v/>
      </c>
      <c r="N307" s="575"/>
      <c r="O307" s="575"/>
      <c r="P307" s="575"/>
      <c r="Q307" s="565"/>
      <c r="R307" s="566"/>
      <c r="S307" s="567"/>
      <c r="T307" s="568"/>
      <c r="U307" s="569"/>
      <c r="V307" s="570"/>
      <c r="W307" s="570"/>
      <c r="X307" s="571"/>
    </row>
    <row r="308" spans="1:24" ht="15.75" thickBot="1" x14ac:dyDescent="0.3">
      <c r="A308" s="451"/>
      <c r="B308" s="452"/>
      <c r="C308" s="555"/>
      <c r="D308" s="556"/>
      <c r="E308" s="556"/>
      <c r="F308" s="557" t="str">
        <f t="shared" si="15"/>
        <v/>
      </c>
      <c r="G308" s="558"/>
      <c r="H308" s="559" t="str">
        <f t="shared" si="16"/>
        <v/>
      </c>
      <c r="I308" s="560"/>
      <c r="J308" s="561"/>
      <c r="K308" s="561"/>
      <c r="L308" s="562"/>
      <c r="M308" s="563" t="str">
        <f t="shared" si="17"/>
        <v/>
      </c>
      <c r="N308" s="575"/>
      <c r="O308" s="575"/>
      <c r="P308" s="575"/>
      <c r="Q308" s="565"/>
      <c r="R308" s="566"/>
      <c r="S308" s="567"/>
      <c r="T308" s="568"/>
      <c r="U308" s="569"/>
      <c r="V308" s="570"/>
      <c r="W308" s="570"/>
      <c r="X308" s="571"/>
    </row>
    <row r="309" spans="1:24" ht="15.75" thickBot="1" x14ac:dyDescent="0.3">
      <c r="A309" s="451"/>
      <c r="B309" s="452"/>
      <c r="C309" s="555"/>
      <c r="D309" s="556"/>
      <c r="E309" s="556"/>
      <c r="F309" s="557" t="str">
        <f t="shared" si="15"/>
        <v/>
      </c>
      <c r="G309" s="558"/>
      <c r="H309" s="559" t="str">
        <f t="shared" si="16"/>
        <v/>
      </c>
      <c r="I309" s="560"/>
      <c r="J309" s="561"/>
      <c r="K309" s="561"/>
      <c r="L309" s="562"/>
      <c r="M309" s="563" t="str">
        <f t="shared" si="17"/>
        <v/>
      </c>
      <c r="N309" s="575"/>
      <c r="O309" s="575"/>
      <c r="P309" s="575"/>
      <c r="Q309" s="565"/>
      <c r="R309" s="566"/>
      <c r="S309" s="567"/>
      <c r="T309" s="568"/>
      <c r="U309" s="569"/>
      <c r="V309" s="570"/>
      <c r="W309" s="570"/>
      <c r="X309" s="571"/>
    </row>
    <row r="310" spans="1:24" ht="15.75" thickBot="1" x14ac:dyDescent="0.3">
      <c r="A310" s="451"/>
      <c r="B310" s="452"/>
      <c r="C310" s="555"/>
      <c r="D310" s="556"/>
      <c r="E310" s="556"/>
      <c r="F310" s="557" t="str">
        <f t="shared" si="15"/>
        <v/>
      </c>
      <c r="G310" s="558"/>
      <c r="H310" s="559" t="str">
        <f t="shared" si="16"/>
        <v/>
      </c>
      <c r="I310" s="560"/>
      <c r="J310" s="561"/>
      <c r="K310" s="561"/>
      <c r="L310" s="562"/>
      <c r="M310" s="563" t="str">
        <f t="shared" si="17"/>
        <v/>
      </c>
      <c r="N310" s="575"/>
      <c r="O310" s="575"/>
      <c r="P310" s="575"/>
      <c r="Q310" s="565"/>
      <c r="R310" s="566"/>
      <c r="S310" s="567"/>
      <c r="T310" s="568"/>
      <c r="U310" s="569"/>
      <c r="V310" s="570"/>
      <c r="W310" s="570"/>
      <c r="X310" s="571"/>
    </row>
    <row r="311" spans="1:24" ht="15.75" thickBot="1" x14ac:dyDescent="0.3">
      <c r="A311" s="451"/>
      <c r="B311" s="452"/>
      <c r="C311" s="555"/>
      <c r="D311" s="556"/>
      <c r="E311" s="556"/>
      <c r="F311" s="557" t="str">
        <f t="shared" si="15"/>
        <v/>
      </c>
      <c r="G311" s="558"/>
      <c r="H311" s="559" t="str">
        <f t="shared" si="16"/>
        <v/>
      </c>
      <c r="I311" s="560"/>
      <c r="J311" s="561"/>
      <c r="K311" s="561"/>
      <c r="L311" s="562"/>
      <c r="M311" s="563" t="str">
        <f t="shared" si="17"/>
        <v/>
      </c>
      <c r="N311" s="575"/>
      <c r="O311" s="575"/>
      <c r="P311" s="575"/>
      <c r="Q311" s="565"/>
      <c r="R311" s="566"/>
      <c r="S311" s="567"/>
      <c r="T311" s="568"/>
      <c r="U311" s="569"/>
      <c r="V311" s="570"/>
      <c r="W311" s="570"/>
      <c r="X311" s="571"/>
    </row>
    <row r="312" spans="1:24" ht="15.75" thickBot="1" x14ac:dyDescent="0.3">
      <c r="A312" s="451"/>
      <c r="B312" s="452"/>
      <c r="C312" s="555"/>
      <c r="D312" s="556"/>
      <c r="E312" s="556"/>
      <c r="F312" s="557" t="str">
        <f t="shared" si="15"/>
        <v/>
      </c>
      <c r="G312" s="558"/>
      <c r="H312" s="559" t="str">
        <f t="shared" si="16"/>
        <v/>
      </c>
      <c r="I312" s="560"/>
      <c r="J312" s="561"/>
      <c r="K312" s="561"/>
      <c r="L312" s="562"/>
      <c r="M312" s="563" t="str">
        <f t="shared" si="17"/>
        <v/>
      </c>
      <c r="N312" s="575"/>
      <c r="O312" s="575"/>
      <c r="P312" s="575"/>
      <c r="Q312" s="565"/>
      <c r="R312" s="566"/>
      <c r="S312" s="567"/>
      <c r="T312" s="568"/>
      <c r="U312" s="569"/>
      <c r="V312" s="570"/>
      <c r="W312" s="570"/>
      <c r="X312" s="571"/>
    </row>
    <row r="313" spans="1:24" ht="15.75" thickBot="1" x14ac:dyDescent="0.3">
      <c r="A313" s="451"/>
      <c r="B313" s="452"/>
      <c r="C313" s="555"/>
      <c r="D313" s="556"/>
      <c r="E313" s="556"/>
      <c r="F313" s="557" t="str">
        <f t="shared" si="15"/>
        <v/>
      </c>
      <c r="G313" s="558"/>
      <c r="H313" s="559" t="str">
        <f t="shared" si="16"/>
        <v/>
      </c>
      <c r="I313" s="560"/>
      <c r="J313" s="561"/>
      <c r="K313" s="561"/>
      <c r="L313" s="562"/>
      <c r="M313" s="563" t="str">
        <f t="shared" si="17"/>
        <v/>
      </c>
      <c r="N313" s="575"/>
      <c r="O313" s="575"/>
      <c r="P313" s="575"/>
      <c r="Q313" s="565"/>
      <c r="R313" s="566"/>
      <c r="S313" s="567"/>
      <c r="T313" s="568"/>
      <c r="U313" s="569"/>
      <c r="V313" s="570"/>
      <c r="W313" s="570"/>
      <c r="X313" s="571"/>
    </row>
    <row r="314" spans="1:24" ht="15.75" thickBot="1" x14ac:dyDescent="0.3">
      <c r="A314" s="451"/>
      <c r="B314" s="452"/>
      <c r="C314" s="555"/>
      <c r="D314" s="556"/>
      <c r="E314" s="556"/>
      <c r="F314" s="557" t="str">
        <f t="shared" si="15"/>
        <v/>
      </c>
      <c r="G314" s="558"/>
      <c r="H314" s="559" t="str">
        <f t="shared" si="16"/>
        <v/>
      </c>
      <c r="I314" s="560"/>
      <c r="J314" s="561"/>
      <c r="K314" s="561"/>
      <c r="L314" s="562"/>
      <c r="M314" s="563" t="str">
        <f t="shared" si="17"/>
        <v/>
      </c>
      <c r="N314" s="575"/>
      <c r="O314" s="575"/>
      <c r="P314" s="575"/>
      <c r="Q314" s="565"/>
      <c r="R314" s="566"/>
      <c r="S314" s="567"/>
      <c r="T314" s="568"/>
      <c r="U314" s="569"/>
      <c r="V314" s="570"/>
      <c r="W314" s="570"/>
      <c r="X314" s="571"/>
    </row>
    <row r="315" spans="1:24" ht="15.75" thickBot="1" x14ac:dyDescent="0.3">
      <c r="A315" s="451"/>
      <c r="B315" s="452"/>
      <c r="C315" s="555"/>
      <c r="D315" s="556"/>
      <c r="E315" s="556"/>
      <c r="F315" s="557" t="str">
        <f t="shared" si="15"/>
        <v/>
      </c>
      <c r="G315" s="558"/>
      <c r="H315" s="559" t="str">
        <f t="shared" si="16"/>
        <v/>
      </c>
      <c r="I315" s="560"/>
      <c r="J315" s="561"/>
      <c r="K315" s="561"/>
      <c r="L315" s="562"/>
      <c r="M315" s="563" t="str">
        <f t="shared" si="17"/>
        <v/>
      </c>
      <c r="N315" s="575"/>
      <c r="O315" s="575"/>
      <c r="P315" s="575"/>
      <c r="Q315" s="565"/>
      <c r="R315" s="566"/>
      <c r="S315" s="567"/>
      <c r="T315" s="568"/>
      <c r="U315" s="569"/>
      <c r="V315" s="570"/>
      <c r="W315" s="570"/>
      <c r="X315" s="571"/>
    </row>
    <row r="316" spans="1:24" ht="15.75" thickBot="1" x14ac:dyDescent="0.3">
      <c r="A316" s="451"/>
      <c r="B316" s="452"/>
      <c r="C316" s="555"/>
      <c r="D316" s="556"/>
      <c r="E316" s="556"/>
      <c r="F316" s="557" t="str">
        <f t="shared" si="15"/>
        <v/>
      </c>
      <c r="G316" s="558"/>
      <c r="H316" s="559" t="str">
        <f t="shared" si="16"/>
        <v/>
      </c>
      <c r="I316" s="560"/>
      <c r="J316" s="561"/>
      <c r="K316" s="561"/>
      <c r="L316" s="562"/>
      <c r="M316" s="563" t="str">
        <f t="shared" si="17"/>
        <v/>
      </c>
      <c r="N316" s="575"/>
      <c r="O316" s="575"/>
      <c r="P316" s="575"/>
      <c r="Q316" s="565"/>
      <c r="R316" s="566"/>
      <c r="S316" s="567"/>
      <c r="T316" s="568"/>
      <c r="U316" s="569"/>
      <c r="V316" s="570"/>
      <c r="W316" s="570"/>
      <c r="X316" s="571"/>
    </row>
    <row r="317" spans="1:24" ht="15.75" thickBot="1" x14ac:dyDescent="0.3">
      <c r="A317" s="451"/>
      <c r="B317" s="452"/>
      <c r="C317" s="555"/>
      <c r="D317" s="556"/>
      <c r="E317" s="556"/>
      <c r="F317" s="557" t="str">
        <f t="shared" si="15"/>
        <v/>
      </c>
      <c r="G317" s="558"/>
      <c r="H317" s="559" t="str">
        <f t="shared" si="16"/>
        <v/>
      </c>
      <c r="I317" s="560"/>
      <c r="J317" s="561"/>
      <c r="K317" s="561"/>
      <c r="L317" s="562"/>
      <c r="M317" s="563" t="str">
        <f t="shared" si="17"/>
        <v/>
      </c>
      <c r="N317" s="575"/>
      <c r="O317" s="575"/>
      <c r="P317" s="575"/>
      <c r="Q317" s="565"/>
      <c r="R317" s="566"/>
      <c r="S317" s="567"/>
      <c r="T317" s="568"/>
      <c r="U317" s="569"/>
      <c r="V317" s="570"/>
      <c r="W317" s="570"/>
      <c r="X317" s="571"/>
    </row>
    <row r="318" spans="1:24" ht="15.75" thickBot="1" x14ac:dyDescent="0.3">
      <c r="A318" s="451"/>
      <c r="B318" s="452"/>
      <c r="C318" s="555"/>
      <c r="D318" s="556"/>
      <c r="E318" s="556"/>
      <c r="F318" s="557" t="str">
        <f t="shared" si="15"/>
        <v/>
      </c>
      <c r="G318" s="558"/>
      <c r="H318" s="559" t="str">
        <f t="shared" si="16"/>
        <v/>
      </c>
      <c r="I318" s="560"/>
      <c r="J318" s="561"/>
      <c r="K318" s="561"/>
      <c r="L318" s="562"/>
      <c r="M318" s="563" t="str">
        <f t="shared" si="17"/>
        <v/>
      </c>
      <c r="N318" s="575"/>
      <c r="O318" s="575"/>
      <c r="P318" s="575"/>
      <c r="Q318" s="565"/>
      <c r="R318" s="566"/>
      <c r="S318" s="567"/>
      <c r="T318" s="568"/>
      <c r="U318" s="569"/>
      <c r="V318" s="570"/>
      <c r="W318" s="570"/>
      <c r="X318" s="571"/>
    </row>
    <row r="319" spans="1:24" ht="15.75" thickBot="1" x14ac:dyDescent="0.3">
      <c r="A319" s="451"/>
      <c r="B319" s="452"/>
      <c r="C319" s="555"/>
      <c r="D319" s="556"/>
      <c r="E319" s="556"/>
      <c r="F319" s="557" t="str">
        <f t="shared" si="15"/>
        <v/>
      </c>
      <c r="G319" s="558"/>
      <c r="H319" s="559" t="str">
        <f t="shared" si="16"/>
        <v/>
      </c>
      <c r="I319" s="560"/>
      <c r="J319" s="561"/>
      <c r="K319" s="561"/>
      <c r="L319" s="562"/>
      <c r="M319" s="563" t="str">
        <f t="shared" si="17"/>
        <v/>
      </c>
      <c r="N319" s="575"/>
      <c r="O319" s="575"/>
      <c r="P319" s="575"/>
      <c r="Q319" s="565"/>
      <c r="R319" s="566"/>
      <c r="S319" s="567"/>
      <c r="T319" s="568"/>
      <c r="U319" s="569"/>
      <c r="V319" s="570"/>
      <c r="W319" s="570"/>
      <c r="X319" s="571"/>
    </row>
    <row r="320" spans="1:24" ht="15.75" thickBot="1" x14ac:dyDescent="0.3">
      <c r="A320" s="451"/>
      <c r="B320" s="452"/>
      <c r="C320" s="555"/>
      <c r="D320" s="556"/>
      <c r="E320" s="556"/>
      <c r="F320" s="557" t="str">
        <f t="shared" si="15"/>
        <v/>
      </c>
      <c r="G320" s="558"/>
      <c r="H320" s="559" t="str">
        <f t="shared" si="16"/>
        <v/>
      </c>
      <c r="I320" s="560"/>
      <c r="J320" s="561"/>
      <c r="K320" s="561"/>
      <c r="L320" s="562"/>
      <c r="M320" s="563" t="str">
        <f t="shared" si="17"/>
        <v/>
      </c>
      <c r="N320" s="575"/>
      <c r="O320" s="575"/>
      <c r="P320" s="575"/>
      <c r="Q320" s="565"/>
      <c r="R320" s="566"/>
      <c r="S320" s="567"/>
      <c r="T320" s="568"/>
      <c r="U320" s="569"/>
      <c r="V320" s="570"/>
      <c r="W320" s="570"/>
      <c r="X320" s="571"/>
    </row>
    <row r="321" spans="1:24" ht="15.75" thickBot="1" x14ac:dyDescent="0.3">
      <c r="A321" s="451"/>
      <c r="B321" s="452"/>
      <c r="C321" s="555"/>
      <c r="D321" s="556"/>
      <c r="E321" s="556"/>
      <c r="F321" s="557" t="str">
        <f t="shared" si="15"/>
        <v/>
      </c>
      <c r="G321" s="558"/>
      <c r="H321" s="559" t="str">
        <f t="shared" si="16"/>
        <v/>
      </c>
      <c r="I321" s="560"/>
      <c r="J321" s="561"/>
      <c r="K321" s="561"/>
      <c r="L321" s="562"/>
      <c r="M321" s="563" t="str">
        <f t="shared" si="17"/>
        <v/>
      </c>
      <c r="N321" s="575"/>
      <c r="O321" s="575"/>
      <c r="P321" s="575"/>
      <c r="Q321" s="565"/>
      <c r="R321" s="566"/>
      <c r="S321" s="567"/>
      <c r="T321" s="568"/>
      <c r="U321" s="569"/>
      <c r="V321" s="570"/>
      <c r="W321" s="570"/>
      <c r="X321" s="571"/>
    </row>
    <row r="322" spans="1:24" ht="15.75" thickBot="1" x14ac:dyDescent="0.3">
      <c r="A322" s="451"/>
      <c r="B322" s="452"/>
      <c r="C322" s="555"/>
      <c r="D322" s="556"/>
      <c r="E322" s="556"/>
      <c r="F322" s="557" t="str">
        <f t="shared" si="15"/>
        <v/>
      </c>
      <c r="G322" s="558"/>
      <c r="H322" s="559" t="str">
        <f t="shared" si="16"/>
        <v/>
      </c>
      <c r="I322" s="560"/>
      <c r="J322" s="561"/>
      <c r="K322" s="561"/>
      <c r="L322" s="562"/>
      <c r="M322" s="563" t="str">
        <f t="shared" si="17"/>
        <v/>
      </c>
      <c r="N322" s="575"/>
      <c r="O322" s="575"/>
      <c r="P322" s="575"/>
      <c r="Q322" s="565"/>
      <c r="R322" s="566"/>
      <c r="S322" s="567"/>
      <c r="T322" s="568"/>
      <c r="U322" s="569"/>
      <c r="V322" s="570"/>
      <c r="W322" s="570"/>
      <c r="X322" s="571"/>
    </row>
    <row r="323" spans="1:24" ht="15.75" thickBot="1" x14ac:dyDescent="0.3">
      <c r="A323" s="451"/>
      <c r="B323" s="452"/>
      <c r="C323" s="555"/>
      <c r="D323" s="556"/>
      <c r="E323" s="556"/>
      <c r="F323" s="557" t="str">
        <f t="shared" si="15"/>
        <v/>
      </c>
      <c r="G323" s="558"/>
      <c r="H323" s="559" t="str">
        <f t="shared" si="16"/>
        <v/>
      </c>
      <c r="I323" s="560"/>
      <c r="J323" s="561"/>
      <c r="K323" s="561"/>
      <c r="L323" s="562"/>
      <c r="M323" s="563" t="str">
        <f t="shared" si="17"/>
        <v/>
      </c>
      <c r="N323" s="575"/>
      <c r="O323" s="575"/>
      <c r="P323" s="575"/>
      <c r="Q323" s="565"/>
      <c r="R323" s="566"/>
      <c r="S323" s="567"/>
      <c r="T323" s="568"/>
      <c r="U323" s="569"/>
      <c r="V323" s="570"/>
      <c r="W323" s="570"/>
      <c r="X323" s="571"/>
    </row>
    <row r="324" spans="1:24" ht="15.75" thickBot="1" x14ac:dyDescent="0.3">
      <c r="A324" s="451"/>
      <c r="B324" s="452"/>
      <c r="C324" s="555"/>
      <c r="D324" s="556"/>
      <c r="E324" s="556"/>
      <c r="F324" s="557" t="str">
        <f t="shared" si="15"/>
        <v/>
      </c>
      <c r="G324" s="558"/>
      <c r="H324" s="559" t="str">
        <f t="shared" si="16"/>
        <v/>
      </c>
      <c r="I324" s="560"/>
      <c r="J324" s="561"/>
      <c r="K324" s="561"/>
      <c r="L324" s="562"/>
      <c r="M324" s="563" t="str">
        <f t="shared" si="17"/>
        <v/>
      </c>
      <c r="N324" s="575"/>
      <c r="O324" s="575"/>
      <c r="P324" s="575"/>
      <c r="Q324" s="565"/>
      <c r="R324" s="566"/>
      <c r="S324" s="567"/>
      <c r="T324" s="568"/>
      <c r="U324" s="569"/>
      <c r="V324" s="570"/>
      <c r="W324" s="570"/>
      <c r="X324" s="571"/>
    </row>
    <row r="325" spans="1:24" ht="15.75" thickBot="1" x14ac:dyDescent="0.3">
      <c r="A325" s="451"/>
      <c r="B325" s="452"/>
      <c r="C325" s="555"/>
      <c r="D325" s="556"/>
      <c r="E325" s="556"/>
      <c r="F325" s="557" t="str">
        <f t="shared" si="15"/>
        <v/>
      </c>
      <c r="G325" s="558"/>
      <c r="H325" s="559" t="str">
        <f t="shared" si="16"/>
        <v/>
      </c>
      <c r="I325" s="560"/>
      <c r="J325" s="561"/>
      <c r="K325" s="561"/>
      <c r="L325" s="562"/>
      <c r="M325" s="563" t="str">
        <f t="shared" si="17"/>
        <v/>
      </c>
      <c r="N325" s="575"/>
      <c r="O325" s="575"/>
      <c r="P325" s="575"/>
      <c r="Q325" s="565"/>
      <c r="R325" s="566"/>
      <c r="S325" s="567"/>
      <c r="T325" s="568"/>
      <c r="U325" s="569"/>
      <c r="V325" s="570"/>
      <c r="W325" s="570"/>
      <c r="X325" s="571"/>
    </row>
    <row r="326" spans="1:24" ht="15.75" thickBot="1" x14ac:dyDescent="0.3">
      <c r="A326" s="451"/>
      <c r="B326" s="452"/>
      <c r="C326" s="555"/>
      <c r="D326" s="556"/>
      <c r="E326" s="556"/>
      <c r="F326" s="557" t="str">
        <f t="shared" si="15"/>
        <v/>
      </c>
      <c r="G326" s="558"/>
      <c r="H326" s="559" t="str">
        <f t="shared" si="16"/>
        <v/>
      </c>
      <c r="I326" s="560"/>
      <c r="J326" s="561"/>
      <c r="K326" s="561"/>
      <c r="L326" s="562"/>
      <c r="M326" s="563" t="str">
        <f t="shared" si="17"/>
        <v/>
      </c>
      <c r="N326" s="575"/>
      <c r="O326" s="575"/>
      <c r="P326" s="575"/>
      <c r="Q326" s="565"/>
      <c r="R326" s="566"/>
      <c r="S326" s="567"/>
      <c r="T326" s="568"/>
      <c r="U326" s="569"/>
      <c r="V326" s="570"/>
      <c r="W326" s="570"/>
      <c r="X326" s="571"/>
    </row>
    <row r="327" spans="1:24" ht="15.75" thickBot="1" x14ac:dyDescent="0.3">
      <c r="A327" s="451"/>
      <c r="B327" s="452"/>
      <c r="C327" s="555"/>
      <c r="D327" s="556"/>
      <c r="E327" s="556"/>
      <c r="F327" s="557" t="str">
        <f t="shared" si="15"/>
        <v/>
      </c>
      <c r="G327" s="558"/>
      <c r="H327" s="559" t="str">
        <f t="shared" si="16"/>
        <v/>
      </c>
      <c r="I327" s="560"/>
      <c r="J327" s="561"/>
      <c r="K327" s="561"/>
      <c r="L327" s="562"/>
      <c r="M327" s="563" t="str">
        <f t="shared" si="17"/>
        <v/>
      </c>
      <c r="N327" s="575"/>
      <c r="O327" s="575"/>
      <c r="P327" s="575"/>
      <c r="Q327" s="565"/>
      <c r="R327" s="566"/>
      <c r="S327" s="567"/>
      <c r="T327" s="568"/>
      <c r="U327" s="569"/>
      <c r="V327" s="570"/>
      <c r="W327" s="570"/>
      <c r="X327" s="571"/>
    </row>
    <row r="328" spans="1:24" ht="15.75" thickBot="1" x14ac:dyDescent="0.3">
      <c r="A328" s="451"/>
      <c r="B328" s="452"/>
      <c r="C328" s="555"/>
      <c r="D328" s="556"/>
      <c r="E328" s="556"/>
      <c r="F328" s="557" t="str">
        <f t="shared" ref="F328:F391" si="18">IF(SUM(Q328:U328)=0,"",SUM(Q328:U328))</f>
        <v/>
      </c>
      <c r="G328" s="558"/>
      <c r="H328" s="559" t="str">
        <f t="shared" ref="H328:H391" si="19">IF(F328&lt;&gt;"",C328/F328/24,"")</f>
        <v/>
      </c>
      <c r="I328" s="560"/>
      <c r="J328" s="561"/>
      <c r="K328" s="561"/>
      <c r="L328" s="562"/>
      <c r="M328" s="563" t="str">
        <f t="shared" ref="M328:M391" si="20">IF(OR(C328="",L328=""),"",L328/C328)</f>
        <v/>
      </c>
      <c r="N328" s="575"/>
      <c r="O328" s="575"/>
      <c r="P328" s="575"/>
      <c r="Q328" s="565"/>
      <c r="R328" s="566"/>
      <c r="S328" s="567"/>
      <c r="T328" s="568"/>
      <c r="U328" s="569"/>
      <c r="V328" s="570"/>
      <c r="W328" s="570"/>
      <c r="X328" s="571"/>
    </row>
    <row r="329" spans="1:24" ht="15.75" thickBot="1" x14ac:dyDescent="0.3">
      <c r="A329" s="451"/>
      <c r="B329" s="452"/>
      <c r="C329" s="555"/>
      <c r="D329" s="556"/>
      <c r="E329" s="556"/>
      <c r="F329" s="557" t="str">
        <f t="shared" si="18"/>
        <v/>
      </c>
      <c r="G329" s="558"/>
      <c r="H329" s="559" t="str">
        <f t="shared" si="19"/>
        <v/>
      </c>
      <c r="I329" s="560"/>
      <c r="J329" s="561"/>
      <c r="K329" s="561"/>
      <c r="L329" s="562"/>
      <c r="M329" s="563" t="str">
        <f t="shared" si="20"/>
        <v/>
      </c>
      <c r="N329" s="575"/>
      <c r="O329" s="575"/>
      <c r="P329" s="575"/>
      <c r="Q329" s="565"/>
      <c r="R329" s="566"/>
      <c r="S329" s="567"/>
      <c r="T329" s="568"/>
      <c r="U329" s="569"/>
      <c r="V329" s="570"/>
      <c r="W329" s="570"/>
      <c r="X329" s="571"/>
    </row>
    <row r="330" spans="1:24" ht="15.75" thickBot="1" x14ac:dyDescent="0.3">
      <c r="A330" s="451"/>
      <c r="B330" s="452"/>
      <c r="C330" s="555"/>
      <c r="D330" s="556"/>
      <c r="E330" s="556"/>
      <c r="F330" s="557" t="str">
        <f t="shared" si="18"/>
        <v/>
      </c>
      <c r="G330" s="558"/>
      <c r="H330" s="559" t="str">
        <f t="shared" si="19"/>
        <v/>
      </c>
      <c r="I330" s="560"/>
      <c r="J330" s="561"/>
      <c r="K330" s="561"/>
      <c r="L330" s="562"/>
      <c r="M330" s="563" t="str">
        <f t="shared" si="20"/>
        <v/>
      </c>
      <c r="N330" s="575"/>
      <c r="O330" s="575"/>
      <c r="P330" s="575"/>
      <c r="Q330" s="565"/>
      <c r="R330" s="566"/>
      <c r="S330" s="567"/>
      <c r="T330" s="568"/>
      <c r="U330" s="569"/>
      <c r="V330" s="570"/>
      <c r="W330" s="570"/>
      <c r="X330" s="571"/>
    </row>
    <row r="331" spans="1:24" ht="15.75" thickBot="1" x14ac:dyDescent="0.3">
      <c r="A331" s="451"/>
      <c r="B331" s="452"/>
      <c r="C331" s="555"/>
      <c r="D331" s="556"/>
      <c r="E331" s="556"/>
      <c r="F331" s="557" t="str">
        <f t="shared" si="18"/>
        <v/>
      </c>
      <c r="G331" s="558"/>
      <c r="H331" s="559" t="str">
        <f t="shared" si="19"/>
        <v/>
      </c>
      <c r="I331" s="560"/>
      <c r="J331" s="561"/>
      <c r="K331" s="561"/>
      <c r="L331" s="562"/>
      <c r="M331" s="563" t="str">
        <f t="shared" si="20"/>
        <v/>
      </c>
      <c r="N331" s="575"/>
      <c r="O331" s="575"/>
      <c r="P331" s="575"/>
      <c r="Q331" s="565"/>
      <c r="R331" s="566"/>
      <c r="S331" s="567"/>
      <c r="T331" s="568"/>
      <c r="U331" s="569"/>
      <c r="V331" s="570"/>
      <c r="W331" s="570"/>
      <c r="X331" s="571"/>
    </row>
    <row r="332" spans="1:24" ht="15.75" thickBot="1" x14ac:dyDescent="0.3">
      <c r="A332" s="451"/>
      <c r="B332" s="452"/>
      <c r="C332" s="555"/>
      <c r="D332" s="556"/>
      <c r="E332" s="556"/>
      <c r="F332" s="557" t="str">
        <f t="shared" si="18"/>
        <v/>
      </c>
      <c r="G332" s="558"/>
      <c r="H332" s="559" t="str">
        <f t="shared" si="19"/>
        <v/>
      </c>
      <c r="I332" s="560"/>
      <c r="J332" s="561"/>
      <c r="K332" s="561"/>
      <c r="L332" s="562"/>
      <c r="M332" s="563" t="str">
        <f t="shared" si="20"/>
        <v/>
      </c>
      <c r="N332" s="575"/>
      <c r="O332" s="575"/>
      <c r="P332" s="575"/>
      <c r="Q332" s="565"/>
      <c r="R332" s="566"/>
      <c r="S332" s="567"/>
      <c r="T332" s="568"/>
      <c r="U332" s="569"/>
      <c r="V332" s="570"/>
      <c r="W332" s="570"/>
      <c r="X332" s="571"/>
    </row>
    <row r="333" spans="1:24" ht="15.75" thickBot="1" x14ac:dyDescent="0.3">
      <c r="A333" s="451"/>
      <c r="B333" s="452"/>
      <c r="C333" s="555"/>
      <c r="D333" s="556"/>
      <c r="E333" s="556"/>
      <c r="F333" s="557" t="str">
        <f t="shared" si="18"/>
        <v/>
      </c>
      <c r="G333" s="558"/>
      <c r="H333" s="559" t="str">
        <f t="shared" si="19"/>
        <v/>
      </c>
      <c r="I333" s="560"/>
      <c r="J333" s="561"/>
      <c r="K333" s="561"/>
      <c r="L333" s="562"/>
      <c r="M333" s="563" t="str">
        <f t="shared" si="20"/>
        <v/>
      </c>
      <c r="N333" s="575"/>
      <c r="O333" s="575"/>
      <c r="P333" s="575"/>
      <c r="Q333" s="565"/>
      <c r="R333" s="566"/>
      <c r="S333" s="567"/>
      <c r="T333" s="568"/>
      <c r="U333" s="569"/>
      <c r="V333" s="570"/>
      <c r="W333" s="570"/>
      <c r="X333" s="571"/>
    </row>
    <row r="334" spans="1:24" ht="15.75" thickBot="1" x14ac:dyDescent="0.3">
      <c r="A334" s="451"/>
      <c r="B334" s="452"/>
      <c r="C334" s="555"/>
      <c r="D334" s="556"/>
      <c r="E334" s="556"/>
      <c r="F334" s="557" t="str">
        <f t="shared" si="18"/>
        <v/>
      </c>
      <c r="G334" s="558"/>
      <c r="H334" s="559" t="str">
        <f t="shared" si="19"/>
        <v/>
      </c>
      <c r="I334" s="560"/>
      <c r="J334" s="561"/>
      <c r="K334" s="561"/>
      <c r="L334" s="562"/>
      <c r="M334" s="563" t="str">
        <f t="shared" si="20"/>
        <v/>
      </c>
      <c r="N334" s="575"/>
      <c r="O334" s="575"/>
      <c r="P334" s="575"/>
      <c r="Q334" s="565"/>
      <c r="R334" s="566"/>
      <c r="S334" s="567"/>
      <c r="T334" s="568"/>
      <c r="U334" s="569"/>
      <c r="V334" s="570"/>
      <c r="W334" s="570"/>
      <c r="X334" s="571"/>
    </row>
    <row r="335" spans="1:24" ht="15.75" thickBot="1" x14ac:dyDescent="0.3">
      <c r="A335" s="451"/>
      <c r="B335" s="452"/>
      <c r="C335" s="555"/>
      <c r="D335" s="556"/>
      <c r="E335" s="556"/>
      <c r="F335" s="557" t="str">
        <f t="shared" si="18"/>
        <v/>
      </c>
      <c r="G335" s="558"/>
      <c r="H335" s="559" t="str">
        <f t="shared" si="19"/>
        <v/>
      </c>
      <c r="I335" s="560"/>
      <c r="J335" s="561"/>
      <c r="K335" s="561"/>
      <c r="L335" s="562"/>
      <c r="M335" s="563" t="str">
        <f t="shared" si="20"/>
        <v/>
      </c>
      <c r="N335" s="575"/>
      <c r="O335" s="575"/>
      <c r="P335" s="575"/>
      <c r="Q335" s="565"/>
      <c r="R335" s="566"/>
      <c r="S335" s="567"/>
      <c r="T335" s="568"/>
      <c r="U335" s="569"/>
      <c r="V335" s="570"/>
      <c r="W335" s="570"/>
      <c r="X335" s="571"/>
    </row>
    <row r="336" spans="1:24" ht="15.75" thickBot="1" x14ac:dyDescent="0.3">
      <c r="A336" s="451"/>
      <c r="B336" s="452"/>
      <c r="C336" s="555"/>
      <c r="D336" s="556"/>
      <c r="E336" s="556"/>
      <c r="F336" s="557" t="str">
        <f t="shared" si="18"/>
        <v/>
      </c>
      <c r="G336" s="558"/>
      <c r="H336" s="559" t="str">
        <f t="shared" si="19"/>
        <v/>
      </c>
      <c r="I336" s="560"/>
      <c r="J336" s="561"/>
      <c r="K336" s="561"/>
      <c r="L336" s="562"/>
      <c r="M336" s="563" t="str">
        <f t="shared" si="20"/>
        <v/>
      </c>
      <c r="N336" s="575"/>
      <c r="O336" s="575"/>
      <c r="P336" s="575"/>
      <c r="Q336" s="565"/>
      <c r="R336" s="566"/>
      <c r="S336" s="567"/>
      <c r="T336" s="568"/>
      <c r="U336" s="569"/>
      <c r="V336" s="570"/>
      <c r="W336" s="570"/>
      <c r="X336" s="571"/>
    </row>
    <row r="337" spans="1:24" ht="15.75" thickBot="1" x14ac:dyDescent="0.3">
      <c r="A337" s="451"/>
      <c r="B337" s="452"/>
      <c r="C337" s="555"/>
      <c r="D337" s="556"/>
      <c r="E337" s="556"/>
      <c r="F337" s="557" t="str">
        <f t="shared" si="18"/>
        <v/>
      </c>
      <c r="G337" s="558"/>
      <c r="H337" s="559" t="str">
        <f t="shared" si="19"/>
        <v/>
      </c>
      <c r="I337" s="560"/>
      <c r="J337" s="561"/>
      <c r="K337" s="561"/>
      <c r="L337" s="562"/>
      <c r="M337" s="563" t="str">
        <f t="shared" si="20"/>
        <v/>
      </c>
      <c r="N337" s="575"/>
      <c r="O337" s="575"/>
      <c r="P337" s="575"/>
      <c r="Q337" s="565"/>
      <c r="R337" s="566"/>
      <c r="S337" s="567"/>
      <c r="T337" s="568"/>
      <c r="U337" s="569"/>
      <c r="V337" s="570"/>
      <c r="W337" s="570"/>
      <c r="X337" s="571"/>
    </row>
    <row r="338" spans="1:24" ht="15.75" thickBot="1" x14ac:dyDescent="0.3">
      <c r="A338" s="451"/>
      <c r="B338" s="452"/>
      <c r="C338" s="555"/>
      <c r="D338" s="556"/>
      <c r="E338" s="556"/>
      <c r="F338" s="557" t="str">
        <f t="shared" si="18"/>
        <v/>
      </c>
      <c r="G338" s="558"/>
      <c r="H338" s="559" t="str">
        <f t="shared" si="19"/>
        <v/>
      </c>
      <c r="I338" s="560"/>
      <c r="J338" s="561"/>
      <c r="K338" s="561"/>
      <c r="L338" s="562"/>
      <c r="M338" s="563" t="str">
        <f t="shared" si="20"/>
        <v/>
      </c>
      <c r="N338" s="575"/>
      <c r="O338" s="575"/>
      <c r="P338" s="575"/>
      <c r="Q338" s="565"/>
      <c r="R338" s="566"/>
      <c r="S338" s="567"/>
      <c r="T338" s="568"/>
      <c r="U338" s="569"/>
      <c r="V338" s="570"/>
      <c r="W338" s="570"/>
      <c r="X338" s="571"/>
    </row>
    <row r="339" spans="1:24" ht="15.75" thickBot="1" x14ac:dyDescent="0.3">
      <c r="A339" s="451"/>
      <c r="B339" s="452"/>
      <c r="C339" s="555"/>
      <c r="D339" s="556"/>
      <c r="E339" s="556"/>
      <c r="F339" s="557" t="str">
        <f t="shared" si="18"/>
        <v/>
      </c>
      <c r="G339" s="558"/>
      <c r="H339" s="559" t="str">
        <f t="shared" si="19"/>
        <v/>
      </c>
      <c r="I339" s="560"/>
      <c r="J339" s="561"/>
      <c r="K339" s="561"/>
      <c r="L339" s="562"/>
      <c r="M339" s="563" t="str">
        <f t="shared" si="20"/>
        <v/>
      </c>
      <c r="N339" s="575"/>
      <c r="O339" s="575"/>
      <c r="P339" s="575"/>
      <c r="Q339" s="565"/>
      <c r="R339" s="566"/>
      <c r="S339" s="567"/>
      <c r="T339" s="568"/>
      <c r="U339" s="569"/>
      <c r="V339" s="570"/>
      <c r="W339" s="570"/>
      <c r="X339" s="571"/>
    </row>
    <row r="340" spans="1:24" ht="15.75" thickBot="1" x14ac:dyDescent="0.3">
      <c r="A340" s="451"/>
      <c r="B340" s="452"/>
      <c r="C340" s="555"/>
      <c r="D340" s="556"/>
      <c r="E340" s="556"/>
      <c r="F340" s="557" t="str">
        <f t="shared" si="18"/>
        <v/>
      </c>
      <c r="G340" s="558"/>
      <c r="H340" s="559" t="str">
        <f t="shared" si="19"/>
        <v/>
      </c>
      <c r="I340" s="560"/>
      <c r="J340" s="561"/>
      <c r="K340" s="561"/>
      <c r="L340" s="562"/>
      <c r="M340" s="563" t="str">
        <f t="shared" si="20"/>
        <v/>
      </c>
      <c r="N340" s="575"/>
      <c r="O340" s="575"/>
      <c r="P340" s="575"/>
      <c r="Q340" s="565"/>
      <c r="R340" s="566"/>
      <c r="S340" s="567"/>
      <c r="T340" s="568"/>
      <c r="U340" s="569"/>
      <c r="V340" s="570"/>
      <c r="W340" s="570"/>
      <c r="X340" s="571"/>
    </row>
    <row r="341" spans="1:24" ht="15.75" thickBot="1" x14ac:dyDescent="0.3">
      <c r="A341" s="451"/>
      <c r="B341" s="452"/>
      <c r="C341" s="555"/>
      <c r="D341" s="556"/>
      <c r="E341" s="556"/>
      <c r="F341" s="557" t="str">
        <f t="shared" si="18"/>
        <v/>
      </c>
      <c r="G341" s="558"/>
      <c r="H341" s="559" t="str">
        <f t="shared" si="19"/>
        <v/>
      </c>
      <c r="I341" s="560"/>
      <c r="J341" s="561"/>
      <c r="K341" s="561"/>
      <c r="L341" s="562"/>
      <c r="M341" s="563" t="str">
        <f t="shared" si="20"/>
        <v/>
      </c>
      <c r="N341" s="575"/>
      <c r="O341" s="575"/>
      <c r="P341" s="575"/>
      <c r="Q341" s="565"/>
      <c r="R341" s="566"/>
      <c r="S341" s="567"/>
      <c r="T341" s="568"/>
      <c r="U341" s="569"/>
      <c r="V341" s="570"/>
      <c r="W341" s="570"/>
      <c r="X341" s="571"/>
    </row>
    <row r="342" spans="1:24" ht="15.75" thickBot="1" x14ac:dyDescent="0.3">
      <c r="A342" s="451"/>
      <c r="B342" s="452"/>
      <c r="C342" s="555"/>
      <c r="D342" s="556"/>
      <c r="E342" s="556"/>
      <c r="F342" s="557" t="str">
        <f t="shared" si="18"/>
        <v/>
      </c>
      <c r="G342" s="558"/>
      <c r="H342" s="559" t="str">
        <f t="shared" si="19"/>
        <v/>
      </c>
      <c r="I342" s="560"/>
      <c r="J342" s="561"/>
      <c r="K342" s="561"/>
      <c r="L342" s="562"/>
      <c r="M342" s="563" t="str">
        <f t="shared" si="20"/>
        <v/>
      </c>
      <c r="N342" s="575"/>
      <c r="O342" s="575"/>
      <c r="P342" s="575"/>
      <c r="Q342" s="565"/>
      <c r="R342" s="566"/>
      <c r="S342" s="567"/>
      <c r="T342" s="568"/>
      <c r="U342" s="569"/>
      <c r="V342" s="570"/>
      <c r="W342" s="570"/>
      <c r="X342" s="571"/>
    </row>
    <row r="343" spans="1:24" ht="15.75" thickBot="1" x14ac:dyDescent="0.3">
      <c r="A343" s="451"/>
      <c r="B343" s="452"/>
      <c r="C343" s="555"/>
      <c r="D343" s="556"/>
      <c r="E343" s="556"/>
      <c r="F343" s="557" t="str">
        <f t="shared" si="18"/>
        <v/>
      </c>
      <c r="G343" s="558"/>
      <c r="H343" s="559" t="str">
        <f t="shared" si="19"/>
        <v/>
      </c>
      <c r="I343" s="560"/>
      <c r="J343" s="561"/>
      <c r="K343" s="561"/>
      <c r="L343" s="562"/>
      <c r="M343" s="563" t="str">
        <f t="shared" si="20"/>
        <v/>
      </c>
      <c r="N343" s="575"/>
      <c r="O343" s="575"/>
      <c r="P343" s="575"/>
      <c r="Q343" s="565"/>
      <c r="R343" s="566"/>
      <c r="S343" s="567"/>
      <c r="T343" s="568"/>
      <c r="U343" s="569"/>
      <c r="V343" s="570"/>
      <c r="W343" s="570"/>
      <c r="X343" s="571"/>
    </row>
    <row r="344" spans="1:24" ht="15.75" thickBot="1" x14ac:dyDescent="0.3">
      <c r="A344" s="451"/>
      <c r="B344" s="452"/>
      <c r="C344" s="555"/>
      <c r="D344" s="556"/>
      <c r="E344" s="556"/>
      <c r="F344" s="557" t="str">
        <f t="shared" si="18"/>
        <v/>
      </c>
      <c r="G344" s="558"/>
      <c r="H344" s="559" t="str">
        <f t="shared" si="19"/>
        <v/>
      </c>
      <c r="I344" s="560"/>
      <c r="J344" s="561"/>
      <c r="K344" s="561"/>
      <c r="L344" s="562"/>
      <c r="M344" s="563" t="str">
        <f t="shared" si="20"/>
        <v/>
      </c>
      <c r="N344" s="575"/>
      <c r="O344" s="575"/>
      <c r="P344" s="575"/>
      <c r="Q344" s="565"/>
      <c r="R344" s="566"/>
      <c r="S344" s="567"/>
      <c r="T344" s="568"/>
      <c r="U344" s="569"/>
      <c r="V344" s="570"/>
      <c r="W344" s="570"/>
      <c r="X344" s="571"/>
    </row>
    <row r="345" spans="1:24" ht="15.75" thickBot="1" x14ac:dyDescent="0.3">
      <c r="A345" s="451"/>
      <c r="B345" s="452"/>
      <c r="C345" s="555"/>
      <c r="D345" s="556"/>
      <c r="E345" s="556"/>
      <c r="F345" s="557" t="str">
        <f t="shared" si="18"/>
        <v/>
      </c>
      <c r="G345" s="558"/>
      <c r="H345" s="559" t="str">
        <f t="shared" si="19"/>
        <v/>
      </c>
      <c r="I345" s="560"/>
      <c r="J345" s="561"/>
      <c r="K345" s="561"/>
      <c r="L345" s="562"/>
      <c r="M345" s="563" t="str">
        <f t="shared" si="20"/>
        <v/>
      </c>
      <c r="N345" s="575"/>
      <c r="O345" s="575"/>
      <c r="P345" s="575"/>
      <c r="Q345" s="565"/>
      <c r="R345" s="566"/>
      <c r="S345" s="567"/>
      <c r="T345" s="568"/>
      <c r="U345" s="569"/>
      <c r="V345" s="570"/>
      <c r="W345" s="570"/>
      <c r="X345" s="571"/>
    </row>
    <row r="346" spans="1:24" ht="15.75" thickBot="1" x14ac:dyDescent="0.3">
      <c r="A346" s="451"/>
      <c r="B346" s="452"/>
      <c r="C346" s="555"/>
      <c r="D346" s="556"/>
      <c r="E346" s="556"/>
      <c r="F346" s="557" t="str">
        <f t="shared" si="18"/>
        <v/>
      </c>
      <c r="G346" s="558"/>
      <c r="H346" s="559" t="str">
        <f t="shared" si="19"/>
        <v/>
      </c>
      <c r="I346" s="560"/>
      <c r="J346" s="561"/>
      <c r="K346" s="561"/>
      <c r="L346" s="562"/>
      <c r="M346" s="563" t="str">
        <f t="shared" si="20"/>
        <v/>
      </c>
      <c r="N346" s="575"/>
      <c r="O346" s="575"/>
      <c r="P346" s="575"/>
      <c r="Q346" s="565"/>
      <c r="R346" s="566"/>
      <c r="S346" s="567"/>
      <c r="T346" s="568"/>
      <c r="U346" s="569"/>
      <c r="V346" s="570"/>
      <c r="W346" s="570"/>
      <c r="X346" s="571"/>
    </row>
    <row r="347" spans="1:24" ht="15.75" thickBot="1" x14ac:dyDescent="0.3">
      <c r="A347" s="451"/>
      <c r="B347" s="452"/>
      <c r="C347" s="555"/>
      <c r="D347" s="556"/>
      <c r="E347" s="556"/>
      <c r="F347" s="557" t="str">
        <f t="shared" si="18"/>
        <v/>
      </c>
      <c r="G347" s="558"/>
      <c r="H347" s="559" t="str">
        <f t="shared" si="19"/>
        <v/>
      </c>
      <c r="I347" s="560"/>
      <c r="J347" s="561"/>
      <c r="K347" s="561"/>
      <c r="L347" s="562"/>
      <c r="M347" s="563" t="str">
        <f t="shared" si="20"/>
        <v/>
      </c>
      <c r="N347" s="575"/>
      <c r="O347" s="575"/>
      <c r="P347" s="575"/>
      <c r="Q347" s="565"/>
      <c r="R347" s="566"/>
      <c r="S347" s="567"/>
      <c r="T347" s="568"/>
      <c r="U347" s="569"/>
      <c r="V347" s="570"/>
      <c r="W347" s="570"/>
      <c r="X347" s="571"/>
    </row>
    <row r="348" spans="1:24" ht="15.75" thickBot="1" x14ac:dyDescent="0.3">
      <c r="A348" s="451"/>
      <c r="B348" s="452"/>
      <c r="C348" s="555"/>
      <c r="D348" s="556"/>
      <c r="E348" s="556"/>
      <c r="F348" s="557" t="str">
        <f t="shared" si="18"/>
        <v/>
      </c>
      <c r="G348" s="558"/>
      <c r="H348" s="559" t="str">
        <f t="shared" si="19"/>
        <v/>
      </c>
      <c r="I348" s="560"/>
      <c r="J348" s="561"/>
      <c r="K348" s="561"/>
      <c r="L348" s="562"/>
      <c r="M348" s="563" t="str">
        <f t="shared" si="20"/>
        <v/>
      </c>
      <c r="N348" s="575"/>
      <c r="O348" s="575"/>
      <c r="P348" s="575"/>
      <c r="Q348" s="565"/>
      <c r="R348" s="566"/>
      <c r="S348" s="567"/>
      <c r="T348" s="568"/>
      <c r="U348" s="569"/>
      <c r="V348" s="570"/>
      <c r="W348" s="570"/>
      <c r="X348" s="571"/>
    </row>
    <row r="349" spans="1:24" ht="15.75" thickBot="1" x14ac:dyDescent="0.3">
      <c r="A349" s="451"/>
      <c r="B349" s="452"/>
      <c r="C349" s="555"/>
      <c r="D349" s="556"/>
      <c r="E349" s="556"/>
      <c r="F349" s="557" t="str">
        <f t="shared" si="18"/>
        <v/>
      </c>
      <c r="G349" s="558"/>
      <c r="H349" s="559" t="str">
        <f t="shared" si="19"/>
        <v/>
      </c>
      <c r="I349" s="560"/>
      <c r="J349" s="561"/>
      <c r="K349" s="561"/>
      <c r="L349" s="562"/>
      <c r="M349" s="563" t="str">
        <f t="shared" si="20"/>
        <v/>
      </c>
      <c r="N349" s="575"/>
      <c r="O349" s="575"/>
      <c r="P349" s="575"/>
      <c r="Q349" s="565"/>
      <c r="R349" s="566"/>
      <c r="S349" s="567"/>
      <c r="T349" s="568"/>
      <c r="U349" s="569"/>
      <c r="V349" s="570"/>
      <c r="W349" s="570"/>
      <c r="X349" s="571"/>
    </row>
    <row r="350" spans="1:24" ht="15.75" thickBot="1" x14ac:dyDescent="0.3">
      <c r="A350" s="451"/>
      <c r="B350" s="452"/>
      <c r="C350" s="555"/>
      <c r="D350" s="556"/>
      <c r="E350" s="556"/>
      <c r="F350" s="557" t="str">
        <f t="shared" si="18"/>
        <v/>
      </c>
      <c r="G350" s="558"/>
      <c r="H350" s="559" t="str">
        <f t="shared" si="19"/>
        <v/>
      </c>
      <c r="I350" s="560"/>
      <c r="J350" s="561"/>
      <c r="K350" s="561"/>
      <c r="L350" s="562"/>
      <c r="M350" s="563" t="str">
        <f t="shared" si="20"/>
        <v/>
      </c>
      <c r="N350" s="575"/>
      <c r="O350" s="575"/>
      <c r="P350" s="575"/>
      <c r="Q350" s="565"/>
      <c r="R350" s="566"/>
      <c r="S350" s="567"/>
      <c r="T350" s="568"/>
      <c r="U350" s="569"/>
      <c r="V350" s="570"/>
      <c r="W350" s="570"/>
      <c r="X350" s="571"/>
    </row>
    <row r="351" spans="1:24" ht="15.75" thickBot="1" x14ac:dyDescent="0.3">
      <c r="A351" s="451"/>
      <c r="B351" s="452"/>
      <c r="C351" s="555"/>
      <c r="D351" s="556"/>
      <c r="E351" s="556"/>
      <c r="F351" s="557" t="str">
        <f t="shared" si="18"/>
        <v/>
      </c>
      <c r="G351" s="558"/>
      <c r="H351" s="559" t="str">
        <f t="shared" si="19"/>
        <v/>
      </c>
      <c r="I351" s="560"/>
      <c r="J351" s="561"/>
      <c r="K351" s="561"/>
      <c r="L351" s="562"/>
      <c r="M351" s="563" t="str">
        <f t="shared" si="20"/>
        <v/>
      </c>
      <c r="N351" s="575"/>
      <c r="O351" s="575"/>
      <c r="P351" s="575"/>
      <c r="Q351" s="565"/>
      <c r="R351" s="566"/>
      <c r="S351" s="567"/>
      <c r="T351" s="568"/>
      <c r="U351" s="569"/>
      <c r="V351" s="570"/>
      <c r="W351" s="570"/>
      <c r="X351" s="571"/>
    </row>
    <row r="352" spans="1:24" ht="15.75" thickBot="1" x14ac:dyDescent="0.3">
      <c r="A352" s="451"/>
      <c r="B352" s="452"/>
      <c r="C352" s="555"/>
      <c r="D352" s="556"/>
      <c r="E352" s="556"/>
      <c r="F352" s="557" t="str">
        <f t="shared" si="18"/>
        <v/>
      </c>
      <c r="G352" s="558"/>
      <c r="H352" s="559" t="str">
        <f t="shared" si="19"/>
        <v/>
      </c>
      <c r="I352" s="560"/>
      <c r="J352" s="561"/>
      <c r="K352" s="561"/>
      <c r="L352" s="562"/>
      <c r="M352" s="563" t="str">
        <f t="shared" si="20"/>
        <v/>
      </c>
      <c r="N352" s="575"/>
      <c r="O352" s="575"/>
      <c r="P352" s="575"/>
      <c r="Q352" s="565"/>
      <c r="R352" s="566"/>
      <c r="S352" s="567"/>
      <c r="T352" s="568"/>
      <c r="U352" s="569"/>
      <c r="V352" s="570"/>
      <c r="W352" s="570"/>
      <c r="X352" s="571"/>
    </row>
    <row r="353" spans="1:24" ht="15.75" thickBot="1" x14ac:dyDescent="0.3">
      <c r="A353" s="451"/>
      <c r="B353" s="452"/>
      <c r="C353" s="555"/>
      <c r="D353" s="556"/>
      <c r="E353" s="556"/>
      <c r="F353" s="557" t="str">
        <f t="shared" si="18"/>
        <v/>
      </c>
      <c r="G353" s="558"/>
      <c r="H353" s="559" t="str">
        <f t="shared" si="19"/>
        <v/>
      </c>
      <c r="I353" s="560"/>
      <c r="J353" s="561"/>
      <c r="K353" s="561"/>
      <c r="L353" s="562"/>
      <c r="M353" s="563" t="str">
        <f t="shared" si="20"/>
        <v/>
      </c>
      <c r="N353" s="575"/>
      <c r="O353" s="575"/>
      <c r="P353" s="575"/>
      <c r="Q353" s="565"/>
      <c r="R353" s="566"/>
      <c r="S353" s="567"/>
      <c r="T353" s="568"/>
      <c r="U353" s="569"/>
      <c r="V353" s="570"/>
      <c r="W353" s="570"/>
      <c r="X353" s="571"/>
    </row>
    <row r="354" spans="1:24" ht="15.75" thickBot="1" x14ac:dyDescent="0.3">
      <c r="A354" s="451"/>
      <c r="B354" s="452"/>
      <c r="C354" s="555"/>
      <c r="D354" s="556"/>
      <c r="E354" s="556"/>
      <c r="F354" s="557" t="str">
        <f t="shared" si="18"/>
        <v/>
      </c>
      <c r="G354" s="558"/>
      <c r="H354" s="559" t="str">
        <f t="shared" si="19"/>
        <v/>
      </c>
      <c r="I354" s="560"/>
      <c r="J354" s="561"/>
      <c r="K354" s="561"/>
      <c r="L354" s="562"/>
      <c r="M354" s="563" t="str">
        <f t="shared" si="20"/>
        <v/>
      </c>
      <c r="N354" s="575"/>
      <c r="O354" s="575"/>
      <c r="P354" s="575"/>
      <c r="Q354" s="565"/>
      <c r="R354" s="566"/>
      <c r="S354" s="567"/>
      <c r="T354" s="568"/>
      <c r="U354" s="569"/>
      <c r="V354" s="570"/>
      <c r="W354" s="570"/>
      <c r="X354" s="571"/>
    </row>
    <row r="355" spans="1:24" ht="15.75" thickBot="1" x14ac:dyDescent="0.3">
      <c r="A355" s="451"/>
      <c r="B355" s="452"/>
      <c r="C355" s="555"/>
      <c r="D355" s="556"/>
      <c r="E355" s="556"/>
      <c r="F355" s="557" t="str">
        <f t="shared" si="18"/>
        <v/>
      </c>
      <c r="G355" s="558"/>
      <c r="H355" s="559" t="str">
        <f t="shared" si="19"/>
        <v/>
      </c>
      <c r="I355" s="560"/>
      <c r="J355" s="561"/>
      <c r="K355" s="561"/>
      <c r="L355" s="562"/>
      <c r="M355" s="563" t="str">
        <f t="shared" si="20"/>
        <v/>
      </c>
      <c r="N355" s="575"/>
      <c r="O355" s="575"/>
      <c r="P355" s="575"/>
      <c r="Q355" s="565"/>
      <c r="R355" s="566"/>
      <c r="S355" s="567"/>
      <c r="T355" s="568"/>
      <c r="U355" s="569"/>
      <c r="V355" s="570"/>
      <c r="W355" s="570"/>
      <c r="X355" s="571"/>
    </row>
    <row r="356" spans="1:24" ht="15.75" thickBot="1" x14ac:dyDescent="0.3">
      <c r="A356" s="451"/>
      <c r="B356" s="452"/>
      <c r="C356" s="555"/>
      <c r="D356" s="556"/>
      <c r="E356" s="556"/>
      <c r="F356" s="557" t="str">
        <f t="shared" si="18"/>
        <v/>
      </c>
      <c r="G356" s="558"/>
      <c r="H356" s="559" t="str">
        <f t="shared" si="19"/>
        <v/>
      </c>
      <c r="I356" s="560"/>
      <c r="J356" s="561"/>
      <c r="K356" s="561"/>
      <c r="L356" s="562"/>
      <c r="M356" s="563" t="str">
        <f t="shared" si="20"/>
        <v/>
      </c>
      <c r="N356" s="575"/>
      <c r="O356" s="575"/>
      <c r="P356" s="575"/>
      <c r="Q356" s="565"/>
      <c r="R356" s="566"/>
      <c r="S356" s="567"/>
      <c r="T356" s="568"/>
      <c r="U356" s="569"/>
      <c r="V356" s="570"/>
      <c r="W356" s="570"/>
      <c r="X356" s="571"/>
    </row>
    <row r="357" spans="1:24" ht="15.75" thickBot="1" x14ac:dyDescent="0.3">
      <c r="A357" s="451"/>
      <c r="B357" s="452"/>
      <c r="C357" s="555"/>
      <c r="D357" s="556"/>
      <c r="E357" s="556"/>
      <c r="F357" s="557" t="str">
        <f t="shared" si="18"/>
        <v/>
      </c>
      <c r="G357" s="558"/>
      <c r="H357" s="559" t="str">
        <f t="shared" si="19"/>
        <v/>
      </c>
      <c r="I357" s="560"/>
      <c r="J357" s="561"/>
      <c r="K357" s="561"/>
      <c r="L357" s="562"/>
      <c r="M357" s="563" t="str">
        <f t="shared" si="20"/>
        <v/>
      </c>
      <c r="N357" s="575"/>
      <c r="O357" s="575"/>
      <c r="P357" s="575"/>
      <c r="Q357" s="565"/>
      <c r="R357" s="566"/>
      <c r="S357" s="567"/>
      <c r="T357" s="568"/>
      <c r="U357" s="569"/>
      <c r="V357" s="570"/>
      <c r="W357" s="570"/>
      <c r="X357" s="571"/>
    </row>
    <row r="358" spans="1:24" ht="15.75" thickBot="1" x14ac:dyDescent="0.3">
      <c r="A358" s="451"/>
      <c r="B358" s="452"/>
      <c r="C358" s="555"/>
      <c r="D358" s="556"/>
      <c r="E358" s="556"/>
      <c r="F358" s="557" t="str">
        <f t="shared" si="18"/>
        <v/>
      </c>
      <c r="G358" s="558"/>
      <c r="H358" s="559" t="str">
        <f t="shared" si="19"/>
        <v/>
      </c>
      <c r="I358" s="560"/>
      <c r="J358" s="561"/>
      <c r="K358" s="561"/>
      <c r="L358" s="562"/>
      <c r="M358" s="563" t="str">
        <f t="shared" si="20"/>
        <v/>
      </c>
      <c r="N358" s="575"/>
      <c r="O358" s="575"/>
      <c r="P358" s="575"/>
      <c r="Q358" s="565"/>
      <c r="R358" s="566"/>
      <c r="S358" s="567"/>
      <c r="T358" s="568"/>
      <c r="U358" s="569"/>
      <c r="V358" s="570"/>
      <c r="W358" s="570"/>
      <c r="X358" s="571"/>
    </row>
    <row r="359" spans="1:24" ht="15.75" thickBot="1" x14ac:dyDescent="0.3">
      <c r="A359" s="451"/>
      <c r="B359" s="452"/>
      <c r="C359" s="555"/>
      <c r="D359" s="556"/>
      <c r="E359" s="556"/>
      <c r="F359" s="557" t="str">
        <f t="shared" si="18"/>
        <v/>
      </c>
      <c r="G359" s="558"/>
      <c r="H359" s="559" t="str">
        <f t="shared" si="19"/>
        <v/>
      </c>
      <c r="I359" s="560"/>
      <c r="J359" s="561"/>
      <c r="K359" s="561"/>
      <c r="L359" s="562"/>
      <c r="M359" s="563" t="str">
        <f t="shared" si="20"/>
        <v/>
      </c>
      <c r="N359" s="575"/>
      <c r="O359" s="575"/>
      <c r="P359" s="575"/>
      <c r="Q359" s="565"/>
      <c r="R359" s="566"/>
      <c r="S359" s="567"/>
      <c r="T359" s="568"/>
      <c r="U359" s="569"/>
      <c r="V359" s="570"/>
      <c r="W359" s="570"/>
      <c r="X359" s="571"/>
    </row>
    <row r="360" spans="1:24" ht="15.75" thickBot="1" x14ac:dyDescent="0.3">
      <c r="A360" s="451"/>
      <c r="B360" s="452"/>
      <c r="C360" s="555"/>
      <c r="D360" s="556"/>
      <c r="E360" s="556"/>
      <c r="F360" s="557" t="str">
        <f t="shared" si="18"/>
        <v/>
      </c>
      <c r="G360" s="558"/>
      <c r="H360" s="559" t="str">
        <f t="shared" si="19"/>
        <v/>
      </c>
      <c r="I360" s="560"/>
      <c r="J360" s="561"/>
      <c r="K360" s="561"/>
      <c r="L360" s="562"/>
      <c r="M360" s="563" t="str">
        <f t="shared" si="20"/>
        <v/>
      </c>
      <c r="N360" s="575"/>
      <c r="O360" s="575"/>
      <c r="P360" s="575"/>
      <c r="Q360" s="565"/>
      <c r="R360" s="566"/>
      <c r="S360" s="567"/>
      <c r="T360" s="568"/>
      <c r="U360" s="569"/>
      <c r="V360" s="570"/>
      <c r="W360" s="570"/>
      <c r="X360" s="571"/>
    </row>
    <row r="361" spans="1:24" ht="15.75" thickBot="1" x14ac:dyDescent="0.3">
      <c r="A361" s="451"/>
      <c r="B361" s="452"/>
      <c r="C361" s="555"/>
      <c r="D361" s="556"/>
      <c r="E361" s="556"/>
      <c r="F361" s="557" t="str">
        <f t="shared" si="18"/>
        <v/>
      </c>
      <c r="G361" s="558"/>
      <c r="H361" s="559" t="str">
        <f t="shared" si="19"/>
        <v/>
      </c>
      <c r="I361" s="560"/>
      <c r="J361" s="561"/>
      <c r="K361" s="561"/>
      <c r="L361" s="562"/>
      <c r="M361" s="563" t="str">
        <f t="shared" si="20"/>
        <v/>
      </c>
      <c r="N361" s="575"/>
      <c r="O361" s="575"/>
      <c r="P361" s="575"/>
      <c r="Q361" s="565"/>
      <c r="R361" s="566"/>
      <c r="S361" s="567"/>
      <c r="T361" s="568"/>
      <c r="U361" s="569"/>
      <c r="V361" s="570"/>
      <c r="W361" s="570"/>
      <c r="X361" s="571"/>
    </row>
    <row r="362" spans="1:24" ht="15.75" thickBot="1" x14ac:dyDescent="0.3">
      <c r="A362" s="451"/>
      <c r="B362" s="452"/>
      <c r="C362" s="555"/>
      <c r="D362" s="556"/>
      <c r="E362" s="556"/>
      <c r="F362" s="557" t="str">
        <f t="shared" si="18"/>
        <v/>
      </c>
      <c r="G362" s="558"/>
      <c r="H362" s="559" t="str">
        <f t="shared" si="19"/>
        <v/>
      </c>
      <c r="I362" s="560"/>
      <c r="J362" s="561"/>
      <c r="K362" s="561"/>
      <c r="L362" s="562"/>
      <c r="M362" s="563" t="str">
        <f t="shared" si="20"/>
        <v/>
      </c>
      <c r="N362" s="575"/>
      <c r="O362" s="575"/>
      <c r="P362" s="575"/>
      <c r="Q362" s="565"/>
      <c r="R362" s="566"/>
      <c r="S362" s="567"/>
      <c r="T362" s="568"/>
      <c r="U362" s="569"/>
      <c r="V362" s="570"/>
      <c r="W362" s="570"/>
      <c r="X362" s="571"/>
    </row>
    <row r="363" spans="1:24" ht="15.75" thickBot="1" x14ac:dyDescent="0.3">
      <c r="A363" s="451"/>
      <c r="B363" s="452"/>
      <c r="C363" s="555"/>
      <c r="D363" s="556"/>
      <c r="E363" s="556"/>
      <c r="F363" s="557" t="str">
        <f t="shared" si="18"/>
        <v/>
      </c>
      <c r="G363" s="558"/>
      <c r="H363" s="559" t="str">
        <f t="shared" si="19"/>
        <v/>
      </c>
      <c r="I363" s="560"/>
      <c r="J363" s="561"/>
      <c r="K363" s="561"/>
      <c r="L363" s="562"/>
      <c r="M363" s="563" t="str">
        <f t="shared" si="20"/>
        <v/>
      </c>
      <c r="N363" s="575"/>
      <c r="O363" s="575"/>
      <c r="P363" s="575"/>
      <c r="Q363" s="565"/>
      <c r="R363" s="566"/>
      <c r="S363" s="567"/>
      <c r="T363" s="568"/>
      <c r="U363" s="569"/>
      <c r="V363" s="570"/>
      <c r="W363" s="570"/>
      <c r="X363" s="571"/>
    </row>
    <row r="364" spans="1:24" ht="15.75" thickBot="1" x14ac:dyDescent="0.3">
      <c r="A364" s="451"/>
      <c r="B364" s="452"/>
      <c r="C364" s="555"/>
      <c r="D364" s="556"/>
      <c r="E364" s="556"/>
      <c r="F364" s="557" t="str">
        <f t="shared" si="18"/>
        <v/>
      </c>
      <c r="G364" s="558"/>
      <c r="H364" s="559" t="str">
        <f t="shared" si="19"/>
        <v/>
      </c>
      <c r="I364" s="560"/>
      <c r="J364" s="561"/>
      <c r="K364" s="561"/>
      <c r="L364" s="562"/>
      <c r="M364" s="563" t="str">
        <f t="shared" si="20"/>
        <v/>
      </c>
      <c r="N364" s="575"/>
      <c r="O364" s="575"/>
      <c r="P364" s="575"/>
      <c r="Q364" s="565"/>
      <c r="R364" s="566"/>
      <c r="S364" s="567"/>
      <c r="T364" s="568"/>
      <c r="U364" s="569"/>
      <c r="V364" s="570"/>
      <c r="W364" s="570"/>
      <c r="X364" s="571"/>
    </row>
    <row r="365" spans="1:24" ht="15.75" thickBot="1" x14ac:dyDescent="0.3">
      <c r="A365" s="451"/>
      <c r="B365" s="452"/>
      <c r="C365" s="555"/>
      <c r="D365" s="556"/>
      <c r="E365" s="556"/>
      <c r="F365" s="557" t="str">
        <f t="shared" si="18"/>
        <v/>
      </c>
      <c r="G365" s="558"/>
      <c r="H365" s="559" t="str">
        <f t="shared" si="19"/>
        <v/>
      </c>
      <c r="I365" s="560"/>
      <c r="J365" s="561"/>
      <c r="K365" s="561"/>
      <c r="L365" s="562"/>
      <c r="M365" s="563" t="str">
        <f t="shared" si="20"/>
        <v/>
      </c>
      <c r="N365" s="575"/>
      <c r="O365" s="575"/>
      <c r="P365" s="575"/>
      <c r="Q365" s="565"/>
      <c r="R365" s="566"/>
      <c r="S365" s="567"/>
      <c r="T365" s="568"/>
      <c r="U365" s="569"/>
      <c r="V365" s="570"/>
      <c r="W365" s="570"/>
      <c r="X365" s="571"/>
    </row>
    <row r="366" spans="1:24" ht="15.75" thickBot="1" x14ac:dyDescent="0.3">
      <c r="A366" s="451"/>
      <c r="B366" s="452"/>
      <c r="C366" s="555"/>
      <c r="D366" s="556"/>
      <c r="E366" s="556"/>
      <c r="F366" s="557" t="str">
        <f t="shared" si="18"/>
        <v/>
      </c>
      <c r="G366" s="558"/>
      <c r="H366" s="559" t="str">
        <f t="shared" si="19"/>
        <v/>
      </c>
      <c r="I366" s="560"/>
      <c r="J366" s="561"/>
      <c r="K366" s="561"/>
      <c r="L366" s="562"/>
      <c r="M366" s="563" t="str">
        <f t="shared" si="20"/>
        <v/>
      </c>
      <c r="N366" s="575"/>
      <c r="O366" s="575"/>
      <c r="P366" s="575"/>
      <c r="Q366" s="565"/>
      <c r="R366" s="566"/>
      <c r="S366" s="567"/>
      <c r="T366" s="568"/>
      <c r="U366" s="569"/>
      <c r="V366" s="570"/>
      <c r="W366" s="570"/>
      <c r="X366" s="571"/>
    </row>
    <row r="367" spans="1:24" ht="15.75" thickBot="1" x14ac:dyDescent="0.3">
      <c r="A367" s="451"/>
      <c r="B367" s="452"/>
      <c r="C367" s="555"/>
      <c r="D367" s="556"/>
      <c r="E367" s="556"/>
      <c r="F367" s="557" t="str">
        <f t="shared" si="18"/>
        <v/>
      </c>
      <c r="G367" s="558"/>
      <c r="H367" s="559" t="str">
        <f t="shared" si="19"/>
        <v/>
      </c>
      <c r="I367" s="560"/>
      <c r="J367" s="561"/>
      <c r="K367" s="561"/>
      <c r="L367" s="562"/>
      <c r="M367" s="563" t="str">
        <f t="shared" si="20"/>
        <v/>
      </c>
      <c r="N367" s="575"/>
      <c r="O367" s="575"/>
      <c r="P367" s="575"/>
      <c r="Q367" s="565"/>
      <c r="R367" s="566"/>
      <c r="S367" s="567"/>
      <c r="T367" s="568"/>
      <c r="U367" s="569"/>
      <c r="V367" s="570"/>
      <c r="W367" s="570"/>
      <c r="X367" s="571"/>
    </row>
    <row r="368" spans="1:24" ht="15.75" thickBot="1" x14ac:dyDescent="0.3">
      <c r="A368" s="451"/>
      <c r="B368" s="452"/>
      <c r="C368" s="555"/>
      <c r="D368" s="556"/>
      <c r="E368" s="556"/>
      <c r="F368" s="557" t="str">
        <f t="shared" si="18"/>
        <v/>
      </c>
      <c r="G368" s="558"/>
      <c r="H368" s="559" t="str">
        <f t="shared" si="19"/>
        <v/>
      </c>
      <c r="I368" s="560"/>
      <c r="J368" s="561"/>
      <c r="K368" s="561"/>
      <c r="L368" s="562"/>
      <c r="M368" s="563" t="str">
        <f t="shared" si="20"/>
        <v/>
      </c>
      <c r="N368" s="575"/>
      <c r="O368" s="575"/>
      <c r="P368" s="575"/>
      <c r="Q368" s="565"/>
      <c r="R368" s="566"/>
      <c r="S368" s="567"/>
      <c r="T368" s="568"/>
      <c r="U368" s="569"/>
      <c r="V368" s="570"/>
      <c r="W368" s="570"/>
      <c r="X368" s="571"/>
    </row>
    <row r="369" spans="1:24" ht="15.75" thickBot="1" x14ac:dyDescent="0.3">
      <c r="A369" s="451"/>
      <c r="B369" s="452"/>
      <c r="C369" s="555"/>
      <c r="D369" s="556"/>
      <c r="E369" s="556"/>
      <c r="F369" s="557" t="str">
        <f t="shared" si="18"/>
        <v/>
      </c>
      <c r="G369" s="558"/>
      <c r="H369" s="559" t="str">
        <f t="shared" si="19"/>
        <v/>
      </c>
      <c r="I369" s="560"/>
      <c r="J369" s="561"/>
      <c r="K369" s="561"/>
      <c r="L369" s="562"/>
      <c r="M369" s="563" t="str">
        <f t="shared" si="20"/>
        <v/>
      </c>
      <c r="N369" s="575"/>
      <c r="O369" s="575"/>
      <c r="P369" s="575"/>
      <c r="Q369" s="565"/>
      <c r="R369" s="566"/>
      <c r="S369" s="567"/>
      <c r="T369" s="568"/>
      <c r="U369" s="569"/>
      <c r="V369" s="570"/>
      <c r="W369" s="570"/>
      <c r="X369" s="571"/>
    </row>
    <row r="370" spans="1:24" ht="15.75" thickBot="1" x14ac:dyDescent="0.3">
      <c r="A370" s="451"/>
      <c r="B370" s="452"/>
      <c r="C370" s="555"/>
      <c r="D370" s="556"/>
      <c r="E370" s="556"/>
      <c r="F370" s="557" t="str">
        <f t="shared" si="18"/>
        <v/>
      </c>
      <c r="G370" s="558"/>
      <c r="H370" s="559" t="str">
        <f t="shared" si="19"/>
        <v/>
      </c>
      <c r="I370" s="560"/>
      <c r="J370" s="561"/>
      <c r="K370" s="561"/>
      <c r="L370" s="562"/>
      <c r="M370" s="563" t="str">
        <f t="shared" si="20"/>
        <v/>
      </c>
      <c r="N370" s="575"/>
      <c r="O370" s="575"/>
      <c r="P370" s="575"/>
      <c r="Q370" s="565"/>
      <c r="R370" s="566"/>
      <c r="S370" s="567"/>
      <c r="T370" s="568"/>
      <c r="U370" s="569"/>
      <c r="V370" s="570"/>
      <c r="W370" s="570"/>
      <c r="X370" s="571"/>
    </row>
    <row r="371" spans="1:24" ht="15.75" thickBot="1" x14ac:dyDescent="0.3">
      <c r="A371" s="451"/>
      <c r="B371" s="452"/>
      <c r="C371" s="555"/>
      <c r="D371" s="556"/>
      <c r="E371" s="556"/>
      <c r="F371" s="557" t="str">
        <f t="shared" si="18"/>
        <v/>
      </c>
      <c r="G371" s="558"/>
      <c r="H371" s="559" t="str">
        <f t="shared" si="19"/>
        <v/>
      </c>
      <c r="I371" s="560"/>
      <c r="J371" s="561"/>
      <c r="K371" s="561"/>
      <c r="L371" s="562"/>
      <c r="M371" s="563" t="str">
        <f t="shared" si="20"/>
        <v/>
      </c>
      <c r="N371" s="575"/>
      <c r="O371" s="575"/>
      <c r="P371" s="575"/>
      <c r="Q371" s="565"/>
      <c r="R371" s="566"/>
      <c r="S371" s="567"/>
      <c r="T371" s="568"/>
      <c r="U371" s="569"/>
      <c r="V371" s="570"/>
      <c r="W371" s="570"/>
      <c r="X371" s="571"/>
    </row>
    <row r="372" spans="1:24" ht="15.75" thickBot="1" x14ac:dyDescent="0.3">
      <c r="A372" s="451"/>
      <c r="B372" s="452"/>
      <c r="C372" s="555"/>
      <c r="D372" s="556"/>
      <c r="E372" s="556"/>
      <c r="F372" s="557" t="str">
        <f t="shared" si="18"/>
        <v/>
      </c>
      <c r="G372" s="558"/>
      <c r="H372" s="559" t="str">
        <f t="shared" si="19"/>
        <v/>
      </c>
      <c r="I372" s="560"/>
      <c r="J372" s="561"/>
      <c r="K372" s="561"/>
      <c r="L372" s="562"/>
      <c r="M372" s="563" t="str">
        <f t="shared" si="20"/>
        <v/>
      </c>
      <c r="N372" s="575"/>
      <c r="O372" s="575"/>
      <c r="P372" s="575"/>
      <c r="Q372" s="565"/>
      <c r="R372" s="566"/>
      <c r="S372" s="567"/>
      <c r="T372" s="568"/>
      <c r="U372" s="569"/>
      <c r="V372" s="570"/>
      <c r="W372" s="570"/>
      <c r="X372" s="571"/>
    </row>
    <row r="373" spans="1:24" ht="15.75" thickBot="1" x14ac:dyDescent="0.3">
      <c r="A373" s="451"/>
      <c r="B373" s="452"/>
      <c r="C373" s="555"/>
      <c r="D373" s="556"/>
      <c r="E373" s="556"/>
      <c r="F373" s="557" t="str">
        <f t="shared" si="18"/>
        <v/>
      </c>
      <c r="G373" s="558"/>
      <c r="H373" s="559" t="str">
        <f t="shared" si="19"/>
        <v/>
      </c>
      <c r="I373" s="560"/>
      <c r="J373" s="561"/>
      <c r="K373" s="561"/>
      <c r="L373" s="562"/>
      <c r="M373" s="563" t="str">
        <f t="shared" si="20"/>
        <v/>
      </c>
      <c r="N373" s="575"/>
      <c r="O373" s="575"/>
      <c r="P373" s="575"/>
      <c r="Q373" s="565"/>
      <c r="R373" s="566"/>
      <c r="S373" s="567"/>
      <c r="T373" s="568"/>
      <c r="U373" s="569"/>
      <c r="V373" s="570"/>
      <c r="W373" s="570"/>
      <c r="X373" s="571"/>
    </row>
    <row r="374" spans="1:24" ht="15.75" thickBot="1" x14ac:dyDescent="0.3">
      <c r="A374" s="451"/>
      <c r="B374" s="452"/>
      <c r="C374" s="555"/>
      <c r="D374" s="556"/>
      <c r="E374" s="556"/>
      <c r="F374" s="557" t="str">
        <f t="shared" si="18"/>
        <v/>
      </c>
      <c r="G374" s="558"/>
      <c r="H374" s="559" t="str">
        <f t="shared" si="19"/>
        <v/>
      </c>
      <c r="I374" s="560"/>
      <c r="J374" s="561"/>
      <c r="K374" s="561"/>
      <c r="L374" s="562"/>
      <c r="M374" s="563" t="str">
        <f t="shared" si="20"/>
        <v/>
      </c>
      <c r="N374" s="575"/>
      <c r="O374" s="575"/>
      <c r="P374" s="575"/>
      <c r="Q374" s="565"/>
      <c r="R374" s="566"/>
      <c r="S374" s="567"/>
      <c r="T374" s="568"/>
      <c r="U374" s="569"/>
      <c r="V374" s="570"/>
      <c r="W374" s="570"/>
      <c r="X374" s="571"/>
    </row>
    <row r="375" spans="1:24" ht="15.75" thickBot="1" x14ac:dyDescent="0.3">
      <c r="A375" s="451"/>
      <c r="B375" s="452"/>
      <c r="C375" s="555"/>
      <c r="D375" s="556"/>
      <c r="E375" s="556"/>
      <c r="F375" s="557" t="str">
        <f t="shared" si="18"/>
        <v/>
      </c>
      <c r="G375" s="558"/>
      <c r="H375" s="559" t="str">
        <f t="shared" si="19"/>
        <v/>
      </c>
      <c r="I375" s="560"/>
      <c r="J375" s="561"/>
      <c r="K375" s="561"/>
      <c r="L375" s="562"/>
      <c r="M375" s="563" t="str">
        <f t="shared" si="20"/>
        <v/>
      </c>
      <c r="N375" s="575"/>
      <c r="O375" s="575"/>
      <c r="P375" s="575"/>
      <c r="Q375" s="565"/>
      <c r="R375" s="566"/>
      <c r="S375" s="567"/>
      <c r="T375" s="568"/>
      <c r="U375" s="569"/>
      <c r="V375" s="570"/>
      <c r="W375" s="570"/>
      <c r="X375" s="571"/>
    </row>
    <row r="376" spans="1:24" ht="15.75" thickBot="1" x14ac:dyDescent="0.3">
      <c r="A376" s="451"/>
      <c r="B376" s="452"/>
      <c r="C376" s="555"/>
      <c r="D376" s="556"/>
      <c r="E376" s="556"/>
      <c r="F376" s="557" t="str">
        <f t="shared" si="18"/>
        <v/>
      </c>
      <c r="G376" s="558"/>
      <c r="H376" s="559" t="str">
        <f t="shared" si="19"/>
        <v/>
      </c>
      <c r="I376" s="560"/>
      <c r="J376" s="561"/>
      <c r="K376" s="561"/>
      <c r="L376" s="562"/>
      <c r="M376" s="563" t="str">
        <f t="shared" si="20"/>
        <v/>
      </c>
      <c r="N376" s="575"/>
      <c r="O376" s="575"/>
      <c r="P376" s="575"/>
      <c r="Q376" s="565"/>
      <c r="R376" s="566"/>
      <c r="S376" s="567"/>
      <c r="T376" s="568"/>
      <c r="U376" s="569"/>
      <c r="V376" s="570"/>
      <c r="W376" s="570"/>
      <c r="X376" s="571"/>
    </row>
    <row r="377" spans="1:24" ht="15.75" thickBot="1" x14ac:dyDescent="0.3">
      <c r="A377" s="451"/>
      <c r="B377" s="452"/>
      <c r="C377" s="555"/>
      <c r="D377" s="556"/>
      <c r="E377" s="556"/>
      <c r="F377" s="557" t="str">
        <f t="shared" si="18"/>
        <v/>
      </c>
      <c r="G377" s="558"/>
      <c r="H377" s="559" t="str">
        <f t="shared" si="19"/>
        <v/>
      </c>
      <c r="I377" s="560"/>
      <c r="J377" s="561"/>
      <c r="K377" s="561"/>
      <c r="L377" s="562"/>
      <c r="M377" s="563" t="str">
        <f t="shared" si="20"/>
        <v/>
      </c>
      <c r="N377" s="575"/>
      <c r="O377" s="575"/>
      <c r="P377" s="575"/>
      <c r="Q377" s="565"/>
      <c r="R377" s="566"/>
      <c r="S377" s="567"/>
      <c r="T377" s="568"/>
      <c r="U377" s="569"/>
      <c r="V377" s="570"/>
      <c r="W377" s="570"/>
      <c r="X377" s="571"/>
    </row>
    <row r="378" spans="1:24" ht="15.75" thickBot="1" x14ac:dyDescent="0.3">
      <c r="A378" s="451"/>
      <c r="B378" s="452"/>
      <c r="C378" s="555"/>
      <c r="D378" s="556"/>
      <c r="E378" s="556"/>
      <c r="F378" s="557" t="str">
        <f t="shared" si="18"/>
        <v/>
      </c>
      <c r="G378" s="558"/>
      <c r="H378" s="559" t="str">
        <f t="shared" si="19"/>
        <v/>
      </c>
      <c r="I378" s="560"/>
      <c r="J378" s="561"/>
      <c r="K378" s="561"/>
      <c r="L378" s="562"/>
      <c r="M378" s="563" t="str">
        <f t="shared" si="20"/>
        <v/>
      </c>
      <c r="N378" s="575"/>
      <c r="O378" s="575"/>
      <c r="P378" s="575"/>
      <c r="Q378" s="565"/>
      <c r="R378" s="566"/>
      <c r="S378" s="567"/>
      <c r="T378" s="568"/>
      <c r="U378" s="569"/>
      <c r="V378" s="570"/>
      <c r="W378" s="570"/>
      <c r="X378" s="571"/>
    </row>
    <row r="379" spans="1:24" ht="15.75" thickBot="1" x14ac:dyDescent="0.3">
      <c r="A379" s="451"/>
      <c r="B379" s="452"/>
      <c r="C379" s="555"/>
      <c r="D379" s="556"/>
      <c r="E379" s="556"/>
      <c r="F379" s="557" t="str">
        <f t="shared" si="18"/>
        <v/>
      </c>
      <c r="G379" s="558"/>
      <c r="H379" s="559" t="str">
        <f t="shared" si="19"/>
        <v/>
      </c>
      <c r="I379" s="560"/>
      <c r="J379" s="561"/>
      <c r="K379" s="561"/>
      <c r="L379" s="562"/>
      <c r="M379" s="563" t="str">
        <f t="shared" si="20"/>
        <v/>
      </c>
      <c r="N379" s="575"/>
      <c r="O379" s="575"/>
      <c r="P379" s="575"/>
      <c r="Q379" s="565"/>
      <c r="R379" s="566"/>
      <c r="S379" s="567"/>
      <c r="T379" s="568"/>
      <c r="U379" s="569"/>
      <c r="V379" s="570"/>
      <c r="W379" s="570"/>
      <c r="X379" s="571"/>
    </row>
    <row r="380" spans="1:24" ht="15.75" thickBot="1" x14ac:dyDescent="0.3">
      <c r="A380" s="451"/>
      <c r="B380" s="452"/>
      <c r="C380" s="555"/>
      <c r="D380" s="556"/>
      <c r="E380" s="556"/>
      <c r="F380" s="557" t="str">
        <f t="shared" si="18"/>
        <v/>
      </c>
      <c r="G380" s="558"/>
      <c r="H380" s="559" t="str">
        <f t="shared" si="19"/>
        <v/>
      </c>
      <c r="I380" s="560"/>
      <c r="J380" s="561"/>
      <c r="K380" s="561"/>
      <c r="L380" s="562"/>
      <c r="M380" s="563" t="str">
        <f t="shared" si="20"/>
        <v/>
      </c>
      <c r="N380" s="575"/>
      <c r="O380" s="575"/>
      <c r="P380" s="575"/>
      <c r="Q380" s="565"/>
      <c r="R380" s="566"/>
      <c r="S380" s="567"/>
      <c r="T380" s="568"/>
      <c r="U380" s="569"/>
      <c r="V380" s="570"/>
      <c r="W380" s="570"/>
      <c r="X380" s="571"/>
    </row>
    <row r="381" spans="1:24" ht="15.75" thickBot="1" x14ac:dyDescent="0.3">
      <c r="A381" s="451"/>
      <c r="B381" s="452"/>
      <c r="C381" s="555"/>
      <c r="D381" s="556"/>
      <c r="E381" s="556"/>
      <c r="F381" s="557" t="str">
        <f t="shared" si="18"/>
        <v/>
      </c>
      <c r="G381" s="558"/>
      <c r="H381" s="559" t="str">
        <f t="shared" si="19"/>
        <v/>
      </c>
      <c r="I381" s="560"/>
      <c r="J381" s="561"/>
      <c r="K381" s="561"/>
      <c r="L381" s="562"/>
      <c r="M381" s="563" t="str">
        <f t="shared" si="20"/>
        <v/>
      </c>
      <c r="N381" s="575"/>
      <c r="O381" s="575"/>
      <c r="P381" s="575"/>
      <c r="Q381" s="565"/>
      <c r="R381" s="566"/>
      <c r="S381" s="567"/>
      <c r="T381" s="568"/>
      <c r="U381" s="569"/>
      <c r="V381" s="570"/>
      <c r="W381" s="570"/>
      <c r="X381" s="571"/>
    </row>
    <row r="382" spans="1:24" ht="15.75" thickBot="1" x14ac:dyDescent="0.3">
      <c r="A382" s="451"/>
      <c r="B382" s="452"/>
      <c r="C382" s="555"/>
      <c r="D382" s="556"/>
      <c r="E382" s="556"/>
      <c r="F382" s="557" t="str">
        <f t="shared" si="18"/>
        <v/>
      </c>
      <c r="G382" s="558"/>
      <c r="H382" s="559" t="str">
        <f t="shared" si="19"/>
        <v/>
      </c>
      <c r="I382" s="560"/>
      <c r="J382" s="561"/>
      <c r="K382" s="561"/>
      <c r="L382" s="562"/>
      <c r="M382" s="563" t="str">
        <f t="shared" si="20"/>
        <v/>
      </c>
      <c r="N382" s="575"/>
      <c r="O382" s="575"/>
      <c r="P382" s="575"/>
      <c r="Q382" s="565"/>
      <c r="R382" s="566"/>
      <c r="S382" s="567"/>
      <c r="T382" s="568"/>
      <c r="U382" s="569"/>
      <c r="V382" s="570"/>
      <c r="W382" s="570"/>
      <c r="X382" s="571"/>
    </row>
    <row r="383" spans="1:24" ht="15.75" thickBot="1" x14ac:dyDescent="0.3">
      <c r="A383" s="451"/>
      <c r="B383" s="452"/>
      <c r="C383" s="555"/>
      <c r="D383" s="556"/>
      <c r="E383" s="556"/>
      <c r="F383" s="557" t="str">
        <f t="shared" si="18"/>
        <v/>
      </c>
      <c r="G383" s="558"/>
      <c r="H383" s="559" t="str">
        <f t="shared" si="19"/>
        <v/>
      </c>
      <c r="I383" s="560"/>
      <c r="J383" s="561"/>
      <c r="K383" s="561"/>
      <c r="L383" s="562"/>
      <c r="M383" s="563" t="str">
        <f t="shared" si="20"/>
        <v/>
      </c>
      <c r="N383" s="575"/>
      <c r="O383" s="575"/>
      <c r="P383" s="575"/>
      <c r="Q383" s="565"/>
      <c r="R383" s="566"/>
      <c r="S383" s="567"/>
      <c r="T383" s="568"/>
      <c r="U383" s="569"/>
      <c r="V383" s="570"/>
      <c r="W383" s="570"/>
      <c r="X383" s="571"/>
    </row>
    <row r="384" spans="1:24" ht="15.75" thickBot="1" x14ac:dyDescent="0.3">
      <c r="A384" s="451"/>
      <c r="B384" s="452"/>
      <c r="C384" s="555"/>
      <c r="D384" s="556"/>
      <c r="E384" s="556"/>
      <c r="F384" s="557" t="str">
        <f t="shared" si="18"/>
        <v/>
      </c>
      <c r="G384" s="558"/>
      <c r="H384" s="559" t="str">
        <f t="shared" si="19"/>
        <v/>
      </c>
      <c r="I384" s="560"/>
      <c r="J384" s="561"/>
      <c r="K384" s="561"/>
      <c r="L384" s="562"/>
      <c r="M384" s="563" t="str">
        <f t="shared" si="20"/>
        <v/>
      </c>
      <c r="N384" s="575"/>
      <c r="O384" s="575"/>
      <c r="P384" s="575"/>
      <c r="Q384" s="565"/>
      <c r="R384" s="566"/>
      <c r="S384" s="567"/>
      <c r="T384" s="568"/>
      <c r="U384" s="569"/>
      <c r="V384" s="570"/>
      <c r="W384" s="570"/>
      <c r="X384" s="571"/>
    </row>
    <row r="385" spans="1:24" ht="15.75" thickBot="1" x14ac:dyDescent="0.3">
      <c r="A385" s="451"/>
      <c r="B385" s="452"/>
      <c r="C385" s="555"/>
      <c r="D385" s="556"/>
      <c r="E385" s="556"/>
      <c r="F385" s="557" t="str">
        <f t="shared" si="18"/>
        <v/>
      </c>
      <c r="G385" s="558"/>
      <c r="H385" s="559" t="str">
        <f t="shared" si="19"/>
        <v/>
      </c>
      <c r="I385" s="560"/>
      <c r="J385" s="561"/>
      <c r="K385" s="561"/>
      <c r="L385" s="562"/>
      <c r="M385" s="563" t="str">
        <f t="shared" si="20"/>
        <v/>
      </c>
      <c r="N385" s="575"/>
      <c r="O385" s="575"/>
      <c r="P385" s="575"/>
      <c r="Q385" s="565"/>
      <c r="R385" s="566"/>
      <c r="S385" s="567"/>
      <c r="T385" s="568"/>
      <c r="U385" s="569"/>
      <c r="V385" s="570"/>
      <c r="W385" s="570"/>
      <c r="X385" s="571"/>
    </row>
    <row r="386" spans="1:24" ht="15.75" thickBot="1" x14ac:dyDescent="0.3">
      <c r="A386" s="451"/>
      <c r="B386" s="452"/>
      <c r="C386" s="555"/>
      <c r="D386" s="556"/>
      <c r="E386" s="556"/>
      <c r="F386" s="557" t="str">
        <f t="shared" si="18"/>
        <v/>
      </c>
      <c r="G386" s="558"/>
      <c r="H386" s="559" t="str">
        <f t="shared" si="19"/>
        <v/>
      </c>
      <c r="I386" s="560"/>
      <c r="J386" s="561"/>
      <c r="K386" s="561"/>
      <c r="L386" s="562"/>
      <c r="M386" s="563" t="str">
        <f t="shared" si="20"/>
        <v/>
      </c>
      <c r="N386" s="575"/>
      <c r="O386" s="575"/>
      <c r="P386" s="575"/>
      <c r="Q386" s="565"/>
      <c r="R386" s="566"/>
      <c r="S386" s="567"/>
      <c r="T386" s="568"/>
      <c r="U386" s="569"/>
      <c r="V386" s="570"/>
      <c r="W386" s="570"/>
      <c r="X386" s="571"/>
    </row>
    <row r="387" spans="1:24" ht="15.75" thickBot="1" x14ac:dyDescent="0.3">
      <c r="A387" s="451"/>
      <c r="B387" s="452"/>
      <c r="C387" s="555"/>
      <c r="D387" s="556"/>
      <c r="E387" s="556"/>
      <c r="F387" s="557" t="str">
        <f t="shared" si="18"/>
        <v/>
      </c>
      <c r="G387" s="558"/>
      <c r="H387" s="559" t="str">
        <f t="shared" si="19"/>
        <v/>
      </c>
      <c r="I387" s="560"/>
      <c r="J387" s="561"/>
      <c r="K387" s="561"/>
      <c r="L387" s="562"/>
      <c r="M387" s="563" t="str">
        <f t="shared" si="20"/>
        <v/>
      </c>
      <c r="N387" s="575"/>
      <c r="O387" s="575"/>
      <c r="P387" s="575"/>
      <c r="Q387" s="565"/>
      <c r="R387" s="566"/>
      <c r="S387" s="567"/>
      <c r="T387" s="568"/>
      <c r="U387" s="569"/>
      <c r="V387" s="570"/>
      <c r="W387" s="570"/>
      <c r="X387" s="571"/>
    </row>
    <row r="388" spans="1:24" ht="15.75" thickBot="1" x14ac:dyDescent="0.3">
      <c r="A388" s="451"/>
      <c r="B388" s="452"/>
      <c r="C388" s="555"/>
      <c r="D388" s="556"/>
      <c r="E388" s="556"/>
      <c r="F388" s="557" t="str">
        <f t="shared" si="18"/>
        <v/>
      </c>
      <c r="G388" s="558"/>
      <c r="H388" s="559" t="str">
        <f t="shared" si="19"/>
        <v/>
      </c>
      <c r="I388" s="560"/>
      <c r="J388" s="561"/>
      <c r="K388" s="561"/>
      <c r="L388" s="562"/>
      <c r="M388" s="563" t="str">
        <f t="shared" si="20"/>
        <v/>
      </c>
      <c r="N388" s="575"/>
      <c r="O388" s="575"/>
      <c r="P388" s="575"/>
      <c r="Q388" s="565"/>
      <c r="R388" s="566"/>
      <c r="S388" s="567"/>
      <c r="T388" s="568"/>
      <c r="U388" s="569"/>
      <c r="V388" s="570"/>
      <c r="W388" s="570"/>
      <c r="X388" s="571"/>
    </row>
    <row r="389" spans="1:24" ht="15.75" thickBot="1" x14ac:dyDescent="0.3">
      <c r="A389" s="451"/>
      <c r="B389" s="452"/>
      <c r="C389" s="555"/>
      <c r="D389" s="556"/>
      <c r="E389" s="556"/>
      <c r="F389" s="557" t="str">
        <f t="shared" si="18"/>
        <v/>
      </c>
      <c r="G389" s="558"/>
      <c r="H389" s="559" t="str">
        <f t="shared" si="19"/>
        <v/>
      </c>
      <c r="I389" s="560"/>
      <c r="J389" s="561"/>
      <c r="K389" s="561"/>
      <c r="L389" s="562"/>
      <c r="M389" s="563" t="str">
        <f t="shared" si="20"/>
        <v/>
      </c>
      <c r="N389" s="575"/>
      <c r="O389" s="575"/>
      <c r="P389" s="575"/>
      <c r="Q389" s="565"/>
      <c r="R389" s="566"/>
      <c r="S389" s="567"/>
      <c r="T389" s="568"/>
      <c r="U389" s="569"/>
      <c r="V389" s="570"/>
      <c r="W389" s="570"/>
      <c r="X389" s="571"/>
    </row>
    <row r="390" spans="1:24" ht="15.75" thickBot="1" x14ac:dyDescent="0.3">
      <c r="A390" s="451"/>
      <c r="B390" s="452"/>
      <c r="C390" s="555"/>
      <c r="D390" s="556"/>
      <c r="E390" s="556"/>
      <c r="F390" s="557" t="str">
        <f t="shared" si="18"/>
        <v/>
      </c>
      <c r="G390" s="558"/>
      <c r="H390" s="559" t="str">
        <f t="shared" si="19"/>
        <v/>
      </c>
      <c r="I390" s="560"/>
      <c r="J390" s="561"/>
      <c r="K390" s="561"/>
      <c r="L390" s="562"/>
      <c r="M390" s="563" t="str">
        <f t="shared" si="20"/>
        <v/>
      </c>
      <c r="N390" s="575"/>
      <c r="O390" s="575"/>
      <c r="P390" s="575"/>
      <c r="Q390" s="565"/>
      <c r="R390" s="566"/>
      <c r="S390" s="567"/>
      <c r="T390" s="568"/>
      <c r="U390" s="569"/>
      <c r="V390" s="570"/>
      <c r="W390" s="570"/>
      <c r="X390" s="571"/>
    </row>
    <row r="391" spans="1:24" ht="15.75" thickBot="1" x14ac:dyDescent="0.3">
      <c r="A391" s="451"/>
      <c r="B391" s="452"/>
      <c r="C391" s="555"/>
      <c r="D391" s="556"/>
      <c r="E391" s="556"/>
      <c r="F391" s="557" t="str">
        <f t="shared" si="18"/>
        <v/>
      </c>
      <c r="G391" s="558"/>
      <c r="H391" s="559" t="str">
        <f t="shared" si="19"/>
        <v/>
      </c>
      <c r="I391" s="560"/>
      <c r="J391" s="561"/>
      <c r="K391" s="561"/>
      <c r="L391" s="562"/>
      <c r="M391" s="563" t="str">
        <f t="shared" si="20"/>
        <v/>
      </c>
      <c r="N391" s="575"/>
      <c r="O391" s="575"/>
      <c r="P391" s="575"/>
      <c r="Q391" s="565"/>
      <c r="R391" s="566"/>
      <c r="S391" s="567"/>
      <c r="T391" s="568"/>
      <c r="U391" s="569"/>
      <c r="V391" s="570"/>
      <c r="W391" s="570"/>
      <c r="X391" s="571"/>
    </row>
    <row r="392" spans="1:24" ht="15.75" thickBot="1" x14ac:dyDescent="0.3">
      <c r="A392" s="451"/>
      <c r="B392" s="452"/>
      <c r="C392" s="555"/>
      <c r="D392" s="556"/>
      <c r="E392" s="556"/>
      <c r="F392" s="557" t="str">
        <f t="shared" ref="F392:F399" si="21">IF(SUM(Q392:U392)=0,"",SUM(Q392:U392))</f>
        <v/>
      </c>
      <c r="G392" s="558"/>
      <c r="H392" s="559" t="str">
        <f t="shared" ref="H392:H399" si="22">IF(F392&lt;&gt;"",C392/F392/24,"")</f>
        <v/>
      </c>
      <c r="I392" s="560"/>
      <c r="J392" s="561"/>
      <c r="K392" s="561"/>
      <c r="L392" s="562"/>
      <c r="M392" s="563" t="str">
        <f t="shared" ref="M392:M399" si="23">IF(OR(C392="",L392=""),"",L392/C392)</f>
        <v/>
      </c>
      <c r="N392" s="575"/>
      <c r="O392" s="575"/>
      <c r="P392" s="575"/>
      <c r="Q392" s="565"/>
      <c r="R392" s="566"/>
      <c r="S392" s="567"/>
      <c r="T392" s="568"/>
      <c r="U392" s="569"/>
      <c r="V392" s="570"/>
      <c r="W392" s="570"/>
      <c r="X392" s="571"/>
    </row>
    <row r="393" spans="1:24" ht="15.75" thickBot="1" x14ac:dyDescent="0.3">
      <c r="A393" s="451"/>
      <c r="B393" s="452"/>
      <c r="C393" s="555"/>
      <c r="D393" s="556"/>
      <c r="E393" s="556"/>
      <c r="F393" s="557" t="str">
        <f t="shared" si="21"/>
        <v/>
      </c>
      <c r="G393" s="558"/>
      <c r="H393" s="559" t="str">
        <f t="shared" si="22"/>
        <v/>
      </c>
      <c r="I393" s="560"/>
      <c r="J393" s="561"/>
      <c r="K393" s="561"/>
      <c r="L393" s="562"/>
      <c r="M393" s="563" t="str">
        <f t="shared" si="23"/>
        <v/>
      </c>
      <c r="N393" s="575"/>
      <c r="O393" s="575"/>
      <c r="P393" s="575"/>
      <c r="Q393" s="565"/>
      <c r="R393" s="566"/>
      <c r="S393" s="567"/>
      <c r="T393" s="568"/>
      <c r="U393" s="569"/>
      <c r="V393" s="570"/>
      <c r="W393" s="570"/>
      <c r="X393" s="571"/>
    </row>
    <row r="394" spans="1:24" ht="15.75" thickBot="1" x14ac:dyDescent="0.3">
      <c r="A394" s="451"/>
      <c r="B394" s="452"/>
      <c r="C394" s="555"/>
      <c r="D394" s="556"/>
      <c r="E394" s="556"/>
      <c r="F394" s="557" t="str">
        <f t="shared" si="21"/>
        <v/>
      </c>
      <c r="G394" s="558"/>
      <c r="H394" s="559" t="str">
        <f t="shared" si="22"/>
        <v/>
      </c>
      <c r="I394" s="560"/>
      <c r="J394" s="561"/>
      <c r="K394" s="561"/>
      <c r="L394" s="562"/>
      <c r="M394" s="563" t="str">
        <f t="shared" si="23"/>
        <v/>
      </c>
      <c r="N394" s="575"/>
      <c r="O394" s="575"/>
      <c r="P394" s="575"/>
      <c r="Q394" s="565"/>
      <c r="R394" s="566"/>
      <c r="S394" s="567"/>
      <c r="T394" s="568"/>
      <c r="U394" s="569"/>
      <c r="V394" s="570"/>
      <c r="W394" s="570"/>
      <c r="X394" s="571"/>
    </row>
    <row r="395" spans="1:24" ht="15.75" thickBot="1" x14ac:dyDescent="0.3">
      <c r="A395" s="451"/>
      <c r="B395" s="452"/>
      <c r="C395" s="555"/>
      <c r="D395" s="556"/>
      <c r="E395" s="556"/>
      <c r="F395" s="557" t="str">
        <f t="shared" si="21"/>
        <v/>
      </c>
      <c r="G395" s="558"/>
      <c r="H395" s="559" t="str">
        <f t="shared" si="22"/>
        <v/>
      </c>
      <c r="I395" s="560"/>
      <c r="J395" s="561"/>
      <c r="K395" s="561"/>
      <c r="L395" s="562"/>
      <c r="M395" s="563" t="str">
        <f t="shared" si="23"/>
        <v/>
      </c>
      <c r="N395" s="575"/>
      <c r="O395" s="575"/>
      <c r="P395" s="575"/>
      <c r="Q395" s="565"/>
      <c r="R395" s="566"/>
      <c r="S395" s="567"/>
      <c r="T395" s="568"/>
      <c r="U395" s="569"/>
      <c r="V395" s="570"/>
      <c r="W395" s="570"/>
      <c r="X395" s="571"/>
    </row>
    <row r="396" spans="1:24" ht="15.75" thickBot="1" x14ac:dyDescent="0.3">
      <c r="A396" s="451"/>
      <c r="B396" s="452"/>
      <c r="C396" s="555"/>
      <c r="D396" s="556"/>
      <c r="E396" s="556"/>
      <c r="F396" s="557" t="str">
        <f t="shared" si="21"/>
        <v/>
      </c>
      <c r="G396" s="558"/>
      <c r="H396" s="559" t="str">
        <f t="shared" si="22"/>
        <v/>
      </c>
      <c r="I396" s="560"/>
      <c r="J396" s="561"/>
      <c r="K396" s="561"/>
      <c r="L396" s="562"/>
      <c r="M396" s="563" t="str">
        <f t="shared" si="23"/>
        <v/>
      </c>
      <c r="N396" s="575"/>
      <c r="O396" s="575"/>
      <c r="P396" s="575"/>
      <c r="Q396" s="565"/>
      <c r="R396" s="566"/>
      <c r="S396" s="567"/>
      <c r="T396" s="568"/>
      <c r="U396" s="569"/>
      <c r="V396" s="570"/>
      <c r="W396" s="570"/>
      <c r="X396" s="571"/>
    </row>
    <row r="397" spans="1:24" ht="15.75" thickBot="1" x14ac:dyDescent="0.3">
      <c r="A397" s="451"/>
      <c r="B397" s="452"/>
      <c r="C397" s="555"/>
      <c r="D397" s="556"/>
      <c r="E397" s="556"/>
      <c r="F397" s="557" t="str">
        <f t="shared" si="21"/>
        <v/>
      </c>
      <c r="G397" s="558"/>
      <c r="H397" s="559" t="str">
        <f t="shared" si="22"/>
        <v/>
      </c>
      <c r="I397" s="560"/>
      <c r="J397" s="561"/>
      <c r="K397" s="561"/>
      <c r="L397" s="562"/>
      <c r="M397" s="563" t="str">
        <f t="shared" si="23"/>
        <v/>
      </c>
      <c r="N397" s="575"/>
      <c r="O397" s="575"/>
      <c r="P397" s="575"/>
      <c r="Q397" s="565"/>
      <c r="R397" s="566"/>
      <c r="S397" s="567"/>
      <c r="T397" s="568"/>
      <c r="U397" s="569"/>
      <c r="V397" s="570"/>
      <c r="W397" s="570"/>
      <c r="X397" s="571"/>
    </row>
    <row r="398" spans="1:24" ht="15.75" thickBot="1" x14ac:dyDescent="0.3">
      <c r="A398" s="451"/>
      <c r="B398" s="452"/>
      <c r="C398" s="555"/>
      <c r="D398" s="556"/>
      <c r="E398" s="556"/>
      <c r="F398" s="557" t="str">
        <f t="shared" si="21"/>
        <v/>
      </c>
      <c r="G398" s="558"/>
      <c r="H398" s="559" t="str">
        <f t="shared" si="22"/>
        <v/>
      </c>
      <c r="I398" s="560"/>
      <c r="J398" s="561"/>
      <c r="K398" s="561"/>
      <c r="L398" s="562"/>
      <c r="M398" s="563" t="str">
        <f t="shared" si="23"/>
        <v/>
      </c>
      <c r="N398" s="575"/>
      <c r="O398" s="575"/>
      <c r="P398" s="575"/>
      <c r="Q398" s="565"/>
      <c r="R398" s="566"/>
      <c r="S398" s="567"/>
      <c r="T398" s="568"/>
      <c r="U398" s="569"/>
      <c r="V398" s="570"/>
      <c r="W398" s="570"/>
      <c r="X398" s="571"/>
    </row>
    <row r="399" spans="1:24" ht="15.75" thickBot="1" x14ac:dyDescent="0.3">
      <c r="A399" s="451"/>
      <c r="B399" s="452"/>
      <c r="C399" s="555"/>
      <c r="D399" s="556"/>
      <c r="E399" s="556"/>
      <c r="F399" s="557" t="str">
        <f t="shared" si="21"/>
        <v/>
      </c>
      <c r="G399" s="558"/>
      <c r="H399" s="559" t="str">
        <f t="shared" si="22"/>
        <v/>
      </c>
      <c r="I399" s="560"/>
      <c r="J399" s="561"/>
      <c r="K399" s="561"/>
      <c r="L399" s="562"/>
      <c r="M399" s="563" t="str">
        <f t="shared" si="23"/>
        <v/>
      </c>
      <c r="N399" s="575"/>
      <c r="O399" s="575"/>
      <c r="P399" s="575"/>
      <c r="Q399" s="565"/>
      <c r="R399" s="566"/>
      <c r="S399" s="567"/>
      <c r="T399" s="568"/>
      <c r="U399" s="569"/>
      <c r="V399" s="570"/>
      <c r="W399" s="570"/>
      <c r="X399" s="571"/>
    </row>
    <row r="400" spans="1:24" ht="15.75" thickBot="1" x14ac:dyDescent="0.3">
      <c r="A400" s="456"/>
      <c r="B400" s="452"/>
      <c r="C400" s="555"/>
      <c r="D400" s="556"/>
      <c r="E400" s="556"/>
      <c r="F400" s="575"/>
      <c r="G400" s="575"/>
      <c r="H400" s="575"/>
      <c r="I400" s="575"/>
      <c r="J400" s="575"/>
      <c r="K400" s="575"/>
      <c r="L400" s="575"/>
      <c r="M400" s="575"/>
      <c r="N400" s="575"/>
      <c r="O400" s="575"/>
      <c r="P400" s="575"/>
      <c r="Q400" s="575"/>
      <c r="R400" s="575"/>
      <c r="S400" s="577"/>
      <c r="T400" s="575"/>
      <c r="U400" s="575"/>
      <c r="V400" s="575"/>
      <c r="W400" s="575"/>
      <c r="X400" s="575"/>
    </row>
    <row r="401" spans="1:24" ht="15.75" thickBot="1" x14ac:dyDescent="0.3">
      <c r="A401" s="729" t="s">
        <v>251</v>
      </c>
      <c r="B401" s="730" t="s">
        <v>251</v>
      </c>
      <c r="C401" s="731" t="s">
        <v>251</v>
      </c>
      <c r="D401" s="732" t="s">
        <v>251</v>
      </c>
      <c r="E401" s="732" t="s">
        <v>251</v>
      </c>
      <c r="F401" s="576" t="s">
        <v>251</v>
      </c>
      <c r="G401" s="576" t="s">
        <v>251</v>
      </c>
      <c r="I401" s="576" t="s">
        <v>251</v>
      </c>
      <c r="J401" s="576" t="s">
        <v>251</v>
      </c>
      <c r="K401" s="576" t="s">
        <v>251</v>
      </c>
      <c r="L401" s="576" t="s">
        <v>251</v>
      </c>
      <c r="N401" s="576" t="s">
        <v>251</v>
      </c>
      <c r="O401" s="576" t="s">
        <v>251</v>
      </c>
      <c r="P401" s="576" t="s">
        <v>251</v>
      </c>
      <c r="Q401" s="576" t="s">
        <v>251</v>
      </c>
      <c r="R401" s="576" t="s">
        <v>251</v>
      </c>
      <c r="S401" s="578" t="s">
        <v>251</v>
      </c>
      <c r="T401" s="576" t="s">
        <v>251</v>
      </c>
      <c r="U401" s="576" t="s">
        <v>251</v>
      </c>
      <c r="V401" s="576" t="s">
        <v>251</v>
      </c>
      <c r="W401" s="576" t="s">
        <v>251</v>
      </c>
      <c r="X401" s="576" t="s">
        <v>251</v>
      </c>
    </row>
    <row r="402" spans="1:24" ht="15.75" thickBot="1" x14ac:dyDescent="0.3">
      <c r="A402" s="734" t="s">
        <v>56</v>
      </c>
      <c r="B402" s="730" t="s">
        <v>251</v>
      </c>
      <c r="C402" s="731" t="s">
        <v>251</v>
      </c>
      <c r="D402" s="732" t="s">
        <v>251</v>
      </c>
      <c r="E402" s="732" t="s">
        <v>251</v>
      </c>
      <c r="F402" s="576" t="s">
        <v>251</v>
      </c>
      <c r="G402" s="576" t="s">
        <v>251</v>
      </c>
      <c r="I402" s="576" t="s">
        <v>251</v>
      </c>
      <c r="J402" s="576" t="s">
        <v>251</v>
      </c>
      <c r="K402" s="576" t="s">
        <v>251</v>
      </c>
      <c r="L402" s="576" t="s">
        <v>251</v>
      </c>
      <c r="N402" s="576" t="s">
        <v>251</v>
      </c>
      <c r="O402" s="576" t="s">
        <v>251</v>
      </c>
      <c r="P402" s="576" t="s">
        <v>251</v>
      </c>
      <c r="Q402" s="576" t="s">
        <v>251</v>
      </c>
      <c r="R402" s="576" t="s">
        <v>251</v>
      </c>
      <c r="S402" s="578" t="s">
        <v>251</v>
      </c>
      <c r="T402" s="576" t="s">
        <v>251</v>
      </c>
      <c r="U402" s="576" t="s">
        <v>251</v>
      </c>
      <c r="V402" s="576" t="s">
        <v>251</v>
      </c>
      <c r="W402" s="576" t="s">
        <v>251</v>
      </c>
      <c r="X402" s="576" t="s">
        <v>251</v>
      </c>
    </row>
    <row r="403" spans="1:24" ht="15.75" thickBot="1" x14ac:dyDescent="0.3">
      <c r="A403" s="729" t="s">
        <v>96</v>
      </c>
      <c r="B403" s="730"/>
      <c r="C403" s="731"/>
      <c r="D403" s="732"/>
      <c r="E403" s="732"/>
    </row>
    <row r="404" spans="1:24" ht="15.75" thickBot="1" x14ac:dyDescent="0.3">
      <c r="A404" s="729" t="s">
        <v>249</v>
      </c>
      <c r="B404" s="730" t="s">
        <v>251</v>
      </c>
      <c r="C404" s="731" t="s">
        <v>251</v>
      </c>
      <c r="D404" s="732" t="s">
        <v>251</v>
      </c>
      <c r="E404" s="732" t="s">
        <v>251</v>
      </c>
      <c r="F404" s="576" t="s">
        <v>251</v>
      </c>
      <c r="G404" s="576" t="s">
        <v>251</v>
      </c>
      <c r="I404" s="576" t="s">
        <v>251</v>
      </c>
      <c r="J404" s="576" t="s">
        <v>251</v>
      </c>
      <c r="K404" s="576" t="s">
        <v>251</v>
      </c>
      <c r="L404" s="576" t="s">
        <v>251</v>
      </c>
      <c r="N404" s="576" t="s">
        <v>251</v>
      </c>
      <c r="O404" s="576" t="s">
        <v>251</v>
      </c>
      <c r="P404" s="576" t="s">
        <v>251</v>
      </c>
      <c r="Q404" s="576" t="s">
        <v>251</v>
      </c>
      <c r="R404" s="576" t="s">
        <v>251</v>
      </c>
      <c r="S404" s="578" t="s">
        <v>251</v>
      </c>
      <c r="T404" s="576" t="s">
        <v>251</v>
      </c>
      <c r="U404" s="576" t="s">
        <v>251</v>
      </c>
      <c r="V404" s="576" t="s">
        <v>251</v>
      </c>
      <c r="W404" s="576" t="s">
        <v>251</v>
      </c>
      <c r="X404" s="576" t="s">
        <v>251</v>
      </c>
    </row>
    <row r="405" spans="1:24" x14ac:dyDescent="0.25">
      <c r="A405" s="729" t="s">
        <v>96</v>
      </c>
      <c r="B405" s="730" t="s">
        <v>251</v>
      </c>
      <c r="C405" s="731" t="s">
        <v>251</v>
      </c>
      <c r="D405" s="732" t="s">
        <v>251</v>
      </c>
      <c r="E405" s="732" t="s">
        <v>251</v>
      </c>
      <c r="F405" s="576" t="s">
        <v>251</v>
      </c>
      <c r="G405" s="576" t="s">
        <v>251</v>
      </c>
      <c r="I405" s="576" t="s">
        <v>251</v>
      </c>
      <c r="J405" s="576" t="s">
        <v>251</v>
      </c>
      <c r="K405" s="576" t="s">
        <v>251</v>
      </c>
      <c r="L405" s="576" t="s">
        <v>251</v>
      </c>
      <c r="N405" s="576" t="s">
        <v>251</v>
      </c>
      <c r="O405" s="576" t="s">
        <v>251</v>
      </c>
      <c r="P405" s="576" t="s">
        <v>251</v>
      </c>
      <c r="Q405" s="576" t="s">
        <v>251</v>
      </c>
      <c r="R405" s="576" t="s">
        <v>251</v>
      </c>
      <c r="S405" s="578" t="s">
        <v>251</v>
      </c>
      <c r="T405" s="576" t="s">
        <v>251</v>
      </c>
      <c r="U405" s="576" t="s">
        <v>251</v>
      </c>
      <c r="V405" s="576" t="s">
        <v>251</v>
      </c>
      <c r="W405" s="576" t="s">
        <v>251</v>
      </c>
      <c r="X405" s="576" t="s">
        <v>251</v>
      </c>
    </row>
  </sheetData>
  <sheetProtection selectLockedCells="1"/>
  <mergeCells count="25">
    <mergeCell ref="V6:W6"/>
    <mergeCell ref="V2:W3"/>
    <mergeCell ref="G2:G3"/>
    <mergeCell ref="A4:B4"/>
    <mergeCell ref="L4:M4"/>
    <mergeCell ref="A5:B5"/>
    <mergeCell ref="H5:I5"/>
    <mergeCell ref="J5:K5"/>
    <mergeCell ref="L5:M5"/>
    <mergeCell ref="V5:W5"/>
    <mergeCell ref="Q2:U2"/>
    <mergeCell ref="F2:F3"/>
    <mergeCell ref="H2:I3"/>
    <mergeCell ref="J2:K3"/>
    <mergeCell ref="L2:M3"/>
    <mergeCell ref="H6:I6"/>
    <mergeCell ref="J6:K6"/>
    <mergeCell ref="L6:M6"/>
    <mergeCell ref="C2:C3"/>
    <mergeCell ref="F1:M1"/>
    <mergeCell ref="A1:B1"/>
    <mergeCell ref="C1:D1"/>
    <mergeCell ref="A2:A3"/>
    <mergeCell ref="B2:B3"/>
    <mergeCell ref="A6:B6"/>
  </mergeCells>
  <conditionalFormatting sqref="A8:X400">
    <cfRule type="expression" dxfId="9" priority="1">
      <formula>NOT(MOD(ROW(),2))</formula>
    </cfRule>
    <cfRule type="expression" dxfId="8" priority="2">
      <formula>MOD(ROW(),2)</formula>
    </cfRule>
    <cfRule type="expression" priority="3">
      <formula>MOD(ROW(),2)</formula>
    </cfRule>
  </conditionalFormatting>
  <dataValidations count="3">
    <dataValidation type="list" allowBlank="1" showInputMessage="1" showErrorMessage="1" errorTitle="Attention" error="Selectionner une activitée dans la liste!" sqref="A8:A1048576 A1 A4:A6">
      <formula1>"Vélo,Running,Piscine,Home-Trainer,Tapis de course,Nage en mer"</formula1>
    </dataValidation>
    <dataValidation allowBlank="1" showInputMessage="1" showErrorMessage="1" errorTitle="Attention" error="Selectionner une activitée dans la liste!" sqref="A7 A2:A3"/>
    <dataValidation type="date" errorStyle="warning" allowBlank="1" showInputMessage="1" showErrorMessage="1" errorTitle="Erreur de saisie" error="Saisir une date de l'année en court!" sqref="B1:B1048576">
      <formula1>43831</formula1>
      <formula2>44196</formula2>
    </dataValidation>
  </dataValidations>
  <hyperlinks>
    <hyperlink ref="C1:D1" r:id="rId1" display="http://www.facebook.com/defilepsie"/>
    <hyperlink ref="C1" r:id="rId2"/>
  </hyperlinks>
  <pageMargins left="0.7" right="0.7" top="0.75" bottom="0.75" header="0.3" footer="0.3"/>
  <pageSetup paperSize="9" orientation="portrait" r:id="rId3"/>
  <drawing r:id="rId4"/>
  <legacyDrawing r:id="rId5"/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Paramètres!$G$2:$G$6</xm:f>
          </x14:formula1>
          <xm:sqref>D8:D405</xm:sqref>
        </x14:dataValidation>
        <x14:dataValidation type="list" allowBlank="1" showInputMessage="1" showErrorMessage="1">
          <x14:formula1>
            <xm:f>Paramètres!$H$2:$H$4</xm:f>
          </x14:formula1>
          <xm:sqref>E8:E405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BF1E2E"/>
    <pageSetUpPr fitToPage="1"/>
  </sheetPr>
  <dimension ref="A1:BR46"/>
  <sheetViews>
    <sheetView showGridLines="0" zoomScaleNormal="100" workbookViewId="0">
      <pane ySplit="5" topLeftCell="A36" activePane="bottomLeft" state="frozen"/>
      <selection sqref="A1:E1"/>
      <selection pane="bottomLeft" activeCell="A36" sqref="A36"/>
    </sheetView>
  </sheetViews>
  <sheetFormatPr baseColWidth="10" defaultColWidth="14.7109375" defaultRowHeight="15" x14ac:dyDescent="0.25"/>
  <cols>
    <col min="1" max="1" width="19.5703125" style="42" customWidth="1"/>
    <col min="2" max="2" width="51.5703125" style="42" bestFit="1" customWidth="1"/>
    <col min="3" max="3" width="23.7109375" style="1" customWidth="1"/>
    <col min="4" max="4" width="23.7109375" style="20" customWidth="1"/>
    <col min="5" max="5" width="23.7109375" style="118" customWidth="1"/>
    <col min="6" max="6" width="23.7109375" style="20" customWidth="1"/>
    <col min="7" max="7" width="23.7109375" style="119" customWidth="1"/>
    <col min="8" max="8" width="14.7109375" style="20"/>
    <col min="9" max="9" width="14.7109375" style="40"/>
    <col min="10" max="10" width="14.7109375" style="41"/>
    <col min="11" max="12" width="14.7109375" style="20"/>
    <col min="13" max="13" width="22.5703125" style="2" bestFit="1" customWidth="1"/>
    <col min="14" max="14" width="14.7109375" style="20"/>
    <col min="15" max="15" width="14.7109375" style="40"/>
    <col min="16" max="16" width="14.7109375" style="1"/>
    <col min="17" max="18" width="14.7109375" style="20"/>
    <col min="19" max="19" width="14.7109375" style="2"/>
    <col min="20" max="20" width="14.7109375" style="20"/>
    <col min="21" max="21" width="14.7109375" style="40"/>
    <col min="22" max="22" width="14.7109375" style="41"/>
    <col min="23" max="24" width="14.7109375" style="20"/>
    <col min="25" max="25" width="14.7109375" style="2"/>
    <col min="26" max="26" width="14.7109375" style="20"/>
    <col min="27" max="27" width="14.7109375" style="40"/>
    <col min="28" max="28" width="14.7109375" style="41"/>
    <col min="29" max="29" width="14.7109375" style="20"/>
    <col min="30" max="30" width="14.7109375" style="3"/>
    <col min="31" max="31" width="14.7109375" style="2"/>
    <col min="32" max="32" width="14.7109375" style="20"/>
    <col min="33" max="33" width="14.7109375" style="40"/>
    <col min="34" max="34" width="14.7109375" style="41"/>
    <col min="35" max="36" width="14.7109375" style="20"/>
    <col min="37" max="37" width="14.7109375" style="2"/>
    <col min="38" max="38" width="14.7109375" style="20"/>
    <col min="39" max="39" width="14.7109375" style="40"/>
    <col min="40" max="40" width="14.7109375" style="41"/>
    <col min="41" max="42" width="14.7109375" style="20"/>
    <col min="43" max="43" width="14.7109375" style="2"/>
    <col min="44" max="44" width="14.7109375" style="20"/>
    <col min="45" max="45" width="14.7109375" style="40"/>
    <col min="46" max="46" width="14.7109375" style="20"/>
    <col min="47" max="47" width="14.7109375" style="3"/>
    <col min="48" max="48" width="14.7109375" style="2"/>
    <col min="49" max="49" width="14.7109375" style="40"/>
    <col min="50" max="16384" width="14.7109375" style="1"/>
  </cols>
  <sheetData>
    <row r="1" spans="1:70" s="3" customFormat="1" ht="114" customHeight="1" thickBot="1" x14ac:dyDescent="0.3">
      <c r="A1" s="676"/>
      <c r="B1" s="408"/>
      <c r="C1" s="664" t="s">
        <v>241</v>
      </c>
      <c r="D1" s="665"/>
      <c r="E1" s="665"/>
      <c r="F1" s="665"/>
      <c r="G1" s="666"/>
      <c r="H1" s="44"/>
      <c r="I1" s="46"/>
      <c r="J1" s="47"/>
      <c r="K1" s="44"/>
      <c r="L1" s="44"/>
      <c r="M1" s="45"/>
      <c r="N1" s="44"/>
      <c r="O1" s="46"/>
      <c r="P1" s="43"/>
      <c r="Q1" s="44"/>
      <c r="R1" s="44"/>
      <c r="S1" s="45"/>
      <c r="T1" s="44"/>
      <c r="U1" s="46"/>
      <c r="V1" s="47"/>
      <c r="W1" s="44"/>
      <c r="X1" s="44"/>
      <c r="Y1" s="45"/>
      <c r="Z1" s="44"/>
      <c r="AA1" s="46"/>
      <c r="AB1" s="47"/>
      <c r="AC1" s="44"/>
      <c r="AD1" s="43"/>
      <c r="AE1" s="45"/>
      <c r="AF1" s="44"/>
      <c r="AG1" s="46"/>
      <c r="AH1" s="47"/>
      <c r="AI1" s="44"/>
      <c r="AJ1" s="44"/>
      <c r="AK1" s="45"/>
      <c r="AL1" s="44"/>
      <c r="AM1" s="46"/>
      <c r="AN1" s="47"/>
      <c r="AO1" s="44"/>
      <c r="AP1" s="44"/>
      <c r="AQ1" s="45"/>
      <c r="AR1" s="44"/>
      <c r="AS1" s="46"/>
      <c r="AT1" s="44"/>
      <c r="AU1" s="43"/>
      <c r="AV1" s="45"/>
      <c r="AW1" s="46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</row>
    <row r="2" spans="1:70" s="3" customFormat="1" ht="24" customHeight="1" thickBot="1" x14ac:dyDescent="0.3">
      <c r="A2" s="676"/>
      <c r="B2" s="408"/>
      <c r="C2" s="667" t="s">
        <v>61</v>
      </c>
      <c r="D2" s="668"/>
      <c r="E2" s="668"/>
      <c r="F2" s="668"/>
      <c r="G2" s="669"/>
      <c r="H2" s="44"/>
      <c r="I2" s="46"/>
      <c r="J2" s="47"/>
      <c r="K2" s="44"/>
      <c r="L2" s="44"/>
      <c r="M2" s="45"/>
      <c r="N2" s="44"/>
      <c r="O2" s="46"/>
      <c r="P2" s="43"/>
      <c r="Q2" s="44"/>
      <c r="R2" s="44"/>
      <c r="S2" s="45"/>
      <c r="T2" s="44"/>
      <c r="U2" s="46"/>
      <c r="V2" s="47"/>
      <c r="W2" s="44"/>
      <c r="X2" s="44"/>
      <c r="Y2" s="45"/>
      <c r="Z2" s="44"/>
      <c r="AA2" s="46"/>
      <c r="AB2" s="47"/>
      <c r="AC2" s="44"/>
      <c r="AD2" s="43"/>
      <c r="AE2" s="45"/>
      <c r="AF2" s="44"/>
      <c r="AG2" s="46"/>
      <c r="AH2" s="47"/>
      <c r="AI2" s="44"/>
      <c r="AJ2" s="44"/>
      <c r="AK2" s="45"/>
      <c r="AL2" s="44"/>
      <c r="AM2" s="46"/>
      <c r="AN2" s="47"/>
      <c r="AO2" s="44"/>
      <c r="AP2" s="44"/>
      <c r="AQ2" s="45"/>
      <c r="AR2" s="44"/>
      <c r="AS2" s="46"/>
      <c r="AT2" s="44"/>
      <c r="AU2" s="43"/>
      <c r="AV2" s="45"/>
      <c r="AW2" s="46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</row>
    <row r="3" spans="1:70" s="3" customFormat="1" ht="24" customHeight="1" thickBot="1" x14ac:dyDescent="0.3">
      <c r="A3" s="676"/>
      <c r="B3" s="408"/>
      <c r="C3" s="670" t="s">
        <v>63</v>
      </c>
      <c r="D3" s="671"/>
      <c r="E3" s="671"/>
      <c r="F3" s="671"/>
      <c r="G3" s="672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102"/>
      <c r="AI3" s="48"/>
      <c r="AJ3" s="48"/>
      <c r="AK3" s="48"/>
      <c r="AL3" s="48"/>
      <c r="AM3" s="48"/>
      <c r="AN3" s="102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</row>
    <row r="4" spans="1:70" s="3" customFormat="1" ht="24" customHeight="1" thickBot="1" x14ac:dyDescent="0.3">
      <c r="A4" s="676"/>
      <c r="B4" s="408"/>
      <c r="C4" s="673" t="s">
        <v>95</v>
      </c>
      <c r="D4" s="674"/>
      <c r="E4" s="674"/>
      <c r="F4" s="674"/>
      <c r="G4" s="675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102"/>
      <c r="AI4" s="48"/>
      <c r="AJ4" s="48"/>
      <c r="AK4" s="48"/>
      <c r="AL4" s="48"/>
      <c r="AM4" s="48"/>
      <c r="AN4" s="102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</row>
    <row r="5" spans="1:70" s="34" customFormat="1" ht="39" customHeight="1" thickBot="1" x14ac:dyDescent="0.3">
      <c r="A5" s="409"/>
      <c r="B5" s="410"/>
      <c r="C5" s="482" t="s">
        <v>64</v>
      </c>
      <c r="D5" s="483" t="s">
        <v>25</v>
      </c>
      <c r="E5" s="484" t="s">
        <v>149</v>
      </c>
      <c r="F5" s="483" t="s">
        <v>26</v>
      </c>
      <c r="G5" s="485" t="s">
        <v>150</v>
      </c>
    </row>
    <row r="6" spans="1:70" s="463" customFormat="1" ht="19.5" customHeight="1" thickBot="1" x14ac:dyDescent="0.3">
      <c r="A6" s="457"/>
      <c r="B6" s="458" t="s">
        <v>2</v>
      </c>
      <c r="C6" s="459" t="s">
        <v>67</v>
      </c>
      <c r="D6" s="460">
        <f>'R-1'!E13</f>
        <v>7.4275499999999983</v>
      </c>
      <c r="E6" s="461">
        <f>'R-1'!A13</f>
        <v>3.4027777777777775E-2</v>
      </c>
      <c r="F6" s="460">
        <f>D6</f>
        <v>7.4275499999999983</v>
      </c>
      <c r="G6" s="462">
        <f>E6</f>
        <v>3.4027777777777775E-2</v>
      </c>
    </row>
    <row r="7" spans="1:70" s="470" customFormat="1" ht="19.5" customHeight="1" thickBot="1" x14ac:dyDescent="0.3">
      <c r="A7" s="464"/>
      <c r="B7" s="465" t="s">
        <v>3</v>
      </c>
      <c r="C7" s="466" t="s">
        <v>68</v>
      </c>
      <c r="D7" s="467">
        <f>'R-2'!E35</f>
        <v>5.0427000000000008</v>
      </c>
      <c r="E7" s="468">
        <f>'R-2'!A35</f>
        <v>3.1944444444444463E-2</v>
      </c>
      <c r="F7" s="467">
        <f t="shared" ref="F7:F35" si="0">SUM(F6+D7)</f>
        <v>12.47025</v>
      </c>
      <c r="G7" s="469">
        <f>G6+E7</f>
        <v>6.5972222222222238E-2</v>
      </c>
      <c r="M7" s="471">
        <v>44145.027118055557</v>
      </c>
    </row>
    <row r="8" spans="1:70" s="463" customFormat="1" ht="19.5" customHeight="1" thickBot="1" x14ac:dyDescent="0.3">
      <c r="A8" s="457"/>
      <c r="B8" s="457" t="s">
        <v>0</v>
      </c>
      <c r="C8" s="459" t="s">
        <v>69</v>
      </c>
      <c r="D8" s="460">
        <v>6.56</v>
      </c>
      <c r="E8" s="461">
        <v>3.3333333333333333E-2</v>
      </c>
      <c r="F8" s="460">
        <f t="shared" si="0"/>
        <v>19.030249999999999</v>
      </c>
      <c r="G8" s="462">
        <f t="shared" ref="G8:G46" si="1">G7+E8</f>
        <v>9.9305555555555564E-2</v>
      </c>
    </row>
    <row r="9" spans="1:70" s="470" customFormat="1" ht="19.5" customHeight="1" thickBot="1" x14ac:dyDescent="0.3">
      <c r="A9" s="464"/>
      <c r="B9" s="465" t="s">
        <v>8</v>
      </c>
      <c r="C9" s="466" t="s">
        <v>70</v>
      </c>
      <c r="D9" s="467">
        <f>'R-3'!E20</f>
        <v>6.663149999999999</v>
      </c>
      <c r="E9" s="468">
        <f>'R-3'!A20</f>
        <v>3.5416666666666659E-2</v>
      </c>
      <c r="F9" s="472">
        <f t="shared" si="0"/>
        <v>25.693399999999997</v>
      </c>
      <c r="G9" s="469">
        <f t="shared" si="1"/>
        <v>0.13472222222222222</v>
      </c>
    </row>
    <row r="10" spans="1:70" s="463" customFormat="1" ht="19.5" customHeight="1" thickBot="1" x14ac:dyDescent="0.3">
      <c r="A10" s="457"/>
      <c r="B10" s="458" t="s">
        <v>9</v>
      </c>
      <c r="C10" s="459" t="s">
        <v>71</v>
      </c>
      <c r="D10" s="460">
        <f>'R-4'!E13</f>
        <v>8.4435000000000002</v>
      </c>
      <c r="E10" s="461">
        <f>'R-4'!A13</f>
        <v>3.8194444444444441E-2</v>
      </c>
      <c r="F10" s="460">
        <f t="shared" si="0"/>
        <v>34.136899999999997</v>
      </c>
      <c r="G10" s="462">
        <f t="shared" si="1"/>
        <v>0.17291666666666666</v>
      </c>
    </row>
    <row r="11" spans="1:70" s="470" customFormat="1" ht="19.5" customHeight="1" thickBot="1" x14ac:dyDescent="0.3">
      <c r="A11" s="464"/>
      <c r="B11" s="465" t="s">
        <v>4</v>
      </c>
      <c r="C11" s="466" t="s">
        <v>72</v>
      </c>
      <c r="D11" s="467">
        <f>'R-5'!E18</f>
        <v>6.8542499999999995</v>
      </c>
      <c r="E11" s="468">
        <f>'R-5'!A18</f>
        <v>3.680555555555555E-2</v>
      </c>
      <c r="F11" s="472">
        <f t="shared" si="0"/>
        <v>40.991149999999998</v>
      </c>
      <c r="G11" s="469">
        <f t="shared" si="1"/>
        <v>0.2097222222222222</v>
      </c>
    </row>
    <row r="12" spans="1:70" s="463" customFormat="1" ht="19.5" customHeight="1" thickBot="1" x14ac:dyDescent="0.3">
      <c r="A12" s="457"/>
      <c r="B12" s="458" t="s">
        <v>5</v>
      </c>
      <c r="C12" s="459" t="s">
        <v>73</v>
      </c>
      <c r="D12" s="460">
        <f>'R-6'!E35</f>
        <v>7.1369999999999987</v>
      </c>
      <c r="E12" s="461">
        <f>'R-6'!A35</f>
        <v>3.7500000000000006E-2</v>
      </c>
      <c r="F12" s="460">
        <f t="shared" si="0"/>
        <v>48.128149999999998</v>
      </c>
      <c r="G12" s="462">
        <f t="shared" si="1"/>
        <v>0.2472222222222222</v>
      </c>
    </row>
    <row r="13" spans="1:70" s="470" customFormat="1" ht="19.5" customHeight="1" thickBot="1" x14ac:dyDescent="0.3">
      <c r="A13" s="464"/>
      <c r="B13" s="465" t="s">
        <v>6</v>
      </c>
      <c r="C13" s="466" t="s">
        <v>74</v>
      </c>
      <c r="D13" s="467">
        <f>'R-7'!E15</f>
        <v>9.0967500000000001</v>
      </c>
      <c r="E13" s="468">
        <f>'R-7'!A15</f>
        <v>4.1666666666666671E-2</v>
      </c>
      <c r="F13" s="472">
        <f t="shared" si="0"/>
        <v>57.224899999999998</v>
      </c>
      <c r="G13" s="469">
        <f t="shared" si="1"/>
        <v>0.28888888888888886</v>
      </c>
    </row>
    <row r="14" spans="1:70" s="463" customFormat="1" ht="19.5" customHeight="1" thickBot="1" x14ac:dyDescent="0.3">
      <c r="A14" s="457"/>
      <c r="B14" s="458" t="s">
        <v>7</v>
      </c>
      <c r="C14" s="459" t="s">
        <v>75</v>
      </c>
      <c r="D14" s="460">
        <f>'R-8'!E35</f>
        <v>6.0781499999999982</v>
      </c>
      <c r="E14" s="461">
        <f>'R-8'!A35</f>
        <v>3.1250000000000007E-2</v>
      </c>
      <c r="F14" s="460">
        <f t="shared" si="0"/>
        <v>63.303049999999999</v>
      </c>
      <c r="G14" s="462">
        <f t="shared" si="1"/>
        <v>0.32013888888888886</v>
      </c>
    </row>
    <row r="15" spans="1:70" s="470" customFormat="1" ht="19.5" customHeight="1" thickBot="1" x14ac:dyDescent="0.3">
      <c r="A15" s="464"/>
      <c r="B15" s="465" t="s">
        <v>10</v>
      </c>
      <c r="C15" s="466" t="s">
        <v>76</v>
      </c>
      <c r="D15" s="467">
        <f>'R-9'!E18</f>
        <v>6.9517499999999997</v>
      </c>
      <c r="E15" s="468">
        <f>'R-9'!A18</f>
        <v>3.5416666666666666E-2</v>
      </c>
      <c r="F15" s="472">
        <f t="shared" si="0"/>
        <v>70.254800000000003</v>
      </c>
      <c r="G15" s="469">
        <f t="shared" si="1"/>
        <v>0.35555555555555551</v>
      </c>
    </row>
    <row r="16" spans="1:70" s="463" customFormat="1" ht="19.5" customHeight="1" thickBot="1" x14ac:dyDescent="0.3">
      <c r="A16" s="457"/>
      <c r="B16" s="458" t="s">
        <v>5</v>
      </c>
      <c r="C16" s="459" t="s">
        <v>77</v>
      </c>
      <c r="D16" s="460">
        <f>'R-10'!E38</f>
        <v>5.7999499999999991</v>
      </c>
      <c r="E16" s="461">
        <f>'R-10'!A38</f>
        <v>3.3101851851851875E-2</v>
      </c>
      <c r="F16" s="460">
        <f t="shared" si="0"/>
        <v>76.054749999999999</v>
      </c>
      <c r="G16" s="462">
        <f t="shared" si="1"/>
        <v>0.3886574074074074</v>
      </c>
    </row>
    <row r="17" spans="1:7" s="470" customFormat="1" ht="19.5" customHeight="1" thickBot="1" x14ac:dyDescent="0.3">
      <c r="A17" s="464"/>
      <c r="B17" s="465" t="s">
        <v>2</v>
      </c>
      <c r="C17" s="466" t="s">
        <v>78</v>
      </c>
      <c r="D17" s="467">
        <f>'R-11'!E13</f>
        <v>8.0827499999999972</v>
      </c>
      <c r="E17" s="468">
        <f>'R-11'!A13</f>
        <v>3.6805555555555557E-2</v>
      </c>
      <c r="F17" s="472">
        <f t="shared" si="0"/>
        <v>84.137499999999989</v>
      </c>
      <c r="G17" s="469">
        <f t="shared" si="1"/>
        <v>0.42546296296296293</v>
      </c>
    </row>
    <row r="18" spans="1:7" s="463" customFormat="1" ht="19.5" customHeight="1" thickBot="1" x14ac:dyDescent="0.3">
      <c r="A18" s="457"/>
      <c r="B18" s="458" t="s">
        <v>5</v>
      </c>
      <c r="C18" s="459" t="s">
        <v>79</v>
      </c>
      <c r="D18" s="460">
        <f>'R-12'!E34</f>
        <v>6.1977499999999992</v>
      </c>
      <c r="E18" s="461">
        <f>'R-12'!A34</f>
        <v>3.4085648148148164E-2</v>
      </c>
      <c r="F18" s="460">
        <f t="shared" si="0"/>
        <v>90.335249999999988</v>
      </c>
      <c r="G18" s="462">
        <f t="shared" si="1"/>
        <v>0.45954861111111112</v>
      </c>
    </row>
    <row r="19" spans="1:7" s="470" customFormat="1" ht="19.5" customHeight="1" thickBot="1" x14ac:dyDescent="0.3">
      <c r="A19" s="465"/>
      <c r="B19" s="465" t="s">
        <v>2</v>
      </c>
      <c r="C19" s="466" t="s">
        <v>80</v>
      </c>
      <c r="D19" s="467">
        <f>'R-13'!E14</f>
        <v>7.3105499999999992</v>
      </c>
      <c r="E19" s="468">
        <f>'R-13'!A14</f>
        <v>3.2638888888888884E-2</v>
      </c>
      <c r="F19" s="472">
        <f t="shared" si="0"/>
        <v>97.64579999999998</v>
      </c>
      <c r="G19" s="469">
        <f t="shared" si="1"/>
        <v>0.4921875</v>
      </c>
    </row>
    <row r="20" spans="1:7" s="463" customFormat="1" ht="19.5" customHeight="1" thickBot="1" x14ac:dyDescent="0.3">
      <c r="A20" s="457"/>
      <c r="B20" s="458" t="s">
        <v>8</v>
      </c>
      <c r="C20" s="459" t="s">
        <v>81</v>
      </c>
      <c r="D20" s="460">
        <f>'R-14'!E24</f>
        <v>6.5188499999999987</v>
      </c>
      <c r="E20" s="461">
        <f>'R-14'!A24</f>
        <v>3.3680555555555554E-2</v>
      </c>
      <c r="F20" s="460">
        <f t="shared" si="0"/>
        <v>104.16464999999998</v>
      </c>
      <c r="G20" s="462">
        <f t="shared" si="1"/>
        <v>0.5258680555555556</v>
      </c>
    </row>
    <row r="21" spans="1:7" s="470" customFormat="1" ht="19.5" customHeight="1" thickBot="1" x14ac:dyDescent="0.3">
      <c r="A21" s="464"/>
      <c r="B21" s="465" t="s">
        <v>7</v>
      </c>
      <c r="C21" s="466" t="s">
        <v>82</v>
      </c>
      <c r="D21" s="473">
        <f>'R-15'!E36</f>
        <v>6.0547499999999985</v>
      </c>
      <c r="E21" s="468">
        <f>'R-15'!A36</f>
        <v>3.4722222222222245E-2</v>
      </c>
      <c r="F21" s="472">
        <f t="shared" si="0"/>
        <v>110.21939999999998</v>
      </c>
      <c r="G21" s="469">
        <f t="shared" si="1"/>
        <v>0.56059027777777781</v>
      </c>
    </row>
    <row r="22" spans="1:7" s="463" customFormat="1" ht="19.5" customHeight="1" thickBot="1" x14ac:dyDescent="0.3">
      <c r="A22" s="457"/>
      <c r="B22" s="458" t="s">
        <v>24</v>
      </c>
      <c r="C22" s="459" t="s">
        <v>83</v>
      </c>
      <c r="D22" s="460">
        <f>'R-16'!E16</f>
        <v>7.5345399999999998</v>
      </c>
      <c r="E22" s="461">
        <f>'R-16'!A16</f>
        <v>3.858796296296297E-2</v>
      </c>
      <c r="F22" s="460">
        <f t="shared" si="0"/>
        <v>117.75393999999997</v>
      </c>
      <c r="G22" s="462">
        <f t="shared" si="1"/>
        <v>0.59917824074074078</v>
      </c>
    </row>
    <row r="23" spans="1:7" s="470" customFormat="1" ht="19.5" customHeight="1" thickBot="1" x14ac:dyDescent="0.3">
      <c r="A23" s="464"/>
      <c r="B23" s="465" t="s">
        <v>9</v>
      </c>
      <c r="C23" s="466" t="s">
        <v>84</v>
      </c>
      <c r="D23" s="473">
        <f>'R-17'!E15</f>
        <v>7.1974499999999999</v>
      </c>
      <c r="E23" s="468">
        <f>'R-17'!A15</f>
        <v>3.1944444444444442E-2</v>
      </c>
      <c r="F23" s="472">
        <f t="shared" si="0"/>
        <v>124.95138999999998</v>
      </c>
      <c r="G23" s="469">
        <f t="shared" si="1"/>
        <v>0.63112268518518522</v>
      </c>
    </row>
    <row r="24" spans="1:7" s="463" customFormat="1" ht="19.5" customHeight="1" thickBot="1" x14ac:dyDescent="0.3">
      <c r="A24" s="457"/>
      <c r="B24" s="458" t="s">
        <v>27</v>
      </c>
      <c r="C24" s="459" t="s">
        <v>85</v>
      </c>
      <c r="D24" s="460">
        <f>'R-18'!E24</f>
        <v>7.3866000000000014</v>
      </c>
      <c r="E24" s="461">
        <f>'R-18'!A24</f>
        <v>3.6111111111111115E-2</v>
      </c>
      <c r="F24" s="460">
        <f t="shared" si="0"/>
        <v>132.33798999999999</v>
      </c>
      <c r="G24" s="462">
        <f t="shared" si="1"/>
        <v>0.66723379629629631</v>
      </c>
    </row>
    <row r="25" spans="1:7" s="470" customFormat="1" ht="19.5" customHeight="1" thickBot="1" x14ac:dyDescent="0.3">
      <c r="A25" s="464"/>
      <c r="B25" s="465" t="s">
        <v>28</v>
      </c>
      <c r="C25" s="466" t="s">
        <v>86</v>
      </c>
      <c r="D25" s="472">
        <f>'R-19'!E22</f>
        <v>6.8979299999999988</v>
      </c>
      <c r="E25" s="468">
        <f>'R-19'!A22</f>
        <v>3.4976851851851849E-2</v>
      </c>
      <c r="F25" s="472">
        <f t="shared" si="0"/>
        <v>139.23591999999999</v>
      </c>
      <c r="G25" s="469">
        <f t="shared" si="1"/>
        <v>0.70221064814814815</v>
      </c>
    </row>
    <row r="26" spans="1:7" s="463" customFormat="1" ht="19.5" customHeight="1" thickBot="1" x14ac:dyDescent="0.3">
      <c r="A26" s="457"/>
      <c r="B26" s="458" t="s">
        <v>29</v>
      </c>
      <c r="C26" s="459" t="s">
        <v>87</v>
      </c>
      <c r="D26" s="460">
        <f>'R-20'!E35</f>
        <v>5.5438499999999973</v>
      </c>
      <c r="E26" s="461">
        <f>'R-20'!A35</f>
        <v>3.2638888888888905E-2</v>
      </c>
      <c r="F26" s="460">
        <f t="shared" si="0"/>
        <v>144.77976999999998</v>
      </c>
      <c r="G26" s="462">
        <f t="shared" si="1"/>
        <v>0.73484953703703704</v>
      </c>
    </row>
    <row r="27" spans="1:7" s="470" customFormat="1" ht="19.5" customHeight="1" thickBot="1" x14ac:dyDescent="0.3">
      <c r="A27" s="464"/>
      <c r="B27" s="465" t="s">
        <v>93</v>
      </c>
      <c r="C27" s="474" t="s">
        <v>88</v>
      </c>
      <c r="D27" s="472">
        <f>'R-21'!E38</f>
        <v>6.7177499999999988</v>
      </c>
      <c r="E27" s="468">
        <f>'R-21'!A38</f>
        <v>3.7499999999999999E-2</v>
      </c>
      <c r="F27" s="472">
        <f t="shared" si="0"/>
        <v>151.49751999999998</v>
      </c>
      <c r="G27" s="469">
        <f t="shared" si="1"/>
        <v>0.77234953703703701</v>
      </c>
    </row>
    <row r="28" spans="1:7" s="463" customFormat="1" ht="19.5" customHeight="1" thickBot="1" x14ac:dyDescent="0.3">
      <c r="A28" s="457"/>
      <c r="B28" s="458" t="s">
        <v>91</v>
      </c>
      <c r="C28" s="475" t="s">
        <v>89</v>
      </c>
      <c r="D28" s="460">
        <f>'R-22'!E14</f>
        <v>7.1077499999999993</v>
      </c>
      <c r="E28" s="461">
        <f>'R-22'!A14</f>
        <v>3.125E-2</v>
      </c>
      <c r="F28" s="460">
        <f t="shared" si="0"/>
        <v>158.60526999999999</v>
      </c>
      <c r="G28" s="462">
        <f t="shared" si="1"/>
        <v>0.80359953703703701</v>
      </c>
    </row>
    <row r="29" spans="1:7" s="470" customFormat="1" ht="19.5" customHeight="1" thickBot="1" x14ac:dyDescent="0.3">
      <c r="A29" s="464"/>
      <c r="B29" s="465" t="s">
        <v>92</v>
      </c>
      <c r="C29" s="474" t="s">
        <v>90</v>
      </c>
      <c r="D29" s="467">
        <f>'R-23'!E24</f>
        <v>8.3701799999999995</v>
      </c>
      <c r="E29" s="468">
        <f>'R-23'!A24</f>
        <v>4.1342592592592591E-2</v>
      </c>
      <c r="F29" s="472">
        <f t="shared" si="0"/>
        <v>166.97545</v>
      </c>
      <c r="G29" s="469">
        <f t="shared" si="1"/>
        <v>0.84494212962962956</v>
      </c>
    </row>
    <row r="30" spans="1:7" s="463" customFormat="1" ht="19.5" customHeight="1" thickBot="1" x14ac:dyDescent="0.3">
      <c r="A30" s="457"/>
      <c r="B30" s="458" t="s">
        <v>5</v>
      </c>
      <c r="C30" s="475" t="s">
        <v>124</v>
      </c>
      <c r="D30" s="460">
        <f>'R-24'!E36</f>
        <v>7.7570999999999994</v>
      </c>
      <c r="E30" s="461">
        <f>'R-24'!A36</f>
        <v>3.8888888888888903E-2</v>
      </c>
      <c r="F30" s="460">
        <f t="shared" si="0"/>
        <v>174.73255</v>
      </c>
      <c r="G30" s="462">
        <f t="shared" si="1"/>
        <v>0.88383101851851842</v>
      </c>
    </row>
    <row r="31" spans="1:7" s="470" customFormat="1" ht="19.5" customHeight="1" thickBot="1" x14ac:dyDescent="0.3">
      <c r="A31" s="464"/>
      <c r="B31" s="465" t="s">
        <v>125</v>
      </c>
      <c r="C31" s="474" t="s">
        <v>126</v>
      </c>
      <c r="D31" s="467">
        <f>'R-25'!E13</f>
        <v>8.1120000000000001</v>
      </c>
      <c r="E31" s="468">
        <f>'R-25'!A13</f>
        <v>3.4722222222222224E-2</v>
      </c>
      <c r="F31" s="472">
        <f t="shared" si="0"/>
        <v>182.84455</v>
      </c>
      <c r="G31" s="469">
        <f t="shared" si="1"/>
        <v>0.91855324074074063</v>
      </c>
    </row>
    <row r="32" spans="1:7" s="463" customFormat="1" ht="19.5" customHeight="1" thickBot="1" x14ac:dyDescent="0.3">
      <c r="A32" s="457"/>
      <c r="B32" s="458" t="s">
        <v>127</v>
      </c>
      <c r="C32" s="475" t="s">
        <v>128</v>
      </c>
      <c r="D32" s="460">
        <f>'R-26'!E22</f>
        <v>8.8572899999999972</v>
      </c>
      <c r="E32" s="461">
        <f>'R-26'!A22</f>
        <v>4.1736111111111106E-2</v>
      </c>
      <c r="F32" s="460">
        <f t="shared" si="0"/>
        <v>191.70184</v>
      </c>
      <c r="G32" s="462">
        <f t="shared" si="1"/>
        <v>0.96028935185185171</v>
      </c>
    </row>
    <row r="33" spans="1:7" s="470" customFormat="1" ht="19.5" customHeight="1" thickBot="1" x14ac:dyDescent="0.3">
      <c r="A33" s="464"/>
      <c r="B33" s="465" t="s">
        <v>138</v>
      </c>
      <c r="C33" s="474" t="s">
        <v>139</v>
      </c>
      <c r="D33" s="472">
        <f>'R-27'!E35</f>
        <v>5.8753500000000027</v>
      </c>
      <c r="E33" s="468">
        <f>'R-27'!A35</f>
        <v>3.3333333333333347E-2</v>
      </c>
      <c r="F33" s="472">
        <f t="shared" si="0"/>
        <v>197.57719</v>
      </c>
      <c r="G33" s="469">
        <f t="shared" si="1"/>
        <v>0.99362268518518504</v>
      </c>
    </row>
    <row r="34" spans="1:7" s="463" customFormat="1" ht="19.5" customHeight="1" thickBot="1" x14ac:dyDescent="0.3">
      <c r="A34" s="457"/>
      <c r="B34" s="458" t="s">
        <v>140</v>
      </c>
      <c r="C34" s="475" t="s">
        <v>141</v>
      </c>
      <c r="D34" s="460">
        <f>'R-28'!E16</f>
        <v>8.505704999999999</v>
      </c>
      <c r="E34" s="461">
        <f>'R-28'!A16</f>
        <v>4.1458333333333333E-2</v>
      </c>
      <c r="F34" s="460">
        <f t="shared" si="0"/>
        <v>206.08289500000001</v>
      </c>
      <c r="G34" s="462">
        <f t="shared" si="1"/>
        <v>1.0350810185185184</v>
      </c>
    </row>
    <row r="35" spans="1:7" s="470" customFormat="1" ht="19.5" customHeight="1" thickBot="1" x14ac:dyDescent="0.3">
      <c r="A35" s="464"/>
      <c r="B35" s="465" t="s">
        <v>142</v>
      </c>
      <c r="C35" s="476" t="s">
        <v>153</v>
      </c>
      <c r="D35" s="477">
        <f>'R-29'!E26</f>
        <v>7.0911100000000005</v>
      </c>
      <c r="E35" s="478">
        <f>'R-29'!A26</f>
        <v>3.921296296296297E-2</v>
      </c>
      <c r="F35" s="477">
        <f t="shared" si="0"/>
        <v>213.17400500000002</v>
      </c>
      <c r="G35" s="469">
        <f t="shared" si="1"/>
        <v>1.0742939814814814</v>
      </c>
    </row>
    <row r="36" spans="1:7" s="479" customFormat="1" ht="19.5" customHeight="1" thickBot="1" x14ac:dyDescent="0.3">
      <c r="A36" s="457"/>
      <c r="B36" s="458" t="s">
        <v>151</v>
      </c>
      <c r="C36" s="475" t="s">
        <v>152</v>
      </c>
      <c r="D36" s="460">
        <f>'R-30'!E40</f>
        <v>5.6111249999999977</v>
      </c>
      <c r="E36" s="461">
        <f>'R-30'!A40</f>
        <v>2.9861111111111081E-2</v>
      </c>
      <c r="F36" s="460">
        <f t="shared" ref="F36:F46" si="2">SUM(F35+D36)</f>
        <v>218.78513000000001</v>
      </c>
      <c r="G36" s="462">
        <f t="shared" si="1"/>
        <v>1.1041550925925925</v>
      </c>
    </row>
    <row r="37" spans="1:7" s="479" customFormat="1" ht="19.5" customHeight="1" thickBot="1" x14ac:dyDescent="0.3">
      <c r="A37" s="464"/>
      <c r="B37" s="480" t="s">
        <v>151</v>
      </c>
      <c r="C37" s="481" t="s">
        <v>154</v>
      </c>
      <c r="D37" s="472">
        <f>'R-31'!E50</f>
        <v>5.5282499999999972</v>
      </c>
      <c r="E37" s="468">
        <f>'R-31'!A50</f>
        <v>3.2407407407407426E-2</v>
      </c>
      <c r="F37" s="472">
        <f t="shared" si="2"/>
        <v>224.31338</v>
      </c>
      <c r="G37" s="469">
        <f t="shared" si="1"/>
        <v>1.1365624999999999</v>
      </c>
    </row>
    <row r="38" spans="1:7" s="479" customFormat="1" ht="19.5" customHeight="1" thickBot="1" x14ac:dyDescent="0.3">
      <c r="A38" s="457"/>
      <c r="B38" s="458" t="s">
        <v>151</v>
      </c>
      <c r="C38" s="475" t="s">
        <v>155</v>
      </c>
      <c r="D38" s="460">
        <f>'R-32'!E50</f>
        <v>6.3199499999999986</v>
      </c>
      <c r="E38" s="461">
        <f>'R-32'!A50</f>
        <v>3.6574074074074078E-2</v>
      </c>
      <c r="F38" s="460">
        <f>SUM(F37+D38)</f>
        <v>230.63333</v>
      </c>
      <c r="G38" s="462">
        <f t="shared" si="1"/>
        <v>1.173136574074074</v>
      </c>
    </row>
    <row r="39" spans="1:7" s="479" customFormat="1" ht="19.5" customHeight="1" thickBot="1" x14ac:dyDescent="0.3">
      <c r="A39" s="464"/>
      <c r="B39" s="465" t="s">
        <v>151</v>
      </c>
      <c r="C39" s="476" t="s">
        <v>156</v>
      </c>
      <c r="D39" s="477">
        <f>'R-33'!E41</f>
        <v>6.1619999999999937</v>
      </c>
      <c r="E39" s="478">
        <f>'R-33'!A41</f>
        <v>3.1250000000000014E-2</v>
      </c>
      <c r="F39" s="477">
        <f t="shared" si="2"/>
        <v>236.79533000000001</v>
      </c>
      <c r="G39" s="469">
        <f t="shared" si="1"/>
        <v>1.204386574074074</v>
      </c>
    </row>
    <row r="40" spans="1:7" s="479" customFormat="1" ht="19.5" customHeight="1" thickBot="1" x14ac:dyDescent="0.3">
      <c r="A40" s="457"/>
      <c r="B40" s="458" t="s">
        <v>151</v>
      </c>
      <c r="C40" s="475" t="s">
        <v>159</v>
      </c>
      <c r="D40" s="460">
        <f>'R-34'!E46</f>
        <v>6.1035000000000004</v>
      </c>
      <c r="E40" s="461">
        <f>'R-34'!A46</f>
        <v>3.3333333333333326E-2</v>
      </c>
      <c r="F40" s="460">
        <f t="shared" si="2"/>
        <v>242.89883</v>
      </c>
      <c r="G40" s="462">
        <f t="shared" si="1"/>
        <v>1.2377199074074072</v>
      </c>
    </row>
    <row r="41" spans="1:7" s="479" customFormat="1" ht="19.5" customHeight="1" thickBot="1" x14ac:dyDescent="0.3">
      <c r="A41" s="464"/>
      <c r="B41" s="465" t="s">
        <v>162</v>
      </c>
      <c r="C41" s="474" t="s">
        <v>163</v>
      </c>
      <c r="D41" s="472">
        <f>'R-35'!E52</f>
        <v>6.9712499999999977</v>
      </c>
      <c r="E41" s="468">
        <f>'R-35'!A52</f>
        <v>4.0046296296296302E-2</v>
      </c>
      <c r="F41" s="472">
        <f t="shared" si="2"/>
        <v>249.87008</v>
      </c>
      <c r="G41" s="469">
        <f t="shared" si="1"/>
        <v>1.2777662037037034</v>
      </c>
    </row>
    <row r="42" spans="1:7" s="479" customFormat="1" ht="19.5" customHeight="1" thickBot="1" x14ac:dyDescent="0.3">
      <c r="A42" s="457"/>
      <c r="B42" s="458" t="s">
        <v>151</v>
      </c>
      <c r="C42" s="475" t="s">
        <v>164</v>
      </c>
      <c r="D42" s="460">
        <f>'R-36'!E42</f>
        <v>5.6866875000000014</v>
      </c>
      <c r="E42" s="461">
        <f>'R-36'!A42</f>
        <v>3.1250000000000014E-2</v>
      </c>
      <c r="F42" s="460">
        <f t="shared" si="2"/>
        <v>255.55676750000001</v>
      </c>
      <c r="G42" s="462">
        <f t="shared" si="1"/>
        <v>1.3090162037037034</v>
      </c>
    </row>
    <row r="43" spans="1:7" s="479" customFormat="1" ht="19.5" customHeight="1" thickBot="1" x14ac:dyDescent="0.3">
      <c r="A43" s="464"/>
      <c r="B43" s="465" t="s">
        <v>151</v>
      </c>
      <c r="C43" s="476" t="s">
        <v>165</v>
      </c>
      <c r="D43" s="477">
        <f>'R-37'!E34</f>
        <v>5.6077124999999981</v>
      </c>
      <c r="E43" s="478">
        <f>'R-37'!A34</f>
        <v>3.3738425925925929E-2</v>
      </c>
      <c r="F43" s="477">
        <f t="shared" si="2"/>
        <v>261.16448000000003</v>
      </c>
      <c r="G43" s="469">
        <f t="shared" si="1"/>
        <v>1.3427546296296293</v>
      </c>
    </row>
    <row r="44" spans="1:7" s="479" customFormat="1" ht="19.5" customHeight="1" thickBot="1" x14ac:dyDescent="0.3">
      <c r="A44" s="457"/>
      <c r="B44" s="458" t="s">
        <v>166</v>
      </c>
      <c r="C44" s="475" t="s">
        <v>167</v>
      </c>
      <c r="D44" s="460">
        <f>'R-38'!E39</f>
        <v>7.6732500000000012</v>
      </c>
      <c r="E44" s="461">
        <f>'R-38'!A39</f>
        <v>3.9756944444444435E-2</v>
      </c>
      <c r="F44" s="460">
        <f t="shared" si="2"/>
        <v>268.83773000000002</v>
      </c>
      <c r="G44" s="462">
        <f t="shared" si="1"/>
        <v>1.3825115740740737</v>
      </c>
    </row>
    <row r="45" spans="1:7" s="479" customFormat="1" ht="19.5" customHeight="1" thickBot="1" x14ac:dyDescent="0.3">
      <c r="A45" s="464"/>
      <c r="B45" s="465" t="s">
        <v>151</v>
      </c>
      <c r="C45" s="474" t="s">
        <v>173</v>
      </c>
      <c r="D45" s="472">
        <f>'R-39'!E64</f>
        <v>8.3347874999999974</v>
      </c>
      <c r="E45" s="468">
        <f>'R-39'!A64</f>
        <v>4.5983796296296231E-2</v>
      </c>
      <c r="F45" s="472">
        <f t="shared" si="2"/>
        <v>277.17251750000003</v>
      </c>
      <c r="G45" s="469">
        <f t="shared" si="1"/>
        <v>1.4284953703703698</v>
      </c>
    </row>
    <row r="46" spans="1:7" s="479" customFormat="1" ht="19.5" customHeight="1" thickBot="1" x14ac:dyDescent="0.3">
      <c r="A46" s="457"/>
      <c r="B46" s="458" t="s">
        <v>174</v>
      </c>
      <c r="C46" s="475" t="s">
        <v>175</v>
      </c>
      <c r="D46" s="460">
        <f>'R-40'!E58</f>
        <v>5.7817499999999988</v>
      </c>
      <c r="E46" s="461">
        <f>'R-40'!A58</f>
        <v>3.4027777777777796E-2</v>
      </c>
      <c r="F46" s="460">
        <f t="shared" si="2"/>
        <v>282.95426750000001</v>
      </c>
      <c r="G46" s="462">
        <f t="shared" si="1"/>
        <v>1.4625231481481475</v>
      </c>
    </row>
  </sheetData>
  <mergeCells count="5">
    <mergeCell ref="C1:G1"/>
    <mergeCell ref="C2:G2"/>
    <mergeCell ref="C3:G3"/>
    <mergeCell ref="C4:G4"/>
    <mergeCell ref="A1:A4"/>
  </mergeCells>
  <hyperlinks>
    <hyperlink ref="C3" r:id="rId1"/>
    <hyperlink ref="B6" location="'R-1'!A1" display="Footing Progressif"/>
    <hyperlink ref="B46" location="'R-40'!A1" display="VMA Progressive"/>
    <hyperlink ref="B45" location="'R-39'!A1" display="Travail VMA court"/>
    <hyperlink ref="B44" location="'R-38'!A1" display="Travail VMA court (6&quot;=diag+récup 133m + 75 m)"/>
    <hyperlink ref="B43" location="'R-37'!A1" display="Travail VMA court"/>
    <hyperlink ref="B42" location="'R-36'!A1" display="Travail VMA court"/>
    <hyperlink ref="B41" location="'R-35'!A1" display="Travail VMA pyramidal (à faire 4x)"/>
    <hyperlink ref="B40" location="'R-34'!A1" display="Travail VMA court"/>
    <hyperlink ref="B39" location="'R-33'!A1" display="Travail VMA court"/>
    <hyperlink ref="B38" location="'R-32'!A1" display="Travail VMA court"/>
    <hyperlink ref="B37" location="'R-31'!A1" display="'R-31'!A1"/>
    <hyperlink ref="B36" location="'R-30'!A1" display="Travail VMA court"/>
    <hyperlink ref="B35" location="'R-29'!A1" display="Travail allure 400 m (VMA longue)"/>
    <hyperlink ref="B34" location="'R-28'!A1" display="Travail d'allure 1500 m"/>
    <hyperlink ref="B33" location="'R-27'!A1" display="Travail VMA courte"/>
    <hyperlink ref="B32" location="'R-26'!A1" display="Travail allure 800 m"/>
    <hyperlink ref="B31" location="'R-25'!A1" display="Footing pogressif 50 min"/>
    <hyperlink ref="B30" location="'R-24'!A1" display="Travail VMA"/>
    <hyperlink ref="B29" location="'R-23'!A1" display="Travail allure 1000 m"/>
    <hyperlink ref="B28" location="'R-22'!A1" display="Footing actif progressif"/>
    <hyperlink ref="B27" location="'R-21'!A1" display="Travail pyramidal VMA (à faire 2x)"/>
    <hyperlink ref="B26" location="'R-20'!A1" display="Travail VMA Courte"/>
    <hyperlink ref="B25" location="'R-19'!A1" display="Travail VMA Longue"/>
    <hyperlink ref="B24" location="'R-18'!A1" display="Variation d'allure Progressive"/>
    <hyperlink ref="B23" location="'R-17'!A1" display="Footing Actif Progressif"/>
    <hyperlink ref="B22" location="'R-16'!A1" display="Travail D'allure 1200m"/>
    <hyperlink ref="B21" location="'R-15'!A1" display="VMA Courte"/>
    <hyperlink ref="B19" location="'R-13'!A1" display="Footing Progressif"/>
    <hyperlink ref="B20" location="'R-14'!A1" display="VMA Pyramidale"/>
    <hyperlink ref="B18" location="'R-12'!A1" display="Travail VMA"/>
    <hyperlink ref="B17" location="'R-11'!A1" display="Footing Progressif"/>
    <hyperlink ref="B16" location="'R-10'!A1" display="Travail VMA"/>
    <hyperlink ref="B15" location="'R-9'!A1" display="Travail Allure"/>
    <hyperlink ref="B14" location="'R-8'!A1" display="VMA Courte"/>
    <hyperlink ref="B13" location="'R-7'!A1" display="Footing avec Variation d'Allures"/>
    <hyperlink ref="B12" location="'R-6'!A1" display="Travail VMA"/>
    <hyperlink ref="B11" location="'R-5'!A1" display="VMA Longue"/>
    <hyperlink ref="B10" location="'R-4'!A1" display="Footing Actif Progressif"/>
    <hyperlink ref="B7" location="'R-2'!A1" display="Séance VMA"/>
    <hyperlink ref="B9" location="'R-3'!A1" display="VMA Pyramidale"/>
  </hyperlinks>
  <pageMargins left="0.7" right="0.7" top="0.75" bottom="0.75" header="0.3" footer="0.3"/>
  <pageSetup paperSize="9" scale="10" orientation="landscape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BF1E2E"/>
  </sheetPr>
  <dimension ref="A1:Q25"/>
  <sheetViews>
    <sheetView showGridLines="0" topLeftCell="B13" workbookViewId="0">
      <selection activeCell="E1" sqref="E1:Q1"/>
    </sheetView>
  </sheetViews>
  <sheetFormatPr baseColWidth="10" defaultRowHeight="15" x14ac:dyDescent="0.25"/>
  <cols>
    <col min="13" max="13" width="11.42578125" customWidth="1"/>
  </cols>
  <sheetData>
    <row r="1" spans="1:17" ht="17.100000000000001" customHeight="1" x14ac:dyDescent="0.25">
      <c r="A1" s="223"/>
      <c r="B1" s="223"/>
      <c r="C1" s="223"/>
      <c r="D1" s="223"/>
      <c r="E1" s="690" t="s">
        <v>230</v>
      </c>
      <c r="F1" s="690"/>
      <c r="G1" s="690"/>
      <c r="H1" s="690"/>
      <c r="I1" s="690"/>
      <c r="J1" s="690"/>
      <c r="K1" s="690"/>
      <c r="L1" s="690"/>
      <c r="M1" s="690"/>
      <c r="N1" s="690"/>
      <c r="O1" s="690"/>
      <c r="P1" s="690"/>
      <c r="Q1" s="690"/>
    </row>
    <row r="2" spans="1:17" ht="17.100000000000001" customHeight="1" x14ac:dyDescent="0.25">
      <c r="A2" s="223"/>
      <c r="B2" s="223"/>
      <c r="C2" s="223"/>
      <c r="D2" s="223"/>
      <c r="E2" s="689">
        <v>44311.25</v>
      </c>
      <c r="F2" s="689"/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</row>
    <row r="3" spans="1:17" ht="17.100000000000001" customHeight="1" x14ac:dyDescent="0.25">
      <c r="A3" s="223"/>
      <c r="B3" s="223"/>
      <c r="C3" s="223"/>
      <c r="D3" s="223"/>
      <c r="E3" s="690" t="s">
        <v>231</v>
      </c>
      <c r="F3" s="690"/>
      <c r="G3" s="690"/>
      <c r="H3" s="690"/>
      <c r="I3" s="690"/>
      <c r="J3" s="690"/>
      <c r="K3" s="690"/>
      <c r="L3" s="690"/>
      <c r="M3" s="690"/>
      <c r="N3" s="690"/>
      <c r="O3" s="690"/>
      <c r="P3" s="690"/>
      <c r="Q3" s="690"/>
    </row>
    <row r="4" spans="1:17" ht="17.100000000000001" customHeight="1" x14ac:dyDescent="0.25">
      <c r="A4" s="223"/>
      <c r="B4" s="223"/>
      <c r="C4" s="223"/>
      <c r="D4" s="223"/>
      <c r="E4" s="691">
        <f ca="1">E2-NOW()</f>
        <v>159.85211527777574</v>
      </c>
      <c r="F4" s="691"/>
      <c r="G4" s="691"/>
      <c r="H4" s="691"/>
      <c r="I4" s="691"/>
      <c r="J4" s="691"/>
      <c r="K4" s="691"/>
      <c r="L4" s="691"/>
      <c r="M4" s="691"/>
      <c r="N4" s="691"/>
      <c r="O4" s="691"/>
      <c r="P4" s="691"/>
      <c r="Q4" s="691"/>
    </row>
    <row r="5" spans="1:17" ht="17.100000000000001" customHeight="1" x14ac:dyDescent="0.25">
      <c r="A5" s="223"/>
      <c r="B5" s="223"/>
      <c r="C5" s="223"/>
      <c r="D5" s="223"/>
      <c r="E5" s="691"/>
      <c r="F5" s="691"/>
      <c r="G5" s="691"/>
      <c r="H5" s="691"/>
      <c r="I5" s="691"/>
      <c r="J5" s="691"/>
      <c r="K5" s="691"/>
      <c r="L5" s="691"/>
      <c r="M5" s="691"/>
      <c r="N5" s="691"/>
      <c r="O5" s="691"/>
      <c r="P5" s="691"/>
      <c r="Q5" s="691"/>
    </row>
    <row r="6" spans="1:17" ht="17.100000000000001" customHeight="1" x14ac:dyDescent="0.25">
      <c r="A6" s="681" t="s">
        <v>234</v>
      </c>
      <c r="B6" s="681"/>
      <c r="C6" s="681"/>
      <c r="D6" s="681"/>
      <c r="E6" s="681"/>
      <c r="F6" s="681"/>
      <c r="G6" s="681"/>
      <c r="H6" s="681"/>
      <c r="I6" s="681"/>
      <c r="J6" s="681"/>
      <c r="K6" s="681"/>
      <c r="L6" s="681"/>
      <c r="M6" s="224"/>
      <c r="N6" s="224"/>
      <c r="O6" s="224"/>
      <c r="P6" s="224"/>
      <c r="Q6" s="224"/>
    </row>
    <row r="7" spans="1:17" ht="17.100000000000001" customHeight="1" x14ac:dyDescent="0.25">
      <c r="A7" s="682">
        <v>44381.25</v>
      </c>
      <c r="B7" s="682"/>
      <c r="C7" s="682"/>
      <c r="D7" s="682"/>
      <c r="E7" s="682"/>
      <c r="F7" s="682"/>
      <c r="G7" s="682"/>
      <c r="H7" s="682"/>
      <c r="I7" s="682"/>
      <c r="J7" s="682"/>
      <c r="K7" s="682"/>
      <c r="L7" s="682"/>
      <c r="M7" s="448"/>
      <c r="N7" s="224"/>
      <c r="O7" s="224"/>
      <c r="P7" s="224"/>
      <c r="Q7" s="224"/>
    </row>
    <row r="8" spans="1:17" ht="17.100000000000001" customHeight="1" x14ac:dyDescent="0.25">
      <c r="A8" s="681" t="s">
        <v>232</v>
      </c>
      <c r="B8" s="681"/>
      <c r="C8" s="681"/>
      <c r="D8" s="681"/>
      <c r="E8" s="681"/>
      <c r="F8" s="681"/>
      <c r="G8" s="681"/>
      <c r="H8" s="681"/>
      <c r="I8" s="681"/>
      <c r="J8" s="681"/>
      <c r="K8" s="681"/>
      <c r="L8" s="681"/>
      <c r="M8" s="224"/>
      <c r="N8" s="224"/>
      <c r="O8" s="224"/>
      <c r="P8" s="224"/>
      <c r="Q8" s="224"/>
    </row>
    <row r="9" spans="1:17" ht="17.100000000000001" customHeight="1" x14ac:dyDescent="0.25">
      <c r="A9" s="688">
        <f ca="1">A7-NOW()</f>
        <v>229.85211527777574</v>
      </c>
      <c r="B9" s="688"/>
      <c r="C9" s="688"/>
      <c r="D9" s="688"/>
      <c r="E9" s="688"/>
      <c r="F9" s="688"/>
      <c r="G9" s="688"/>
      <c r="H9" s="688"/>
      <c r="I9" s="688"/>
      <c r="J9" s="688"/>
      <c r="K9" s="688"/>
      <c r="L9" s="688"/>
      <c r="M9" s="224"/>
      <c r="N9" s="224"/>
      <c r="O9" s="224"/>
      <c r="P9" s="224"/>
      <c r="Q9" s="224"/>
    </row>
    <row r="10" spans="1:17" ht="17.100000000000001" customHeight="1" x14ac:dyDescent="0.25">
      <c r="A10" s="688"/>
      <c r="B10" s="688"/>
      <c r="C10" s="688"/>
      <c r="D10" s="688"/>
      <c r="E10" s="688"/>
      <c r="F10" s="688"/>
      <c r="G10" s="688"/>
      <c r="H10" s="688"/>
      <c r="I10" s="688"/>
      <c r="J10" s="688"/>
      <c r="K10" s="688"/>
      <c r="L10" s="688"/>
      <c r="M10" s="224"/>
      <c r="N10" s="224"/>
      <c r="O10" s="224"/>
      <c r="P10" s="224"/>
      <c r="Q10" s="224"/>
    </row>
    <row r="11" spans="1:17" ht="17.100000000000001" customHeight="1" x14ac:dyDescent="0.25">
      <c r="A11" s="223"/>
      <c r="B11" s="223"/>
      <c r="C11" s="223"/>
      <c r="D11" s="223"/>
      <c r="E11" s="687" t="s">
        <v>233</v>
      </c>
      <c r="F11" s="687"/>
      <c r="G11" s="687"/>
      <c r="H11" s="687"/>
      <c r="I11" s="687"/>
      <c r="J11" s="687"/>
      <c r="K11" s="687"/>
      <c r="L11" s="687"/>
      <c r="M11" s="687"/>
      <c r="N11" s="687"/>
      <c r="O11" s="687"/>
      <c r="P11" s="687"/>
      <c r="Q11" s="687"/>
    </row>
    <row r="12" spans="1:17" ht="17.100000000000001" customHeight="1" x14ac:dyDescent="0.4">
      <c r="A12" s="223"/>
      <c r="B12" s="223"/>
      <c r="C12" s="223"/>
      <c r="D12" s="223"/>
      <c r="E12" s="685">
        <v>44472.25</v>
      </c>
      <c r="F12" s="685"/>
      <c r="G12" s="685"/>
      <c r="H12" s="685"/>
      <c r="I12" s="685"/>
      <c r="J12" s="685"/>
      <c r="K12" s="685"/>
      <c r="L12" s="685"/>
      <c r="M12" s="685"/>
      <c r="N12" s="685"/>
      <c r="O12" s="685"/>
      <c r="P12" s="685"/>
      <c r="Q12" s="685"/>
    </row>
    <row r="13" spans="1:17" ht="17.100000000000001" customHeight="1" x14ac:dyDescent="0.3">
      <c r="A13" s="223"/>
      <c r="B13" s="223"/>
      <c r="C13" s="223"/>
      <c r="D13" s="223"/>
      <c r="E13" s="686" t="s">
        <v>231</v>
      </c>
      <c r="F13" s="686"/>
      <c r="G13" s="686"/>
      <c r="H13" s="686"/>
      <c r="I13" s="686"/>
      <c r="J13" s="686"/>
      <c r="K13" s="686"/>
      <c r="L13" s="686"/>
      <c r="M13" s="686"/>
      <c r="N13" s="686"/>
      <c r="O13" s="686"/>
      <c r="P13" s="686"/>
      <c r="Q13" s="686"/>
    </row>
    <row r="14" spans="1:17" ht="17.100000000000001" customHeight="1" x14ac:dyDescent="0.25">
      <c r="A14" s="223"/>
      <c r="B14" s="223"/>
      <c r="C14" s="223"/>
      <c r="D14" s="223"/>
      <c r="E14" s="680">
        <f ca="1">E12-NOW()</f>
        <v>320.85211527777574</v>
      </c>
      <c r="F14" s="680"/>
      <c r="G14" s="680"/>
      <c r="H14" s="680"/>
      <c r="I14" s="680"/>
      <c r="J14" s="680"/>
      <c r="K14" s="680"/>
      <c r="L14" s="680"/>
      <c r="M14" s="680"/>
      <c r="N14" s="680"/>
      <c r="O14" s="680"/>
      <c r="P14" s="680"/>
      <c r="Q14" s="680"/>
    </row>
    <row r="15" spans="1:17" ht="17.100000000000001" customHeight="1" x14ac:dyDescent="0.25">
      <c r="A15" s="223"/>
      <c r="B15" s="223"/>
      <c r="C15" s="223"/>
      <c r="D15" s="223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0"/>
      <c r="P15" s="680"/>
      <c r="Q15" s="680"/>
    </row>
    <row r="16" spans="1:17" ht="17.100000000000001" customHeight="1" x14ac:dyDescent="0.25">
      <c r="A16" s="681" t="s">
        <v>235</v>
      </c>
      <c r="B16" s="681"/>
      <c r="C16" s="681"/>
      <c r="D16" s="681"/>
      <c r="E16" s="681"/>
      <c r="F16" s="681"/>
      <c r="G16" s="681"/>
      <c r="H16" s="681"/>
      <c r="I16" s="681"/>
      <c r="J16" s="681"/>
      <c r="K16" s="681"/>
      <c r="L16" s="681"/>
      <c r="M16" s="224"/>
      <c r="N16" s="224"/>
      <c r="O16" s="224"/>
      <c r="P16" s="224"/>
      <c r="Q16" s="224"/>
    </row>
    <row r="17" spans="1:17" ht="17.100000000000001" customHeight="1" x14ac:dyDescent="0.25">
      <c r="A17" s="682">
        <v>44493.25</v>
      </c>
      <c r="B17" s="682"/>
      <c r="C17" s="682"/>
      <c r="D17" s="682"/>
      <c r="E17" s="682"/>
      <c r="F17" s="682"/>
      <c r="G17" s="682"/>
      <c r="H17" s="682"/>
      <c r="I17" s="682"/>
      <c r="J17" s="682"/>
      <c r="K17" s="682"/>
      <c r="L17" s="682"/>
      <c r="M17" s="224"/>
      <c r="N17" s="224"/>
      <c r="O17" s="224"/>
      <c r="P17" s="224"/>
      <c r="Q17" s="224"/>
    </row>
    <row r="18" spans="1:17" ht="17.100000000000001" customHeight="1" x14ac:dyDescent="0.3">
      <c r="A18" s="684" t="s">
        <v>236</v>
      </c>
      <c r="B18" s="684"/>
      <c r="C18" s="684"/>
      <c r="D18" s="684"/>
      <c r="E18" s="684"/>
      <c r="F18" s="684"/>
      <c r="G18" s="684"/>
      <c r="H18" s="684"/>
      <c r="I18" s="684"/>
      <c r="J18" s="684"/>
      <c r="K18" s="684"/>
      <c r="L18" s="684"/>
      <c r="M18" s="224"/>
      <c r="N18" s="224"/>
      <c r="O18" s="224"/>
      <c r="P18" s="224"/>
      <c r="Q18" s="224"/>
    </row>
    <row r="19" spans="1:17" ht="17.100000000000001" customHeight="1" x14ac:dyDescent="0.25">
      <c r="A19" s="683">
        <f ca="1">A17-NOW()</f>
        <v>341.85211527777574</v>
      </c>
      <c r="B19" s="683"/>
      <c r="C19" s="683"/>
      <c r="D19" s="683"/>
      <c r="E19" s="683"/>
      <c r="F19" s="683"/>
      <c r="G19" s="683"/>
      <c r="H19" s="683"/>
      <c r="I19" s="683"/>
      <c r="J19" s="683"/>
      <c r="K19" s="683"/>
      <c r="L19" s="683"/>
      <c r="M19" s="224"/>
      <c r="N19" s="224"/>
      <c r="O19" s="224"/>
      <c r="P19" s="224"/>
      <c r="Q19" s="224"/>
    </row>
    <row r="20" spans="1:17" ht="17.100000000000001" customHeight="1" x14ac:dyDescent="0.25">
      <c r="A20" s="683"/>
      <c r="B20" s="683"/>
      <c r="C20" s="683"/>
      <c r="D20" s="683"/>
      <c r="E20" s="683"/>
      <c r="F20" s="683"/>
      <c r="G20" s="683"/>
      <c r="H20" s="683"/>
      <c r="I20" s="683"/>
      <c r="J20" s="683"/>
      <c r="K20" s="683"/>
      <c r="L20" s="683"/>
      <c r="M20" s="224"/>
      <c r="N20" s="224"/>
      <c r="O20" s="224"/>
      <c r="P20" s="224"/>
      <c r="Q20" s="224"/>
    </row>
    <row r="21" spans="1:17" ht="17.100000000000001" customHeight="1" x14ac:dyDescent="0.25">
      <c r="A21" s="223"/>
      <c r="B21" s="223"/>
      <c r="C21" s="223"/>
      <c r="D21" s="223"/>
      <c r="E21" s="677" t="s">
        <v>237</v>
      </c>
      <c r="F21" s="677"/>
      <c r="G21" s="677"/>
      <c r="H21" s="677"/>
      <c r="I21" s="677"/>
      <c r="J21" s="677"/>
      <c r="K21" s="677"/>
      <c r="L21" s="677"/>
      <c r="M21" s="677"/>
      <c r="N21" s="677"/>
      <c r="O21" s="677"/>
      <c r="P21" s="677"/>
      <c r="Q21" s="677"/>
    </row>
    <row r="22" spans="1:17" ht="17.100000000000001" customHeight="1" x14ac:dyDescent="0.25">
      <c r="A22" s="223"/>
      <c r="B22" s="223"/>
      <c r="C22" s="223"/>
      <c r="D22" s="223"/>
      <c r="E22" s="678">
        <v>44738.25</v>
      </c>
      <c r="F22" s="678"/>
      <c r="G22" s="678"/>
      <c r="H22" s="678"/>
      <c r="I22" s="678"/>
      <c r="J22" s="678"/>
      <c r="K22" s="678"/>
      <c r="L22" s="678"/>
      <c r="M22" s="678"/>
      <c r="N22" s="678"/>
      <c r="O22" s="678"/>
      <c r="P22" s="678"/>
      <c r="Q22" s="678"/>
    </row>
    <row r="23" spans="1:17" ht="17.100000000000001" customHeight="1" x14ac:dyDescent="0.25">
      <c r="A23" s="223"/>
      <c r="B23" s="223"/>
      <c r="C23" s="223"/>
      <c r="D23" s="223"/>
      <c r="E23" s="679" t="s">
        <v>231</v>
      </c>
      <c r="F23" s="679"/>
      <c r="G23" s="679"/>
      <c r="H23" s="679"/>
      <c r="I23" s="679"/>
      <c r="J23" s="679"/>
      <c r="K23" s="679"/>
      <c r="L23" s="679"/>
      <c r="M23" s="679"/>
      <c r="N23" s="679"/>
      <c r="O23" s="679"/>
      <c r="P23" s="679"/>
      <c r="Q23" s="679"/>
    </row>
    <row r="24" spans="1:17" ht="17.100000000000001" customHeight="1" x14ac:dyDescent="0.25">
      <c r="A24" s="223"/>
      <c r="B24" s="223"/>
      <c r="C24" s="223"/>
      <c r="D24" s="223"/>
      <c r="E24" s="680">
        <f ca="1">E22-NOW()</f>
        <v>586.85211527777574</v>
      </c>
      <c r="F24" s="680"/>
      <c r="G24" s="680"/>
      <c r="H24" s="680"/>
      <c r="I24" s="680"/>
      <c r="J24" s="680"/>
      <c r="K24" s="680"/>
      <c r="L24" s="680"/>
      <c r="M24" s="680"/>
      <c r="N24" s="680"/>
      <c r="O24" s="680"/>
      <c r="P24" s="680"/>
      <c r="Q24" s="680"/>
    </row>
    <row r="25" spans="1:17" ht="17.100000000000001" customHeight="1" x14ac:dyDescent="0.25">
      <c r="A25" s="223"/>
      <c r="B25" s="223"/>
      <c r="C25" s="223"/>
      <c r="D25" s="223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0"/>
      <c r="P25" s="680"/>
      <c r="Q25" s="680"/>
    </row>
  </sheetData>
  <mergeCells count="20">
    <mergeCell ref="A6:L6"/>
    <mergeCell ref="A9:L10"/>
    <mergeCell ref="E2:Q2"/>
    <mergeCell ref="E3:Q3"/>
    <mergeCell ref="E1:Q1"/>
    <mergeCell ref="E4:Q5"/>
    <mergeCell ref="E12:Q12"/>
    <mergeCell ref="E13:Q13"/>
    <mergeCell ref="E11:Q11"/>
    <mergeCell ref="E14:Q15"/>
    <mergeCell ref="A7:L7"/>
    <mergeCell ref="A8:L8"/>
    <mergeCell ref="E21:Q21"/>
    <mergeCell ref="E22:Q22"/>
    <mergeCell ref="E23:Q23"/>
    <mergeCell ref="E24:Q25"/>
    <mergeCell ref="A16:L16"/>
    <mergeCell ref="A17:L17"/>
    <mergeCell ref="A19:L20"/>
    <mergeCell ref="A18:L18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theme="0"/>
  </sheetPr>
  <dimension ref="A1:L26"/>
  <sheetViews>
    <sheetView showGridLines="0" workbookViewId="0">
      <selection activeCell="L8" sqref="L8"/>
    </sheetView>
  </sheetViews>
  <sheetFormatPr baseColWidth="10" defaultRowHeight="19.5" customHeight="1" x14ac:dyDescent="0.25"/>
  <cols>
    <col min="1" max="2" width="6.7109375" customWidth="1"/>
    <col min="3" max="4" width="24.7109375" customWidth="1"/>
    <col min="5" max="5" width="6.7109375" customWidth="1"/>
    <col min="6" max="7" width="24.7109375" customWidth="1"/>
    <col min="8" max="8" width="6.7109375" customWidth="1"/>
    <col min="9" max="10" width="24.7109375" customWidth="1"/>
    <col min="11" max="11" width="6.7109375" customWidth="1"/>
  </cols>
  <sheetData>
    <row r="1" spans="1:12" ht="19.5" customHeight="1" thickBot="1" x14ac:dyDescent="0.3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</row>
    <row r="2" spans="1:12" ht="19.5" customHeight="1" thickTop="1" x14ac:dyDescent="0.25">
      <c r="A2" s="411"/>
      <c r="B2" s="412"/>
      <c r="C2" s="413"/>
      <c r="D2" s="413"/>
      <c r="E2" s="413"/>
      <c r="F2" s="413"/>
      <c r="G2" s="413"/>
      <c r="H2" s="413"/>
      <c r="I2" s="413"/>
      <c r="J2" s="413"/>
      <c r="K2" s="414"/>
      <c r="L2" s="411"/>
    </row>
    <row r="3" spans="1:12" ht="19.5" customHeight="1" x14ac:dyDescent="0.25">
      <c r="A3" s="411"/>
      <c r="B3" s="415"/>
      <c r="C3" s="416"/>
      <c r="D3" s="416"/>
      <c r="E3" s="416"/>
      <c r="F3" s="416"/>
      <c r="G3" s="416"/>
      <c r="H3" s="416"/>
      <c r="I3" s="416"/>
      <c r="J3" s="416"/>
      <c r="K3" s="417"/>
      <c r="L3" s="411"/>
    </row>
    <row r="4" spans="1:12" ht="19.5" customHeight="1" x14ac:dyDescent="0.25">
      <c r="A4" s="411"/>
      <c r="B4" s="415"/>
      <c r="C4" s="416"/>
      <c r="D4" s="416"/>
      <c r="E4" s="416"/>
      <c r="F4" s="416"/>
      <c r="G4" s="416"/>
      <c r="H4" s="416"/>
      <c r="I4" s="416"/>
      <c r="J4" s="416"/>
      <c r="K4" s="417"/>
      <c r="L4" s="411"/>
    </row>
    <row r="5" spans="1:12" ht="9" customHeight="1" thickBot="1" x14ac:dyDescent="0.3">
      <c r="A5" s="411"/>
      <c r="B5" s="415"/>
      <c r="C5" s="416"/>
      <c r="D5" s="416"/>
      <c r="E5" s="416"/>
      <c r="F5" s="416"/>
      <c r="G5" s="416"/>
      <c r="H5" s="416"/>
      <c r="I5" s="416"/>
      <c r="J5" s="416"/>
      <c r="K5" s="417"/>
      <c r="L5" s="411"/>
    </row>
    <row r="6" spans="1:12" ht="19.5" customHeight="1" thickTop="1" thickBot="1" x14ac:dyDescent="0.45">
      <c r="A6" s="418"/>
      <c r="B6" s="419"/>
      <c r="C6" s="420" t="s">
        <v>48</v>
      </c>
      <c r="D6" s="421"/>
      <c r="E6" s="422"/>
      <c r="F6" s="423" t="s">
        <v>239</v>
      </c>
      <c r="G6" s="421"/>
      <c r="H6" s="422"/>
      <c r="I6" s="424" t="s">
        <v>240</v>
      </c>
      <c r="J6" s="422"/>
      <c r="K6" s="425"/>
      <c r="L6" s="418"/>
    </row>
    <row r="7" spans="1:12" ht="9" customHeight="1" thickTop="1" thickBot="1" x14ac:dyDescent="0.45">
      <c r="A7" s="418"/>
      <c r="B7" s="419"/>
      <c r="C7" s="426"/>
      <c r="D7" s="422"/>
      <c r="E7" s="422"/>
      <c r="F7" s="427"/>
      <c r="G7" s="422"/>
      <c r="H7" s="422"/>
      <c r="I7" s="422"/>
      <c r="J7" s="422"/>
      <c r="K7" s="425"/>
      <c r="L7" s="418"/>
    </row>
    <row r="8" spans="1:12" ht="19.5" customHeight="1" thickTop="1" thickBot="1" x14ac:dyDescent="0.45">
      <c r="A8" s="418"/>
      <c r="B8" s="419"/>
      <c r="C8" s="428" t="s">
        <v>30</v>
      </c>
      <c r="D8" s="421"/>
      <c r="E8" s="422"/>
      <c r="F8" s="423" t="s">
        <v>51</v>
      </c>
      <c r="G8" s="421"/>
      <c r="H8" s="422"/>
      <c r="I8" s="429" t="s">
        <v>40</v>
      </c>
      <c r="J8" s="421"/>
      <c r="K8" s="425"/>
      <c r="L8" s="418"/>
    </row>
    <row r="9" spans="1:12" ht="9" customHeight="1" thickTop="1" thickBot="1" x14ac:dyDescent="0.45">
      <c r="A9" s="418"/>
      <c r="B9" s="419"/>
      <c r="C9" s="430"/>
      <c r="D9" s="422"/>
      <c r="E9" s="422"/>
      <c r="F9" s="427"/>
      <c r="G9" s="422"/>
      <c r="H9" s="422"/>
      <c r="I9" s="431"/>
      <c r="J9" s="422"/>
      <c r="K9" s="425"/>
      <c r="L9" s="418"/>
    </row>
    <row r="10" spans="1:12" ht="19.5" customHeight="1" thickTop="1" thickBot="1" x14ac:dyDescent="0.45">
      <c r="A10" s="418"/>
      <c r="B10" s="419"/>
      <c r="C10" s="432" t="s">
        <v>238</v>
      </c>
      <c r="D10" s="421"/>
      <c r="E10" s="422"/>
      <c r="F10" s="423" t="s">
        <v>52</v>
      </c>
      <c r="G10" s="421"/>
      <c r="H10" s="422"/>
      <c r="I10" s="429" t="s">
        <v>41</v>
      </c>
      <c r="J10" s="421"/>
      <c r="K10" s="425"/>
      <c r="L10" s="418"/>
    </row>
    <row r="11" spans="1:12" ht="9" customHeight="1" thickTop="1" thickBot="1" x14ac:dyDescent="0.45">
      <c r="A11" s="418"/>
      <c r="B11" s="419"/>
      <c r="C11" s="433"/>
      <c r="D11" s="422"/>
      <c r="E11" s="422"/>
      <c r="F11" s="427"/>
      <c r="G11" s="422"/>
      <c r="H11" s="422"/>
      <c r="I11" s="431"/>
      <c r="J11" s="422"/>
      <c r="K11" s="425"/>
      <c r="L11" s="418"/>
    </row>
    <row r="12" spans="1:12" ht="19.5" customHeight="1" thickTop="1" thickBot="1" x14ac:dyDescent="0.45">
      <c r="A12" s="418"/>
      <c r="B12" s="419"/>
      <c r="C12" s="434" t="s">
        <v>181</v>
      </c>
      <c r="D12" s="421"/>
      <c r="E12" s="422"/>
      <c r="F12" s="435" t="s">
        <v>37</v>
      </c>
      <c r="G12" s="421"/>
      <c r="H12" s="422"/>
      <c r="I12" s="429" t="s">
        <v>42</v>
      </c>
      <c r="J12" s="421"/>
      <c r="K12" s="425"/>
      <c r="L12" s="418"/>
    </row>
    <row r="13" spans="1:12" ht="9" customHeight="1" thickTop="1" thickBot="1" x14ac:dyDescent="0.45">
      <c r="A13" s="418"/>
      <c r="B13" s="419"/>
      <c r="C13" s="436"/>
      <c r="D13" s="422"/>
      <c r="E13" s="422"/>
      <c r="F13" s="437"/>
      <c r="G13" s="422"/>
      <c r="H13" s="422"/>
      <c r="I13" s="431"/>
      <c r="J13" s="422"/>
      <c r="K13" s="425"/>
      <c r="L13" s="418"/>
    </row>
    <row r="14" spans="1:12" ht="19.5" customHeight="1" thickTop="1" thickBot="1" x14ac:dyDescent="0.45">
      <c r="A14" s="418"/>
      <c r="B14" s="419"/>
      <c r="C14" s="438" t="s">
        <v>242</v>
      </c>
      <c r="D14" s="421"/>
      <c r="E14" s="422"/>
      <c r="F14" s="435" t="s">
        <v>243</v>
      </c>
      <c r="G14" s="421"/>
      <c r="H14" s="422"/>
      <c r="I14" s="429" t="s">
        <v>43</v>
      </c>
      <c r="J14" s="421"/>
      <c r="K14" s="425"/>
      <c r="L14" s="418"/>
    </row>
    <row r="15" spans="1:12" ht="9" customHeight="1" thickTop="1" thickBot="1" x14ac:dyDescent="0.45">
      <c r="A15" s="418"/>
      <c r="B15" s="419"/>
      <c r="C15" s="439"/>
      <c r="D15" s="422"/>
      <c r="E15" s="422"/>
      <c r="F15" s="422"/>
      <c r="G15" s="422"/>
      <c r="H15" s="422"/>
      <c r="I15" s="431"/>
      <c r="J15" s="422"/>
      <c r="K15" s="425"/>
      <c r="L15" s="418"/>
    </row>
    <row r="16" spans="1:12" ht="19.5" customHeight="1" thickTop="1" thickBot="1" x14ac:dyDescent="0.45">
      <c r="A16" s="418"/>
      <c r="B16" s="419"/>
      <c r="C16" s="440" t="s">
        <v>221</v>
      </c>
      <c r="D16" s="421"/>
      <c r="E16" s="422"/>
      <c r="F16" s="440" t="s">
        <v>244</v>
      </c>
      <c r="G16" s="421"/>
      <c r="H16" s="422"/>
      <c r="I16" s="429" t="s">
        <v>44</v>
      </c>
      <c r="J16" s="421"/>
      <c r="K16" s="425"/>
      <c r="L16" s="418"/>
    </row>
    <row r="17" spans="1:12" ht="9" customHeight="1" thickTop="1" thickBot="1" x14ac:dyDescent="0.45">
      <c r="A17" s="418"/>
      <c r="B17" s="419"/>
      <c r="C17" s="422"/>
      <c r="D17" s="422"/>
      <c r="E17" s="422"/>
      <c r="F17" s="437"/>
      <c r="G17" s="422"/>
      <c r="H17" s="422"/>
      <c r="I17" s="422"/>
      <c r="J17" s="422"/>
      <c r="K17" s="425"/>
      <c r="L17" s="418"/>
    </row>
    <row r="18" spans="1:12" ht="19.5" customHeight="1" thickTop="1" thickBot="1" x14ac:dyDescent="0.45">
      <c r="A18" s="418"/>
      <c r="B18" s="419"/>
      <c r="C18" s="440" t="s">
        <v>245</v>
      </c>
      <c r="D18" s="421"/>
      <c r="E18" s="422"/>
      <c r="F18" s="423" t="s">
        <v>185</v>
      </c>
      <c r="G18" s="421"/>
      <c r="H18" s="422"/>
      <c r="I18" s="441" t="s">
        <v>53</v>
      </c>
      <c r="J18" s="421"/>
      <c r="K18" s="425"/>
      <c r="L18" s="418"/>
    </row>
    <row r="19" spans="1:12" ht="9" customHeight="1" thickTop="1" thickBot="1" x14ac:dyDescent="0.3">
      <c r="A19" s="411"/>
      <c r="B19" s="415"/>
      <c r="C19" s="442"/>
      <c r="D19" s="442"/>
      <c r="E19" s="442"/>
      <c r="F19" s="442"/>
      <c r="G19" s="442"/>
      <c r="H19" s="442"/>
      <c r="I19" s="443"/>
      <c r="J19" s="442"/>
      <c r="K19" s="417"/>
      <c r="L19" s="411"/>
    </row>
    <row r="20" spans="1:12" ht="19.5" customHeight="1" thickTop="1" thickBot="1" x14ac:dyDescent="0.3">
      <c r="A20" s="411"/>
      <c r="B20" s="415"/>
      <c r="C20" s="420" t="s">
        <v>220</v>
      </c>
      <c r="D20" s="692"/>
      <c r="E20" s="692"/>
      <c r="F20" s="692"/>
      <c r="G20" s="692"/>
      <c r="H20" s="442"/>
      <c r="I20" s="441" t="s">
        <v>54</v>
      </c>
      <c r="J20" s="444"/>
      <c r="K20" s="417"/>
      <c r="L20" s="411"/>
    </row>
    <row r="21" spans="1:12" ht="19.5" customHeight="1" thickTop="1" x14ac:dyDescent="0.25">
      <c r="A21" s="411"/>
      <c r="B21" s="415"/>
      <c r="C21" s="416"/>
      <c r="D21" s="416"/>
      <c r="E21" s="416"/>
      <c r="F21" s="416"/>
      <c r="G21" s="416"/>
      <c r="H21" s="416"/>
      <c r="I21" s="416"/>
      <c r="J21" s="416"/>
      <c r="K21" s="417"/>
      <c r="L21" s="411"/>
    </row>
    <row r="22" spans="1:12" ht="19.5" customHeight="1" x14ac:dyDescent="0.25">
      <c r="A22" s="411"/>
      <c r="B22" s="415"/>
      <c r="C22" s="416"/>
      <c r="D22" s="416"/>
      <c r="E22" s="416"/>
      <c r="F22" s="416"/>
      <c r="G22" s="416"/>
      <c r="H22" s="416"/>
      <c r="I22" s="416"/>
      <c r="J22" s="416"/>
      <c r="K22" s="417"/>
      <c r="L22" s="411"/>
    </row>
    <row r="23" spans="1:12" ht="19.5" customHeight="1" x14ac:dyDescent="0.25">
      <c r="A23" s="411"/>
      <c r="B23" s="415"/>
      <c r="C23" s="416"/>
      <c r="D23" s="416"/>
      <c r="E23" s="416"/>
      <c r="F23" s="416"/>
      <c r="G23" s="416"/>
      <c r="H23" s="416"/>
      <c r="I23" s="416"/>
      <c r="J23" s="416"/>
      <c r="K23" s="417"/>
      <c r="L23" s="411"/>
    </row>
    <row r="24" spans="1:12" ht="19.5" customHeight="1" x14ac:dyDescent="0.25">
      <c r="A24" s="411"/>
      <c r="B24" s="415"/>
      <c r="C24" s="416"/>
      <c r="D24" s="416"/>
      <c r="E24" s="416"/>
      <c r="F24" s="416"/>
      <c r="G24" s="416"/>
      <c r="H24" s="416"/>
      <c r="I24" s="416"/>
      <c r="J24" s="416"/>
      <c r="K24" s="417"/>
      <c r="L24" s="411"/>
    </row>
    <row r="25" spans="1:12" ht="19.5" customHeight="1" thickBot="1" x14ac:dyDescent="0.3">
      <c r="A25" s="411"/>
      <c r="B25" s="445"/>
      <c r="C25" s="446"/>
      <c r="D25" s="446"/>
      <c r="E25" s="446"/>
      <c r="F25" s="446"/>
      <c r="G25" s="446"/>
      <c r="H25" s="446"/>
      <c r="I25" s="446"/>
      <c r="J25" s="446"/>
      <c r="K25" s="447"/>
      <c r="L25" s="411"/>
    </row>
    <row r="26" spans="1:12" ht="19.5" customHeight="1" thickTop="1" x14ac:dyDescent="0.2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</row>
  </sheetData>
  <mergeCells count="1">
    <mergeCell ref="D20:G20"/>
  </mergeCells>
  <dataValidations count="2">
    <dataValidation type="date" errorStyle="warning" allowBlank="1" showInputMessage="1" showErrorMessage="1" errorTitle="Erreur de saisie" error="Saisir une date de l'année en court!" sqref="C8:C9">
      <formula1>43831</formula1>
      <formula2>44196</formula2>
    </dataValidation>
    <dataValidation allowBlank="1" showInputMessage="1" showErrorMessage="1" errorTitle="Attention" error="Selectionner une activitée dans la liste!" sqref="C6:C7"/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/>
  <dimension ref="A1:P62"/>
  <sheetViews>
    <sheetView workbookViewId="0">
      <selection activeCell="F8" sqref="F8"/>
    </sheetView>
  </sheetViews>
  <sheetFormatPr baseColWidth="10" defaultRowHeight="15" x14ac:dyDescent="0.25"/>
  <cols>
    <col min="1" max="1" width="28" style="3" bestFit="1" customWidth="1"/>
    <col min="2" max="5" width="11.42578125" style="3"/>
    <col min="6" max="6" width="14.5703125" style="3" bestFit="1" customWidth="1"/>
    <col min="7" max="7" width="11.42578125" style="3"/>
    <col min="8" max="8" width="14.7109375" style="3" bestFit="1" customWidth="1"/>
    <col min="9" max="9" width="15.28515625" style="3" customWidth="1"/>
    <col min="10" max="11" width="11.42578125" style="3" customWidth="1"/>
    <col min="12" max="12" width="12.7109375" style="3" bestFit="1" customWidth="1"/>
    <col min="13" max="13" width="13.42578125" style="3" bestFit="1" customWidth="1"/>
    <col min="14" max="14" width="13.42578125" style="3" customWidth="1"/>
    <col min="17" max="16384" width="11.42578125" style="3"/>
  </cols>
  <sheetData>
    <row r="1" spans="1:16" ht="45.75" thickBot="1" x14ac:dyDescent="0.3">
      <c r="A1" s="138" t="s">
        <v>218</v>
      </c>
      <c r="B1" s="139" t="s">
        <v>202</v>
      </c>
      <c r="C1" s="138" t="s">
        <v>180</v>
      </c>
      <c r="D1" s="135" t="s">
        <v>30</v>
      </c>
      <c r="E1" s="135" t="s">
        <v>203</v>
      </c>
      <c r="F1" s="138" t="s">
        <v>48</v>
      </c>
      <c r="G1" s="138" t="s">
        <v>181</v>
      </c>
      <c r="H1" s="138" t="s">
        <v>217</v>
      </c>
      <c r="I1" s="138" t="s">
        <v>220</v>
      </c>
      <c r="J1" s="147" t="s">
        <v>182</v>
      </c>
      <c r="K1" s="148" t="s">
        <v>183</v>
      </c>
      <c r="L1" s="147" t="s">
        <v>184</v>
      </c>
      <c r="M1" s="147" t="s">
        <v>185</v>
      </c>
      <c r="N1" s="138" t="s">
        <v>216</v>
      </c>
      <c r="O1" s="139" t="s">
        <v>219</v>
      </c>
      <c r="P1" s="138" t="s">
        <v>223</v>
      </c>
    </row>
    <row r="2" spans="1:16" x14ac:dyDescent="0.25">
      <c r="A2" s="3" t="s">
        <v>225</v>
      </c>
      <c r="B2" s="136">
        <v>1</v>
      </c>
      <c r="C2" s="140" t="s">
        <v>186</v>
      </c>
      <c r="D2" s="136">
        <v>1</v>
      </c>
      <c r="E2" s="136" t="s">
        <v>204</v>
      </c>
      <c r="F2" s="136" t="s">
        <v>56</v>
      </c>
      <c r="G2" s="149" t="s">
        <v>187</v>
      </c>
      <c r="H2" s="146" t="s">
        <v>188</v>
      </c>
      <c r="M2" s="146" t="s">
        <v>189</v>
      </c>
      <c r="N2" s="143">
        <v>60</v>
      </c>
      <c r="O2" s="143">
        <v>60</v>
      </c>
      <c r="P2" s="136" t="s">
        <v>133</v>
      </c>
    </row>
    <row r="3" spans="1:16" x14ac:dyDescent="0.25">
      <c r="A3" s="3" t="s">
        <v>226</v>
      </c>
      <c r="B3" s="137">
        <v>2</v>
      </c>
      <c r="C3" s="141" t="s">
        <v>196</v>
      </c>
      <c r="D3" s="137">
        <v>2</v>
      </c>
      <c r="E3" s="137" t="s">
        <v>205</v>
      </c>
      <c r="F3" s="137" t="s">
        <v>57</v>
      </c>
      <c r="G3" s="150" t="s">
        <v>190</v>
      </c>
      <c r="H3" s="145" t="s">
        <v>191</v>
      </c>
      <c r="M3" s="145" t="s">
        <v>192</v>
      </c>
      <c r="N3" s="144">
        <v>61</v>
      </c>
      <c r="O3" s="144">
        <v>61</v>
      </c>
      <c r="P3" s="137" t="s">
        <v>224</v>
      </c>
    </row>
    <row r="4" spans="1:16" x14ac:dyDescent="0.25">
      <c r="A4" s="3" t="s">
        <v>227</v>
      </c>
      <c r="B4" s="137">
        <v>3</v>
      </c>
      <c r="C4" s="141" t="s">
        <v>197</v>
      </c>
      <c r="D4" s="137">
        <v>3</v>
      </c>
      <c r="E4" s="137" t="s">
        <v>206</v>
      </c>
      <c r="F4" s="137" t="s">
        <v>97</v>
      </c>
      <c r="G4" s="150" t="s">
        <v>193</v>
      </c>
      <c r="H4" s="145" t="s">
        <v>194</v>
      </c>
      <c r="M4" s="145" t="s">
        <v>195</v>
      </c>
      <c r="N4" s="144">
        <v>62</v>
      </c>
      <c r="O4" s="144">
        <v>62</v>
      </c>
      <c r="P4" s="137" t="s">
        <v>171</v>
      </c>
    </row>
    <row r="5" spans="1:16" x14ac:dyDescent="0.25">
      <c r="A5" s="3" t="s">
        <v>228</v>
      </c>
      <c r="B5" s="137">
        <v>4</v>
      </c>
      <c r="C5" s="141" t="s">
        <v>198</v>
      </c>
      <c r="D5" s="137">
        <v>4</v>
      </c>
      <c r="E5" s="137" t="s">
        <v>207</v>
      </c>
      <c r="F5" s="137" t="s">
        <v>177</v>
      </c>
      <c r="G5" s="137" t="s">
        <v>247</v>
      </c>
      <c r="N5" s="142">
        <v>63</v>
      </c>
      <c r="O5" s="144">
        <v>63</v>
      </c>
      <c r="P5" s="137" t="s">
        <v>146</v>
      </c>
    </row>
    <row r="6" spans="1:16" x14ac:dyDescent="0.25">
      <c r="A6" s="3" t="s">
        <v>229</v>
      </c>
      <c r="B6" s="137">
        <v>5</v>
      </c>
      <c r="C6" s="141" t="s">
        <v>199</v>
      </c>
      <c r="D6" s="137">
        <v>5</v>
      </c>
      <c r="E6" s="137" t="s">
        <v>208</v>
      </c>
      <c r="F6" s="137" t="s">
        <v>60</v>
      </c>
      <c r="G6" s="137" t="s">
        <v>96</v>
      </c>
      <c r="N6" s="142">
        <v>64</v>
      </c>
      <c r="O6" s="144">
        <v>64</v>
      </c>
      <c r="P6" s="137" t="s">
        <v>131</v>
      </c>
    </row>
    <row r="7" spans="1:16" x14ac:dyDescent="0.25">
      <c r="B7" s="137">
        <v>6</v>
      </c>
      <c r="C7" s="141" t="s">
        <v>200</v>
      </c>
      <c r="D7" s="137">
        <v>6</v>
      </c>
      <c r="E7" s="137" t="s">
        <v>209</v>
      </c>
      <c r="F7" s="137" t="s">
        <v>176</v>
      </c>
      <c r="G7" s="3" t="s">
        <v>250</v>
      </c>
      <c r="N7" s="142">
        <v>65</v>
      </c>
      <c r="O7" s="142">
        <v>65</v>
      </c>
      <c r="P7" s="3"/>
    </row>
    <row r="8" spans="1:16" x14ac:dyDescent="0.25">
      <c r="B8" s="137">
        <v>7</v>
      </c>
      <c r="C8" s="141" t="s">
        <v>201</v>
      </c>
      <c r="D8" s="137">
        <v>7</v>
      </c>
      <c r="E8" s="137" t="s">
        <v>210</v>
      </c>
      <c r="F8" s="3" t="s">
        <v>249</v>
      </c>
      <c r="N8" s="142">
        <v>66</v>
      </c>
      <c r="O8" s="142">
        <v>66</v>
      </c>
      <c r="P8" s="3"/>
    </row>
    <row r="9" spans="1:16" x14ac:dyDescent="0.25">
      <c r="B9" s="137">
        <v>8</v>
      </c>
      <c r="D9" s="137">
        <v>8</v>
      </c>
      <c r="E9" s="137" t="s">
        <v>211</v>
      </c>
      <c r="N9" s="142">
        <v>67</v>
      </c>
      <c r="O9" s="142">
        <v>67</v>
      </c>
      <c r="P9" s="3"/>
    </row>
    <row r="10" spans="1:16" x14ac:dyDescent="0.25">
      <c r="B10" s="137">
        <v>9</v>
      </c>
      <c r="D10" s="137">
        <v>9</v>
      </c>
      <c r="E10" s="137" t="s">
        <v>212</v>
      </c>
      <c r="N10" s="142">
        <v>68</v>
      </c>
      <c r="O10" s="142">
        <v>68</v>
      </c>
      <c r="P10" s="3"/>
    </row>
    <row r="11" spans="1:16" x14ac:dyDescent="0.25">
      <c r="B11" s="137">
        <v>10</v>
      </c>
      <c r="D11" s="137">
        <v>10</v>
      </c>
      <c r="E11" s="137" t="s">
        <v>213</v>
      </c>
      <c r="N11" s="142">
        <v>69</v>
      </c>
      <c r="O11" s="142">
        <v>69</v>
      </c>
      <c r="P11" s="3"/>
    </row>
    <row r="12" spans="1:16" x14ac:dyDescent="0.25">
      <c r="B12" s="137">
        <v>11</v>
      </c>
      <c r="D12" s="137">
        <v>11</v>
      </c>
      <c r="E12" s="137" t="s">
        <v>214</v>
      </c>
      <c r="N12" s="142">
        <v>70</v>
      </c>
      <c r="O12" s="142">
        <v>70</v>
      </c>
      <c r="P12" s="3"/>
    </row>
    <row r="13" spans="1:16" x14ac:dyDescent="0.25">
      <c r="B13" s="137">
        <v>12</v>
      </c>
      <c r="D13" s="137">
        <v>12</v>
      </c>
      <c r="E13" s="137" t="s">
        <v>215</v>
      </c>
      <c r="N13" s="142">
        <v>71</v>
      </c>
      <c r="O13" s="142">
        <v>71</v>
      </c>
      <c r="P13" s="3"/>
    </row>
    <row r="14" spans="1:16" x14ac:dyDescent="0.25">
      <c r="B14" s="137">
        <v>13</v>
      </c>
      <c r="D14" s="137">
        <v>13</v>
      </c>
      <c r="N14" s="142">
        <v>72</v>
      </c>
      <c r="O14" s="142">
        <v>72</v>
      </c>
      <c r="P14" s="3"/>
    </row>
    <row r="15" spans="1:16" x14ac:dyDescent="0.25">
      <c r="B15" s="137">
        <v>14</v>
      </c>
      <c r="D15" s="137">
        <v>14</v>
      </c>
      <c r="N15" s="142">
        <v>73</v>
      </c>
      <c r="O15" s="142">
        <v>73</v>
      </c>
      <c r="P15" s="3"/>
    </row>
    <row r="16" spans="1:16" x14ac:dyDescent="0.25">
      <c r="B16" s="137">
        <v>15</v>
      </c>
      <c r="D16" s="137">
        <v>15</v>
      </c>
      <c r="N16" s="142">
        <v>74</v>
      </c>
      <c r="O16" s="142">
        <v>74</v>
      </c>
      <c r="P16" s="3"/>
    </row>
    <row r="17" spans="2:16" x14ac:dyDescent="0.25">
      <c r="B17" s="137">
        <v>16</v>
      </c>
      <c r="D17" s="137">
        <v>16</v>
      </c>
      <c r="N17" s="142">
        <v>75</v>
      </c>
      <c r="O17" s="142">
        <v>75</v>
      </c>
      <c r="P17" s="3"/>
    </row>
    <row r="18" spans="2:16" x14ac:dyDescent="0.25">
      <c r="B18" s="137">
        <v>17</v>
      </c>
      <c r="D18" s="137">
        <v>17</v>
      </c>
      <c r="N18" s="142">
        <v>76</v>
      </c>
      <c r="O18" s="142">
        <v>76</v>
      </c>
      <c r="P18" s="3"/>
    </row>
    <row r="19" spans="2:16" x14ac:dyDescent="0.25">
      <c r="B19" s="137">
        <v>18</v>
      </c>
      <c r="D19" s="137">
        <v>18</v>
      </c>
      <c r="N19" s="142">
        <v>77</v>
      </c>
      <c r="O19" s="142">
        <v>77</v>
      </c>
      <c r="P19" s="3"/>
    </row>
    <row r="20" spans="2:16" x14ac:dyDescent="0.25">
      <c r="B20" s="137">
        <v>19</v>
      </c>
      <c r="D20" s="137">
        <v>19</v>
      </c>
      <c r="N20" s="142">
        <v>78</v>
      </c>
      <c r="O20" s="142">
        <v>78</v>
      </c>
      <c r="P20" s="3"/>
    </row>
    <row r="21" spans="2:16" x14ac:dyDescent="0.25">
      <c r="B21" s="137">
        <v>20</v>
      </c>
      <c r="D21" s="137">
        <v>20</v>
      </c>
      <c r="N21" s="142">
        <v>79</v>
      </c>
      <c r="O21" s="142">
        <v>79</v>
      </c>
      <c r="P21" s="3"/>
    </row>
    <row r="22" spans="2:16" x14ac:dyDescent="0.25">
      <c r="B22" s="137">
        <v>21</v>
      </c>
      <c r="D22" s="137">
        <v>21</v>
      </c>
      <c r="N22" s="142">
        <v>80</v>
      </c>
      <c r="O22" s="142">
        <v>80</v>
      </c>
      <c r="P22" s="3"/>
    </row>
    <row r="23" spans="2:16" x14ac:dyDescent="0.25">
      <c r="B23" s="137">
        <v>22</v>
      </c>
      <c r="D23" s="137">
        <v>22</v>
      </c>
      <c r="N23" s="142">
        <v>81</v>
      </c>
      <c r="O23" s="142">
        <v>81</v>
      </c>
      <c r="P23" s="3"/>
    </row>
    <row r="24" spans="2:16" x14ac:dyDescent="0.25">
      <c r="B24" s="137">
        <v>23</v>
      </c>
      <c r="D24" s="137">
        <v>23</v>
      </c>
      <c r="N24" s="142">
        <v>82</v>
      </c>
      <c r="O24" s="142">
        <v>82</v>
      </c>
      <c r="P24" s="3"/>
    </row>
    <row r="25" spans="2:16" x14ac:dyDescent="0.25">
      <c r="B25" s="137">
        <v>24</v>
      </c>
      <c r="D25" s="137">
        <v>24</v>
      </c>
      <c r="N25" s="142">
        <v>83</v>
      </c>
      <c r="O25" s="142">
        <v>83</v>
      </c>
      <c r="P25" s="3"/>
    </row>
    <row r="26" spans="2:16" x14ac:dyDescent="0.25">
      <c r="B26" s="137">
        <v>25</v>
      </c>
      <c r="D26" s="137">
        <v>25</v>
      </c>
      <c r="N26" s="142">
        <v>84</v>
      </c>
      <c r="O26" s="142">
        <v>84</v>
      </c>
      <c r="P26" s="3"/>
    </row>
    <row r="27" spans="2:16" x14ac:dyDescent="0.25">
      <c r="B27" s="137">
        <v>26</v>
      </c>
      <c r="D27" s="137">
        <v>26</v>
      </c>
      <c r="N27" s="142">
        <v>85</v>
      </c>
      <c r="O27" s="142">
        <v>85</v>
      </c>
      <c r="P27" s="3"/>
    </row>
    <row r="28" spans="2:16" x14ac:dyDescent="0.25">
      <c r="B28" s="137">
        <v>27</v>
      </c>
      <c r="D28" s="137">
        <v>27</v>
      </c>
      <c r="N28" s="142">
        <v>86</v>
      </c>
      <c r="O28" s="142">
        <v>86</v>
      </c>
      <c r="P28" s="3"/>
    </row>
    <row r="29" spans="2:16" x14ac:dyDescent="0.25">
      <c r="B29" s="137">
        <v>28</v>
      </c>
      <c r="D29" s="137">
        <v>28</v>
      </c>
      <c r="N29" s="142">
        <v>87</v>
      </c>
      <c r="O29" s="142">
        <v>87</v>
      </c>
      <c r="P29" s="3"/>
    </row>
    <row r="30" spans="2:16" x14ac:dyDescent="0.25">
      <c r="B30" s="137">
        <v>29</v>
      </c>
      <c r="D30" s="137">
        <v>29</v>
      </c>
      <c r="N30" s="142">
        <v>88</v>
      </c>
      <c r="O30" s="142">
        <v>88</v>
      </c>
      <c r="P30" s="3"/>
    </row>
    <row r="31" spans="2:16" x14ac:dyDescent="0.25">
      <c r="B31" s="137">
        <v>30</v>
      </c>
      <c r="D31" s="137">
        <v>30</v>
      </c>
      <c r="N31" s="142">
        <v>89</v>
      </c>
      <c r="O31" s="142">
        <v>89</v>
      </c>
      <c r="P31" s="3"/>
    </row>
    <row r="32" spans="2:16" x14ac:dyDescent="0.25">
      <c r="B32" s="137">
        <v>31</v>
      </c>
      <c r="D32" s="137">
        <v>31</v>
      </c>
      <c r="N32" s="142">
        <v>90</v>
      </c>
      <c r="O32" s="142">
        <v>90</v>
      </c>
      <c r="P32" s="3"/>
    </row>
    <row r="33" spans="2:16" x14ac:dyDescent="0.25">
      <c r="B33" s="137">
        <v>32</v>
      </c>
      <c r="N33" s="142">
        <v>91</v>
      </c>
      <c r="O33" s="142">
        <v>91</v>
      </c>
      <c r="P33" s="3"/>
    </row>
    <row r="34" spans="2:16" x14ac:dyDescent="0.25">
      <c r="B34" s="137">
        <v>33</v>
      </c>
      <c r="N34" s="142">
        <v>92</v>
      </c>
      <c r="O34" s="142">
        <v>92</v>
      </c>
      <c r="P34" s="3"/>
    </row>
    <row r="35" spans="2:16" x14ac:dyDescent="0.25">
      <c r="B35" s="137">
        <v>34</v>
      </c>
      <c r="N35" s="142">
        <v>93</v>
      </c>
      <c r="O35" s="142">
        <v>93</v>
      </c>
      <c r="P35" s="3"/>
    </row>
    <row r="36" spans="2:16" x14ac:dyDescent="0.25">
      <c r="B36" s="137">
        <v>35</v>
      </c>
      <c r="N36" s="142">
        <v>94</v>
      </c>
      <c r="O36" s="142">
        <v>94</v>
      </c>
      <c r="P36" s="3"/>
    </row>
    <row r="37" spans="2:16" x14ac:dyDescent="0.25">
      <c r="B37" s="137">
        <v>36</v>
      </c>
      <c r="N37" s="142">
        <v>95</v>
      </c>
      <c r="O37" s="142">
        <v>95</v>
      </c>
      <c r="P37" s="3"/>
    </row>
    <row r="38" spans="2:16" x14ac:dyDescent="0.25">
      <c r="B38" s="137">
        <v>37</v>
      </c>
      <c r="N38" s="142">
        <v>96</v>
      </c>
      <c r="O38" s="142">
        <v>96</v>
      </c>
      <c r="P38" s="3"/>
    </row>
    <row r="39" spans="2:16" x14ac:dyDescent="0.25">
      <c r="B39" s="137">
        <v>38</v>
      </c>
      <c r="N39" s="142">
        <v>97</v>
      </c>
      <c r="O39" s="142">
        <v>97</v>
      </c>
      <c r="P39" s="3"/>
    </row>
    <row r="40" spans="2:16" x14ac:dyDescent="0.25">
      <c r="B40" s="137">
        <v>39</v>
      </c>
      <c r="N40" s="142">
        <v>98</v>
      </c>
      <c r="O40" s="142">
        <v>98</v>
      </c>
      <c r="P40" s="3"/>
    </row>
    <row r="41" spans="2:16" x14ac:dyDescent="0.25">
      <c r="B41" s="137">
        <v>40</v>
      </c>
      <c r="N41" s="142">
        <v>99</v>
      </c>
      <c r="O41" s="142">
        <v>99</v>
      </c>
      <c r="P41" s="3"/>
    </row>
    <row r="42" spans="2:16" x14ac:dyDescent="0.25">
      <c r="B42" s="137">
        <v>41</v>
      </c>
      <c r="N42" s="142">
        <v>100</v>
      </c>
      <c r="O42" s="142">
        <v>100</v>
      </c>
      <c r="P42" s="3"/>
    </row>
    <row r="43" spans="2:16" x14ac:dyDescent="0.25">
      <c r="B43" s="137">
        <v>42</v>
      </c>
      <c r="N43" s="142">
        <v>101</v>
      </c>
      <c r="O43" s="142">
        <v>101</v>
      </c>
      <c r="P43" s="3"/>
    </row>
    <row r="44" spans="2:16" x14ac:dyDescent="0.25">
      <c r="B44" s="137">
        <v>43</v>
      </c>
      <c r="N44" s="142">
        <v>102</v>
      </c>
      <c r="O44" s="142">
        <v>102</v>
      </c>
      <c r="P44" s="3"/>
    </row>
    <row r="45" spans="2:16" x14ac:dyDescent="0.25">
      <c r="B45" s="137">
        <v>44</v>
      </c>
      <c r="N45" s="142">
        <v>103</v>
      </c>
      <c r="O45" s="142">
        <v>103</v>
      </c>
      <c r="P45" s="3"/>
    </row>
    <row r="46" spans="2:16" x14ac:dyDescent="0.25">
      <c r="B46" s="137">
        <v>45</v>
      </c>
      <c r="N46" s="142">
        <v>104</v>
      </c>
      <c r="O46" s="142">
        <v>104</v>
      </c>
      <c r="P46" s="3"/>
    </row>
    <row r="47" spans="2:16" x14ac:dyDescent="0.25">
      <c r="B47" s="137">
        <v>46</v>
      </c>
      <c r="N47" s="142">
        <v>105</v>
      </c>
      <c r="O47" s="142">
        <v>105</v>
      </c>
      <c r="P47" s="3"/>
    </row>
    <row r="48" spans="2:16" x14ac:dyDescent="0.25">
      <c r="B48" s="137">
        <v>47</v>
      </c>
      <c r="N48" s="142">
        <v>106</v>
      </c>
      <c r="O48" s="142">
        <v>106</v>
      </c>
      <c r="P48" s="3"/>
    </row>
    <row r="49" spans="2:16" x14ac:dyDescent="0.25">
      <c r="B49" s="137">
        <v>48</v>
      </c>
      <c r="N49" s="142">
        <v>107</v>
      </c>
      <c r="O49" s="142">
        <v>107</v>
      </c>
      <c r="P49" s="3"/>
    </row>
    <row r="50" spans="2:16" x14ac:dyDescent="0.25">
      <c r="B50" s="137">
        <v>49</v>
      </c>
      <c r="N50" s="142">
        <v>108</v>
      </c>
      <c r="O50" s="142">
        <v>108</v>
      </c>
      <c r="P50" s="3"/>
    </row>
    <row r="51" spans="2:16" x14ac:dyDescent="0.25">
      <c r="B51" s="137">
        <v>50</v>
      </c>
      <c r="N51" s="142">
        <v>109</v>
      </c>
      <c r="O51" s="142">
        <v>109</v>
      </c>
      <c r="P51" s="3"/>
    </row>
    <row r="52" spans="2:16" x14ac:dyDescent="0.25">
      <c r="B52" s="137">
        <v>51</v>
      </c>
      <c r="N52" s="142">
        <v>110</v>
      </c>
      <c r="O52" s="142">
        <v>110</v>
      </c>
      <c r="P52" s="3"/>
    </row>
    <row r="53" spans="2:16" x14ac:dyDescent="0.25">
      <c r="B53" s="137">
        <v>52</v>
      </c>
      <c r="N53" s="142">
        <v>111</v>
      </c>
      <c r="O53" s="142">
        <v>111</v>
      </c>
      <c r="P53" s="3"/>
    </row>
    <row r="54" spans="2:16" x14ac:dyDescent="0.25">
      <c r="N54" s="142">
        <v>112</v>
      </c>
      <c r="O54" s="142">
        <v>112</v>
      </c>
    </row>
    <row r="55" spans="2:16" x14ac:dyDescent="0.25">
      <c r="N55" s="142">
        <v>113</v>
      </c>
      <c r="O55" s="142">
        <v>113</v>
      </c>
    </row>
    <row r="56" spans="2:16" x14ac:dyDescent="0.25">
      <c r="N56" s="142">
        <v>114</v>
      </c>
      <c r="O56" s="142">
        <v>114</v>
      </c>
    </row>
    <row r="57" spans="2:16" x14ac:dyDescent="0.25">
      <c r="N57" s="142">
        <v>115</v>
      </c>
      <c r="O57" s="142">
        <v>115</v>
      </c>
    </row>
    <row r="58" spans="2:16" x14ac:dyDescent="0.25">
      <c r="N58" s="142">
        <v>116</v>
      </c>
      <c r="O58" s="142">
        <v>116</v>
      </c>
    </row>
    <row r="59" spans="2:16" x14ac:dyDescent="0.25">
      <c r="N59" s="142">
        <v>117</v>
      </c>
      <c r="O59" s="142">
        <v>117</v>
      </c>
    </row>
    <row r="60" spans="2:16" x14ac:dyDescent="0.25">
      <c r="N60" s="142">
        <v>118</v>
      </c>
      <c r="O60" s="142">
        <v>118</v>
      </c>
    </row>
    <row r="61" spans="2:16" x14ac:dyDescent="0.25">
      <c r="N61" s="142">
        <v>119</v>
      </c>
      <c r="O61" s="142">
        <v>119</v>
      </c>
    </row>
    <row r="62" spans="2:16" x14ac:dyDescent="0.25">
      <c r="N62" s="142">
        <v>120</v>
      </c>
      <c r="O62" s="142">
        <v>120</v>
      </c>
    </row>
  </sheetData>
  <dataConsolidate/>
  <dataValidations count="1">
    <dataValidation type="whole" allowBlank="1" showInputMessage="1" showErrorMessage="1" sqref="B1:B53">
      <formula1>B2</formula1>
      <formula2>B53</formula2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3C65AF"/>
    <pageSetUpPr fitToPage="1"/>
  </sheetPr>
  <dimension ref="A1:H15"/>
  <sheetViews>
    <sheetView showGridLines="0" workbookViewId="0">
      <selection sqref="A1:E1"/>
    </sheetView>
  </sheetViews>
  <sheetFormatPr baseColWidth="10" defaultRowHeight="22.5" x14ac:dyDescent="0.45"/>
  <cols>
    <col min="1" max="1" width="15.7109375" style="274" customWidth="1"/>
    <col min="2" max="2" width="15.7109375" style="255" customWidth="1"/>
    <col min="3" max="3" width="20.7109375" style="238" customWidth="1"/>
    <col min="4" max="4" width="20.7109375" style="272" customWidth="1"/>
    <col min="5" max="5" width="15.85546875" style="258" customWidth="1"/>
    <col min="6" max="16384" width="11.42578125" style="238"/>
  </cols>
  <sheetData>
    <row r="1" spans="1:8" ht="30" customHeight="1" thickBot="1" x14ac:dyDescent="0.45">
      <c r="A1" s="693" t="str">
        <f>'Programme entrainement run'!B6</f>
        <v>Footing Progressif</v>
      </c>
      <c r="B1" s="694"/>
      <c r="C1" s="694"/>
      <c r="D1" s="694"/>
      <c r="E1" s="695"/>
    </row>
    <row r="2" spans="1:8" s="259" customFormat="1" ht="20.100000000000001" customHeight="1" thickBot="1" x14ac:dyDescent="0.3">
      <c r="A2" s="696" t="str">
        <f>'Programme entrainement run'!C6</f>
        <v>Sem 1 - jour 1</v>
      </c>
      <c r="B2" s="697"/>
      <c r="C2" s="697"/>
      <c r="D2" s="697"/>
      <c r="E2" s="698"/>
    </row>
    <row r="3" spans="1:8" s="259" customFormat="1" ht="20.100000000000001" customHeight="1" thickBot="1" x14ac:dyDescent="0.3">
      <c r="A3" s="699" t="s">
        <v>11</v>
      </c>
      <c r="B3" s="700"/>
      <c r="C3" s="700"/>
      <c r="D3" s="700"/>
      <c r="E3" s="701"/>
    </row>
    <row r="4" spans="1:8" s="259" customFormat="1" ht="20.100000000000001" customHeight="1" thickBot="1" x14ac:dyDescent="0.3">
      <c r="A4" s="260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61">
        <f>((B4-INT(B4))*24)*D4</f>
        <v>0.70199999999999996</v>
      </c>
      <c r="H4" s="262"/>
    </row>
    <row r="5" spans="1:8" s="259" customFormat="1" ht="20.100000000000001" customHeight="1" thickBot="1" x14ac:dyDescent="0.3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63">
        <f>((B5-INT(B5))*24)*D5</f>
        <v>1.4234999999999998</v>
      </c>
    </row>
    <row r="6" spans="1:8" s="259" customFormat="1" ht="20.100000000000001" customHeight="1" thickBot="1" x14ac:dyDescent="0.3">
      <c r="A6" s="264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65">
        <f>((B6-INT(B6))*24)*D6</f>
        <v>0.73124999999999984</v>
      </c>
    </row>
    <row r="7" spans="1:8" s="259" customFormat="1" ht="20.100000000000001" customHeight="1" thickBot="1" x14ac:dyDescent="0.3">
      <c r="A7" s="699" t="s">
        <v>12</v>
      </c>
      <c r="B7" s="700"/>
      <c r="C7" s="700"/>
      <c r="D7" s="700"/>
      <c r="E7" s="701"/>
    </row>
    <row r="8" spans="1:8" s="259" customFormat="1" ht="20.100000000000001" customHeight="1" thickBot="1" x14ac:dyDescent="0.3">
      <c r="A8" s="260">
        <f>A6+B6</f>
        <v>1.3888888888888888E-2</v>
      </c>
      <c r="B8" s="241">
        <v>6.9444444444444441E-3</v>
      </c>
      <c r="C8" s="241">
        <f>Allure81</f>
        <v>4.386574074074074E-3</v>
      </c>
      <c r="D8" s="242">
        <f>Vitesse81</f>
        <v>9.4770000000000003</v>
      </c>
      <c r="E8" s="261">
        <f>((B8-INT(B8))*24)*D8</f>
        <v>1.5794999999999999</v>
      </c>
    </row>
    <row r="9" spans="1:8" s="259" customFormat="1" ht="20.100000000000001" customHeight="1" thickBot="1" x14ac:dyDescent="0.3">
      <c r="A9" s="244">
        <f>A8+B8</f>
        <v>2.0833333333333332E-2</v>
      </c>
      <c r="B9" s="245">
        <v>5.5555555555555558E-3</v>
      </c>
      <c r="C9" s="245">
        <f>Allure83</f>
        <v>4.2824074074074075E-3</v>
      </c>
      <c r="D9" s="246">
        <f>Vitesse83</f>
        <v>9.7109999999999985</v>
      </c>
      <c r="E9" s="263">
        <f>((B9-INT(B9))*24)*D9</f>
        <v>1.2947999999999997</v>
      </c>
    </row>
    <row r="10" spans="1:8" s="259" customFormat="1" ht="20.100000000000001" customHeight="1" thickBot="1" x14ac:dyDescent="0.3">
      <c r="A10" s="266">
        <f>A9+B9</f>
        <v>2.6388888888888889E-2</v>
      </c>
      <c r="B10" s="249">
        <v>4.1666666666666666E-3</v>
      </c>
      <c r="C10" s="249">
        <f>Allure85</f>
        <v>4.1782407407407402E-3</v>
      </c>
      <c r="D10" s="250">
        <f>Vitesse85</f>
        <v>9.9449999999999985</v>
      </c>
      <c r="E10" s="265">
        <f>((B10-INT(B10))*24)*D10</f>
        <v>0.99449999999999994</v>
      </c>
    </row>
    <row r="11" spans="1:8" s="259" customFormat="1" ht="20.100000000000001" customHeight="1" thickBot="1" x14ac:dyDescent="0.3">
      <c r="A11" s="699" t="s">
        <v>13</v>
      </c>
      <c r="B11" s="700"/>
      <c r="C11" s="700"/>
      <c r="D11" s="700"/>
      <c r="E11" s="701"/>
      <c r="G11" s="267"/>
    </row>
    <row r="12" spans="1:8" s="259" customFormat="1" ht="20.100000000000001" customHeight="1" thickBot="1" x14ac:dyDescent="0.3">
      <c r="A12" s="268">
        <f>A10+B10</f>
        <v>3.0555555555555555E-2</v>
      </c>
      <c r="B12" s="269">
        <v>3.472222222222222E-3</v>
      </c>
      <c r="C12" s="240">
        <f>Allure72</f>
        <v>4.9421296296296288E-3</v>
      </c>
      <c r="D12" s="253">
        <f>Vitesse72</f>
        <v>8.4239999999999995</v>
      </c>
      <c r="E12" s="270">
        <f>((B12-INT(B12))*24)*D12</f>
        <v>0.70199999999999996</v>
      </c>
    </row>
    <row r="13" spans="1:8" ht="19.5" customHeight="1" thickBot="1" x14ac:dyDescent="0.45">
      <c r="A13" s="271">
        <f>A12+B12</f>
        <v>3.4027777777777775E-2</v>
      </c>
      <c r="E13" s="273">
        <f>SUM(E4+E5+E6+E8+E9+E10+E12)</f>
        <v>7.4275499999999983</v>
      </c>
    </row>
    <row r="14" spans="1:8" ht="19.5" customHeight="1" x14ac:dyDescent="0.45"/>
    <row r="15" spans="1:8" x14ac:dyDescent="0.45">
      <c r="H15" s="272"/>
    </row>
  </sheetData>
  <mergeCells count="5">
    <mergeCell ref="A1:E1"/>
    <mergeCell ref="A2:E2"/>
    <mergeCell ref="A3:E3"/>
    <mergeCell ref="A7:E7"/>
    <mergeCell ref="A11:E11"/>
  </mergeCells>
  <printOptions horizontalCentered="1" verticalCentered="1"/>
  <pageMargins left="0.59055118110236227" right="0.59055118110236227" top="0.59055118110236227" bottom="0.74803149606299213" header="0.31496062992125984" footer="0.31496062992125984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3C65AF"/>
    <pageSetUpPr fitToPage="1"/>
  </sheetPr>
  <dimension ref="A1:F35"/>
  <sheetViews>
    <sheetView showGridLines="0" workbookViewId="0">
      <selection sqref="A1:E1"/>
    </sheetView>
  </sheetViews>
  <sheetFormatPr baseColWidth="10" defaultRowHeight="22.5" x14ac:dyDescent="0.25"/>
  <cols>
    <col min="1" max="1" width="15.7109375" style="257" customWidth="1"/>
    <col min="2" max="2" width="15.7109375" style="311" customWidth="1"/>
    <col min="3" max="4" width="20.7109375" style="275" customWidth="1"/>
    <col min="5" max="5" width="15.7109375" style="312" customWidth="1"/>
    <col min="6" max="16384" width="11.42578125" style="275"/>
  </cols>
  <sheetData>
    <row r="1" spans="1:6" ht="30" customHeight="1" thickBot="1" x14ac:dyDescent="0.3">
      <c r="A1" s="693" t="str">
        <f>'Programme entrainement run'!B7</f>
        <v>Séance VMA</v>
      </c>
      <c r="B1" s="694"/>
      <c r="C1" s="694"/>
      <c r="D1" s="694"/>
      <c r="E1" s="695"/>
    </row>
    <row r="2" spans="1:6" ht="20.100000000000001" customHeight="1" thickBot="1" x14ac:dyDescent="0.3">
      <c r="A2" s="696" t="str">
        <f>'Programme entrainement run'!C7</f>
        <v>Sem 1 - jour 3</v>
      </c>
      <c r="B2" s="697"/>
      <c r="C2" s="697"/>
      <c r="D2" s="697"/>
      <c r="E2" s="698"/>
    </row>
    <row r="3" spans="1:6" ht="20.100000000000001" customHeight="1" thickBot="1" x14ac:dyDescent="0.3">
      <c r="A3" s="702" t="s">
        <v>11</v>
      </c>
      <c r="B3" s="703"/>
      <c r="C3" s="703"/>
      <c r="D3" s="703"/>
      <c r="E3" s="704"/>
    </row>
    <row r="4" spans="1:6" ht="20.100000000000001" customHeight="1" thickBot="1" x14ac:dyDescent="0.3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6" ht="20.100000000000001" customHeight="1" thickBot="1" x14ac:dyDescent="0.3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 t="shared" ref="E5:E34" si="0">((B5-INT(B5))*24)*D5</f>
        <v>1.4234999999999998</v>
      </c>
    </row>
    <row r="6" spans="1:6" ht="20.100000000000001" customHeight="1" thickBot="1" x14ac:dyDescent="0.3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 t="shared" si="0"/>
        <v>0.73124999999999984</v>
      </c>
    </row>
    <row r="7" spans="1:6" ht="20.100000000000001" customHeight="1" thickBot="1" x14ac:dyDescent="0.3">
      <c r="A7" s="705" t="s">
        <v>12</v>
      </c>
      <c r="B7" s="706"/>
      <c r="C7" s="706"/>
      <c r="D7" s="706"/>
      <c r="E7" s="707"/>
    </row>
    <row r="8" spans="1:6" ht="20.100000000000001" customHeight="1" x14ac:dyDescent="0.25">
      <c r="A8" s="279">
        <f>A6+B6</f>
        <v>1.3888888888888888E-2</v>
      </c>
      <c r="B8" s="280">
        <v>4.6296296296296293E-4</v>
      </c>
      <c r="C8" s="280">
        <f>Allure97</f>
        <v>3.6689814814814814E-3</v>
      </c>
      <c r="D8" s="281">
        <f>Vitesse97</f>
        <v>11.348999999999998</v>
      </c>
      <c r="E8" s="282">
        <f t="shared" si="0"/>
        <v>0.12609999999999996</v>
      </c>
    </row>
    <row r="9" spans="1:6" ht="20.100000000000001" customHeight="1" x14ac:dyDescent="0.25">
      <c r="A9" s="283">
        <f>A8+B8</f>
        <v>1.4351851851851852E-2</v>
      </c>
      <c r="B9" s="284">
        <v>4.6296296296296293E-4</v>
      </c>
      <c r="C9" s="285"/>
      <c r="D9" s="286"/>
      <c r="E9" s="287"/>
      <c r="F9" s="288"/>
    </row>
    <row r="10" spans="1:6" ht="20.100000000000001" customHeight="1" x14ac:dyDescent="0.25">
      <c r="A10" s="289">
        <f t="shared" ref="A10:A32" si="1">A9+B9</f>
        <v>1.4814814814814815E-2</v>
      </c>
      <c r="B10" s="290">
        <v>4.6296296296296293E-4</v>
      </c>
      <c r="C10" s="290">
        <f>Allure97</f>
        <v>3.6689814814814814E-3</v>
      </c>
      <c r="D10" s="291">
        <f>Vitesse97</f>
        <v>11.348999999999998</v>
      </c>
      <c r="E10" s="292">
        <f t="shared" si="0"/>
        <v>0.12609999999999996</v>
      </c>
    </row>
    <row r="11" spans="1:6" ht="20.100000000000001" customHeight="1" x14ac:dyDescent="0.25">
      <c r="A11" s="283">
        <f t="shared" si="1"/>
        <v>1.5277777777777779E-2</v>
      </c>
      <c r="B11" s="284">
        <v>4.6296296296296293E-4</v>
      </c>
      <c r="C11" s="285"/>
      <c r="D11" s="286"/>
      <c r="E11" s="287"/>
    </row>
    <row r="12" spans="1:6" ht="20.100000000000001" customHeight="1" x14ac:dyDescent="0.25">
      <c r="A12" s="289">
        <f t="shared" si="1"/>
        <v>1.5740740740740743E-2</v>
      </c>
      <c r="B12" s="290">
        <v>4.6296296296296293E-4</v>
      </c>
      <c r="C12" s="290">
        <f>Allure97</f>
        <v>3.6689814814814814E-3</v>
      </c>
      <c r="D12" s="291">
        <f>Vitesse97</f>
        <v>11.348999999999998</v>
      </c>
      <c r="E12" s="292">
        <f t="shared" si="0"/>
        <v>0.12609999999999996</v>
      </c>
    </row>
    <row r="13" spans="1:6" ht="20.100000000000001" customHeight="1" x14ac:dyDescent="0.25">
      <c r="A13" s="283">
        <f t="shared" si="1"/>
        <v>1.6203703703703706E-2</v>
      </c>
      <c r="B13" s="284">
        <v>4.6296296296296293E-4</v>
      </c>
      <c r="C13" s="285"/>
      <c r="D13" s="286"/>
      <c r="E13" s="287"/>
    </row>
    <row r="14" spans="1:6" ht="20.100000000000001" customHeight="1" x14ac:dyDescent="0.25">
      <c r="A14" s="289">
        <f t="shared" si="1"/>
        <v>1.666666666666667E-2</v>
      </c>
      <c r="B14" s="290">
        <v>4.6296296296296293E-4</v>
      </c>
      <c r="C14" s="290">
        <f>Allure97</f>
        <v>3.6689814814814814E-3</v>
      </c>
      <c r="D14" s="291">
        <f>Vitesse97</f>
        <v>11.348999999999998</v>
      </c>
      <c r="E14" s="292">
        <f t="shared" si="0"/>
        <v>0.12609999999999996</v>
      </c>
    </row>
    <row r="15" spans="1:6" ht="20.100000000000001" customHeight="1" x14ac:dyDescent="0.25">
      <c r="A15" s="283">
        <f t="shared" si="1"/>
        <v>1.7129629629629634E-2</v>
      </c>
      <c r="B15" s="284">
        <v>4.6296296296296293E-4</v>
      </c>
      <c r="C15" s="285"/>
      <c r="D15" s="286"/>
      <c r="E15" s="287"/>
    </row>
    <row r="16" spans="1:6" ht="20.100000000000001" customHeight="1" x14ac:dyDescent="0.25">
      <c r="A16" s="289">
        <f t="shared" si="1"/>
        <v>1.7592592592592597E-2</v>
      </c>
      <c r="B16" s="290">
        <v>4.6296296296296293E-4</v>
      </c>
      <c r="C16" s="290">
        <f>Allure97</f>
        <v>3.6689814814814814E-3</v>
      </c>
      <c r="D16" s="291">
        <f>Vitesse97</f>
        <v>11.348999999999998</v>
      </c>
      <c r="E16" s="292">
        <f t="shared" si="0"/>
        <v>0.12609999999999996</v>
      </c>
    </row>
    <row r="17" spans="1:5" ht="20.100000000000001" customHeight="1" x14ac:dyDescent="0.25">
      <c r="A17" s="283">
        <f t="shared" si="1"/>
        <v>1.8055555555555561E-2</v>
      </c>
      <c r="B17" s="284">
        <v>4.6296296296296293E-4</v>
      </c>
      <c r="C17" s="285"/>
      <c r="D17" s="286"/>
      <c r="E17" s="287"/>
    </row>
    <row r="18" spans="1:5" ht="20.100000000000001" customHeight="1" x14ac:dyDescent="0.25">
      <c r="A18" s="289">
        <f t="shared" si="1"/>
        <v>1.8518518518518524E-2</v>
      </c>
      <c r="B18" s="290">
        <v>4.6296296296296293E-4</v>
      </c>
      <c r="C18" s="290">
        <f>Allure97</f>
        <v>3.6689814814814814E-3</v>
      </c>
      <c r="D18" s="291">
        <f>Vitesse97</f>
        <v>11.348999999999998</v>
      </c>
      <c r="E18" s="292">
        <f t="shared" si="0"/>
        <v>0.12609999999999996</v>
      </c>
    </row>
    <row r="19" spans="1:5" ht="20.100000000000001" customHeight="1" thickBot="1" x14ac:dyDescent="0.3">
      <c r="A19" s="293">
        <f t="shared" si="1"/>
        <v>1.8981481481481488E-2</v>
      </c>
      <c r="B19" s="294">
        <v>4.6296296296296293E-4</v>
      </c>
      <c r="C19" s="295"/>
      <c r="D19" s="296"/>
      <c r="E19" s="297"/>
    </row>
    <row r="20" spans="1:5" ht="20.100000000000001" customHeight="1" thickBot="1" x14ac:dyDescent="0.3">
      <c r="A20" s="266">
        <f t="shared" si="1"/>
        <v>1.9444444444444452E-2</v>
      </c>
      <c r="B20" s="249">
        <v>3.472222222222222E-3</v>
      </c>
      <c r="C20" s="249">
        <f>Allure72</f>
        <v>4.9421296296296288E-3</v>
      </c>
      <c r="D20" s="250">
        <f>Vitesse72</f>
        <v>8.4239999999999995</v>
      </c>
      <c r="E20" s="278">
        <f t="shared" si="0"/>
        <v>0.70199999999999996</v>
      </c>
    </row>
    <row r="21" spans="1:5" ht="20.100000000000001" customHeight="1" x14ac:dyDescent="0.25">
      <c r="A21" s="298">
        <f>A20+B20</f>
        <v>2.2916666666666675E-2</v>
      </c>
      <c r="B21" s="299">
        <v>4.6296296296296293E-4</v>
      </c>
      <c r="C21" s="299">
        <f>Allure97</f>
        <v>3.6689814814814814E-3</v>
      </c>
      <c r="D21" s="300">
        <f>Vitesse97</f>
        <v>11.348999999999998</v>
      </c>
      <c r="E21" s="301">
        <f t="shared" si="0"/>
        <v>0.12609999999999996</v>
      </c>
    </row>
    <row r="22" spans="1:5" ht="20.100000000000001" customHeight="1" x14ac:dyDescent="0.25">
      <c r="A22" s="289">
        <f t="shared" si="1"/>
        <v>2.3379629629629639E-2</v>
      </c>
      <c r="B22" s="302">
        <v>4.6296296296296293E-4</v>
      </c>
      <c r="C22" s="303"/>
      <c r="D22" s="304"/>
      <c r="E22" s="292"/>
    </row>
    <row r="23" spans="1:5" ht="20.100000000000001" customHeight="1" x14ac:dyDescent="0.25">
      <c r="A23" s="283">
        <f t="shared" si="1"/>
        <v>2.3842592592592603E-2</v>
      </c>
      <c r="B23" s="284">
        <v>4.6296296296296293E-4</v>
      </c>
      <c r="C23" s="284">
        <f>Allure97</f>
        <v>3.6689814814814814E-3</v>
      </c>
      <c r="D23" s="286">
        <f>Vitesse97</f>
        <v>11.348999999999998</v>
      </c>
      <c r="E23" s="287">
        <f t="shared" si="0"/>
        <v>0.12609999999999996</v>
      </c>
    </row>
    <row r="24" spans="1:5" ht="20.100000000000001" customHeight="1" x14ac:dyDescent="0.25">
      <c r="A24" s="289">
        <f t="shared" si="1"/>
        <v>2.4305555555555566E-2</v>
      </c>
      <c r="B24" s="302">
        <v>4.6296296296296293E-4</v>
      </c>
      <c r="C24" s="303"/>
      <c r="D24" s="304"/>
      <c r="E24" s="292"/>
    </row>
    <row r="25" spans="1:5" ht="20.100000000000001" customHeight="1" x14ac:dyDescent="0.25">
      <c r="A25" s="283">
        <f t="shared" si="1"/>
        <v>2.476851851851853E-2</v>
      </c>
      <c r="B25" s="284">
        <v>4.6296296296296293E-4</v>
      </c>
      <c r="C25" s="284">
        <f>Allure97</f>
        <v>3.6689814814814814E-3</v>
      </c>
      <c r="D25" s="286">
        <f>Vitesse97</f>
        <v>11.348999999999998</v>
      </c>
      <c r="E25" s="287">
        <f t="shared" si="0"/>
        <v>0.12609999999999996</v>
      </c>
    </row>
    <row r="26" spans="1:5" ht="20.100000000000001" customHeight="1" x14ac:dyDescent="0.25">
      <c r="A26" s="289">
        <f t="shared" si="1"/>
        <v>2.5231481481481494E-2</v>
      </c>
      <c r="B26" s="302">
        <v>4.6296296296296293E-4</v>
      </c>
      <c r="C26" s="303"/>
      <c r="D26" s="304"/>
      <c r="E26" s="292"/>
    </row>
    <row r="27" spans="1:5" ht="20.100000000000001" customHeight="1" x14ac:dyDescent="0.25">
      <c r="A27" s="283">
        <f t="shared" si="1"/>
        <v>2.5694444444444457E-2</v>
      </c>
      <c r="B27" s="284">
        <v>4.6296296296296293E-4</v>
      </c>
      <c r="C27" s="284">
        <f>Allure97</f>
        <v>3.6689814814814814E-3</v>
      </c>
      <c r="D27" s="286">
        <f>Vitesse97</f>
        <v>11.348999999999998</v>
      </c>
      <c r="E27" s="287">
        <f t="shared" si="0"/>
        <v>0.12609999999999996</v>
      </c>
    </row>
    <row r="28" spans="1:5" ht="20.100000000000001" customHeight="1" x14ac:dyDescent="0.25">
      <c r="A28" s="289">
        <f t="shared" si="1"/>
        <v>2.6157407407407421E-2</v>
      </c>
      <c r="B28" s="302">
        <v>4.6296296296296293E-4</v>
      </c>
      <c r="C28" s="303"/>
      <c r="D28" s="304"/>
      <c r="E28" s="292"/>
    </row>
    <row r="29" spans="1:5" ht="20.100000000000001" customHeight="1" x14ac:dyDescent="0.25">
      <c r="A29" s="283">
        <f t="shared" si="1"/>
        <v>2.6620370370370385E-2</v>
      </c>
      <c r="B29" s="284">
        <v>4.6296296296296293E-4</v>
      </c>
      <c r="C29" s="284">
        <f>Allure97</f>
        <v>3.6689814814814814E-3</v>
      </c>
      <c r="D29" s="286">
        <f>Vitesse97</f>
        <v>11.348999999999998</v>
      </c>
      <c r="E29" s="287">
        <f t="shared" si="0"/>
        <v>0.12609999999999996</v>
      </c>
    </row>
    <row r="30" spans="1:5" ht="20.100000000000001" customHeight="1" x14ac:dyDescent="0.25">
      <c r="A30" s="289">
        <f t="shared" si="1"/>
        <v>2.7083333333333348E-2</v>
      </c>
      <c r="B30" s="302">
        <v>4.6296296296296293E-4</v>
      </c>
      <c r="C30" s="303"/>
      <c r="D30" s="304"/>
      <c r="E30" s="292"/>
    </row>
    <row r="31" spans="1:5" ht="20.100000000000001" customHeight="1" x14ac:dyDescent="0.25">
      <c r="A31" s="283">
        <f t="shared" si="1"/>
        <v>2.7546296296296312E-2</v>
      </c>
      <c r="B31" s="284">
        <v>4.6296296296296293E-4</v>
      </c>
      <c r="C31" s="284">
        <f>Allure97</f>
        <v>3.6689814814814814E-3</v>
      </c>
      <c r="D31" s="286">
        <f>Vitesse97</f>
        <v>11.348999999999998</v>
      </c>
      <c r="E31" s="287">
        <f t="shared" si="0"/>
        <v>0.12609999999999996</v>
      </c>
    </row>
    <row r="32" spans="1:5" ht="20.100000000000001" customHeight="1" thickBot="1" x14ac:dyDescent="0.3">
      <c r="A32" s="305">
        <f t="shared" si="1"/>
        <v>2.8009259259259275E-2</v>
      </c>
      <c r="B32" s="306">
        <v>4.6296296296296293E-4</v>
      </c>
      <c r="C32" s="307"/>
      <c r="D32" s="308"/>
      <c r="E32" s="309"/>
    </row>
    <row r="33" spans="1:5" ht="20.100000000000001" customHeight="1" thickBot="1" x14ac:dyDescent="0.3">
      <c r="A33" s="708" t="s">
        <v>13</v>
      </c>
      <c r="B33" s="709"/>
      <c r="C33" s="709"/>
      <c r="D33" s="709"/>
      <c r="E33" s="710"/>
    </row>
    <row r="34" spans="1:5" ht="20.100000000000001" customHeight="1" thickBot="1" x14ac:dyDescent="0.3">
      <c r="A34" s="310">
        <f>A32+B32</f>
        <v>2.8472222222222239E-2</v>
      </c>
      <c r="B34" s="269">
        <v>3.472222222222222E-3</v>
      </c>
      <c r="C34" s="240">
        <f>Allure72</f>
        <v>4.9421296296296288E-3</v>
      </c>
      <c r="D34" s="253">
        <f>Vitesse72</f>
        <v>8.4239999999999995</v>
      </c>
      <c r="E34" s="243">
        <f t="shared" si="0"/>
        <v>0.70199999999999996</v>
      </c>
    </row>
    <row r="35" spans="1:5" ht="19.5" customHeight="1" thickBot="1" x14ac:dyDescent="0.3">
      <c r="A35" s="271">
        <f>A34+B34</f>
        <v>3.1944444444444463E-2</v>
      </c>
      <c r="E35" s="256">
        <f>SUM(E4+E5+E8+E10+E12+E14+E16+E18+E20+E21+E23+E25+E27+E29+E31+E34)</f>
        <v>5.0427000000000008</v>
      </c>
    </row>
  </sheetData>
  <mergeCells count="5">
    <mergeCell ref="A1:E1"/>
    <mergeCell ref="A2:E2"/>
    <mergeCell ref="A3:E3"/>
    <mergeCell ref="A7:E7"/>
    <mergeCell ref="A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3C65AF"/>
    <pageSetUpPr fitToPage="1"/>
  </sheetPr>
  <dimension ref="A1:E20"/>
  <sheetViews>
    <sheetView showGridLines="0" workbookViewId="0">
      <selection sqref="A1:E1"/>
    </sheetView>
  </sheetViews>
  <sheetFormatPr baseColWidth="10" defaultRowHeight="22.5" x14ac:dyDescent="0.45"/>
  <cols>
    <col min="1" max="1" width="15.7109375" style="323" customWidth="1"/>
    <col min="2" max="2" width="15.7109375" style="255" customWidth="1"/>
    <col min="3" max="4" width="20.7109375" style="238" customWidth="1"/>
    <col min="5" max="5" width="15.7109375" style="324" customWidth="1"/>
    <col min="6" max="16384" width="11.42578125" style="238"/>
  </cols>
  <sheetData>
    <row r="1" spans="1:5" ht="30" customHeight="1" thickBot="1" x14ac:dyDescent="0.45">
      <c r="A1" s="693" t="str">
        <f>'Programme entrainement run'!B9</f>
        <v>VMA Pyramidale</v>
      </c>
      <c r="B1" s="694"/>
      <c r="C1" s="694"/>
      <c r="D1" s="694"/>
      <c r="E1" s="695"/>
    </row>
    <row r="2" spans="1:5" s="259" customFormat="1" ht="20.100000000000001" customHeight="1" thickBot="1" x14ac:dyDescent="0.3">
      <c r="A2" s="696" t="str">
        <f>'Programme entrainement run'!C9</f>
        <v>Sem 2 - jour 1</v>
      </c>
      <c r="B2" s="697"/>
      <c r="C2" s="697"/>
      <c r="D2" s="697"/>
      <c r="E2" s="698"/>
    </row>
    <row r="3" spans="1:5" s="259" customFormat="1" ht="20.100000000000001" customHeight="1" thickBot="1" x14ac:dyDescent="0.3">
      <c r="A3" s="702" t="s">
        <v>11</v>
      </c>
      <c r="B3" s="703"/>
      <c r="C3" s="703"/>
      <c r="D3" s="703"/>
      <c r="E3" s="704"/>
    </row>
    <row r="4" spans="1:5" s="259" customFormat="1" ht="20.100000000000001" customHeight="1" thickBot="1" x14ac:dyDescent="0.3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5" s="259" customFormat="1" ht="20.100000000000001" customHeight="1" thickBot="1" x14ac:dyDescent="0.3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 t="shared" ref="E5:E19" si="0">((B5-INT(B5))*24)*D5</f>
        <v>1.4234999999999998</v>
      </c>
    </row>
    <row r="6" spans="1:5" s="259" customFormat="1" ht="20.100000000000001" customHeight="1" thickBot="1" x14ac:dyDescent="0.3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 t="shared" si="0"/>
        <v>0.73124999999999984</v>
      </c>
    </row>
    <row r="7" spans="1:5" s="259" customFormat="1" ht="20.100000000000001" customHeight="1" thickBot="1" x14ac:dyDescent="0.3">
      <c r="A7" s="705" t="s">
        <v>12</v>
      </c>
      <c r="B7" s="706"/>
      <c r="C7" s="706"/>
      <c r="D7" s="706"/>
      <c r="E7" s="707"/>
    </row>
    <row r="8" spans="1:5" s="259" customFormat="1" ht="20.100000000000001" customHeight="1" thickBot="1" x14ac:dyDescent="0.3">
      <c r="A8" s="248">
        <f>A6+B6</f>
        <v>1.3888888888888888E-2</v>
      </c>
      <c r="B8" s="240">
        <v>1.3888888888888889E-3</v>
      </c>
      <c r="C8" s="240">
        <f>Allure93</f>
        <v>3.8194444444444443E-3</v>
      </c>
      <c r="D8" s="253">
        <f>Vitesse93</f>
        <v>10.881</v>
      </c>
      <c r="E8" s="243">
        <f t="shared" si="0"/>
        <v>0.36270000000000002</v>
      </c>
    </row>
    <row r="9" spans="1:5" s="259" customFormat="1" ht="20.100000000000001" customHeight="1" thickBot="1" x14ac:dyDescent="0.3">
      <c r="A9" s="313">
        <f>A8+B8</f>
        <v>1.5277777777777777E-2</v>
      </c>
      <c r="B9" s="314">
        <v>6.9444444444444447E-4</v>
      </c>
      <c r="C9" s="315"/>
      <c r="D9" s="316"/>
      <c r="E9" s="317"/>
    </row>
    <row r="10" spans="1:5" s="259" customFormat="1" ht="20.100000000000001" customHeight="1" thickBot="1" x14ac:dyDescent="0.3">
      <c r="A10" s="248">
        <f t="shared" ref="A10:A17" si="1">A9+B9</f>
        <v>1.5972222222222221E-2</v>
      </c>
      <c r="B10" s="240">
        <v>2.7777777777777779E-3</v>
      </c>
      <c r="C10" s="240">
        <f>Allure88</f>
        <v>4.0393518518518521E-3</v>
      </c>
      <c r="D10" s="253">
        <f>Vitesse88</f>
        <v>10.295999999999999</v>
      </c>
      <c r="E10" s="243">
        <f t="shared" si="0"/>
        <v>0.6863999999999999</v>
      </c>
    </row>
    <row r="11" spans="1:5" s="259" customFormat="1" ht="20.100000000000001" customHeight="1" thickBot="1" x14ac:dyDescent="0.3">
      <c r="A11" s="313">
        <f t="shared" si="1"/>
        <v>1.8749999999999999E-2</v>
      </c>
      <c r="B11" s="314">
        <v>1.3888888888888889E-3</v>
      </c>
      <c r="C11" s="315"/>
      <c r="D11" s="316"/>
      <c r="E11" s="317"/>
    </row>
    <row r="12" spans="1:5" s="259" customFormat="1" ht="20.100000000000001" customHeight="1" thickBot="1" x14ac:dyDescent="0.3">
      <c r="A12" s="248">
        <f t="shared" si="1"/>
        <v>2.0138888888888887E-2</v>
      </c>
      <c r="B12" s="240">
        <v>4.1666666666666666E-3</v>
      </c>
      <c r="C12" s="240">
        <f>Allure86</f>
        <v>4.1319444444444442E-3</v>
      </c>
      <c r="D12" s="253">
        <f>Vitesse86</f>
        <v>10.061999999999999</v>
      </c>
      <c r="E12" s="243">
        <f t="shared" si="0"/>
        <v>1.0062</v>
      </c>
    </row>
    <row r="13" spans="1:5" s="259" customFormat="1" ht="20.100000000000001" customHeight="1" thickBot="1" x14ac:dyDescent="0.3">
      <c r="A13" s="313">
        <f t="shared" si="1"/>
        <v>2.4305555555555552E-2</v>
      </c>
      <c r="B13" s="314">
        <v>1.3888888888888889E-3</v>
      </c>
      <c r="C13" s="315"/>
      <c r="D13" s="316"/>
      <c r="E13" s="317"/>
    </row>
    <row r="14" spans="1:5" s="259" customFormat="1" ht="20.100000000000001" customHeight="1" thickBot="1" x14ac:dyDescent="0.3">
      <c r="A14" s="248">
        <f t="shared" si="1"/>
        <v>2.569444444444444E-2</v>
      </c>
      <c r="B14" s="240">
        <v>2.7777777777777779E-3</v>
      </c>
      <c r="C14" s="240">
        <f>Allure88</f>
        <v>4.0393518518518521E-3</v>
      </c>
      <c r="D14" s="253">
        <f>Vitesse88</f>
        <v>10.295999999999999</v>
      </c>
      <c r="E14" s="243">
        <f t="shared" si="0"/>
        <v>0.6863999999999999</v>
      </c>
    </row>
    <row r="15" spans="1:5" s="259" customFormat="1" ht="20.100000000000001" customHeight="1" thickBot="1" x14ac:dyDescent="0.3">
      <c r="A15" s="313">
        <f t="shared" si="1"/>
        <v>2.8472222222222218E-2</v>
      </c>
      <c r="B15" s="314">
        <v>1.3888888888888889E-3</v>
      </c>
      <c r="C15" s="315"/>
      <c r="D15" s="316"/>
      <c r="E15" s="317"/>
    </row>
    <row r="16" spans="1:5" s="259" customFormat="1" ht="20.100000000000001" customHeight="1" thickBot="1" x14ac:dyDescent="0.3">
      <c r="A16" s="248">
        <f t="shared" si="1"/>
        <v>2.9861111111111106E-2</v>
      </c>
      <c r="B16" s="240">
        <v>1.3888888888888889E-3</v>
      </c>
      <c r="C16" s="240">
        <f>Allure93</f>
        <v>3.8194444444444443E-3</v>
      </c>
      <c r="D16" s="253">
        <f>Vitesse93</f>
        <v>10.881</v>
      </c>
      <c r="E16" s="243">
        <f t="shared" si="0"/>
        <v>0.36270000000000002</v>
      </c>
    </row>
    <row r="17" spans="1:5" s="259" customFormat="1" ht="20.100000000000001" customHeight="1" thickBot="1" x14ac:dyDescent="0.3">
      <c r="A17" s="318">
        <f t="shared" si="1"/>
        <v>3.1249999999999993E-2</v>
      </c>
      <c r="B17" s="319">
        <v>6.9444444444444447E-4</v>
      </c>
      <c r="C17" s="320"/>
      <c r="D17" s="321"/>
      <c r="E17" s="322"/>
    </row>
    <row r="18" spans="1:5" s="259" customFormat="1" ht="20.100000000000001" customHeight="1" thickBot="1" x14ac:dyDescent="0.3">
      <c r="A18" s="699" t="s">
        <v>13</v>
      </c>
      <c r="B18" s="700"/>
      <c r="C18" s="700"/>
      <c r="D18" s="700"/>
      <c r="E18" s="701"/>
    </row>
    <row r="19" spans="1:5" s="259" customFormat="1" ht="20.100000000000001" customHeight="1" thickBot="1" x14ac:dyDescent="0.3">
      <c r="A19" s="248">
        <f>A17+B17</f>
        <v>3.1944444444444435E-2</v>
      </c>
      <c r="B19" s="240">
        <v>3.472222222222222E-3</v>
      </c>
      <c r="C19" s="240">
        <f>Allure72</f>
        <v>4.9421296296296288E-3</v>
      </c>
      <c r="D19" s="253">
        <f>Vitesse72</f>
        <v>8.4239999999999995</v>
      </c>
      <c r="E19" s="243">
        <f t="shared" si="0"/>
        <v>0.70199999999999996</v>
      </c>
    </row>
    <row r="20" spans="1:5" s="259" customFormat="1" ht="19.5" customHeight="1" thickBot="1" x14ac:dyDescent="0.3">
      <c r="A20" s="271">
        <f>A19+B19</f>
        <v>3.5416666666666659E-2</v>
      </c>
      <c r="B20" s="338"/>
      <c r="E20" s="256">
        <f>SUM(E4+E5+E6+E8+E10+E12+E14+E16+E19)</f>
        <v>6.663149999999999</v>
      </c>
    </row>
  </sheetData>
  <mergeCells count="5">
    <mergeCell ref="A1:E1"/>
    <mergeCell ref="A2:E2"/>
    <mergeCell ref="A3:E3"/>
    <mergeCell ref="A18:E18"/>
    <mergeCell ref="A7:E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3C65AF"/>
    <pageSetUpPr fitToPage="1"/>
  </sheetPr>
  <dimension ref="A1:E13"/>
  <sheetViews>
    <sheetView showGridLines="0" workbookViewId="0">
      <selection sqref="A1:E1"/>
    </sheetView>
  </sheetViews>
  <sheetFormatPr baseColWidth="10" defaultRowHeight="22.5" x14ac:dyDescent="0.45"/>
  <cols>
    <col min="1" max="1" width="15.7109375" style="323" customWidth="1"/>
    <col min="2" max="2" width="15.7109375" style="255" customWidth="1"/>
    <col min="3" max="4" width="20.7109375" style="238" customWidth="1"/>
    <col min="5" max="5" width="15.7109375" style="325" customWidth="1"/>
    <col min="6" max="16384" width="11.42578125" style="238"/>
  </cols>
  <sheetData>
    <row r="1" spans="1:5" ht="30" customHeight="1" thickBot="1" x14ac:dyDescent="0.45">
      <c r="A1" s="693" t="str">
        <f>'Programme entrainement run'!B10</f>
        <v>Footing Actif Progressif</v>
      </c>
      <c r="B1" s="694"/>
      <c r="C1" s="694"/>
      <c r="D1" s="694"/>
      <c r="E1" s="695"/>
    </row>
    <row r="2" spans="1:5" s="259" customFormat="1" ht="20.100000000000001" customHeight="1" thickBot="1" x14ac:dyDescent="0.3">
      <c r="A2" s="696" t="str">
        <f>'Programme entrainement run'!C10</f>
        <v>Sem 2 - jour 3</v>
      </c>
      <c r="B2" s="697"/>
      <c r="C2" s="697"/>
      <c r="D2" s="697"/>
      <c r="E2" s="698"/>
    </row>
    <row r="3" spans="1:5" s="259" customFormat="1" ht="20.100000000000001" customHeight="1" thickBot="1" x14ac:dyDescent="0.3">
      <c r="A3" s="702" t="s">
        <v>11</v>
      </c>
      <c r="B3" s="703"/>
      <c r="C3" s="703"/>
      <c r="D3" s="703"/>
      <c r="E3" s="704"/>
    </row>
    <row r="4" spans="1:5" s="259" customFormat="1" ht="20.100000000000001" customHeight="1" thickBot="1" x14ac:dyDescent="0.3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5" s="259" customFormat="1" ht="20.100000000000001" customHeight="1" thickBot="1" x14ac:dyDescent="0.3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 t="shared" ref="E5:E12" si="0">((B5-INT(B5))*24)*D5</f>
        <v>1.4234999999999998</v>
      </c>
    </row>
    <row r="6" spans="1:5" s="259" customFormat="1" ht="20.100000000000001" customHeight="1" thickBot="1" x14ac:dyDescent="0.3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 t="shared" si="0"/>
        <v>0.73124999999999984</v>
      </c>
    </row>
    <row r="7" spans="1:5" s="259" customFormat="1" ht="20.100000000000001" customHeight="1" thickBot="1" x14ac:dyDescent="0.3">
      <c r="A7" s="705" t="s">
        <v>12</v>
      </c>
      <c r="B7" s="706"/>
      <c r="C7" s="706"/>
      <c r="D7" s="706"/>
      <c r="E7" s="707"/>
    </row>
    <row r="8" spans="1:5" s="259" customFormat="1" ht="20.100000000000001" customHeight="1" thickBot="1" x14ac:dyDescent="0.3">
      <c r="A8" s="260">
        <f>A6+B6</f>
        <v>1.3888888888888888E-2</v>
      </c>
      <c r="B8" s="241">
        <v>1.0416666666666666E-2</v>
      </c>
      <c r="C8" s="241">
        <f>Allure82</f>
        <v>4.340277777777778E-3</v>
      </c>
      <c r="D8" s="242">
        <f>Vitesse82</f>
        <v>9.5939999999999994</v>
      </c>
      <c r="E8" s="277">
        <f t="shared" si="0"/>
        <v>2.3984999999999999</v>
      </c>
    </row>
    <row r="9" spans="1:5" s="259" customFormat="1" ht="20.100000000000001" customHeight="1" thickBot="1" x14ac:dyDescent="0.3">
      <c r="A9" s="244">
        <f>A8+B8</f>
        <v>2.4305555555555552E-2</v>
      </c>
      <c r="B9" s="245">
        <v>6.9444444444444441E-3</v>
      </c>
      <c r="C9" s="245">
        <f>Allure84</f>
        <v>4.2361111111111106E-3</v>
      </c>
      <c r="D9" s="246">
        <f>Vitesse84</f>
        <v>9.8279999999999994</v>
      </c>
      <c r="E9" s="247">
        <f t="shared" si="0"/>
        <v>1.6379999999999999</v>
      </c>
    </row>
    <row r="10" spans="1:5" s="259" customFormat="1" ht="20.100000000000001" customHeight="1" thickBot="1" x14ac:dyDescent="0.3">
      <c r="A10" s="266">
        <f>A9+B9</f>
        <v>3.1249999999999997E-2</v>
      </c>
      <c r="B10" s="249">
        <v>3.472222222222222E-3</v>
      </c>
      <c r="C10" s="249">
        <f>Allure87</f>
        <v>4.0856481481481481E-3</v>
      </c>
      <c r="D10" s="250">
        <f>Vitesse87</f>
        <v>10.178999999999998</v>
      </c>
      <c r="E10" s="278">
        <f t="shared" si="0"/>
        <v>0.84824999999999984</v>
      </c>
    </row>
    <row r="11" spans="1:5" s="259" customFormat="1" ht="20.100000000000001" customHeight="1" thickBot="1" x14ac:dyDescent="0.3">
      <c r="A11" s="705" t="s">
        <v>13</v>
      </c>
      <c r="B11" s="706"/>
      <c r="C11" s="706"/>
      <c r="D11" s="706"/>
      <c r="E11" s="707"/>
    </row>
    <row r="12" spans="1:5" s="259" customFormat="1" ht="20.100000000000001" customHeight="1" thickBot="1" x14ac:dyDescent="0.3">
      <c r="A12" s="248">
        <f>A10+B10</f>
        <v>3.4722222222222217E-2</v>
      </c>
      <c r="B12" s="240">
        <v>3.472222222222222E-3</v>
      </c>
      <c r="C12" s="240">
        <f>Allure72</f>
        <v>4.9421296296296288E-3</v>
      </c>
      <c r="D12" s="253">
        <f>Vitesse72</f>
        <v>8.4239999999999995</v>
      </c>
      <c r="E12" s="243">
        <f t="shared" si="0"/>
        <v>0.70199999999999996</v>
      </c>
    </row>
    <row r="13" spans="1:5" s="259" customFormat="1" ht="19.5" customHeight="1" thickBot="1" x14ac:dyDescent="0.3">
      <c r="A13" s="337">
        <f>A12+B12</f>
        <v>3.8194444444444441E-2</v>
      </c>
      <c r="B13" s="338"/>
      <c r="E13" s="256">
        <f>SUM(E4+E5+E6+E8+E9+E10+E12)</f>
        <v>8.4435000000000002</v>
      </c>
    </row>
  </sheetData>
  <mergeCells count="5">
    <mergeCell ref="A1:E1"/>
    <mergeCell ref="A2:E2"/>
    <mergeCell ref="A3:E3"/>
    <mergeCell ref="A7:E7"/>
    <mergeCell ref="A11:E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3C65AF"/>
    <pageSetUpPr fitToPage="1"/>
  </sheetPr>
  <dimension ref="A1:E18"/>
  <sheetViews>
    <sheetView showGridLines="0" workbookViewId="0">
      <selection sqref="A1:E1"/>
    </sheetView>
  </sheetViews>
  <sheetFormatPr baseColWidth="10" defaultRowHeight="22.5" x14ac:dyDescent="0.45"/>
  <cols>
    <col min="1" max="1" width="15.7109375" style="323" customWidth="1"/>
    <col min="2" max="2" width="15.7109375" style="255" customWidth="1"/>
    <col min="3" max="4" width="20.7109375" style="238" customWidth="1"/>
    <col min="5" max="5" width="15.7109375" style="324" customWidth="1"/>
    <col min="6" max="16384" width="11.42578125" style="238"/>
  </cols>
  <sheetData>
    <row r="1" spans="1:5" ht="30" customHeight="1" thickBot="1" x14ac:dyDescent="0.45">
      <c r="A1" s="693" t="str">
        <f>'Programme entrainement run'!B11</f>
        <v>VMA Longue</v>
      </c>
      <c r="B1" s="694"/>
      <c r="C1" s="694"/>
      <c r="D1" s="694"/>
      <c r="E1" s="695"/>
    </row>
    <row r="2" spans="1:5" s="259" customFormat="1" ht="20.100000000000001" customHeight="1" thickBot="1" x14ac:dyDescent="0.3">
      <c r="A2" s="696" t="str">
        <f>'Programme entrainement run'!C11</f>
        <v>Sem 2 - jour 5</v>
      </c>
      <c r="B2" s="697"/>
      <c r="C2" s="697"/>
      <c r="D2" s="697"/>
      <c r="E2" s="698"/>
    </row>
    <row r="3" spans="1:5" s="259" customFormat="1" ht="20.100000000000001" customHeight="1" thickBot="1" x14ac:dyDescent="0.3">
      <c r="A3" s="702" t="s">
        <v>11</v>
      </c>
      <c r="B3" s="703"/>
      <c r="C3" s="703"/>
      <c r="D3" s="703"/>
      <c r="E3" s="704"/>
    </row>
    <row r="4" spans="1:5" s="259" customFormat="1" ht="20.100000000000001" customHeight="1" thickBot="1" x14ac:dyDescent="0.3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5" s="259" customFormat="1" ht="20.100000000000001" customHeight="1" thickBot="1" x14ac:dyDescent="0.3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 t="shared" ref="E5:E17" si="0">((B5-INT(B5))*24)*D5</f>
        <v>1.4234999999999998</v>
      </c>
    </row>
    <row r="6" spans="1:5" s="259" customFormat="1" ht="20.100000000000001" customHeight="1" thickBot="1" x14ac:dyDescent="0.3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 t="shared" si="0"/>
        <v>0.73124999999999984</v>
      </c>
    </row>
    <row r="7" spans="1:5" s="259" customFormat="1" ht="20.100000000000001" customHeight="1" thickBot="1" x14ac:dyDescent="0.3">
      <c r="A7" s="705" t="s">
        <v>12</v>
      </c>
      <c r="B7" s="706"/>
      <c r="C7" s="706"/>
      <c r="D7" s="706"/>
      <c r="E7" s="707"/>
    </row>
    <row r="8" spans="1:5" s="259" customFormat="1" ht="20.100000000000001" customHeight="1" x14ac:dyDescent="0.25">
      <c r="A8" s="279">
        <f>A6+B6</f>
        <v>1.3888888888888888E-2</v>
      </c>
      <c r="B8" s="280">
        <v>3.472222222222222E-3</v>
      </c>
      <c r="C8" s="280">
        <f>Allure84</f>
        <v>4.2361111111111106E-3</v>
      </c>
      <c r="D8" s="281">
        <f>Vitesse84</f>
        <v>9.8279999999999994</v>
      </c>
      <c r="E8" s="282">
        <f t="shared" si="0"/>
        <v>0.81899999999999995</v>
      </c>
    </row>
    <row r="9" spans="1:5" s="259" customFormat="1" ht="20.100000000000001" customHeight="1" x14ac:dyDescent="0.25">
      <c r="A9" s="283">
        <f>A8+B8</f>
        <v>1.7361111111111112E-2</v>
      </c>
      <c r="B9" s="284">
        <v>1.3888888888888889E-3</v>
      </c>
      <c r="C9" s="285"/>
      <c r="D9" s="286"/>
      <c r="E9" s="287"/>
    </row>
    <row r="10" spans="1:5" s="259" customFormat="1" ht="20.100000000000001" customHeight="1" x14ac:dyDescent="0.25">
      <c r="A10" s="289">
        <f t="shared" ref="A10:A15" si="1">A9+B9</f>
        <v>1.8749999999999999E-2</v>
      </c>
      <c r="B10" s="290">
        <v>3.472222222222222E-3</v>
      </c>
      <c r="C10" s="290">
        <f>Allure84</f>
        <v>4.2361111111111106E-3</v>
      </c>
      <c r="D10" s="291">
        <f>Vitesse84</f>
        <v>9.8279999999999994</v>
      </c>
      <c r="E10" s="292">
        <f t="shared" si="0"/>
        <v>0.81899999999999995</v>
      </c>
    </row>
    <row r="11" spans="1:5" s="259" customFormat="1" ht="20.100000000000001" customHeight="1" x14ac:dyDescent="0.25">
      <c r="A11" s="283">
        <f t="shared" si="1"/>
        <v>2.222222222222222E-2</v>
      </c>
      <c r="B11" s="284">
        <v>1.3888888888888889E-3</v>
      </c>
      <c r="C11" s="285"/>
      <c r="D11" s="286"/>
      <c r="E11" s="287"/>
    </row>
    <row r="12" spans="1:5" s="259" customFormat="1" ht="20.100000000000001" customHeight="1" x14ac:dyDescent="0.25">
      <c r="A12" s="289">
        <f t="shared" si="1"/>
        <v>2.3611111111111107E-2</v>
      </c>
      <c r="B12" s="290">
        <v>3.472222222222222E-3</v>
      </c>
      <c r="C12" s="290">
        <f>Allure84</f>
        <v>4.2361111111111106E-3</v>
      </c>
      <c r="D12" s="291">
        <f>Vitesse84</f>
        <v>9.8279999999999994</v>
      </c>
      <c r="E12" s="292">
        <f t="shared" si="0"/>
        <v>0.81899999999999995</v>
      </c>
    </row>
    <row r="13" spans="1:5" s="259" customFormat="1" ht="20.100000000000001" customHeight="1" thickBot="1" x14ac:dyDescent="0.3">
      <c r="A13" s="293">
        <f t="shared" si="1"/>
        <v>2.7083333333333327E-2</v>
      </c>
      <c r="B13" s="294">
        <v>1.3888888888888889E-3</v>
      </c>
      <c r="C13" s="295"/>
      <c r="D13" s="296"/>
      <c r="E13" s="297"/>
    </row>
    <row r="14" spans="1:5" s="259" customFormat="1" ht="20.100000000000001" customHeight="1" x14ac:dyDescent="0.25">
      <c r="A14" s="326">
        <f t="shared" si="1"/>
        <v>2.8472222222222215E-2</v>
      </c>
      <c r="B14" s="327">
        <v>3.472222222222222E-3</v>
      </c>
      <c r="C14" s="327">
        <f>Allure86</f>
        <v>4.1319444444444442E-3</v>
      </c>
      <c r="D14" s="328">
        <f>Vitesse86</f>
        <v>10.061999999999999</v>
      </c>
      <c r="E14" s="329">
        <f t="shared" si="0"/>
        <v>0.83849999999999991</v>
      </c>
    </row>
    <row r="15" spans="1:5" s="259" customFormat="1" ht="20.100000000000001" customHeight="1" thickBot="1" x14ac:dyDescent="0.3">
      <c r="A15" s="293">
        <f t="shared" si="1"/>
        <v>3.1944444444444435E-2</v>
      </c>
      <c r="B15" s="294">
        <v>1.3888888888888889E-3</v>
      </c>
      <c r="C15" s="295"/>
      <c r="D15" s="296"/>
      <c r="E15" s="297"/>
    </row>
    <row r="16" spans="1:5" s="259" customFormat="1" ht="20.100000000000001" customHeight="1" thickBot="1" x14ac:dyDescent="0.3">
      <c r="A16" s="702" t="s">
        <v>13</v>
      </c>
      <c r="B16" s="703"/>
      <c r="C16" s="703"/>
      <c r="D16" s="703"/>
      <c r="E16" s="704"/>
    </row>
    <row r="17" spans="1:5" s="259" customFormat="1" ht="20.100000000000001" customHeight="1" thickBot="1" x14ac:dyDescent="0.3">
      <c r="A17" s="248">
        <f>A15+B15</f>
        <v>3.3333333333333326E-2</v>
      </c>
      <c r="B17" s="240">
        <v>3.472222222222222E-3</v>
      </c>
      <c r="C17" s="240">
        <f>Allure72</f>
        <v>4.9421296296296288E-3</v>
      </c>
      <c r="D17" s="253">
        <f>Vitesse72</f>
        <v>8.4239999999999995</v>
      </c>
      <c r="E17" s="243">
        <f t="shared" si="0"/>
        <v>0.70199999999999996</v>
      </c>
    </row>
    <row r="18" spans="1:5" s="259" customFormat="1" ht="19.5" customHeight="1" thickBot="1" x14ac:dyDescent="0.3">
      <c r="A18" s="271">
        <f>A17+B17</f>
        <v>3.680555555555555E-2</v>
      </c>
      <c r="B18" s="330"/>
      <c r="C18" s="331"/>
      <c r="D18" s="331"/>
      <c r="E18" s="256">
        <f>SUM(E4+E5+E6+E8+E10+E12+E14+E17)</f>
        <v>6.8542499999999995</v>
      </c>
    </row>
  </sheetData>
  <mergeCells count="5">
    <mergeCell ref="A1:E1"/>
    <mergeCell ref="A2:E2"/>
    <mergeCell ref="A3:E3"/>
    <mergeCell ref="A7:E7"/>
    <mergeCell ref="A16:E1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3C65AF"/>
    <pageSetUpPr fitToPage="1"/>
  </sheetPr>
  <dimension ref="A1:E35"/>
  <sheetViews>
    <sheetView showGridLines="0" zoomScaleNormal="100" workbookViewId="0">
      <selection sqref="A1:E1"/>
    </sheetView>
  </sheetViews>
  <sheetFormatPr baseColWidth="10" defaultRowHeight="22.5" x14ac:dyDescent="0.45"/>
  <cols>
    <col min="1" max="1" width="15.7109375" style="323" customWidth="1"/>
    <col min="2" max="2" width="15.7109375" style="255" customWidth="1"/>
    <col min="3" max="4" width="20.7109375" style="238" customWidth="1"/>
    <col min="5" max="5" width="15.7109375" style="332" customWidth="1"/>
    <col min="6" max="16384" width="11.42578125" style="238"/>
  </cols>
  <sheetData>
    <row r="1" spans="1:5" ht="30" customHeight="1" thickBot="1" x14ac:dyDescent="0.45">
      <c r="A1" s="693" t="str">
        <f>'Programme entrainement run'!B12</f>
        <v>Travail VMA</v>
      </c>
      <c r="B1" s="694"/>
      <c r="C1" s="694"/>
      <c r="D1" s="694"/>
      <c r="E1" s="695"/>
    </row>
    <row r="2" spans="1:5" s="259" customFormat="1" ht="20.100000000000001" customHeight="1" thickBot="1" x14ac:dyDescent="0.3">
      <c r="A2" s="696" t="str">
        <f>'Programme entrainement run'!C12</f>
        <v>Sem 3 - jour 1</v>
      </c>
      <c r="B2" s="697"/>
      <c r="C2" s="697"/>
      <c r="D2" s="697"/>
      <c r="E2" s="698"/>
    </row>
    <row r="3" spans="1:5" s="259" customFormat="1" ht="20.100000000000001" customHeight="1" thickBot="1" x14ac:dyDescent="0.3">
      <c r="A3" s="702" t="s">
        <v>11</v>
      </c>
      <c r="B3" s="703"/>
      <c r="C3" s="703"/>
      <c r="D3" s="703"/>
      <c r="E3" s="704"/>
    </row>
    <row r="4" spans="1:5" s="259" customFormat="1" ht="20.100000000000001" customHeight="1" thickBot="1" x14ac:dyDescent="0.3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5" s="259" customFormat="1" ht="20.100000000000001" customHeight="1" thickBot="1" x14ac:dyDescent="0.3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 t="shared" ref="E5:E34" si="0">((B5-INT(B5))*24)*D5</f>
        <v>1.4234999999999998</v>
      </c>
    </row>
    <row r="6" spans="1:5" s="259" customFormat="1" ht="20.100000000000001" customHeight="1" thickBot="1" x14ac:dyDescent="0.3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 t="shared" si="0"/>
        <v>0.73124999999999984</v>
      </c>
    </row>
    <row r="7" spans="1:5" s="259" customFormat="1" ht="20.100000000000001" customHeight="1" thickBot="1" x14ac:dyDescent="0.3">
      <c r="A7" s="708" t="s">
        <v>12</v>
      </c>
      <c r="B7" s="709"/>
      <c r="C7" s="709"/>
      <c r="D7" s="709"/>
      <c r="E7" s="710"/>
    </row>
    <row r="8" spans="1:5" s="259" customFormat="1" ht="20.100000000000001" customHeight="1" x14ac:dyDescent="0.25">
      <c r="A8" s="279">
        <f>A6+B6</f>
        <v>1.3888888888888888E-2</v>
      </c>
      <c r="B8" s="280">
        <v>8.6805555555555551E-4</v>
      </c>
      <c r="C8" s="280">
        <f>Allure95</f>
        <v>3.7384259259259263E-3</v>
      </c>
      <c r="D8" s="281">
        <f>Vitesse95</f>
        <v>11.114999999999998</v>
      </c>
      <c r="E8" s="282">
        <f t="shared" si="0"/>
        <v>0.23156249999999995</v>
      </c>
    </row>
    <row r="9" spans="1:5" s="259" customFormat="1" ht="20.100000000000001" customHeight="1" x14ac:dyDescent="0.25">
      <c r="A9" s="283">
        <f>A8+B8</f>
        <v>1.4756944444444444E-2</v>
      </c>
      <c r="B9" s="284">
        <v>5.2083333333333333E-4</v>
      </c>
      <c r="C9" s="285"/>
      <c r="D9" s="286"/>
      <c r="E9" s="287"/>
    </row>
    <row r="10" spans="1:5" s="259" customFormat="1" ht="20.100000000000001" customHeight="1" x14ac:dyDescent="0.25">
      <c r="A10" s="289">
        <f t="shared" ref="A10:A32" si="1">A9+B9</f>
        <v>1.5277777777777777E-2</v>
      </c>
      <c r="B10" s="290">
        <v>8.6805555555555551E-4</v>
      </c>
      <c r="C10" s="290">
        <f>Allure95</f>
        <v>3.7384259259259263E-3</v>
      </c>
      <c r="D10" s="291">
        <f>Vitesse95</f>
        <v>11.114999999999998</v>
      </c>
      <c r="E10" s="292">
        <f t="shared" si="0"/>
        <v>0.23156249999999995</v>
      </c>
    </row>
    <row r="11" spans="1:5" s="259" customFormat="1" ht="20.100000000000001" customHeight="1" x14ac:dyDescent="0.25">
      <c r="A11" s="283">
        <f t="shared" si="1"/>
        <v>1.6145833333333331E-2</v>
      </c>
      <c r="B11" s="284">
        <v>5.2083333333333333E-4</v>
      </c>
      <c r="C11" s="285"/>
      <c r="D11" s="286"/>
      <c r="E11" s="287"/>
    </row>
    <row r="12" spans="1:5" s="259" customFormat="1" ht="20.100000000000001" customHeight="1" x14ac:dyDescent="0.25">
      <c r="A12" s="289">
        <f t="shared" si="1"/>
        <v>1.6666666666666666E-2</v>
      </c>
      <c r="B12" s="290">
        <v>8.6805555555555551E-4</v>
      </c>
      <c r="C12" s="290">
        <f>Allure95</f>
        <v>3.7384259259259263E-3</v>
      </c>
      <c r="D12" s="291">
        <f>Vitesse95</f>
        <v>11.114999999999998</v>
      </c>
      <c r="E12" s="292">
        <f t="shared" si="0"/>
        <v>0.23156249999999995</v>
      </c>
    </row>
    <row r="13" spans="1:5" s="259" customFormat="1" ht="20.100000000000001" customHeight="1" x14ac:dyDescent="0.25">
      <c r="A13" s="283">
        <f t="shared" si="1"/>
        <v>1.7534722222222222E-2</v>
      </c>
      <c r="B13" s="284">
        <v>5.2083333333333333E-4</v>
      </c>
      <c r="C13" s="285"/>
      <c r="D13" s="286"/>
      <c r="E13" s="287"/>
    </row>
    <row r="14" spans="1:5" s="259" customFormat="1" ht="20.100000000000001" customHeight="1" x14ac:dyDescent="0.25">
      <c r="A14" s="289">
        <f t="shared" si="1"/>
        <v>1.8055555555555557E-2</v>
      </c>
      <c r="B14" s="290">
        <v>8.6805555555555551E-4</v>
      </c>
      <c r="C14" s="290">
        <f>Allure95</f>
        <v>3.7384259259259263E-3</v>
      </c>
      <c r="D14" s="291">
        <f>Vitesse95</f>
        <v>11.114999999999998</v>
      </c>
      <c r="E14" s="292">
        <f t="shared" si="0"/>
        <v>0.23156249999999995</v>
      </c>
    </row>
    <row r="15" spans="1:5" s="259" customFormat="1" ht="20.100000000000001" customHeight="1" x14ac:dyDescent="0.25">
      <c r="A15" s="283">
        <f t="shared" si="1"/>
        <v>1.8923611111111113E-2</v>
      </c>
      <c r="B15" s="284">
        <v>5.2083333333333333E-4</v>
      </c>
      <c r="C15" s="285"/>
      <c r="D15" s="286"/>
      <c r="E15" s="287"/>
    </row>
    <row r="16" spans="1:5" s="259" customFormat="1" ht="20.100000000000001" customHeight="1" x14ac:dyDescent="0.25">
      <c r="A16" s="289">
        <f t="shared" si="1"/>
        <v>1.9444444444444448E-2</v>
      </c>
      <c r="B16" s="290">
        <v>8.6805555555555551E-4</v>
      </c>
      <c r="C16" s="290">
        <f>Allure95</f>
        <v>3.7384259259259263E-3</v>
      </c>
      <c r="D16" s="291">
        <f>Vitesse95</f>
        <v>11.114999999999998</v>
      </c>
      <c r="E16" s="292">
        <f t="shared" si="0"/>
        <v>0.23156249999999995</v>
      </c>
    </row>
    <row r="17" spans="1:5" s="259" customFormat="1" ht="20.100000000000001" customHeight="1" x14ac:dyDescent="0.25">
      <c r="A17" s="283">
        <f t="shared" si="1"/>
        <v>2.0312500000000004E-2</v>
      </c>
      <c r="B17" s="284">
        <v>5.2083333333333333E-4</v>
      </c>
      <c r="C17" s="285"/>
      <c r="D17" s="286"/>
      <c r="E17" s="287"/>
    </row>
    <row r="18" spans="1:5" s="259" customFormat="1" ht="20.100000000000001" customHeight="1" x14ac:dyDescent="0.25">
      <c r="A18" s="289">
        <f t="shared" si="1"/>
        <v>2.0833333333333339E-2</v>
      </c>
      <c r="B18" s="290">
        <v>8.6805555555555551E-4</v>
      </c>
      <c r="C18" s="290">
        <f>Allure95</f>
        <v>3.7384259259259263E-3</v>
      </c>
      <c r="D18" s="291">
        <f>Vitesse95</f>
        <v>11.114999999999998</v>
      </c>
      <c r="E18" s="292">
        <f t="shared" si="0"/>
        <v>0.23156249999999995</v>
      </c>
    </row>
    <row r="19" spans="1:5" s="259" customFormat="1" ht="20.100000000000001" customHeight="1" thickBot="1" x14ac:dyDescent="0.3">
      <c r="A19" s="293">
        <f t="shared" si="1"/>
        <v>2.1701388888888895E-2</v>
      </c>
      <c r="B19" s="294">
        <v>5.2083333333333333E-4</v>
      </c>
      <c r="C19" s="295"/>
      <c r="D19" s="296"/>
      <c r="E19" s="297"/>
    </row>
    <row r="20" spans="1:5" s="259" customFormat="1" ht="20.100000000000001" customHeight="1" thickBot="1" x14ac:dyDescent="0.3">
      <c r="A20" s="248">
        <f t="shared" si="1"/>
        <v>2.222222222222223E-2</v>
      </c>
      <c r="B20" s="240">
        <v>3.472222222222222E-3</v>
      </c>
      <c r="C20" s="240">
        <f>Allure82</f>
        <v>4.340277777777778E-3</v>
      </c>
      <c r="D20" s="253">
        <f>Vitesse82</f>
        <v>9.5939999999999994</v>
      </c>
      <c r="E20" s="243">
        <f t="shared" si="0"/>
        <v>0.79949999999999988</v>
      </c>
    </row>
    <row r="21" spans="1:5" s="259" customFormat="1" ht="20.100000000000001" customHeight="1" x14ac:dyDescent="0.25">
      <c r="A21" s="298">
        <f t="shared" si="1"/>
        <v>2.569444444444445E-2</v>
      </c>
      <c r="B21" s="299">
        <v>8.6805555555555551E-4</v>
      </c>
      <c r="C21" s="299">
        <f>Allure95</f>
        <v>3.7384259259259263E-3</v>
      </c>
      <c r="D21" s="300">
        <f>Vitesse95</f>
        <v>11.114999999999998</v>
      </c>
      <c r="E21" s="301">
        <f t="shared" si="0"/>
        <v>0.23156249999999995</v>
      </c>
    </row>
    <row r="22" spans="1:5" s="259" customFormat="1" ht="20.100000000000001" customHeight="1" x14ac:dyDescent="0.25">
      <c r="A22" s="289">
        <f t="shared" si="1"/>
        <v>2.6562500000000006E-2</v>
      </c>
      <c r="B22" s="302">
        <v>5.2083333333333333E-4</v>
      </c>
      <c r="C22" s="303"/>
      <c r="D22" s="304"/>
      <c r="E22" s="292"/>
    </row>
    <row r="23" spans="1:5" s="259" customFormat="1" ht="20.100000000000001" customHeight="1" x14ac:dyDescent="0.25">
      <c r="A23" s="283">
        <f t="shared" si="1"/>
        <v>2.7083333333333341E-2</v>
      </c>
      <c r="B23" s="284">
        <v>8.6805555555555551E-4</v>
      </c>
      <c r="C23" s="284">
        <f>Allure95</f>
        <v>3.7384259259259263E-3</v>
      </c>
      <c r="D23" s="286">
        <f>Vitesse95</f>
        <v>11.114999999999998</v>
      </c>
      <c r="E23" s="287">
        <f t="shared" si="0"/>
        <v>0.23156249999999995</v>
      </c>
    </row>
    <row r="24" spans="1:5" s="259" customFormat="1" ht="20.100000000000001" customHeight="1" x14ac:dyDescent="0.25">
      <c r="A24" s="289">
        <f t="shared" si="1"/>
        <v>2.7951388888888897E-2</v>
      </c>
      <c r="B24" s="302">
        <v>5.2083333333333333E-4</v>
      </c>
      <c r="C24" s="303"/>
      <c r="D24" s="304"/>
      <c r="E24" s="292"/>
    </row>
    <row r="25" spans="1:5" s="259" customFormat="1" ht="20.100000000000001" customHeight="1" x14ac:dyDescent="0.25">
      <c r="A25" s="283">
        <f t="shared" si="1"/>
        <v>2.8472222222222232E-2</v>
      </c>
      <c r="B25" s="284">
        <v>8.6805555555555551E-4</v>
      </c>
      <c r="C25" s="284">
        <f>Allure95</f>
        <v>3.7384259259259263E-3</v>
      </c>
      <c r="D25" s="286">
        <f>Vitesse95</f>
        <v>11.114999999999998</v>
      </c>
      <c r="E25" s="287">
        <f t="shared" si="0"/>
        <v>0.23156249999999995</v>
      </c>
    </row>
    <row r="26" spans="1:5" s="259" customFormat="1" ht="20.100000000000001" customHeight="1" x14ac:dyDescent="0.25">
      <c r="A26" s="289">
        <f t="shared" si="1"/>
        <v>2.9340277777777788E-2</v>
      </c>
      <c r="B26" s="302">
        <v>5.2083333333333333E-4</v>
      </c>
      <c r="C26" s="303"/>
      <c r="D26" s="304"/>
      <c r="E26" s="292"/>
    </row>
    <row r="27" spans="1:5" s="259" customFormat="1" ht="20.100000000000001" customHeight="1" x14ac:dyDescent="0.25">
      <c r="A27" s="283">
        <f t="shared" si="1"/>
        <v>2.9861111111111123E-2</v>
      </c>
      <c r="B27" s="284">
        <v>8.6805555555555551E-4</v>
      </c>
      <c r="C27" s="284">
        <f>Allure95</f>
        <v>3.7384259259259263E-3</v>
      </c>
      <c r="D27" s="286">
        <f>Vitesse95</f>
        <v>11.114999999999998</v>
      </c>
      <c r="E27" s="287">
        <f t="shared" si="0"/>
        <v>0.23156249999999995</v>
      </c>
    </row>
    <row r="28" spans="1:5" s="259" customFormat="1" ht="20.100000000000001" customHeight="1" x14ac:dyDescent="0.25">
      <c r="A28" s="289">
        <f t="shared" si="1"/>
        <v>3.0729166666666679E-2</v>
      </c>
      <c r="B28" s="302">
        <v>5.2083333333333333E-4</v>
      </c>
      <c r="C28" s="303"/>
      <c r="D28" s="304"/>
      <c r="E28" s="292"/>
    </row>
    <row r="29" spans="1:5" s="259" customFormat="1" ht="20.100000000000001" customHeight="1" x14ac:dyDescent="0.25">
      <c r="A29" s="283">
        <f t="shared" si="1"/>
        <v>3.1250000000000014E-2</v>
      </c>
      <c r="B29" s="284">
        <v>8.6805555555555551E-4</v>
      </c>
      <c r="C29" s="284">
        <f>Allure95</f>
        <v>3.7384259259259263E-3</v>
      </c>
      <c r="D29" s="286">
        <f>Vitesse95</f>
        <v>11.114999999999998</v>
      </c>
      <c r="E29" s="287">
        <f t="shared" si="0"/>
        <v>0.23156249999999995</v>
      </c>
    </row>
    <row r="30" spans="1:5" s="259" customFormat="1" ht="20.100000000000001" customHeight="1" x14ac:dyDescent="0.25">
      <c r="A30" s="289">
        <f t="shared" si="1"/>
        <v>3.2118055555555566E-2</v>
      </c>
      <c r="B30" s="302">
        <v>5.2083333333333333E-4</v>
      </c>
      <c r="C30" s="303"/>
      <c r="D30" s="304"/>
      <c r="E30" s="292"/>
    </row>
    <row r="31" spans="1:5" s="259" customFormat="1" ht="20.100000000000001" customHeight="1" x14ac:dyDescent="0.25">
      <c r="A31" s="283">
        <f t="shared" si="1"/>
        <v>3.2638888888888898E-2</v>
      </c>
      <c r="B31" s="284">
        <v>8.6805555555555551E-4</v>
      </c>
      <c r="C31" s="284">
        <f>Allure95</f>
        <v>3.7384259259259263E-3</v>
      </c>
      <c r="D31" s="286">
        <f>Vitesse95</f>
        <v>11.114999999999998</v>
      </c>
      <c r="E31" s="287">
        <f t="shared" si="0"/>
        <v>0.23156249999999995</v>
      </c>
    </row>
    <row r="32" spans="1:5" s="259" customFormat="1" ht="20.100000000000001" customHeight="1" thickBot="1" x14ac:dyDescent="0.3">
      <c r="A32" s="305">
        <f t="shared" si="1"/>
        <v>3.350694444444445E-2</v>
      </c>
      <c r="B32" s="306">
        <v>5.2083333333333333E-4</v>
      </c>
      <c r="C32" s="307"/>
      <c r="D32" s="308"/>
      <c r="E32" s="309"/>
    </row>
    <row r="33" spans="1:5" s="259" customFormat="1" ht="20.100000000000001" customHeight="1" thickBot="1" x14ac:dyDescent="0.3">
      <c r="A33" s="699" t="s">
        <v>13</v>
      </c>
      <c r="B33" s="700"/>
      <c r="C33" s="700"/>
      <c r="D33" s="700"/>
      <c r="E33" s="701"/>
    </row>
    <row r="34" spans="1:5" s="259" customFormat="1" ht="20.100000000000001" customHeight="1" thickBot="1" x14ac:dyDescent="0.3">
      <c r="A34" s="248">
        <f>A32+B32</f>
        <v>3.4027777777777782E-2</v>
      </c>
      <c r="B34" s="240">
        <v>3.472222222222222E-3</v>
      </c>
      <c r="C34" s="240">
        <f>Allure72</f>
        <v>4.9421296296296288E-3</v>
      </c>
      <c r="D34" s="253">
        <f>Vitesse72</f>
        <v>8.4239999999999995</v>
      </c>
      <c r="E34" s="243">
        <f t="shared" si="0"/>
        <v>0.70199999999999996</v>
      </c>
    </row>
    <row r="35" spans="1:5" s="259" customFormat="1" ht="19.5" customHeight="1" thickBot="1" x14ac:dyDescent="0.3">
      <c r="A35" s="271">
        <f>A34+B34</f>
        <v>3.7500000000000006E-2</v>
      </c>
      <c r="B35" s="338"/>
      <c r="E35" s="273">
        <f>SUM(E4+E5+E6+E8+E10+E12+E14+E16+E18+E20+E21+E23+E25+E27+E29+E31+E34)</f>
        <v>7.1369999999999987</v>
      </c>
    </row>
  </sheetData>
  <mergeCells count="5">
    <mergeCell ref="A1:E1"/>
    <mergeCell ref="A2:E2"/>
    <mergeCell ref="A3:E3"/>
    <mergeCell ref="A33:E33"/>
    <mergeCell ref="A7:E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3C65AF"/>
    <pageSetUpPr fitToPage="1"/>
  </sheetPr>
  <dimension ref="A1:E15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255" customWidth="1"/>
    <col min="3" max="4" width="20.7109375" style="238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run'!B13</f>
        <v>Footing avec Variation d'Allures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run'!C13</f>
        <v>Sem 3 - jour 3</v>
      </c>
      <c r="B2" s="697"/>
      <c r="C2" s="697"/>
      <c r="D2" s="697"/>
      <c r="E2" s="698"/>
    </row>
    <row r="3" spans="1:5" ht="20.100000000000001" customHeight="1" thickBot="1" x14ac:dyDescent="0.45">
      <c r="A3" s="702" t="s">
        <v>12</v>
      </c>
      <c r="B3" s="703"/>
      <c r="C3" s="703"/>
      <c r="D3" s="703"/>
      <c r="E3" s="704"/>
    </row>
    <row r="4" spans="1:5" ht="20.100000000000001" customHeight="1" thickBot="1" x14ac:dyDescent="0.45">
      <c r="A4" s="239" t="s">
        <v>94</v>
      </c>
      <c r="B4" s="240">
        <v>3.472222222222222E-3</v>
      </c>
      <c r="C4" s="241">
        <f>Allure72</f>
        <v>4.9421296296296288E-3</v>
      </c>
      <c r="D4" s="242">
        <f>Vitesse72</f>
        <v>8.4239999999999995</v>
      </c>
      <c r="E4" s="243">
        <f>((B4-INT(B4))*24)*D4</f>
        <v>0.70199999999999996</v>
      </c>
    </row>
    <row r="5" spans="1:5" ht="20.100000000000001" customHeight="1" thickBot="1" x14ac:dyDescent="0.45">
      <c r="A5" s="244">
        <f>B4</f>
        <v>3.472222222222222E-3</v>
      </c>
      <c r="B5" s="245">
        <v>3.472222222222222E-3</v>
      </c>
      <c r="C5" s="245">
        <f>Allure73</f>
        <v>4.8726851851851856E-3</v>
      </c>
      <c r="D5" s="246">
        <f>Vitesse73</f>
        <v>8.5409999999999986</v>
      </c>
      <c r="E5" s="247">
        <f t="shared" ref="E5:E14" si="0">((B5-INT(B5))*24)*D5</f>
        <v>0.71174999999999988</v>
      </c>
    </row>
    <row r="6" spans="1:5" ht="20.100000000000001" customHeight="1" thickBot="1" x14ac:dyDescent="0.45">
      <c r="A6" s="248">
        <f>A5+B5</f>
        <v>6.9444444444444441E-3</v>
      </c>
      <c r="B6" s="240">
        <v>3.472222222222222E-3</v>
      </c>
      <c r="C6" s="249">
        <f>Allure75</f>
        <v>4.7453703703703703E-3</v>
      </c>
      <c r="D6" s="250">
        <f>Vitesse75</f>
        <v>8.7749999999999986</v>
      </c>
      <c r="E6" s="243">
        <f t="shared" si="0"/>
        <v>0.73124999999999984</v>
      </c>
    </row>
    <row r="7" spans="1:5" ht="20.100000000000001" customHeight="1" thickBot="1" x14ac:dyDescent="0.45">
      <c r="A7" s="244">
        <f t="shared" ref="A7:A12" si="1">A6+B6</f>
        <v>1.0416666666666666E-2</v>
      </c>
      <c r="B7" s="245">
        <v>3.472222222222222E-3</v>
      </c>
      <c r="C7" s="245">
        <f>Allure77</f>
        <v>4.6180555555555558E-3</v>
      </c>
      <c r="D7" s="246">
        <f>Vitesse77</f>
        <v>9.0090000000000003</v>
      </c>
      <c r="E7" s="247">
        <f t="shared" si="0"/>
        <v>0.75075000000000003</v>
      </c>
    </row>
    <row r="8" spans="1:5" ht="20.100000000000001" customHeight="1" thickBot="1" x14ac:dyDescent="0.45">
      <c r="A8" s="248">
        <f t="shared" si="1"/>
        <v>1.3888888888888888E-2</v>
      </c>
      <c r="B8" s="251">
        <v>3.472222222222222E-3</v>
      </c>
      <c r="C8" s="251">
        <f>Allure78</f>
        <v>4.5601851851851853E-3</v>
      </c>
      <c r="D8" s="252">
        <f>Vitesse78</f>
        <v>9.1259999999999994</v>
      </c>
      <c r="E8" s="243">
        <f t="shared" si="0"/>
        <v>0.76049999999999995</v>
      </c>
    </row>
    <row r="9" spans="1:5" ht="20.100000000000001" customHeight="1" thickBot="1" x14ac:dyDescent="0.45">
      <c r="A9" s="244">
        <f t="shared" si="1"/>
        <v>1.7361111111111112E-2</v>
      </c>
      <c r="B9" s="245">
        <v>3.472222222222222E-3</v>
      </c>
      <c r="C9" s="245">
        <f>Allure80</f>
        <v>4.4444444444444444E-3</v>
      </c>
      <c r="D9" s="246">
        <f>Vitesse80</f>
        <v>9.36</v>
      </c>
      <c r="E9" s="247">
        <f t="shared" si="0"/>
        <v>0.77999999999999992</v>
      </c>
    </row>
    <row r="10" spans="1:5" ht="20.100000000000001" customHeight="1" thickBot="1" x14ac:dyDescent="0.45">
      <c r="A10" s="248">
        <f t="shared" si="1"/>
        <v>2.0833333333333336E-2</v>
      </c>
      <c r="B10" s="251">
        <v>6.9444444444444441E-3</v>
      </c>
      <c r="C10" s="251">
        <f>Allure82</f>
        <v>4.340277777777778E-3</v>
      </c>
      <c r="D10" s="252">
        <f>Vitesse82</f>
        <v>9.5939999999999994</v>
      </c>
      <c r="E10" s="243">
        <f t="shared" si="0"/>
        <v>1.5989999999999998</v>
      </c>
    </row>
    <row r="11" spans="1:5" ht="20.100000000000001" customHeight="1" thickBot="1" x14ac:dyDescent="0.45">
      <c r="A11" s="244">
        <f t="shared" si="1"/>
        <v>2.777777777777778E-2</v>
      </c>
      <c r="B11" s="245">
        <v>3.472222222222222E-3</v>
      </c>
      <c r="C11" s="245">
        <f>Allure78</f>
        <v>4.5601851851851853E-3</v>
      </c>
      <c r="D11" s="246">
        <f>Vitesse78</f>
        <v>9.1259999999999994</v>
      </c>
      <c r="E11" s="247">
        <f t="shared" si="0"/>
        <v>0.76049999999999995</v>
      </c>
    </row>
    <row r="12" spans="1:5" ht="20.100000000000001" customHeight="1" thickBot="1" x14ac:dyDescent="0.45">
      <c r="A12" s="248">
        <f t="shared" si="1"/>
        <v>3.125E-2</v>
      </c>
      <c r="B12" s="251">
        <v>6.9444444444444441E-3</v>
      </c>
      <c r="C12" s="251">
        <f>Allure82</f>
        <v>4.340277777777778E-3</v>
      </c>
      <c r="D12" s="252">
        <f>Vitesse82</f>
        <v>9.5939999999999994</v>
      </c>
      <c r="E12" s="243">
        <f t="shared" si="0"/>
        <v>1.5989999999999998</v>
      </c>
    </row>
    <row r="13" spans="1:5" ht="20.100000000000001" customHeight="1" thickBot="1" x14ac:dyDescent="0.45">
      <c r="A13" s="705" t="s">
        <v>13</v>
      </c>
      <c r="B13" s="706"/>
      <c r="C13" s="706"/>
      <c r="D13" s="706"/>
      <c r="E13" s="707"/>
    </row>
    <row r="14" spans="1:5" ht="20.100000000000001" customHeight="1" thickBot="1" x14ac:dyDescent="0.45">
      <c r="A14" s="248">
        <f>A12+B12</f>
        <v>3.8194444444444448E-2</v>
      </c>
      <c r="B14" s="240">
        <v>3.472222222222222E-3</v>
      </c>
      <c r="C14" s="240">
        <f>Allure72</f>
        <v>4.9421296296296288E-3</v>
      </c>
      <c r="D14" s="253">
        <f>Vitesse72</f>
        <v>8.4239999999999995</v>
      </c>
      <c r="E14" s="243">
        <f t="shared" si="0"/>
        <v>0.70199999999999996</v>
      </c>
    </row>
    <row r="15" spans="1:5" ht="19.5" customHeight="1" thickBot="1" x14ac:dyDescent="0.45">
      <c r="A15" s="254">
        <f>A14+B14</f>
        <v>4.1666666666666671E-2</v>
      </c>
      <c r="E15" s="256">
        <f>SUM(E4+E5+E6+E7+E8+E9+E10+E11+E12+E14)</f>
        <v>9.0967500000000001</v>
      </c>
    </row>
  </sheetData>
  <mergeCells count="4">
    <mergeCell ref="A1:E1"/>
    <mergeCell ref="A2:E2"/>
    <mergeCell ref="A3:E3"/>
    <mergeCell ref="A13:E1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11:D11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3C65AF"/>
    <pageSetUpPr fitToPage="1"/>
  </sheetPr>
  <dimension ref="A1:E35"/>
  <sheetViews>
    <sheetView showGridLines="0" workbookViewId="0">
      <selection sqref="A1:E1"/>
    </sheetView>
  </sheetViews>
  <sheetFormatPr baseColWidth="10" defaultRowHeight="22.5" x14ac:dyDescent="0.45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325" customWidth="1"/>
    <col min="6" max="16384" width="11.42578125" style="238"/>
  </cols>
  <sheetData>
    <row r="1" spans="1:5" ht="30" customHeight="1" thickBot="1" x14ac:dyDescent="0.45">
      <c r="A1" s="693" t="str">
        <f>'Programme entrainement run'!B14</f>
        <v>VMA Courte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run'!C14</f>
        <v>Sem 3 - jour 5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>((B5-INT(B5))*24)*D5</f>
        <v>1.4234999999999998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>((B6-INT(B6))*24)*D6</f>
        <v>0.73124999999999984</v>
      </c>
    </row>
    <row r="7" spans="1:5" ht="20.100000000000001" customHeight="1" thickBot="1" x14ac:dyDescent="0.45">
      <c r="A7" s="702" t="s">
        <v>12</v>
      </c>
      <c r="B7" s="703"/>
      <c r="C7" s="703"/>
      <c r="D7" s="703"/>
      <c r="E7" s="704"/>
    </row>
    <row r="8" spans="1:5" ht="20.100000000000001" customHeight="1" x14ac:dyDescent="0.4">
      <c r="A8" s="279">
        <f>A6+B6</f>
        <v>1.3888888888888888E-2</v>
      </c>
      <c r="B8" s="280">
        <v>5.2083333333333333E-4</v>
      </c>
      <c r="C8" s="280">
        <f>Allure98</f>
        <v>3.6226851851851854E-3</v>
      </c>
      <c r="D8" s="281">
        <f>Vitesse98</f>
        <v>11.465999999999999</v>
      </c>
      <c r="E8" s="282">
        <f>((B8-INT(B8))*24)*D8</f>
        <v>0.14332500000000001</v>
      </c>
    </row>
    <row r="9" spans="1:5" ht="20.100000000000001" customHeight="1" x14ac:dyDescent="0.4">
      <c r="A9" s="283">
        <f>A8+B8</f>
        <v>1.4409722222222221E-2</v>
      </c>
      <c r="B9" s="284">
        <v>3.4722222222222224E-4</v>
      </c>
      <c r="C9" s="285"/>
      <c r="D9" s="286"/>
      <c r="E9" s="287"/>
    </row>
    <row r="10" spans="1:5" ht="20.100000000000001" customHeight="1" x14ac:dyDescent="0.4">
      <c r="A10" s="289">
        <f t="shared" ref="A10:A32" si="0">A9+B9</f>
        <v>1.4756944444444444E-2</v>
      </c>
      <c r="B10" s="290">
        <v>5.2083333333333333E-4</v>
      </c>
      <c r="C10" s="290">
        <f>Allure98</f>
        <v>3.6226851851851854E-3</v>
      </c>
      <c r="D10" s="291">
        <f>Vitesse98</f>
        <v>11.465999999999999</v>
      </c>
      <c r="E10" s="292">
        <f>((B10-INT(B10))*24)*D10</f>
        <v>0.14332500000000001</v>
      </c>
    </row>
    <row r="11" spans="1:5" ht="20.100000000000001" customHeight="1" x14ac:dyDescent="0.4">
      <c r="A11" s="283">
        <f t="shared" si="0"/>
        <v>1.5277777777777777E-2</v>
      </c>
      <c r="B11" s="284">
        <v>3.4722222222222224E-4</v>
      </c>
      <c r="C11" s="285"/>
      <c r="D11" s="286"/>
      <c r="E11" s="287"/>
    </row>
    <row r="12" spans="1:5" ht="20.100000000000001" customHeight="1" x14ac:dyDescent="0.4">
      <c r="A12" s="289">
        <f t="shared" si="0"/>
        <v>1.5625E-2</v>
      </c>
      <c r="B12" s="290">
        <v>5.2083333333333333E-4</v>
      </c>
      <c r="C12" s="290">
        <f>Allure98</f>
        <v>3.6226851851851854E-3</v>
      </c>
      <c r="D12" s="291">
        <f>Vitesse98</f>
        <v>11.465999999999999</v>
      </c>
      <c r="E12" s="292">
        <f>((B12-INT(B12))*24)*D12</f>
        <v>0.14332500000000001</v>
      </c>
    </row>
    <row r="13" spans="1:5" ht="20.100000000000001" customHeight="1" x14ac:dyDescent="0.4">
      <c r="A13" s="283">
        <f t="shared" si="0"/>
        <v>1.6145833333333335E-2</v>
      </c>
      <c r="B13" s="284">
        <v>3.4722222222222224E-4</v>
      </c>
      <c r="C13" s="285"/>
      <c r="D13" s="286"/>
      <c r="E13" s="287"/>
    </row>
    <row r="14" spans="1:5" ht="20.100000000000001" customHeight="1" x14ac:dyDescent="0.4">
      <c r="A14" s="289">
        <f t="shared" si="0"/>
        <v>1.6493055555555556E-2</v>
      </c>
      <c r="B14" s="290">
        <v>5.2083333333333333E-4</v>
      </c>
      <c r="C14" s="290">
        <f>Allure98</f>
        <v>3.6226851851851854E-3</v>
      </c>
      <c r="D14" s="291">
        <f>Vitesse98</f>
        <v>11.465999999999999</v>
      </c>
      <c r="E14" s="292">
        <f>((B14-INT(B14))*24)*D14</f>
        <v>0.14332500000000001</v>
      </c>
    </row>
    <row r="15" spans="1:5" ht="20.100000000000001" customHeight="1" x14ac:dyDescent="0.4">
      <c r="A15" s="283">
        <f t="shared" si="0"/>
        <v>1.7013888888888891E-2</v>
      </c>
      <c r="B15" s="284">
        <v>3.4722222222222224E-4</v>
      </c>
      <c r="C15" s="285"/>
      <c r="D15" s="286"/>
      <c r="E15" s="287"/>
    </row>
    <row r="16" spans="1:5" ht="20.100000000000001" customHeight="1" x14ac:dyDescent="0.4">
      <c r="A16" s="289">
        <f t="shared" si="0"/>
        <v>1.7361111111111112E-2</v>
      </c>
      <c r="B16" s="290">
        <v>5.2083333333333333E-4</v>
      </c>
      <c r="C16" s="290">
        <f>Allure98</f>
        <v>3.6226851851851854E-3</v>
      </c>
      <c r="D16" s="291">
        <f>Vitesse98</f>
        <v>11.465999999999999</v>
      </c>
      <c r="E16" s="292">
        <f>((B16-INT(B16))*24)*D16</f>
        <v>0.14332500000000001</v>
      </c>
    </row>
    <row r="17" spans="1:5" ht="20.100000000000001" customHeight="1" x14ac:dyDescent="0.4">
      <c r="A17" s="283">
        <f t="shared" si="0"/>
        <v>1.7881944444444447E-2</v>
      </c>
      <c r="B17" s="284">
        <v>3.4722222222222224E-4</v>
      </c>
      <c r="C17" s="285"/>
      <c r="D17" s="286"/>
      <c r="E17" s="287"/>
    </row>
    <row r="18" spans="1:5" ht="20.100000000000001" customHeight="1" x14ac:dyDescent="0.4">
      <c r="A18" s="289">
        <f t="shared" si="0"/>
        <v>1.8229166666666668E-2</v>
      </c>
      <c r="B18" s="290">
        <v>5.2083333333333333E-4</v>
      </c>
      <c r="C18" s="290">
        <f>Allure98</f>
        <v>3.6226851851851854E-3</v>
      </c>
      <c r="D18" s="291">
        <f>Vitesse98</f>
        <v>11.465999999999999</v>
      </c>
      <c r="E18" s="292">
        <f>((B18-INT(B18))*24)*D18</f>
        <v>0.14332500000000001</v>
      </c>
    </row>
    <row r="19" spans="1:5" ht="20.100000000000001" customHeight="1" thickBot="1" x14ac:dyDescent="0.45">
      <c r="A19" s="293">
        <f t="shared" si="0"/>
        <v>1.8750000000000003E-2</v>
      </c>
      <c r="B19" s="294">
        <v>3.4722222222222224E-4</v>
      </c>
      <c r="C19" s="295"/>
      <c r="D19" s="296"/>
      <c r="E19" s="297"/>
    </row>
    <row r="20" spans="1:5" ht="20.100000000000001" customHeight="1" thickBot="1" x14ac:dyDescent="0.45">
      <c r="A20" s="266">
        <f t="shared" si="0"/>
        <v>1.9097222222222224E-2</v>
      </c>
      <c r="B20" s="249">
        <v>3.472222222222222E-3</v>
      </c>
      <c r="C20" s="249">
        <f>Allure82</f>
        <v>4.340277777777778E-3</v>
      </c>
      <c r="D20" s="250">
        <f>Vitesse82</f>
        <v>9.5939999999999994</v>
      </c>
      <c r="E20" s="278">
        <f>((B20-INT(B20))*24)*D20</f>
        <v>0.79949999999999988</v>
      </c>
    </row>
    <row r="21" spans="1:5" ht="20.100000000000001" customHeight="1" x14ac:dyDescent="0.4">
      <c r="A21" s="333">
        <f t="shared" si="0"/>
        <v>2.2569444444444448E-2</v>
      </c>
      <c r="B21" s="334">
        <v>5.2083333333333333E-4</v>
      </c>
      <c r="C21" s="334">
        <f>Allure98</f>
        <v>3.6226851851851854E-3</v>
      </c>
      <c r="D21" s="335">
        <f>Vitesse98</f>
        <v>11.465999999999999</v>
      </c>
      <c r="E21" s="336">
        <f>((B21-INT(B21))*24)*D21</f>
        <v>0.14332500000000001</v>
      </c>
    </row>
    <row r="22" spans="1:5" ht="20.100000000000001" customHeight="1" x14ac:dyDescent="0.4">
      <c r="A22" s="289">
        <f t="shared" si="0"/>
        <v>2.3090277777777782E-2</v>
      </c>
      <c r="B22" s="302">
        <v>3.4722222222222224E-4</v>
      </c>
      <c r="C22" s="303"/>
      <c r="D22" s="304"/>
      <c r="E22" s="292"/>
    </row>
    <row r="23" spans="1:5" ht="20.100000000000001" customHeight="1" x14ac:dyDescent="0.4">
      <c r="A23" s="283">
        <f t="shared" si="0"/>
        <v>2.3437500000000003E-2</v>
      </c>
      <c r="B23" s="284">
        <v>5.2083333333333333E-4</v>
      </c>
      <c r="C23" s="284">
        <f>Allure98</f>
        <v>3.6226851851851854E-3</v>
      </c>
      <c r="D23" s="286">
        <f>Vitesse98</f>
        <v>11.465999999999999</v>
      </c>
      <c r="E23" s="287">
        <f>((B23-INT(B23))*24)*D23</f>
        <v>0.14332500000000001</v>
      </c>
    </row>
    <row r="24" spans="1:5" ht="20.100000000000001" customHeight="1" x14ac:dyDescent="0.4">
      <c r="A24" s="289">
        <f t="shared" si="0"/>
        <v>2.3958333333333338E-2</v>
      </c>
      <c r="B24" s="302">
        <v>3.4722222222222224E-4</v>
      </c>
      <c r="C24" s="303"/>
      <c r="D24" s="304"/>
      <c r="E24" s="292"/>
    </row>
    <row r="25" spans="1:5" ht="20.100000000000001" customHeight="1" x14ac:dyDescent="0.4">
      <c r="A25" s="283">
        <f t="shared" si="0"/>
        <v>2.4305555555555559E-2</v>
      </c>
      <c r="B25" s="284">
        <v>5.2083333333333333E-4</v>
      </c>
      <c r="C25" s="284">
        <f>Allure98</f>
        <v>3.6226851851851854E-3</v>
      </c>
      <c r="D25" s="286">
        <f>Vitesse98</f>
        <v>11.465999999999999</v>
      </c>
      <c r="E25" s="287">
        <f>((B25-INT(B25))*24)*D25</f>
        <v>0.14332500000000001</v>
      </c>
    </row>
    <row r="26" spans="1:5" ht="20.100000000000001" customHeight="1" x14ac:dyDescent="0.4">
      <c r="A26" s="289">
        <f t="shared" si="0"/>
        <v>2.4826388888888894E-2</v>
      </c>
      <c r="B26" s="302">
        <v>3.4722222222222224E-4</v>
      </c>
      <c r="C26" s="303"/>
      <c r="D26" s="304"/>
      <c r="E26" s="292"/>
    </row>
    <row r="27" spans="1:5" ht="20.100000000000001" customHeight="1" x14ac:dyDescent="0.4">
      <c r="A27" s="283">
        <f t="shared" si="0"/>
        <v>2.5173611111111115E-2</v>
      </c>
      <c r="B27" s="284">
        <v>5.2083333333333333E-4</v>
      </c>
      <c r="C27" s="284">
        <f>Allure98</f>
        <v>3.6226851851851854E-3</v>
      </c>
      <c r="D27" s="286">
        <f>Vitesse98</f>
        <v>11.465999999999999</v>
      </c>
      <c r="E27" s="287">
        <f>((B27-INT(B27))*24)*D27</f>
        <v>0.14332500000000001</v>
      </c>
    </row>
    <row r="28" spans="1:5" ht="20.100000000000001" customHeight="1" x14ac:dyDescent="0.4">
      <c r="A28" s="289">
        <f t="shared" si="0"/>
        <v>2.569444444444445E-2</v>
      </c>
      <c r="B28" s="302">
        <v>3.4722222222222224E-4</v>
      </c>
      <c r="C28" s="303"/>
      <c r="D28" s="304"/>
      <c r="E28" s="292"/>
    </row>
    <row r="29" spans="1:5" ht="20.100000000000001" customHeight="1" x14ac:dyDescent="0.4">
      <c r="A29" s="283">
        <f t="shared" si="0"/>
        <v>2.6041666666666671E-2</v>
      </c>
      <c r="B29" s="284">
        <v>5.2083333333333333E-4</v>
      </c>
      <c r="C29" s="284">
        <f>Allure98</f>
        <v>3.6226851851851854E-3</v>
      </c>
      <c r="D29" s="286">
        <f>Vitesse98</f>
        <v>11.465999999999999</v>
      </c>
      <c r="E29" s="287">
        <f>((B29-INT(B29))*24)*D29</f>
        <v>0.14332500000000001</v>
      </c>
    </row>
    <row r="30" spans="1:5" ht="20.100000000000001" customHeight="1" x14ac:dyDescent="0.4">
      <c r="A30" s="289">
        <f t="shared" si="0"/>
        <v>2.6562500000000006E-2</v>
      </c>
      <c r="B30" s="302">
        <v>3.4722222222222224E-4</v>
      </c>
      <c r="C30" s="303"/>
      <c r="D30" s="304"/>
      <c r="E30" s="292"/>
    </row>
    <row r="31" spans="1:5" ht="20.100000000000001" customHeight="1" x14ac:dyDescent="0.4">
      <c r="A31" s="283">
        <f t="shared" si="0"/>
        <v>2.6909722222222227E-2</v>
      </c>
      <c r="B31" s="284">
        <v>5.2083333333333333E-4</v>
      </c>
      <c r="C31" s="284">
        <f>Allure98</f>
        <v>3.6226851851851854E-3</v>
      </c>
      <c r="D31" s="286">
        <f>Vitesse98</f>
        <v>11.465999999999999</v>
      </c>
      <c r="E31" s="287">
        <f>((B31-INT(B31))*24)*D31</f>
        <v>0.14332500000000001</v>
      </c>
    </row>
    <row r="32" spans="1:5" ht="20.100000000000001" customHeight="1" thickBot="1" x14ac:dyDescent="0.45">
      <c r="A32" s="305">
        <f t="shared" si="0"/>
        <v>2.7430555555555562E-2</v>
      </c>
      <c r="B32" s="306">
        <v>3.4722222222222224E-4</v>
      </c>
      <c r="C32" s="307"/>
      <c r="D32" s="308"/>
      <c r="E32" s="309"/>
    </row>
    <row r="33" spans="1:5" ht="20.100000000000001" customHeight="1" thickBot="1" x14ac:dyDescent="0.45">
      <c r="A33" s="705" t="s">
        <v>13</v>
      </c>
      <c r="B33" s="706"/>
      <c r="C33" s="706"/>
      <c r="D33" s="706"/>
      <c r="E33" s="707"/>
    </row>
    <row r="34" spans="1:5" ht="20.100000000000001" customHeight="1" thickBot="1" x14ac:dyDescent="0.45">
      <c r="A34" s="248">
        <f>A32+B32</f>
        <v>2.7777777777777783E-2</v>
      </c>
      <c r="B34" s="240">
        <v>3.472222222222222E-3</v>
      </c>
      <c r="C34" s="240">
        <f>Allure72</f>
        <v>4.9421296296296288E-3</v>
      </c>
      <c r="D34" s="253">
        <f>Vitesse72</f>
        <v>8.4239999999999995</v>
      </c>
      <c r="E34" s="243">
        <f>((B34-INT(B34))*24)*D34</f>
        <v>0.70199999999999996</v>
      </c>
    </row>
    <row r="35" spans="1:5" ht="19.5" customHeight="1" thickBot="1" x14ac:dyDescent="0.45">
      <c r="A35" s="337">
        <f>A34+B34</f>
        <v>3.1250000000000007E-2</v>
      </c>
      <c r="E35" s="256">
        <f>SUM(E4+E5+E6+E8+E10+E12+E14+E16+E18+E20+E21+E23+E25+E27+E29+E31+E34)</f>
        <v>6.0781499999999982</v>
      </c>
    </row>
  </sheetData>
  <mergeCells count="5">
    <mergeCell ref="A1:E1"/>
    <mergeCell ref="A2:E2"/>
    <mergeCell ref="A3:E3"/>
    <mergeCell ref="A33:E33"/>
    <mergeCell ref="A7:E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3C65AF"/>
    <pageSetUpPr fitToPage="1"/>
  </sheetPr>
  <dimension ref="A1:E18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run'!B15</f>
        <v>Travail Allure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run'!C15</f>
        <v>Sem 4 - jour 1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 t="shared" ref="E5:E17" si="0">((B5-INT(B5))*24)*D5</f>
        <v>1.4234999999999998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 t="shared" si="0"/>
        <v>0.73124999999999984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3.472222222222222E-3</v>
      </c>
      <c r="C8" s="280">
        <f>Allure87</f>
        <v>4.0856481481481481E-3</v>
      </c>
      <c r="D8" s="281">
        <f>Vitesse87</f>
        <v>10.178999999999998</v>
      </c>
      <c r="E8" s="282">
        <f t="shared" si="0"/>
        <v>0.84824999999999984</v>
      </c>
    </row>
    <row r="9" spans="1:5" ht="20.100000000000001" customHeight="1" x14ac:dyDescent="0.4">
      <c r="A9" s="283">
        <f>A8+B8</f>
        <v>1.7361111111111112E-2</v>
      </c>
      <c r="B9" s="284">
        <v>1.0416666666666667E-3</v>
      </c>
      <c r="C9" s="285"/>
      <c r="D9" s="286"/>
      <c r="E9" s="287"/>
    </row>
    <row r="10" spans="1:5" ht="20.100000000000001" customHeight="1" x14ac:dyDescent="0.4">
      <c r="A10" s="340">
        <f t="shared" ref="A10:A15" si="1">A9+B9</f>
        <v>1.8402777777777778E-2</v>
      </c>
      <c r="B10" s="290">
        <v>3.472222222222222E-3</v>
      </c>
      <c r="C10" s="290">
        <f>Allure87</f>
        <v>4.0856481481481481E-3</v>
      </c>
      <c r="D10" s="291">
        <f>Vitesse87</f>
        <v>10.178999999999998</v>
      </c>
      <c r="E10" s="292">
        <f t="shared" si="0"/>
        <v>0.84824999999999984</v>
      </c>
    </row>
    <row r="11" spans="1:5" ht="20.100000000000001" customHeight="1" x14ac:dyDescent="0.4">
      <c r="A11" s="283">
        <f t="shared" si="1"/>
        <v>2.1874999999999999E-2</v>
      </c>
      <c r="B11" s="284">
        <v>1.0416666666666667E-3</v>
      </c>
      <c r="C11" s="285"/>
      <c r="D11" s="286"/>
      <c r="E11" s="287"/>
    </row>
    <row r="12" spans="1:5" ht="20.100000000000001" customHeight="1" x14ac:dyDescent="0.4">
      <c r="A12" s="340">
        <f t="shared" si="1"/>
        <v>2.2916666666666665E-2</v>
      </c>
      <c r="B12" s="290">
        <v>3.472222222222222E-3</v>
      </c>
      <c r="C12" s="290">
        <f>Allure87</f>
        <v>4.0856481481481481E-3</v>
      </c>
      <c r="D12" s="291">
        <f>Vitesse87</f>
        <v>10.178999999999998</v>
      </c>
      <c r="E12" s="292">
        <f t="shared" si="0"/>
        <v>0.84824999999999984</v>
      </c>
    </row>
    <row r="13" spans="1:5" ht="20.100000000000001" customHeight="1" x14ac:dyDescent="0.4">
      <c r="A13" s="283">
        <f t="shared" si="1"/>
        <v>2.6388888888888885E-2</v>
      </c>
      <c r="B13" s="284">
        <v>1.0416666666666667E-3</v>
      </c>
      <c r="C13" s="285"/>
      <c r="D13" s="286"/>
      <c r="E13" s="287"/>
    </row>
    <row r="14" spans="1:5" ht="20.100000000000001" customHeight="1" x14ac:dyDescent="0.4">
      <c r="A14" s="340">
        <f t="shared" si="1"/>
        <v>2.7430555555555552E-2</v>
      </c>
      <c r="B14" s="290">
        <v>3.472222222222222E-3</v>
      </c>
      <c r="C14" s="290">
        <f>Allure87</f>
        <v>4.0856481481481481E-3</v>
      </c>
      <c r="D14" s="291">
        <f>Vitesse87</f>
        <v>10.178999999999998</v>
      </c>
      <c r="E14" s="292">
        <f t="shared" si="0"/>
        <v>0.84824999999999984</v>
      </c>
    </row>
    <row r="15" spans="1:5" ht="20.100000000000001" customHeight="1" thickBot="1" x14ac:dyDescent="0.45">
      <c r="A15" s="293">
        <f t="shared" si="1"/>
        <v>3.0902777777777772E-2</v>
      </c>
      <c r="B15" s="294">
        <v>1.0416666666666667E-3</v>
      </c>
      <c r="C15" s="295"/>
      <c r="D15" s="296"/>
      <c r="E15" s="297"/>
    </row>
    <row r="16" spans="1:5" ht="20.100000000000001" customHeight="1" thickBot="1" x14ac:dyDescent="0.45">
      <c r="A16" s="705" t="s">
        <v>13</v>
      </c>
      <c r="B16" s="706"/>
      <c r="C16" s="706"/>
      <c r="D16" s="706"/>
      <c r="E16" s="707"/>
    </row>
    <row r="17" spans="1:5" ht="20.100000000000001" customHeight="1" thickBot="1" x14ac:dyDescent="0.45">
      <c r="A17" s="248">
        <f>A15+B15</f>
        <v>3.1944444444444442E-2</v>
      </c>
      <c r="B17" s="240">
        <v>3.472222222222222E-3</v>
      </c>
      <c r="C17" s="240">
        <f>Allure72</f>
        <v>4.9421296296296288E-3</v>
      </c>
      <c r="D17" s="253">
        <f>Vitesse72</f>
        <v>8.4239999999999995</v>
      </c>
      <c r="E17" s="243">
        <f t="shared" si="0"/>
        <v>0.70199999999999996</v>
      </c>
    </row>
    <row r="18" spans="1:5" ht="19.5" customHeight="1" thickBot="1" x14ac:dyDescent="0.45">
      <c r="A18" s="337">
        <f>A17+B17</f>
        <v>3.5416666666666666E-2</v>
      </c>
      <c r="E18" s="256">
        <f>SUM(E4+E5+E6+E8+E10+E12+E14+E17)</f>
        <v>6.9517499999999997</v>
      </c>
    </row>
  </sheetData>
  <mergeCells count="5">
    <mergeCell ref="A16:E16"/>
    <mergeCell ref="A7:E7"/>
    <mergeCell ref="A3:E3"/>
    <mergeCell ref="A2:E2"/>
    <mergeCell ref="A1:E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3C65AF"/>
    <pageSetUpPr fitToPage="1"/>
  </sheetPr>
  <dimension ref="A1:E39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324" customWidth="1"/>
    <col min="6" max="16384" width="11.42578125" style="238"/>
  </cols>
  <sheetData>
    <row r="1" spans="1:5" ht="30" customHeight="1" thickBot="1" x14ac:dyDescent="0.45">
      <c r="A1" s="693" t="str">
        <f>'Programme entrainement run'!B16</f>
        <v>Travail VMA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run'!C16</f>
        <v>Sem 4 - jour 3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 t="shared" ref="E5:E37" si="0">((B5-INT(B5))*24)*D5</f>
        <v>1.4234999999999998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 t="shared" si="0"/>
        <v>0.73124999999999984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4.6296296296296293E-4</v>
      </c>
      <c r="C8" s="280">
        <f>Allure103</f>
        <v>3.4490740740740745E-3</v>
      </c>
      <c r="D8" s="281">
        <f>Vitesse103</f>
        <v>12.051</v>
      </c>
      <c r="E8" s="282">
        <f t="shared" si="0"/>
        <v>0.13389999999999999</v>
      </c>
    </row>
    <row r="9" spans="1:5" ht="20.100000000000001" customHeight="1" x14ac:dyDescent="0.4">
      <c r="A9" s="283">
        <f>A8+B8</f>
        <v>1.4351851851851852E-2</v>
      </c>
      <c r="B9" s="284">
        <v>4.6296296296296293E-4</v>
      </c>
      <c r="C9" s="285"/>
      <c r="D9" s="286"/>
      <c r="E9" s="287"/>
    </row>
    <row r="10" spans="1:5" ht="20.100000000000001" customHeight="1" x14ac:dyDescent="0.4">
      <c r="A10" s="289">
        <f t="shared" ref="A10:A35" si="1">A9+B9</f>
        <v>1.4814814814814815E-2</v>
      </c>
      <c r="B10" s="290">
        <v>4.6296296296296293E-4</v>
      </c>
      <c r="C10" s="290">
        <f>Allure103</f>
        <v>3.4490740740740745E-3</v>
      </c>
      <c r="D10" s="291">
        <f>Vitesse103</f>
        <v>12.051</v>
      </c>
      <c r="E10" s="292">
        <f t="shared" si="0"/>
        <v>0.13389999999999999</v>
      </c>
    </row>
    <row r="11" spans="1:5" ht="20.100000000000001" customHeight="1" x14ac:dyDescent="0.4">
      <c r="A11" s="283">
        <f t="shared" si="1"/>
        <v>1.5277777777777779E-2</v>
      </c>
      <c r="B11" s="284">
        <v>4.6296296296296293E-4</v>
      </c>
      <c r="C11" s="285"/>
      <c r="D11" s="286"/>
      <c r="E11" s="287"/>
    </row>
    <row r="12" spans="1:5" ht="20.100000000000001" customHeight="1" x14ac:dyDescent="0.4">
      <c r="A12" s="289">
        <f t="shared" si="1"/>
        <v>1.5740740740740743E-2</v>
      </c>
      <c r="B12" s="290">
        <v>4.6296296296296293E-4</v>
      </c>
      <c r="C12" s="290">
        <f>Allure103</f>
        <v>3.4490740740740745E-3</v>
      </c>
      <c r="D12" s="291">
        <f>Vitesse103</f>
        <v>12.051</v>
      </c>
      <c r="E12" s="292">
        <f t="shared" si="0"/>
        <v>0.13389999999999999</v>
      </c>
    </row>
    <row r="13" spans="1:5" ht="20.100000000000001" customHeight="1" x14ac:dyDescent="0.4">
      <c r="A13" s="283">
        <f t="shared" si="1"/>
        <v>1.6203703703703706E-2</v>
      </c>
      <c r="B13" s="284">
        <v>4.6296296296296293E-4</v>
      </c>
      <c r="C13" s="285"/>
      <c r="D13" s="286"/>
      <c r="E13" s="287"/>
    </row>
    <row r="14" spans="1:5" ht="20.100000000000001" customHeight="1" x14ac:dyDescent="0.4">
      <c r="A14" s="289">
        <f t="shared" si="1"/>
        <v>1.666666666666667E-2</v>
      </c>
      <c r="B14" s="290">
        <v>4.6296296296296293E-4</v>
      </c>
      <c r="C14" s="290">
        <f>Allure103</f>
        <v>3.4490740740740745E-3</v>
      </c>
      <c r="D14" s="291">
        <f>Vitesse103</f>
        <v>12.051</v>
      </c>
      <c r="E14" s="292">
        <f t="shared" si="0"/>
        <v>0.13389999999999999</v>
      </c>
    </row>
    <row r="15" spans="1:5" ht="20.100000000000001" customHeight="1" thickBot="1" x14ac:dyDescent="0.45">
      <c r="A15" s="293">
        <f t="shared" si="1"/>
        <v>1.7129629629629634E-2</v>
      </c>
      <c r="B15" s="294">
        <v>4.6296296296296293E-4</v>
      </c>
      <c r="C15" s="295"/>
      <c r="D15" s="296"/>
      <c r="E15" s="297"/>
    </row>
    <row r="16" spans="1:5" ht="20.100000000000001" customHeight="1" x14ac:dyDescent="0.4">
      <c r="A16" s="326">
        <f t="shared" si="1"/>
        <v>1.7592592592592597E-2</v>
      </c>
      <c r="B16" s="327">
        <v>6.9444444444444447E-4</v>
      </c>
      <c r="C16" s="327">
        <f>Allure100</f>
        <v>3.5532407407407405E-3</v>
      </c>
      <c r="D16" s="328">
        <f>Vitesse100</f>
        <v>11.7</v>
      </c>
      <c r="E16" s="329">
        <f t="shared" si="0"/>
        <v>0.19499999999999998</v>
      </c>
    </row>
    <row r="17" spans="1:5" ht="20.100000000000001" customHeight="1" x14ac:dyDescent="0.4">
      <c r="A17" s="283">
        <f t="shared" si="1"/>
        <v>1.8287037037037043E-2</v>
      </c>
      <c r="B17" s="284">
        <v>6.9444444444444447E-4</v>
      </c>
      <c r="C17" s="285"/>
      <c r="D17" s="286"/>
      <c r="E17" s="287"/>
    </row>
    <row r="18" spans="1:5" ht="20.100000000000001" customHeight="1" x14ac:dyDescent="0.4">
      <c r="A18" s="289">
        <f t="shared" si="1"/>
        <v>1.8981481481481488E-2</v>
      </c>
      <c r="B18" s="290">
        <v>6.9444444444444447E-4</v>
      </c>
      <c r="C18" s="290">
        <f>Allure100</f>
        <v>3.5532407407407405E-3</v>
      </c>
      <c r="D18" s="291">
        <f>Vitesse100</f>
        <v>11.7</v>
      </c>
      <c r="E18" s="292">
        <f t="shared" si="0"/>
        <v>0.19499999999999998</v>
      </c>
    </row>
    <row r="19" spans="1:5" ht="20.100000000000001" customHeight="1" x14ac:dyDescent="0.4">
      <c r="A19" s="283">
        <f t="shared" si="1"/>
        <v>1.9675925925925934E-2</v>
      </c>
      <c r="B19" s="284">
        <v>6.9444444444444447E-4</v>
      </c>
      <c r="C19" s="285"/>
      <c r="D19" s="286"/>
      <c r="E19" s="287"/>
    </row>
    <row r="20" spans="1:5" ht="20.100000000000001" customHeight="1" x14ac:dyDescent="0.4">
      <c r="A20" s="289">
        <f t="shared" si="1"/>
        <v>2.0370370370370379E-2</v>
      </c>
      <c r="B20" s="290">
        <v>6.9444444444444447E-4</v>
      </c>
      <c r="C20" s="290">
        <f>Allure100</f>
        <v>3.5532407407407405E-3</v>
      </c>
      <c r="D20" s="291">
        <f>Vitesse100</f>
        <v>11.7</v>
      </c>
      <c r="E20" s="292">
        <f t="shared" si="0"/>
        <v>0.19499999999999998</v>
      </c>
    </row>
    <row r="21" spans="1:5" ht="20.100000000000001" customHeight="1" x14ac:dyDescent="0.4">
      <c r="A21" s="283">
        <f t="shared" si="1"/>
        <v>2.1064814814814824E-2</v>
      </c>
      <c r="B21" s="284">
        <v>6.9444444444444447E-4</v>
      </c>
      <c r="C21" s="285"/>
      <c r="D21" s="286"/>
      <c r="E21" s="287"/>
    </row>
    <row r="22" spans="1:5" ht="20.100000000000001" customHeight="1" x14ac:dyDescent="0.4">
      <c r="A22" s="289">
        <f t="shared" si="1"/>
        <v>2.175925925925927E-2</v>
      </c>
      <c r="B22" s="290">
        <v>6.9444444444444447E-4</v>
      </c>
      <c r="C22" s="290">
        <f>Allure100</f>
        <v>3.5532407407407405E-3</v>
      </c>
      <c r="D22" s="304">
        <f>Vitesse100</f>
        <v>11.7</v>
      </c>
      <c r="E22" s="292">
        <f t="shared" si="0"/>
        <v>0.19499999999999998</v>
      </c>
    </row>
    <row r="23" spans="1:5" ht="20.100000000000001" customHeight="1" x14ac:dyDescent="0.4">
      <c r="A23" s="283">
        <f t="shared" si="1"/>
        <v>2.2453703703703715E-2</v>
      </c>
      <c r="B23" s="284">
        <v>6.9444444444444447E-4</v>
      </c>
      <c r="C23" s="285"/>
      <c r="D23" s="286"/>
      <c r="E23" s="287"/>
    </row>
    <row r="24" spans="1:5" ht="20.100000000000001" customHeight="1" x14ac:dyDescent="0.4">
      <c r="A24" s="289">
        <f t="shared" si="1"/>
        <v>2.3148148148148161E-2</v>
      </c>
      <c r="B24" s="290">
        <v>6.9444444444444447E-4</v>
      </c>
      <c r="C24" s="302">
        <f>Allure100</f>
        <v>3.5532407407407405E-3</v>
      </c>
      <c r="D24" s="304">
        <f>Vitesse100</f>
        <v>11.7</v>
      </c>
      <c r="E24" s="292">
        <f t="shared" si="0"/>
        <v>0.19499999999999998</v>
      </c>
    </row>
    <row r="25" spans="1:5" ht="20.100000000000001" customHeight="1" x14ac:dyDescent="0.4">
      <c r="A25" s="283">
        <f t="shared" si="1"/>
        <v>2.3842592592592606E-2</v>
      </c>
      <c r="B25" s="284">
        <v>6.9444444444444447E-4</v>
      </c>
      <c r="C25" s="285"/>
      <c r="D25" s="286"/>
      <c r="E25" s="287"/>
    </row>
    <row r="26" spans="1:5" ht="20.100000000000001" customHeight="1" x14ac:dyDescent="0.4">
      <c r="A26" s="289">
        <f t="shared" si="1"/>
        <v>2.4537037037037052E-2</v>
      </c>
      <c r="B26" s="290">
        <v>6.9444444444444447E-4</v>
      </c>
      <c r="C26" s="302">
        <f>Allure100</f>
        <v>3.5532407407407405E-3</v>
      </c>
      <c r="D26" s="304">
        <f>Vitesse100</f>
        <v>11.7</v>
      </c>
      <c r="E26" s="292">
        <f t="shared" si="0"/>
        <v>0.19499999999999998</v>
      </c>
    </row>
    <row r="27" spans="1:5" ht="20.100000000000001" customHeight="1" thickBot="1" x14ac:dyDescent="0.45">
      <c r="A27" s="293">
        <f t="shared" si="1"/>
        <v>2.5231481481481497E-2</v>
      </c>
      <c r="B27" s="294">
        <v>6.9444444444444447E-4</v>
      </c>
      <c r="C27" s="295"/>
      <c r="D27" s="296"/>
      <c r="E27" s="297"/>
    </row>
    <row r="28" spans="1:5" ht="20.100000000000001" customHeight="1" x14ac:dyDescent="0.4">
      <c r="A28" s="326">
        <f t="shared" si="1"/>
        <v>2.5925925925925943E-2</v>
      </c>
      <c r="B28" s="327">
        <v>4.6296296296296293E-4</v>
      </c>
      <c r="C28" s="327">
        <f>Allure103</f>
        <v>3.4490740740740745E-3</v>
      </c>
      <c r="D28" s="328">
        <f>Vitesse103</f>
        <v>12.051</v>
      </c>
      <c r="E28" s="329">
        <f t="shared" si="0"/>
        <v>0.13389999999999999</v>
      </c>
    </row>
    <row r="29" spans="1:5" ht="20.100000000000001" customHeight="1" x14ac:dyDescent="0.4">
      <c r="A29" s="283">
        <f t="shared" si="1"/>
        <v>2.6388888888888906E-2</v>
      </c>
      <c r="B29" s="284">
        <v>4.6296296296296293E-4</v>
      </c>
      <c r="C29" s="285"/>
      <c r="D29" s="286"/>
      <c r="E29" s="287"/>
    </row>
    <row r="30" spans="1:5" ht="20.100000000000001" customHeight="1" x14ac:dyDescent="0.4">
      <c r="A30" s="289">
        <f t="shared" si="1"/>
        <v>2.685185185185187E-2</v>
      </c>
      <c r="B30" s="290">
        <v>4.6296296296296293E-4</v>
      </c>
      <c r="C30" s="290">
        <f>Allure103</f>
        <v>3.4490740740740745E-3</v>
      </c>
      <c r="D30" s="291">
        <f>Vitesse103</f>
        <v>12.051</v>
      </c>
      <c r="E30" s="292">
        <f t="shared" si="0"/>
        <v>0.13389999999999999</v>
      </c>
    </row>
    <row r="31" spans="1:5" ht="20.100000000000001" customHeight="1" x14ac:dyDescent="0.4">
      <c r="A31" s="283">
        <f t="shared" si="1"/>
        <v>2.7314814814814833E-2</v>
      </c>
      <c r="B31" s="284">
        <v>4.6296296296296293E-4</v>
      </c>
      <c r="C31" s="285"/>
      <c r="D31" s="286"/>
      <c r="E31" s="287"/>
    </row>
    <row r="32" spans="1:5" ht="20.100000000000001" customHeight="1" x14ac:dyDescent="0.4">
      <c r="A32" s="289">
        <f t="shared" si="1"/>
        <v>2.7777777777777797E-2</v>
      </c>
      <c r="B32" s="290">
        <v>4.6296296296296293E-4</v>
      </c>
      <c r="C32" s="290">
        <f>Allure103</f>
        <v>3.4490740740740745E-3</v>
      </c>
      <c r="D32" s="291">
        <f>Vitesse103</f>
        <v>12.051</v>
      </c>
      <c r="E32" s="292">
        <f t="shared" si="0"/>
        <v>0.13389999999999999</v>
      </c>
    </row>
    <row r="33" spans="1:5" ht="20.100000000000001" customHeight="1" x14ac:dyDescent="0.4">
      <c r="A33" s="283">
        <f t="shared" si="1"/>
        <v>2.8240740740740761E-2</v>
      </c>
      <c r="B33" s="284">
        <v>4.6296296296296293E-4</v>
      </c>
      <c r="C33" s="285"/>
      <c r="D33" s="286"/>
      <c r="E33" s="287"/>
    </row>
    <row r="34" spans="1:5" ht="20.100000000000001" customHeight="1" x14ac:dyDescent="0.4">
      <c r="A34" s="289">
        <f t="shared" si="1"/>
        <v>2.8703703703703724E-2</v>
      </c>
      <c r="B34" s="290">
        <v>4.6296296296296293E-4</v>
      </c>
      <c r="C34" s="290">
        <f>Allure103</f>
        <v>3.4490740740740745E-3</v>
      </c>
      <c r="D34" s="291">
        <f>Vitesse103</f>
        <v>12.051</v>
      </c>
      <c r="E34" s="292">
        <f t="shared" si="0"/>
        <v>0.13389999999999999</v>
      </c>
    </row>
    <row r="35" spans="1:5" ht="20.100000000000001" customHeight="1" thickBot="1" x14ac:dyDescent="0.45">
      <c r="A35" s="293">
        <f t="shared" si="1"/>
        <v>2.9166666666666688E-2</v>
      </c>
      <c r="B35" s="294">
        <v>4.6296296296296293E-4</v>
      </c>
      <c r="C35" s="295"/>
      <c r="D35" s="296"/>
      <c r="E35" s="297"/>
    </row>
    <row r="36" spans="1:5" ht="20.100000000000001" customHeight="1" thickBot="1" x14ac:dyDescent="0.45">
      <c r="A36" s="709" t="s">
        <v>13</v>
      </c>
      <c r="B36" s="709"/>
      <c r="C36" s="709"/>
      <c r="D36" s="709"/>
      <c r="E36" s="710"/>
    </row>
    <row r="37" spans="1:5" ht="20.100000000000001" customHeight="1" thickBot="1" x14ac:dyDescent="0.45">
      <c r="A37" s="248">
        <f>A35+B35</f>
        <v>2.9629629629629652E-2</v>
      </c>
      <c r="B37" s="240">
        <v>3.472222222222222E-3</v>
      </c>
      <c r="C37" s="240">
        <f>Allure72</f>
        <v>4.9421296296296288E-3</v>
      </c>
      <c r="D37" s="253">
        <f>Vitesse72</f>
        <v>8.4239999999999995</v>
      </c>
      <c r="E37" s="243">
        <f t="shared" si="0"/>
        <v>0.70199999999999996</v>
      </c>
    </row>
    <row r="38" spans="1:5" ht="19.5" customHeight="1" thickBot="1" x14ac:dyDescent="0.45">
      <c r="A38" s="337">
        <f>A37+B37</f>
        <v>3.3101851851851875E-2</v>
      </c>
      <c r="E38" s="256">
        <f>SUM(E4+E5+E6+E8+E10+E12+E14+E16+E18+E20+E22+E24+E26+E28+E30+E32+E34+E37)</f>
        <v>5.7999499999999991</v>
      </c>
    </row>
    <row r="39" spans="1:5" ht="19.5" customHeight="1" x14ac:dyDescent="0.4"/>
  </sheetData>
  <mergeCells count="5">
    <mergeCell ref="A7:E7"/>
    <mergeCell ref="A3:E3"/>
    <mergeCell ref="A2:E2"/>
    <mergeCell ref="A1:E1"/>
    <mergeCell ref="A36:E3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3C65AF"/>
    <pageSetUpPr fitToPage="1"/>
  </sheetPr>
  <dimension ref="A1:K13"/>
  <sheetViews>
    <sheetView showGridLines="0" workbookViewId="0">
      <selection activeCell="E13" sqref="E13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11" ht="30" customHeight="1" thickBot="1" x14ac:dyDescent="0.45">
      <c r="A1" s="693" t="str">
        <f>'Programme entrainement run'!B17</f>
        <v>Footing Progressif</v>
      </c>
      <c r="B1" s="694"/>
      <c r="C1" s="694"/>
      <c r="D1" s="694"/>
      <c r="E1" s="695"/>
    </row>
    <row r="2" spans="1:11" ht="20.100000000000001" customHeight="1" thickBot="1" x14ac:dyDescent="0.45">
      <c r="A2" s="696" t="str">
        <f>'Programme entrainement run'!C17</f>
        <v>Sem 4 - jour 5</v>
      </c>
      <c r="B2" s="697"/>
      <c r="C2" s="697"/>
      <c r="D2" s="697"/>
      <c r="E2" s="698"/>
    </row>
    <row r="3" spans="1:11" ht="20.100000000000001" customHeight="1" thickBot="1" x14ac:dyDescent="0.45">
      <c r="A3" s="702" t="s">
        <v>11</v>
      </c>
      <c r="B3" s="703"/>
      <c r="C3" s="703"/>
      <c r="D3" s="703"/>
      <c r="E3" s="704"/>
    </row>
    <row r="4" spans="1:11" ht="20.100000000000001" customHeight="1" thickBot="1" x14ac:dyDescent="0.45">
      <c r="A4" s="276" t="s">
        <v>94</v>
      </c>
      <c r="B4" s="241">
        <v>3.472222222222222E-3</v>
      </c>
      <c r="C4" s="241">
        <f>Allure72</f>
        <v>4.9421296296296288E-3</v>
      </c>
      <c r="D4" s="242">
        <f>Vitesse72</f>
        <v>8.4239999999999995</v>
      </c>
      <c r="E4" s="277">
        <f>((B4-INT(B4))*24)*D4</f>
        <v>0.70199999999999996</v>
      </c>
    </row>
    <row r="5" spans="1:11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Allure73</f>
        <v>4.8726851851851856E-3</v>
      </c>
      <c r="D5" s="246">
        <f>Vitesse73</f>
        <v>8.5409999999999986</v>
      </c>
      <c r="E5" s="247">
        <f t="shared" ref="E5:E12" si="0">((B5-INT(B5))*24)*D5</f>
        <v>1.4234999999999998</v>
      </c>
    </row>
    <row r="6" spans="1:11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Allure75</f>
        <v>4.7453703703703703E-3</v>
      </c>
      <c r="D6" s="250">
        <f>Vitesse75</f>
        <v>8.7749999999999986</v>
      </c>
      <c r="E6" s="278">
        <f t="shared" si="0"/>
        <v>0.73124999999999984</v>
      </c>
    </row>
    <row r="7" spans="1:11" ht="20.100000000000001" customHeight="1" thickBot="1" x14ac:dyDescent="0.45">
      <c r="A7" s="705" t="s">
        <v>12</v>
      </c>
      <c r="B7" s="706"/>
      <c r="C7" s="706"/>
      <c r="D7" s="706"/>
      <c r="E7" s="707"/>
    </row>
    <row r="8" spans="1:11" ht="20.100000000000001" customHeight="1" thickBot="1" x14ac:dyDescent="0.45">
      <c r="A8" s="260">
        <f>A6+B6</f>
        <v>1.3888888888888888E-2</v>
      </c>
      <c r="B8" s="241">
        <v>1.1111111111111112E-2</v>
      </c>
      <c r="C8" s="241">
        <f>Allure82</f>
        <v>4.340277777777778E-3</v>
      </c>
      <c r="D8" s="242">
        <f>Vitesse82</f>
        <v>9.5939999999999994</v>
      </c>
      <c r="E8" s="277">
        <f t="shared" si="0"/>
        <v>2.5583999999999998</v>
      </c>
    </row>
    <row r="9" spans="1:11" ht="20.100000000000001" customHeight="1" thickBot="1" x14ac:dyDescent="0.45">
      <c r="A9" s="244">
        <f>A8+B8</f>
        <v>2.5000000000000001E-2</v>
      </c>
      <c r="B9" s="245">
        <v>5.5555555555555558E-3</v>
      </c>
      <c r="C9" s="245">
        <f>Allure83</f>
        <v>4.2824074074074075E-3</v>
      </c>
      <c r="D9" s="246">
        <f>Vitesse83</f>
        <v>9.7109999999999985</v>
      </c>
      <c r="E9" s="247">
        <f t="shared" si="0"/>
        <v>1.2947999999999997</v>
      </c>
    </row>
    <row r="10" spans="1:11" ht="20.100000000000001" customHeight="1" thickBot="1" x14ac:dyDescent="0.45">
      <c r="A10" s="266">
        <f>A9+B9</f>
        <v>3.0555555555555558E-2</v>
      </c>
      <c r="B10" s="249">
        <v>2.7777777777777779E-3</v>
      </c>
      <c r="C10" s="249">
        <f>Allure86</f>
        <v>4.1319444444444442E-3</v>
      </c>
      <c r="D10" s="250">
        <f>Vitesse86</f>
        <v>10.061999999999999</v>
      </c>
      <c r="E10" s="278">
        <f t="shared" si="0"/>
        <v>0.67079999999999995</v>
      </c>
    </row>
    <row r="11" spans="1:11" ht="20.100000000000001" customHeight="1" thickBot="1" x14ac:dyDescent="0.45">
      <c r="A11" s="705" t="s">
        <v>13</v>
      </c>
      <c r="B11" s="706"/>
      <c r="C11" s="706"/>
      <c r="D11" s="706"/>
      <c r="E11" s="707"/>
    </row>
    <row r="12" spans="1:11" ht="20.100000000000001" customHeight="1" thickBot="1" x14ac:dyDescent="0.45">
      <c r="A12" s="248">
        <f>A10+B10</f>
        <v>3.3333333333333333E-2</v>
      </c>
      <c r="B12" s="240">
        <v>3.472222222222222E-3</v>
      </c>
      <c r="C12" s="240">
        <f>Allure72</f>
        <v>4.9421296296296288E-3</v>
      </c>
      <c r="D12" s="253">
        <f>Vitesse72</f>
        <v>8.4239999999999995</v>
      </c>
      <c r="E12" s="243">
        <f t="shared" si="0"/>
        <v>0.70199999999999996</v>
      </c>
    </row>
    <row r="13" spans="1:11" ht="23.25" thickBot="1" x14ac:dyDescent="0.45">
      <c r="A13" s="271">
        <f>A12+B12</f>
        <v>3.6805555555555557E-2</v>
      </c>
      <c r="B13" s="341"/>
      <c r="C13" s="342"/>
      <c r="D13" s="343"/>
      <c r="E13" s="256">
        <f>SUM(E4+E5+E6+E8+E9+E10+E12)</f>
        <v>8.0827499999999972</v>
      </c>
      <c r="K13" s="324"/>
    </row>
  </sheetData>
  <mergeCells count="5">
    <mergeCell ref="A1:E1"/>
    <mergeCell ref="A2:E2"/>
    <mergeCell ref="A3:E3"/>
    <mergeCell ref="A7:E7"/>
    <mergeCell ref="A11:E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3C65AF"/>
    <pageSetUpPr fitToPage="1"/>
  </sheetPr>
  <dimension ref="A1:E34"/>
  <sheetViews>
    <sheetView showGridLines="0" topLeftCell="A21" workbookViewId="0">
      <selection activeCell="E34" sqref="E34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324" customWidth="1"/>
    <col min="6" max="16384" width="11.42578125" style="238"/>
  </cols>
  <sheetData>
    <row r="1" spans="1:5" ht="30" customHeight="1" thickBot="1" x14ac:dyDescent="0.45">
      <c r="A1" s="693" t="str">
        <f>'Programme entrainement run'!B18</f>
        <v>Travail VMA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run'!C18</f>
        <v>Sem 5 - jour 1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33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1.3888888888888889E-3</v>
      </c>
      <c r="C8" s="280">
        <f>Allure95</f>
        <v>3.7384259259259263E-3</v>
      </c>
      <c r="D8" s="281">
        <f>Vitesse95</f>
        <v>11.114999999999998</v>
      </c>
      <c r="E8" s="282">
        <f t="shared" si="0"/>
        <v>0.37049999999999994</v>
      </c>
    </row>
    <row r="9" spans="1:5" ht="20.100000000000001" customHeight="1" x14ac:dyDescent="0.4">
      <c r="A9" s="283">
        <f>A8+B8</f>
        <v>1.5277777777777777E-2</v>
      </c>
      <c r="B9" s="284">
        <v>6.9444444444444447E-4</v>
      </c>
      <c r="C9" s="285"/>
      <c r="D9" s="286"/>
      <c r="E9" s="287"/>
    </row>
    <row r="10" spans="1:5" ht="20.100000000000001" customHeight="1" x14ac:dyDescent="0.4">
      <c r="A10" s="289">
        <f t="shared" ref="A10:A31" si="1">A9+B9</f>
        <v>1.5972222222222221E-2</v>
      </c>
      <c r="B10" s="290">
        <v>1.3888888888888889E-3</v>
      </c>
      <c r="C10" s="290">
        <f>Allure95</f>
        <v>3.7384259259259263E-3</v>
      </c>
      <c r="D10" s="291">
        <f>Vitesse95</f>
        <v>11.114999999999998</v>
      </c>
      <c r="E10" s="292">
        <f t="shared" si="0"/>
        <v>0.37049999999999994</v>
      </c>
    </row>
    <row r="11" spans="1:5" ht="20.100000000000001" customHeight="1" x14ac:dyDescent="0.4">
      <c r="A11" s="283">
        <f t="shared" si="1"/>
        <v>1.7361111111111108E-2</v>
      </c>
      <c r="B11" s="284">
        <v>6.9444444444444447E-4</v>
      </c>
      <c r="C11" s="285"/>
      <c r="D11" s="286"/>
      <c r="E11" s="287"/>
    </row>
    <row r="12" spans="1:5" ht="20.100000000000001" customHeight="1" x14ac:dyDescent="0.4">
      <c r="A12" s="289">
        <f t="shared" si="1"/>
        <v>1.8055555555555554E-2</v>
      </c>
      <c r="B12" s="290">
        <v>1.3888888888888889E-3</v>
      </c>
      <c r="C12" s="290">
        <f>Allure95</f>
        <v>3.7384259259259263E-3</v>
      </c>
      <c r="D12" s="291">
        <f>Vitesse95</f>
        <v>11.114999999999998</v>
      </c>
      <c r="E12" s="292">
        <f t="shared" si="0"/>
        <v>0.37049999999999994</v>
      </c>
    </row>
    <row r="13" spans="1:5" ht="20.100000000000001" customHeight="1" thickBot="1" x14ac:dyDescent="0.45">
      <c r="A13" s="293">
        <f t="shared" si="1"/>
        <v>1.9444444444444441E-2</v>
      </c>
      <c r="B13" s="294">
        <v>6.9444444444444447E-4</v>
      </c>
      <c r="C13" s="295"/>
      <c r="D13" s="296"/>
      <c r="E13" s="297"/>
    </row>
    <row r="14" spans="1:5" ht="20.100000000000001" customHeight="1" x14ac:dyDescent="0.4">
      <c r="A14" s="326">
        <f t="shared" si="1"/>
        <v>2.0138888888888887E-2</v>
      </c>
      <c r="B14" s="327">
        <v>6.9444444444444447E-4</v>
      </c>
      <c r="C14" s="327">
        <f>Allure100</f>
        <v>3.5532407407407405E-3</v>
      </c>
      <c r="D14" s="328">
        <f>Vitesse100</f>
        <v>11.7</v>
      </c>
      <c r="E14" s="329">
        <f t="shared" si="0"/>
        <v>0.19499999999999998</v>
      </c>
    </row>
    <row r="15" spans="1:5" ht="20.100000000000001" customHeight="1" x14ac:dyDescent="0.4">
      <c r="A15" s="283">
        <f t="shared" si="1"/>
        <v>2.0833333333333332E-2</v>
      </c>
      <c r="B15" s="284">
        <v>6.9444444444444447E-4</v>
      </c>
      <c r="C15" s="285"/>
      <c r="D15" s="286"/>
      <c r="E15" s="287"/>
    </row>
    <row r="16" spans="1:5" ht="20.100000000000001" customHeight="1" x14ac:dyDescent="0.4">
      <c r="A16" s="289">
        <f t="shared" si="1"/>
        <v>2.1527777777777778E-2</v>
      </c>
      <c r="B16" s="290">
        <v>6.9444444444444447E-4</v>
      </c>
      <c r="C16" s="290">
        <f>Allure100</f>
        <v>3.5532407407407405E-3</v>
      </c>
      <c r="D16" s="291">
        <f>Vitesse100</f>
        <v>11.7</v>
      </c>
      <c r="E16" s="292">
        <f t="shared" si="0"/>
        <v>0.19499999999999998</v>
      </c>
    </row>
    <row r="17" spans="1:5" ht="20.100000000000001" customHeight="1" x14ac:dyDescent="0.4">
      <c r="A17" s="283">
        <f t="shared" si="1"/>
        <v>2.2222222222222223E-2</v>
      </c>
      <c r="B17" s="284">
        <v>6.9444444444444447E-4</v>
      </c>
      <c r="C17" s="285"/>
      <c r="D17" s="286"/>
      <c r="E17" s="287"/>
    </row>
    <row r="18" spans="1:5" ht="20.100000000000001" customHeight="1" x14ac:dyDescent="0.4">
      <c r="A18" s="289">
        <f t="shared" si="1"/>
        <v>2.2916666666666669E-2</v>
      </c>
      <c r="B18" s="290">
        <v>6.9444444444444447E-4</v>
      </c>
      <c r="C18" s="290">
        <f>Allure100</f>
        <v>3.5532407407407405E-3</v>
      </c>
      <c r="D18" s="291">
        <f>Vitesse100</f>
        <v>11.7</v>
      </c>
      <c r="E18" s="292">
        <f t="shared" si="0"/>
        <v>0.19499999999999998</v>
      </c>
    </row>
    <row r="19" spans="1:5" ht="20.100000000000001" customHeight="1" x14ac:dyDescent="0.4">
      <c r="A19" s="283">
        <f t="shared" si="1"/>
        <v>2.3611111111111114E-2</v>
      </c>
      <c r="B19" s="284">
        <v>6.9444444444444447E-4</v>
      </c>
      <c r="C19" s="285"/>
      <c r="D19" s="286"/>
      <c r="E19" s="287"/>
    </row>
    <row r="20" spans="1:5" ht="20.100000000000001" customHeight="1" x14ac:dyDescent="0.4">
      <c r="A20" s="289">
        <f t="shared" si="1"/>
        <v>2.4305555555555559E-2</v>
      </c>
      <c r="B20" s="290">
        <v>6.9444444444444447E-4</v>
      </c>
      <c r="C20" s="290">
        <f>Allure100</f>
        <v>3.5532407407407405E-3</v>
      </c>
      <c r="D20" s="291">
        <f>Vitesse100</f>
        <v>11.7</v>
      </c>
      <c r="E20" s="292">
        <f t="shared" si="0"/>
        <v>0.19499999999999998</v>
      </c>
    </row>
    <row r="21" spans="1:5" ht="20.100000000000001" customHeight="1" thickBot="1" x14ac:dyDescent="0.45">
      <c r="A21" s="293">
        <f t="shared" si="1"/>
        <v>2.5000000000000005E-2</v>
      </c>
      <c r="B21" s="294">
        <v>6.9444444444444447E-4</v>
      </c>
      <c r="C21" s="295"/>
      <c r="D21" s="296"/>
      <c r="E21" s="297"/>
    </row>
    <row r="22" spans="1:5" ht="20.100000000000001" customHeight="1" x14ac:dyDescent="0.4">
      <c r="A22" s="326">
        <f t="shared" si="1"/>
        <v>2.569444444444445E-2</v>
      </c>
      <c r="B22" s="344">
        <v>4.6296296296296293E-4</v>
      </c>
      <c r="C22" s="327">
        <f>Allure103</f>
        <v>3.4490740740740745E-3</v>
      </c>
      <c r="D22" s="345">
        <f>Vitesse103</f>
        <v>12.051</v>
      </c>
      <c r="E22" s="329">
        <f t="shared" si="0"/>
        <v>0.13389999999999999</v>
      </c>
    </row>
    <row r="23" spans="1:5" ht="20.100000000000001" customHeight="1" x14ac:dyDescent="0.4">
      <c r="A23" s="283">
        <f t="shared" si="1"/>
        <v>2.6157407407407414E-2</v>
      </c>
      <c r="B23" s="284">
        <v>5.2083333333333333E-4</v>
      </c>
      <c r="C23" s="285"/>
      <c r="D23" s="286"/>
      <c r="E23" s="287"/>
    </row>
    <row r="24" spans="1:5" ht="20.100000000000001" customHeight="1" x14ac:dyDescent="0.4">
      <c r="A24" s="289">
        <f t="shared" si="1"/>
        <v>2.6678240740740749E-2</v>
      </c>
      <c r="B24" s="302">
        <v>4.6296296296296293E-4</v>
      </c>
      <c r="C24" s="290">
        <f>Allure103</f>
        <v>3.4490740740740745E-3</v>
      </c>
      <c r="D24" s="304">
        <f>Vitesse103</f>
        <v>12.051</v>
      </c>
      <c r="E24" s="292">
        <f t="shared" si="0"/>
        <v>0.13389999999999999</v>
      </c>
    </row>
    <row r="25" spans="1:5" ht="20.100000000000001" customHeight="1" x14ac:dyDescent="0.4">
      <c r="A25" s="283">
        <f t="shared" si="1"/>
        <v>2.7141203703703713E-2</v>
      </c>
      <c r="B25" s="284">
        <v>5.2083333333333333E-4</v>
      </c>
      <c r="C25" s="285"/>
      <c r="D25" s="286"/>
      <c r="E25" s="287"/>
    </row>
    <row r="26" spans="1:5" ht="20.100000000000001" customHeight="1" x14ac:dyDescent="0.4">
      <c r="A26" s="289">
        <f t="shared" si="1"/>
        <v>2.7662037037037047E-2</v>
      </c>
      <c r="B26" s="302">
        <v>4.6296296296296293E-4</v>
      </c>
      <c r="C26" s="290">
        <f>Allure103</f>
        <v>3.4490740740740745E-3</v>
      </c>
      <c r="D26" s="304">
        <f>Vitesse103</f>
        <v>12.051</v>
      </c>
      <c r="E26" s="292">
        <f t="shared" si="0"/>
        <v>0.13389999999999999</v>
      </c>
    </row>
    <row r="27" spans="1:5" ht="20.100000000000001" customHeight="1" x14ac:dyDescent="0.4">
      <c r="A27" s="283">
        <f t="shared" si="1"/>
        <v>2.8125000000000011E-2</v>
      </c>
      <c r="B27" s="284">
        <v>5.2083333333333333E-4</v>
      </c>
      <c r="C27" s="285"/>
      <c r="D27" s="286"/>
      <c r="E27" s="287"/>
    </row>
    <row r="28" spans="1:5" ht="20.100000000000001" customHeight="1" x14ac:dyDescent="0.4">
      <c r="A28" s="289">
        <f t="shared" si="1"/>
        <v>2.8645833333333346E-2</v>
      </c>
      <c r="B28" s="302">
        <v>4.6296296296296293E-4</v>
      </c>
      <c r="C28" s="290">
        <f>Allure103</f>
        <v>3.4490740740740745E-3</v>
      </c>
      <c r="D28" s="304">
        <f>Vitesse103</f>
        <v>12.051</v>
      </c>
      <c r="E28" s="292">
        <f t="shared" si="0"/>
        <v>0.13389999999999999</v>
      </c>
    </row>
    <row r="29" spans="1:5" ht="20.100000000000001" customHeight="1" x14ac:dyDescent="0.4">
      <c r="A29" s="283">
        <f t="shared" si="1"/>
        <v>2.910879629629631E-2</v>
      </c>
      <c r="B29" s="284">
        <v>5.2083333333333333E-4</v>
      </c>
      <c r="C29" s="285"/>
      <c r="D29" s="286"/>
      <c r="E29" s="287"/>
    </row>
    <row r="30" spans="1:5" ht="20.100000000000001" customHeight="1" x14ac:dyDescent="0.4">
      <c r="A30" s="289">
        <f t="shared" si="1"/>
        <v>2.9629629629629645E-2</v>
      </c>
      <c r="B30" s="302">
        <v>4.6296296296296293E-4</v>
      </c>
      <c r="C30" s="290">
        <f>Allure103</f>
        <v>3.4490740740740745E-3</v>
      </c>
      <c r="D30" s="304">
        <f>Vitesse103</f>
        <v>12.051</v>
      </c>
      <c r="E30" s="292">
        <f t="shared" si="0"/>
        <v>0.13389999999999999</v>
      </c>
    </row>
    <row r="31" spans="1:5" ht="20.100000000000001" customHeight="1" thickBot="1" x14ac:dyDescent="0.45">
      <c r="A31" s="293">
        <f t="shared" si="1"/>
        <v>3.0092592592592608E-2</v>
      </c>
      <c r="B31" s="294">
        <v>5.2083333333333333E-4</v>
      </c>
      <c r="C31" s="295"/>
      <c r="D31" s="296"/>
      <c r="E31" s="297"/>
    </row>
    <row r="32" spans="1:5" ht="20.100000000000001" customHeight="1" thickBot="1" x14ac:dyDescent="0.45">
      <c r="A32" s="709" t="s">
        <v>13</v>
      </c>
      <c r="B32" s="709"/>
      <c r="C32" s="709"/>
      <c r="D32" s="709"/>
      <c r="E32" s="710"/>
    </row>
    <row r="33" spans="1:5" ht="20.100000000000001" customHeight="1" thickBot="1" x14ac:dyDescent="0.45">
      <c r="A33" s="248">
        <f>A31+B31</f>
        <v>3.0613425925925943E-2</v>
      </c>
      <c r="B33" s="240">
        <v>3.472222222222222E-3</v>
      </c>
      <c r="C33" s="240">
        <f>Allure73</f>
        <v>4.8726851851851856E-3</v>
      </c>
      <c r="D33" s="253">
        <f>Vitesse73</f>
        <v>8.5409999999999986</v>
      </c>
      <c r="E33" s="243">
        <f t="shared" si="0"/>
        <v>0.71174999999999988</v>
      </c>
    </row>
    <row r="34" spans="1:5" ht="19.5" customHeight="1" thickBot="1" x14ac:dyDescent="0.45">
      <c r="A34" s="337">
        <f>A33+B33</f>
        <v>3.4085648148148164E-2</v>
      </c>
      <c r="E34" s="256">
        <f>SUM(E4+E5+E6+E8+E10+E12+E14+E16+E18+E20+E22+E24+E26+E28+E30+E33)</f>
        <v>6.1977499999999992</v>
      </c>
    </row>
  </sheetData>
  <mergeCells count="5">
    <mergeCell ref="A7:E7"/>
    <mergeCell ref="A3:E3"/>
    <mergeCell ref="A2:E2"/>
    <mergeCell ref="A1:E1"/>
    <mergeCell ref="A32:E3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3C65AF"/>
    <pageSetUpPr fitToPage="1"/>
  </sheetPr>
  <dimension ref="A1:E14"/>
  <sheetViews>
    <sheetView showGridLines="0" workbookViewId="0">
      <selection activeCell="E14" sqref="E14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324" customWidth="1"/>
    <col min="6" max="16384" width="11.42578125" style="238"/>
  </cols>
  <sheetData>
    <row r="1" spans="1:5" ht="30" customHeight="1" thickBot="1" x14ac:dyDescent="0.45">
      <c r="A1" s="693" t="str">
        <f>'Programme entrainement run'!B19</f>
        <v>Footing Progressif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run'!C19</f>
        <v>Sem 5 - jour 3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13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thickBot="1" x14ac:dyDescent="0.45">
      <c r="A8" s="260">
        <f>A6+B6</f>
        <v>1.3888888888888888E-2</v>
      </c>
      <c r="B8" s="241">
        <v>6.9444444444444441E-3</v>
      </c>
      <c r="C8" s="241">
        <f>Allure83</f>
        <v>4.2824074074074075E-3</v>
      </c>
      <c r="D8" s="242">
        <f>Vitesse83</f>
        <v>9.7109999999999985</v>
      </c>
      <c r="E8" s="277">
        <f t="shared" si="0"/>
        <v>1.6184999999999996</v>
      </c>
    </row>
    <row r="9" spans="1:5" ht="20.100000000000001" customHeight="1" thickBot="1" x14ac:dyDescent="0.45">
      <c r="A9" s="244">
        <f>A8+B8</f>
        <v>2.0833333333333332E-2</v>
      </c>
      <c r="B9" s="245">
        <v>4.1666666666666666E-3</v>
      </c>
      <c r="C9" s="245">
        <f>Allure86</f>
        <v>4.1319444444444442E-3</v>
      </c>
      <c r="D9" s="246">
        <f>Vitesse86</f>
        <v>10.061999999999999</v>
      </c>
      <c r="E9" s="247">
        <f t="shared" si="0"/>
        <v>1.0062</v>
      </c>
    </row>
    <row r="10" spans="1:5" ht="20.100000000000001" customHeight="1" thickBot="1" x14ac:dyDescent="0.45">
      <c r="A10" s="248">
        <f>A9+B9</f>
        <v>2.4999999999999998E-2</v>
      </c>
      <c r="B10" s="251">
        <v>2.7777777777777779E-3</v>
      </c>
      <c r="C10" s="251">
        <f>Allure88</f>
        <v>4.0393518518518521E-3</v>
      </c>
      <c r="D10" s="252">
        <f>Vitesse88</f>
        <v>10.295999999999999</v>
      </c>
      <c r="E10" s="243">
        <f t="shared" si="0"/>
        <v>0.6863999999999999</v>
      </c>
    </row>
    <row r="11" spans="1:5" ht="20.100000000000001" customHeight="1" thickBot="1" x14ac:dyDescent="0.45">
      <c r="A11" s="318">
        <f>A10+B10</f>
        <v>2.7777777777777776E-2</v>
      </c>
      <c r="B11" s="319">
        <v>1.3888888888888889E-3</v>
      </c>
      <c r="C11" s="319">
        <f>Allure93</f>
        <v>3.8194444444444443E-3</v>
      </c>
      <c r="D11" s="321">
        <f>Vitesse93</f>
        <v>10.881</v>
      </c>
      <c r="E11" s="322">
        <f t="shared" si="0"/>
        <v>0.36270000000000002</v>
      </c>
    </row>
    <row r="12" spans="1:5" ht="20.100000000000001" customHeight="1" thickBot="1" x14ac:dyDescent="0.45">
      <c r="A12" s="705" t="s">
        <v>13</v>
      </c>
      <c r="B12" s="706"/>
      <c r="C12" s="706"/>
      <c r="D12" s="706"/>
      <c r="E12" s="707"/>
    </row>
    <row r="13" spans="1:5" ht="20.100000000000001" customHeight="1" thickBot="1" x14ac:dyDescent="0.45">
      <c r="A13" s="248">
        <f>A11+B11</f>
        <v>2.9166666666666664E-2</v>
      </c>
      <c r="B13" s="240">
        <v>3.472222222222222E-3</v>
      </c>
      <c r="C13" s="240">
        <f>Allure73</f>
        <v>4.8726851851851856E-3</v>
      </c>
      <c r="D13" s="253">
        <f>Vitesse73</f>
        <v>8.5409999999999986</v>
      </c>
      <c r="E13" s="243">
        <f t="shared" si="0"/>
        <v>0.71174999999999988</v>
      </c>
    </row>
    <row r="14" spans="1:5" ht="19.5" customHeight="1" thickBot="1" x14ac:dyDescent="0.45">
      <c r="A14" s="337">
        <f>A13+B13</f>
        <v>3.2638888888888884E-2</v>
      </c>
      <c r="E14" s="256">
        <f>SUM(E4+E5+E6+E8+E9+E10+E11+E13)</f>
        <v>7.3105499999999992</v>
      </c>
    </row>
  </sheetData>
  <mergeCells count="5">
    <mergeCell ref="A12:E12"/>
    <mergeCell ref="A7:E7"/>
    <mergeCell ref="A3:E3"/>
    <mergeCell ref="A2:E2"/>
    <mergeCell ref="A1:E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3C65AF"/>
    <pageSetUpPr fitToPage="1"/>
  </sheetPr>
  <dimension ref="A1:E24"/>
  <sheetViews>
    <sheetView showGridLines="0" topLeftCell="A8" workbookViewId="0">
      <selection activeCell="E24" sqref="E24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run'!B20</f>
        <v>VMA Pyramidale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run'!C20</f>
        <v>Sem 5 - jour 5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23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6.9444444444444447E-4</v>
      </c>
      <c r="C8" s="280">
        <f>Allure100</f>
        <v>3.5532407407407405E-3</v>
      </c>
      <c r="D8" s="281">
        <f>Vitesse100</f>
        <v>11.7</v>
      </c>
      <c r="E8" s="282">
        <f t="shared" si="0"/>
        <v>0.19499999999999998</v>
      </c>
    </row>
    <row r="9" spans="1:5" ht="20.100000000000001" customHeight="1" thickBot="1" x14ac:dyDescent="0.45">
      <c r="A9" s="293">
        <f>A8+B8</f>
        <v>1.4583333333333332E-2</v>
      </c>
      <c r="B9" s="294">
        <v>6.9444444444444447E-4</v>
      </c>
      <c r="C9" s="295"/>
      <c r="D9" s="296"/>
      <c r="E9" s="297"/>
    </row>
    <row r="10" spans="1:5" ht="20.100000000000001" customHeight="1" x14ac:dyDescent="0.4">
      <c r="A10" s="279">
        <f t="shared" ref="A10:A21" si="1">A9+B9</f>
        <v>1.5277777777777776E-2</v>
      </c>
      <c r="B10" s="280">
        <v>1.3888888888888889E-3</v>
      </c>
      <c r="C10" s="280">
        <f>Allure95</f>
        <v>3.7384259259259263E-3</v>
      </c>
      <c r="D10" s="281">
        <f>Vitesse95</f>
        <v>11.114999999999998</v>
      </c>
      <c r="E10" s="282">
        <f t="shared" si="0"/>
        <v>0.37049999999999994</v>
      </c>
    </row>
    <row r="11" spans="1:5" ht="20.100000000000001" customHeight="1" thickBot="1" x14ac:dyDescent="0.45">
      <c r="A11" s="293">
        <f t="shared" si="1"/>
        <v>1.6666666666666663E-2</v>
      </c>
      <c r="B11" s="294">
        <v>6.9444444444444447E-4</v>
      </c>
      <c r="C11" s="295"/>
      <c r="D11" s="296"/>
      <c r="E11" s="297"/>
    </row>
    <row r="12" spans="1:5" ht="20.100000000000001" customHeight="1" x14ac:dyDescent="0.4">
      <c r="A12" s="279">
        <f t="shared" si="1"/>
        <v>1.7361111111111108E-2</v>
      </c>
      <c r="B12" s="280">
        <v>2.0833333333333333E-3</v>
      </c>
      <c r="C12" s="280">
        <f>Allure91</f>
        <v>3.9120370370370377E-3</v>
      </c>
      <c r="D12" s="281">
        <f>Vitesse91</f>
        <v>10.647</v>
      </c>
      <c r="E12" s="282">
        <f t="shared" si="0"/>
        <v>0.53234999999999999</v>
      </c>
    </row>
    <row r="13" spans="1:5" ht="20.100000000000001" customHeight="1" thickBot="1" x14ac:dyDescent="0.45">
      <c r="A13" s="293">
        <f t="shared" si="1"/>
        <v>1.9444444444444441E-2</v>
      </c>
      <c r="B13" s="294">
        <v>6.9444444444444447E-4</v>
      </c>
      <c r="C13" s="295"/>
      <c r="D13" s="296"/>
      <c r="E13" s="297"/>
    </row>
    <row r="14" spans="1:5" ht="20.100000000000001" customHeight="1" x14ac:dyDescent="0.4">
      <c r="A14" s="279">
        <f t="shared" si="1"/>
        <v>2.0138888888888887E-2</v>
      </c>
      <c r="B14" s="280">
        <v>2.7777777777777779E-3</v>
      </c>
      <c r="C14" s="280">
        <f>Allure88</f>
        <v>4.0393518518518521E-3</v>
      </c>
      <c r="D14" s="281">
        <f>Vitesse88</f>
        <v>10.295999999999999</v>
      </c>
      <c r="E14" s="282">
        <f t="shared" si="0"/>
        <v>0.6863999999999999</v>
      </c>
    </row>
    <row r="15" spans="1:5" ht="20.100000000000001" customHeight="1" thickBot="1" x14ac:dyDescent="0.45">
      <c r="A15" s="293">
        <f t="shared" si="1"/>
        <v>2.2916666666666665E-2</v>
      </c>
      <c r="B15" s="294">
        <v>1.0416666666666667E-3</v>
      </c>
      <c r="C15" s="295"/>
      <c r="D15" s="296"/>
      <c r="E15" s="297"/>
    </row>
    <row r="16" spans="1:5" ht="20.100000000000001" customHeight="1" x14ac:dyDescent="0.4">
      <c r="A16" s="279">
        <f t="shared" si="1"/>
        <v>2.3958333333333331E-2</v>
      </c>
      <c r="B16" s="280">
        <v>2.0833333333333333E-3</v>
      </c>
      <c r="C16" s="280">
        <f>Allure91</f>
        <v>3.9120370370370377E-3</v>
      </c>
      <c r="D16" s="281">
        <f>Vitesse91</f>
        <v>10.647</v>
      </c>
      <c r="E16" s="282">
        <f t="shared" si="0"/>
        <v>0.53234999999999999</v>
      </c>
    </row>
    <row r="17" spans="1:5" ht="20.100000000000001" customHeight="1" thickBot="1" x14ac:dyDescent="0.45">
      <c r="A17" s="293">
        <f t="shared" si="1"/>
        <v>2.6041666666666664E-2</v>
      </c>
      <c r="B17" s="294">
        <v>6.9444444444444447E-4</v>
      </c>
      <c r="C17" s="295"/>
      <c r="D17" s="296"/>
      <c r="E17" s="297"/>
    </row>
    <row r="18" spans="1:5" ht="20.100000000000001" customHeight="1" x14ac:dyDescent="0.4">
      <c r="A18" s="279">
        <f t="shared" si="1"/>
        <v>2.673611111111111E-2</v>
      </c>
      <c r="B18" s="280">
        <v>1.3888888888888889E-3</v>
      </c>
      <c r="C18" s="280">
        <f>Allure95</f>
        <v>3.7384259259259263E-3</v>
      </c>
      <c r="D18" s="281">
        <f>Vitesse95</f>
        <v>11.114999999999998</v>
      </c>
      <c r="E18" s="282">
        <f t="shared" si="0"/>
        <v>0.37049999999999994</v>
      </c>
    </row>
    <row r="19" spans="1:5" ht="20.100000000000001" customHeight="1" thickBot="1" x14ac:dyDescent="0.45">
      <c r="A19" s="293">
        <f t="shared" si="1"/>
        <v>2.8124999999999997E-2</v>
      </c>
      <c r="B19" s="294">
        <v>6.9444444444444447E-4</v>
      </c>
      <c r="C19" s="295"/>
      <c r="D19" s="296"/>
      <c r="E19" s="297"/>
    </row>
    <row r="20" spans="1:5" ht="20.100000000000001" customHeight="1" x14ac:dyDescent="0.4">
      <c r="A20" s="326">
        <f t="shared" si="1"/>
        <v>2.8819444444444443E-2</v>
      </c>
      <c r="B20" s="327">
        <v>6.9444444444444447E-4</v>
      </c>
      <c r="C20" s="327">
        <f>Allure100</f>
        <v>3.5532407407407405E-3</v>
      </c>
      <c r="D20" s="328">
        <f>Vitesse100</f>
        <v>11.7</v>
      </c>
      <c r="E20" s="329">
        <f t="shared" si="0"/>
        <v>0.19499999999999998</v>
      </c>
    </row>
    <row r="21" spans="1:5" ht="20.100000000000001" customHeight="1" thickBot="1" x14ac:dyDescent="0.45">
      <c r="A21" s="293">
        <f t="shared" si="1"/>
        <v>2.9513888888888888E-2</v>
      </c>
      <c r="B21" s="294">
        <v>6.9444444444444447E-4</v>
      </c>
      <c r="C21" s="295"/>
      <c r="D21" s="296"/>
      <c r="E21" s="297"/>
    </row>
    <row r="22" spans="1:5" ht="20.100000000000001" customHeight="1" thickBot="1" x14ac:dyDescent="0.45">
      <c r="A22" s="708" t="s">
        <v>13</v>
      </c>
      <c r="B22" s="709"/>
      <c r="C22" s="709"/>
      <c r="D22" s="709"/>
      <c r="E22" s="710"/>
    </row>
    <row r="23" spans="1:5" ht="20.100000000000001" customHeight="1" thickBot="1" x14ac:dyDescent="0.45">
      <c r="A23" s="248">
        <f>A21+B21</f>
        <v>3.0208333333333334E-2</v>
      </c>
      <c r="B23" s="240">
        <v>3.472222222222222E-3</v>
      </c>
      <c r="C23" s="240">
        <f>Allure73</f>
        <v>4.8726851851851856E-3</v>
      </c>
      <c r="D23" s="253">
        <f>Vitesse73</f>
        <v>8.5409999999999986</v>
      </c>
      <c r="E23" s="243">
        <f t="shared" si="0"/>
        <v>0.71174999999999988</v>
      </c>
    </row>
    <row r="24" spans="1:5" ht="19.5" customHeight="1" thickBot="1" x14ac:dyDescent="0.45">
      <c r="A24" s="337">
        <f>A23+B23</f>
        <v>3.3680555555555554E-2</v>
      </c>
      <c r="E24" s="256">
        <f>SUM(E4+E5+E6+E8+E10+E12+E14+E16+E18+E20+E23)</f>
        <v>6.5188499999999987</v>
      </c>
    </row>
  </sheetData>
  <mergeCells count="5">
    <mergeCell ref="A7:E7"/>
    <mergeCell ref="A3:E3"/>
    <mergeCell ref="A2:E2"/>
    <mergeCell ref="A1:E1"/>
    <mergeCell ref="A22:E2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3C65AF"/>
    <pageSetUpPr fitToPage="1"/>
  </sheetPr>
  <dimension ref="A1:E36"/>
  <sheetViews>
    <sheetView showGridLines="0" topLeftCell="A23" workbookViewId="0">
      <selection activeCell="E36" sqref="E36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run'!B21</f>
        <v>VMA Courte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run'!C21</f>
        <v>Sem 6 - jour 1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35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5.2083333333333333E-4</v>
      </c>
      <c r="C8" s="280">
        <f>Allure101</f>
        <v>3.5185185185185185E-3</v>
      </c>
      <c r="D8" s="281">
        <f>Vitesse101</f>
        <v>11.817</v>
      </c>
      <c r="E8" s="282">
        <f t="shared" si="0"/>
        <v>0.1477125</v>
      </c>
    </row>
    <row r="9" spans="1:5" ht="20.100000000000001" customHeight="1" x14ac:dyDescent="0.4">
      <c r="A9" s="283">
        <f>A8+B8</f>
        <v>1.4409722222222221E-2</v>
      </c>
      <c r="B9" s="284">
        <v>6.9444444444444447E-4</v>
      </c>
      <c r="C9" s="285"/>
      <c r="D9" s="286"/>
      <c r="E9" s="287"/>
    </row>
    <row r="10" spans="1:5" ht="20.100000000000001" customHeight="1" x14ac:dyDescent="0.4">
      <c r="A10" s="289">
        <f t="shared" ref="A10:A33" si="1">A9+B9</f>
        <v>1.5104166666666665E-2</v>
      </c>
      <c r="B10" s="290">
        <v>5.2083333333333333E-4</v>
      </c>
      <c r="C10" s="290">
        <f>Allure101</f>
        <v>3.5185185185185185E-3</v>
      </c>
      <c r="D10" s="291">
        <f>Vitesse101</f>
        <v>11.817</v>
      </c>
      <c r="E10" s="292">
        <f t="shared" si="0"/>
        <v>0.1477125</v>
      </c>
    </row>
    <row r="11" spans="1:5" ht="20.100000000000001" customHeight="1" x14ac:dyDescent="0.4">
      <c r="A11" s="283">
        <f t="shared" si="1"/>
        <v>1.5624999999999998E-2</v>
      </c>
      <c r="B11" s="284">
        <v>6.9444444444444447E-4</v>
      </c>
      <c r="C11" s="285"/>
      <c r="D11" s="286"/>
      <c r="E11" s="287"/>
    </row>
    <row r="12" spans="1:5" ht="20.100000000000001" customHeight="1" x14ac:dyDescent="0.4">
      <c r="A12" s="289">
        <f t="shared" si="1"/>
        <v>1.6319444444444442E-2</v>
      </c>
      <c r="B12" s="290">
        <v>5.2083333333333333E-4</v>
      </c>
      <c r="C12" s="290">
        <f>Allure101</f>
        <v>3.5185185185185185E-3</v>
      </c>
      <c r="D12" s="291">
        <f>Vitesse101</f>
        <v>11.817</v>
      </c>
      <c r="E12" s="292">
        <f t="shared" si="0"/>
        <v>0.1477125</v>
      </c>
    </row>
    <row r="13" spans="1:5" ht="20.100000000000001" customHeight="1" x14ac:dyDescent="0.4">
      <c r="A13" s="283">
        <f t="shared" si="1"/>
        <v>1.6840277777777777E-2</v>
      </c>
      <c r="B13" s="284">
        <v>6.9444444444444447E-4</v>
      </c>
      <c r="C13" s="285"/>
      <c r="D13" s="286"/>
      <c r="E13" s="287"/>
    </row>
    <row r="14" spans="1:5" ht="20.100000000000001" customHeight="1" x14ac:dyDescent="0.4">
      <c r="A14" s="289">
        <f t="shared" si="1"/>
        <v>1.7534722222222222E-2</v>
      </c>
      <c r="B14" s="290">
        <v>5.2083333333333333E-4</v>
      </c>
      <c r="C14" s="290">
        <f>Allure101</f>
        <v>3.5185185185185185E-3</v>
      </c>
      <c r="D14" s="291">
        <f>Vitesse101</f>
        <v>11.817</v>
      </c>
      <c r="E14" s="292">
        <f t="shared" si="0"/>
        <v>0.1477125</v>
      </c>
    </row>
    <row r="15" spans="1:5" ht="20.100000000000001" customHeight="1" thickBot="1" x14ac:dyDescent="0.45">
      <c r="A15" s="293">
        <f t="shared" si="1"/>
        <v>1.8055555555555557E-2</v>
      </c>
      <c r="B15" s="294">
        <v>6.9444444444444447E-4</v>
      </c>
      <c r="C15" s="295"/>
      <c r="D15" s="296"/>
      <c r="E15" s="297"/>
    </row>
    <row r="16" spans="1:5" ht="20.100000000000001" customHeight="1" thickBot="1" x14ac:dyDescent="0.45">
      <c r="A16" s="266">
        <f t="shared" si="1"/>
        <v>1.8750000000000003E-2</v>
      </c>
      <c r="B16" s="249">
        <v>1.3888888888888889E-3</v>
      </c>
      <c r="C16" s="249">
        <f>Allure79</f>
        <v>4.5023148148148149E-3</v>
      </c>
      <c r="D16" s="250">
        <f>Vitesse79</f>
        <v>9.2430000000000003</v>
      </c>
      <c r="E16" s="278">
        <f t="shared" si="0"/>
        <v>0.30809999999999998</v>
      </c>
    </row>
    <row r="17" spans="1:5" ht="20.100000000000001" customHeight="1" x14ac:dyDescent="0.4">
      <c r="A17" s="333">
        <f t="shared" si="1"/>
        <v>2.013888888888889E-2</v>
      </c>
      <c r="B17" s="334">
        <v>5.2083333333333333E-4</v>
      </c>
      <c r="C17" s="334">
        <f>Allure103</f>
        <v>3.4490740740740745E-3</v>
      </c>
      <c r="D17" s="335">
        <f>Vitesse103</f>
        <v>12.051</v>
      </c>
      <c r="E17" s="336">
        <f t="shared" si="0"/>
        <v>0.15063750000000001</v>
      </c>
    </row>
    <row r="18" spans="1:5" ht="20.100000000000001" customHeight="1" x14ac:dyDescent="0.4">
      <c r="A18" s="289">
        <f t="shared" si="1"/>
        <v>2.0659722222222225E-2</v>
      </c>
      <c r="B18" s="290">
        <v>6.9444444444444447E-4</v>
      </c>
      <c r="C18" s="290"/>
      <c r="D18" s="291"/>
      <c r="E18" s="292"/>
    </row>
    <row r="19" spans="1:5" ht="20.100000000000001" customHeight="1" x14ac:dyDescent="0.4">
      <c r="A19" s="283">
        <f t="shared" si="1"/>
        <v>2.1354166666666671E-2</v>
      </c>
      <c r="B19" s="284">
        <v>5.2083333333333333E-4</v>
      </c>
      <c r="C19" s="284">
        <f>Allure103</f>
        <v>3.4490740740740745E-3</v>
      </c>
      <c r="D19" s="286">
        <f>Vitesse103</f>
        <v>12.051</v>
      </c>
      <c r="E19" s="287">
        <f t="shared" si="0"/>
        <v>0.15063750000000001</v>
      </c>
    </row>
    <row r="20" spans="1:5" ht="20.100000000000001" customHeight="1" x14ac:dyDescent="0.4">
      <c r="A20" s="289">
        <f t="shared" si="1"/>
        <v>2.1875000000000006E-2</v>
      </c>
      <c r="B20" s="290">
        <v>6.9444444444444447E-4</v>
      </c>
      <c r="C20" s="290"/>
      <c r="D20" s="291"/>
      <c r="E20" s="292"/>
    </row>
    <row r="21" spans="1:5" ht="20.100000000000001" customHeight="1" x14ac:dyDescent="0.4">
      <c r="A21" s="283">
        <f t="shared" si="1"/>
        <v>2.2569444444444451E-2</v>
      </c>
      <c r="B21" s="284">
        <v>5.2083333333333333E-4</v>
      </c>
      <c r="C21" s="284">
        <f>Allure103</f>
        <v>3.4490740740740745E-3</v>
      </c>
      <c r="D21" s="286">
        <f>Vitesse103</f>
        <v>12.051</v>
      </c>
      <c r="E21" s="287">
        <f t="shared" si="0"/>
        <v>0.15063750000000001</v>
      </c>
    </row>
    <row r="22" spans="1:5" ht="20.100000000000001" customHeight="1" x14ac:dyDescent="0.4">
      <c r="A22" s="289">
        <f t="shared" si="1"/>
        <v>2.3090277777777786E-2</v>
      </c>
      <c r="B22" s="290">
        <v>6.9444444444444447E-4</v>
      </c>
      <c r="C22" s="290"/>
      <c r="D22" s="291"/>
      <c r="E22" s="292"/>
    </row>
    <row r="23" spans="1:5" ht="20.100000000000001" customHeight="1" x14ac:dyDescent="0.4">
      <c r="A23" s="283">
        <f t="shared" si="1"/>
        <v>2.3784722222222231E-2</v>
      </c>
      <c r="B23" s="284">
        <v>5.2083333333333333E-4</v>
      </c>
      <c r="C23" s="284">
        <f>Allure103</f>
        <v>3.4490740740740745E-3</v>
      </c>
      <c r="D23" s="286">
        <f>Vitesse103</f>
        <v>12.051</v>
      </c>
      <c r="E23" s="287">
        <f t="shared" si="0"/>
        <v>0.15063750000000001</v>
      </c>
    </row>
    <row r="24" spans="1:5" ht="20.100000000000001" customHeight="1" thickBot="1" x14ac:dyDescent="0.45">
      <c r="A24" s="305">
        <f t="shared" si="1"/>
        <v>2.4305555555555566E-2</v>
      </c>
      <c r="B24" s="346">
        <v>6.9444444444444447E-4</v>
      </c>
      <c r="C24" s="346"/>
      <c r="D24" s="347"/>
      <c r="E24" s="309"/>
    </row>
    <row r="25" spans="1:5" ht="20.100000000000001" customHeight="1" thickBot="1" x14ac:dyDescent="0.45">
      <c r="A25" s="318">
        <f t="shared" si="1"/>
        <v>2.5000000000000012E-2</v>
      </c>
      <c r="B25" s="319">
        <v>1.3888888888888889E-3</v>
      </c>
      <c r="C25" s="319">
        <f>Allure79</f>
        <v>4.5023148148148149E-3</v>
      </c>
      <c r="D25" s="321">
        <f>Vitesse79</f>
        <v>9.2430000000000003</v>
      </c>
      <c r="E25" s="322">
        <f t="shared" si="0"/>
        <v>0.30809999999999998</v>
      </c>
    </row>
    <row r="26" spans="1:5" ht="20.100000000000001" customHeight="1" x14ac:dyDescent="0.4">
      <c r="A26" s="279">
        <f t="shared" si="1"/>
        <v>2.6388888888888899E-2</v>
      </c>
      <c r="B26" s="280">
        <v>5.2083333333333333E-4</v>
      </c>
      <c r="C26" s="280">
        <f>Allure104</f>
        <v>3.414351851851852E-3</v>
      </c>
      <c r="D26" s="281">
        <f>Vitesse104</f>
        <v>12.167999999999999</v>
      </c>
      <c r="E26" s="282">
        <f t="shared" si="0"/>
        <v>0.15210000000000001</v>
      </c>
    </row>
    <row r="27" spans="1:5" ht="20.100000000000001" customHeight="1" x14ac:dyDescent="0.4">
      <c r="A27" s="283">
        <f t="shared" si="1"/>
        <v>2.6909722222222234E-2</v>
      </c>
      <c r="B27" s="284">
        <v>6.9444444444444447E-4</v>
      </c>
      <c r="C27" s="285"/>
      <c r="D27" s="286"/>
      <c r="E27" s="287"/>
    </row>
    <row r="28" spans="1:5" ht="20.100000000000001" customHeight="1" x14ac:dyDescent="0.4">
      <c r="A28" s="289">
        <f t="shared" si="1"/>
        <v>2.760416666666668E-2</v>
      </c>
      <c r="B28" s="290">
        <v>5.2083333333333333E-4</v>
      </c>
      <c r="C28" s="290">
        <f>Allure104</f>
        <v>3.414351851851852E-3</v>
      </c>
      <c r="D28" s="291">
        <f>Vitesse104</f>
        <v>12.167999999999999</v>
      </c>
      <c r="E28" s="292">
        <f t="shared" si="0"/>
        <v>0.15210000000000001</v>
      </c>
    </row>
    <row r="29" spans="1:5" ht="20.100000000000001" customHeight="1" x14ac:dyDescent="0.4">
      <c r="A29" s="283">
        <f t="shared" si="1"/>
        <v>2.8125000000000015E-2</v>
      </c>
      <c r="B29" s="284">
        <v>6.9444444444444447E-4</v>
      </c>
      <c r="C29" s="285"/>
      <c r="D29" s="286"/>
      <c r="E29" s="287"/>
    </row>
    <row r="30" spans="1:5" ht="20.100000000000001" customHeight="1" x14ac:dyDescent="0.4">
      <c r="A30" s="289">
        <f t="shared" si="1"/>
        <v>2.881944444444446E-2</v>
      </c>
      <c r="B30" s="290">
        <v>5.2083333333333333E-4</v>
      </c>
      <c r="C30" s="290">
        <f>Allure104</f>
        <v>3.414351851851852E-3</v>
      </c>
      <c r="D30" s="291">
        <f>Vitesse104</f>
        <v>12.167999999999999</v>
      </c>
      <c r="E30" s="292">
        <f t="shared" si="0"/>
        <v>0.15210000000000001</v>
      </c>
    </row>
    <row r="31" spans="1:5" ht="20.100000000000001" customHeight="1" x14ac:dyDescent="0.4">
      <c r="A31" s="283">
        <f t="shared" si="1"/>
        <v>2.9340277777777795E-2</v>
      </c>
      <c r="B31" s="284">
        <v>6.9444444444444447E-4</v>
      </c>
      <c r="C31" s="285"/>
      <c r="D31" s="286"/>
      <c r="E31" s="287"/>
    </row>
    <row r="32" spans="1:5" ht="20.100000000000001" customHeight="1" x14ac:dyDescent="0.4">
      <c r="A32" s="289">
        <f t="shared" si="1"/>
        <v>3.003472222222224E-2</v>
      </c>
      <c r="B32" s="290">
        <v>5.2083333333333333E-4</v>
      </c>
      <c r="C32" s="290">
        <f>Allure104</f>
        <v>3.414351851851852E-3</v>
      </c>
      <c r="D32" s="291">
        <f>Vitesse104</f>
        <v>12.167999999999999</v>
      </c>
      <c r="E32" s="292">
        <f t="shared" si="0"/>
        <v>0.15210000000000001</v>
      </c>
    </row>
    <row r="33" spans="1:5" ht="20.100000000000001" customHeight="1" thickBot="1" x14ac:dyDescent="0.45">
      <c r="A33" s="293">
        <f t="shared" si="1"/>
        <v>3.0555555555555575E-2</v>
      </c>
      <c r="B33" s="294">
        <v>6.9444444444444447E-4</v>
      </c>
      <c r="C33" s="295"/>
      <c r="D33" s="296"/>
      <c r="E33" s="297"/>
    </row>
    <row r="34" spans="1:5" ht="20.100000000000001" customHeight="1" thickBot="1" x14ac:dyDescent="0.45">
      <c r="A34" s="705" t="s">
        <v>13</v>
      </c>
      <c r="B34" s="706"/>
      <c r="C34" s="706"/>
      <c r="D34" s="706"/>
      <c r="E34" s="707"/>
    </row>
    <row r="35" spans="1:5" ht="20.100000000000001" customHeight="1" thickBot="1" x14ac:dyDescent="0.45">
      <c r="A35" s="248">
        <f>A33+B33</f>
        <v>3.1250000000000021E-2</v>
      </c>
      <c r="B35" s="240">
        <v>3.472222222222222E-3</v>
      </c>
      <c r="C35" s="240">
        <f>Allure73</f>
        <v>4.8726851851851856E-3</v>
      </c>
      <c r="D35" s="253">
        <f>Vitesse73</f>
        <v>8.5409999999999986</v>
      </c>
      <c r="E35" s="243">
        <f t="shared" si="0"/>
        <v>0.71174999999999988</v>
      </c>
    </row>
    <row r="36" spans="1:5" ht="19.5" customHeight="1" thickBot="1" x14ac:dyDescent="0.45">
      <c r="A36" s="337">
        <f>A35+B35</f>
        <v>3.4722222222222245E-2</v>
      </c>
      <c r="E36" s="256">
        <f>SUM(E4+E5+E6+E8+E10+E12+E14+E16+E17+E19+E21+E23+E25+E26+E28+E30+E32+E35)</f>
        <v>6.0547499999999985</v>
      </c>
    </row>
  </sheetData>
  <mergeCells count="5">
    <mergeCell ref="A7:E7"/>
    <mergeCell ref="A3:E3"/>
    <mergeCell ref="A2:E2"/>
    <mergeCell ref="A1:E1"/>
    <mergeCell ref="A34:E34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3C65AF"/>
    <pageSetUpPr fitToPage="1"/>
  </sheetPr>
  <dimension ref="A1:E16"/>
  <sheetViews>
    <sheetView showGridLines="0" workbookViewId="0">
      <selection activeCell="E16" sqref="E16"/>
    </sheetView>
  </sheetViews>
  <sheetFormatPr baseColWidth="10" defaultRowHeight="22.5" x14ac:dyDescent="0.45"/>
  <cols>
    <col min="1" max="1" width="15.7109375" style="257" customWidth="1"/>
    <col min="2" max="2" width="15.7109375" style="255" customWidth="1"/>
    <col min="3" max="4" width="20.7109375" style="238" customWidth="1"/>
    <col min="5" max="5" width="15.7109375" style="325" customWidth="1"/>
    <col min="6" max="16384" width="11.42578125" style="238"/>
  </cols>
  <sheetData>
    <row r="1" spans="1:5" ht="30" customHeight="1" thickBot="1" x14ac:dyDescent="0.45">
      <c r="A1" s="693" t="str">
        <f>'Programme entrainement run'!B22</f>
        <v>Travail D'allure 1200m</v>
      </c>
      <c r="B1" s="694"/>
      <c r="C1" s="694"/>
      <c r="D1" s="694"/>
      <c r="E1" s="695"/>
    </row>
    <row r="2" spans="1:5" s="259" customFormat="1" ht="20.100000000000001" customHeight="1" thickBot="1" x14ac:dyDescent="0.3">
      <c r="A2" s="696" t="str">
        <f>'Programme entrainement run'!C22</f>
        <v>Sem 6 - jour 3</v>
      </c>
      <c r="B2" s="697"/>
      <c r="C2" s="697"/>
      <c r="D2" s="697"/>
      <c r="E2" s="698"/>
    </row>
    <row r="3" spans="1:5" s="259" customFormat="1" ht="20.100000000000001" customHeight="1" thickBot="1" x14ac:dyDescent="0.3">
      <c r="A3" s="699" t="s">
        <v>11</v>
      </c>
      <c r="B3" s="700"/>
      <c r="C3" s="700"/>
      <c r="D3" s="700"/>
      <c r="E3" s="701"/>
    </row>
    <row r="4" spans="1:5" s="259" customFormat="1" ht="20.100000000000001" customHeight="1" thickBot="1" x14ac:dyDescent="0.3">
      <c r="A4" s="352" t="s">
        <v>94</v>
      </c>
      <c r="B4" s="353">
        <v>3.472222222222222E-3</v>
      </c>
      <c r="C4" s="241">
        <f>Allure73</f>
        <v>4.8726851851851856E-3</v>
      </c>
      <c r="D4" s="242">
        <f>Vitesse73</f>
        <v>8.5409999999999986</v>
      </c>
      <c r="E4" s="354">
        <f>((B4-INT(B4))*24)*D4</f>
        <v>0.71174999999999988</v>
      </c>
    </row>
    <row r="5" spans="1:5" s="259" customFormat="1" ht="20.100000000000001" customHeight="1" thickBot="1" x14ac:dyDescent="0.3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15" si="0">((B5-INT(B5))*24)*D5</f>
        <v>1.4624999999999997</v>
      </c>
    </row>
    <row r="6" spans="1:5" s="259" customFormat="1" ht="20.100000000000001" customHeight="1" thickBot="1" x14ac:dyDescent="0.3">
      <c r="A6" s="355">
        <f>A5+B5</f>
        <v>1.0416666666666666E-2</v>
      </c>
      <c r="B6" s="353">
        <v>3.472222222222222E-3</v>
      </c>
      <c r="C6" s="249">
        <f>Allure77</f>
        <v>4.6180555555555558E-3</v>
      </c>
      <c r="D6" s="250">
        <f>Vitesse77</f>
        <v>9.0090000000000003</v>
      </c>
      <c r="E6" s="354">
        <f t="shared" si="0"/>
        <v>0.75075000000000003</v>
      </c>
    </row>
    <row r="7" spans="1:5" s="259" customFormat="1" ht="20.100000000000001" customHeight="1" thickBot="1" x14ac:dyDescent="0.3">
      <c r="A7" s="699" t="s">
        <v>12</v>
      </c>
      <c r="B7" s="700"/>
      <c r="C7" s="700"/>
      <c r="D7" s="700"/>
      <c r="E7" s="701"/>
    </row>
    <row r="8" spans="1:5" s="259" customFormat="1" ht="20.100000000000001" customHeight="1" x14ac:dyDescent="0.25">
      <c r="A8" s="326">
        <f>A6+B6</f>
        <v>1.3888888888888888E-2</v>
      </c>
      <c r="B8" s="327">
        <v>5.3819444444444453E-3</v>
      </c>
      <c r="C8" s="327">
        <f>Allure86</f>
        <v>4.1319444444444442E-3</v>
      </c>
      <c r="D8" s="328">
        <f>Vitesse86</f>
        <v>10.061999999999999</v>
      </c>
      <c r="E8" s="329">
        <f t="shared" si="0"/>
        <v>1.2996750000000001</v>
      </c>
    </row>
    <row r="9" spans="1:5" s="259" customFormat="1" ht="20.100000000000001" customHeight="1" x14ac:dyDescent="0.25">
      <c r="A9" s="283">
        <f>A8+B8</f>
        <v>1.9270833333333334E-2</v>
      </c>
      <c r="B9" s="284">
        <v>1.736111111111111E-3</v>
      </c>
      <c r="C9" s="285"/>
      <c r="D9" s="286"/>
      <c r="E9" s="287"/>
    </row>
    <row r="10" spans="1:5" s="259" customFormat="1" ht="20.100000000000001" customHeight="1" x14ac:dyDescent="0.25">
      <c r="A10" s="289">
        <f>A9+B9</f>
        <v>2.1006944444444446E-2</v>
      </c>
      <c r="B10" s="290">
        <v>5.3819444444444453E-3</v>
      </c>
      <c r="C10" s="290">
        <f>Allure86</f>
        <v>4.1319444444444442E-3</v>
      </c>
      <c r="D10" s="291">
        <f>Vitesse86</f>
        <v>10.061999999999999</v>
      </c>
      <c r="E10" s="292">
        <f t="shared" si="0"/>
        <v>1.2996750000000001</v>
      </c>
    </row>
    <row r="11" spans="1:5" s="259" customFormat="1" ht="20.100000000000001" customHeight="1" thickBot="1" x14ac:dyDescent="0.3">
      <c r="A11" s="293">
        <f>A10+B10</f>
        <v>2.6388888888888892E-2</v>
      </c>
      <c r="B11" s="294">
        <v>1.736111111111111E-3</v>
      </c>
      <c r="C11" s="295"/>
      <c r="D11" s="296"/>
      <c r="E11" s="297"/>
    </row>
    <row r="12" spans="1:5" s="259" customFormat="1" ht="20.100000000000001" customHeight="1" x14ac:dyDescent="0.25">
      <c r="A12" s="326">
        <f>A11+B11</f>
        <v>2.8125000000000004E-2</v>
      </c>
      <c r="B12" s="327">
        <v>5.2546296296296299E-3</v>
      </c>
      <c r="C12" s="327">
        <f>Allure88</f>
        <v>4.0393518518518521E-3</v>
      </c>
      <c r="D12" s="328">
        <f>Vitesse88</f>
        <v>10.295999999999999</v>
      </c>
      <c r="E12" s="329">
        <f t="shared" si="0"/>
        <v>1.29844</v>
      </c>
    </row>
    <row r="13" spans="1:5" s="259" customFormat="1" ht="20.100000000000001" customHeight="1" thickBot="1" x14ac:dyDescent="0.3">
      <c r="A13" s="356">
        <f>A12+B12</f>
        <v>3.3379629629629634E-2</v>
      </c>
      <c r="B13" s="357">
        <v>1.736111111111111E-3</v>
      </c>
      <c r="C13" s="358"/>
      <c r="D13" s="359"/>
      <c r="E13" s="360"/>
    </row>
    <row r="14" spans="1:5" s="259" customFormat="1" ht="20.100000000000001" customHeight="1" thickBot="1" x14ac:dyDescent="0.3">
      <c r="A14" s="699" t="s">
        <v>13</v>
      </c>
      <c r="B14" s="700"/>
      <c r="C14" s="700"/>
      <c r="D14" s="700"/>
      <c r="E14" s="701"/>
    </row>
    <row r="15" spans="1:5" s="259" customFormat="1" ht="20.100000000000001" customHeight="1" thickBot="1" x14ac:dyDescent="0.3">
      <c r="A15" s="266">
        <f>A13+B13</f>
        <v>3.5115740740740746E-2</v>
      </c>
      <c r="B15" s="249">
        <v>3.472222222222222E-3</v>
      </c>
      <c r="C15" s="249">
        <f>Allure73</f>
        <v>4.8726851851851856E-3</v>
      </c>
      <c r="D15" s="250">
        <f>Vitesse73</f>
        <v>8.5409999999999986</v>
      </c>
      <c r="E15" s="278">
        <f t="shared" si="0"/>
        <v>0.71174999999999988</v>
      </c>
    </row>
    <row r="16" spans="1:5" ht="19.5" customHeight="1" thickBot="1" x14ac:dyDescent="0.45">
      <c r="A16" s="337">
        <f>A15+B15</f>
        <v>3.858796296296297E-2</v>
      </c>
      <c r="E16" s="256">
        <f>SUM(E4+E5+E6+E8+E10+E12+E15)</f>
        <v>7.5345399999999998</v>
      </c>
    </row>
  </sheetData>
  <mergeCells count="5">
    <mergeCell ref="A14:E14"/>
    <mergeCell ref="A7:E7"/>
    <mergeCell ref="A3:E3"/>
    <mergeCell ref="A2:E2"/>
    <mergeCell ref="A1:E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3C65AF"/>
    <pageSetUpPr fitToPage="1"/>
  </sheetPr>
  <dimension ref="A1:I16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9" ht="30" customHeight="1" thickBot="1" x14ac:dyDescent="0.45">
      <c r="A1" s="693" t="str">
        <f>'Programme entrainement run'!B23</f>
        <v>Footing Actif Progressif</v>
      </c>
      <c r="B1" s="694"/>
      <c r="C1" s="694"/>
      <c r="D1" s="694"/>
      <c r="E1" s="695"/>
    </row>
    <row r="2" spans="1:9" ht="20.100000000000001" customHeight="1" thickBot="1" x14ac:dyDescent="0.45">
      <c r="A2" s="696" t="str">
        <f>'Programme entrainement run'!C23</f>
        <v>Sem 6 - jour 5</v>
      </c>
      <c r="B2" s="697"/>
      <c r="C2" s="697"/>
      <c r="D2" s="697"/>
      <c r="E2" s="698"/>
    </row>
    <row r="3" spans="1:9" ht="20.100000000000001" customHeight="1" thickBot="1" x14ac:dyDescent="0.45">
      <c r="A3" s="702" t="s">
        <v>11</v>
      </c>
      <c r="B3" s="703"/>
      <c r="C3" s="703"/>
      <c r="D3" s="703"/>
      <c r="E3" s="704"/>
    </row>
    <row r="4" spans="1:9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9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14" si="0">((B5-INT(B5))*24)*D5</f>
        <v>1.4624999999999997</v>
      </c>
    </row>
    <row r="6" spans="1:9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9" ht="20.100000000000001" customHeight="1" thickBot="1" x14ac:dyDescent="0.45">
      <c r="A7" s="705" t="s">
        <v>12</v>
      </c>
      <c r="B7" s="706"/>
      <c r="C7" s="706"/>
      <c r="D7" s="706"/>
      <c r="E7" s="707"/>
    </row>
    <row r="8" spans="1:9" ht="20.100000000000001" customHeight="1" thickBot="1" x14ac:dyDescent="0.45">
      <c r="A8" s="248">
        <f>A6+B6</f>
        <v>1.3888888888888888E-2</v>
      </c>
      <c r="B8" s="240">
        <v>5.5555555555555558E-3</v>
      </c>
      <c r="C8" s="240">
        <f>Allure84</f>
        <v>4.2361111111111106E-3</v>
      </c>
      <c r="D8" s="253">
        <f>Vitesse84</f>
        <v>9.8279999999999994</v>
      </c>
      <c r="E8" s="243">
        <f t="shared" si="0"/>
        <v>1.3104</v>
      </c>
    </row>
    <row r="9" spans="1:9" ht="20.100000000000001" customHeight="1" thickBot="1" x14ac:dyDescent="0.45">
      <c r="A9" s="244">
        <f>A8+B8</f>
        <v>1.9444444444444445E-2</v>
      </c>
      <c r="B9" s="245">
        <v>4.1666666666666666E-3</v>
      </c>
      <c r="C9" s="245">
        <f>Allure87</f>
        <v>4.0856481481481481E-3</v>
      </c>
      <c r="D9" s="246">
        <f>Vitesse87</f>
        <v>10.178999999999998</v>
      </c>
      <c r="E9" s="247">
        <f t="shared" si="0"/>
        <v>1.0178999999999998</v>
      </c>
    </row>
    <row r="10" spans="1:9" ht="20.100000000000001" customHeight="1" thickBot="1" x14ac:dyDescent="0.45">
      <c r="A10" s="248">
        <f>A9+B9</f>
        <v>2.361111111111111E-2</v>
      </c>
      <c r="B10" s="240">
        <v>2.7777777777777779E-3</v>
      </c>
      <c r="C10" s="240">
        <f>Allure89</f>
        <v>3.9930555555555561E-3</v>
      </c>
      <c r="D10" s="253">
        <f>Vitesse89</f>
        <v>10.413</v>
      </c>
      <c r="E10" s="243">
        <f t="shared" si="0"/>
        <v>0.69420000000000004</v>
      </c>
    </row>
    <row r="11" spans="1:9" ht="20.100000000000001" customHeight="1" thickBot="1" x14ac:dyDescent="0.45">
      <c r="A11" s="244">
        <f>A10+B10</f>
        <v>2.6388888888888889E-2</v>
      </c>
      <c r="B11" s="245">
        <v>1.3888888888888889E-3</v>
      </c>
      <c r="C11" s="245">
        <f>Allure91</f>
        <v>3.9120370370370377E-3</v>
      </c>
      <c r="D11" s="246">
        <f>Vitesse91</f>
        <v>10.647</v>
      </c>
      <c r="E11" s="247">
        <f t="shared" si="0"/>
        <v>0.35489999999999999</v>
      </c>
      <c r="I11" s="324"/>
    </row>
    <row r="12" spans="1:9" ht="20.100000000000001" customHeight="1" thickBot="1" x14ac:dyDescent="0.45">
      <c r="A12" s="248">
        <f>A11+B11</f>
        <v>2.7777777777777776E-2</v>
      </c>
      <c r="B12" s="240">
        <v>6.9444444444444447E-4</v>
      </c>
      <c r="C12" s="240">
        <f>Allure94</f>
        <v>3.7847222222222223E-3</v>
      </c>
      <c r="D12" s="253">
        <f>Vitesse94</f>
        <v>10.997999999999999</v>
      </c>
      <c r="E12" s="243">
        <f t="shared" si="0"/>
        <v>0.18329999999999999</v>
      </c>
    </row>
    <row r="13" spans="1:9" ht="20.100000000000001" customHeight="1" thickBot="1" x14ac:dyDescent="0.45">
      <c r="A13" s="705" t="s">
        <v>13</v>
      </c>
      <c r="B13" s="706"/>
      <c r="C13" s="706"/>
      <c r="D13" s="706"/>
      <c r="E13" s="707"/>
    </row>
    <row r="14" spans="1:9" ht="20.100000000000001" customHeight="1" thickBot="1" x14ac:dyDescent="0.45">
      <c r="A14" s="248">
        <f>A12+B12</f>
        <v>2.8472222222222222E-2</v>
      </c>
      <c r="B14" s="240">
        <v>3.472222222222222E-3</v>
      </c>
      <c r="C14" s="240">
        <f>Allure73</f>
        <v>4.8726851851851856E-3</v>
      </c>
      <c r="D14" s="253">
        <f>Vitesse73</f>
        <v>8.5409999999999986</v>
      </c>
      <c r="E14" s="243">
        <f t="shared" si="0"/>
        <v>0.71174999999999988</v>
      </c>
    </row>
    <row r="15" spans="1:9" ht="19.5" customHeight="1" thickBot="1" x14ac:dyDescent="0.45">
      <c r="A15" s="337">
        <f>A14+B14</f>
        <v>3.1944444444444442E-2</v>
      </c>
      <c r="E15" s="256">
        <f>SUM(E4+E5+E6+E8+E9+E10+E11+E12+E14)</f>
        <v>7.1974499999999999</v>
      </c>
    </row>
    <row r="16" spans="1:9" ht="19.5" customHeight="1" x14ac:dyDescent="0.4"/>
  </sheetData>
  <mergeCells count="5">
    <mergeCell ref="A13:E13"/>
    <mergeCell ref="A7:E7"/>
    <mergeCell ref="A3:E3"/>
    <mergeCell ref="A2:E2"/>
    <mergeCell ref="A1:E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3C65AF"/>
    <pageSetUpPr fitToPage="1"/>
  </sheetPr>
  <dimension ref="A1:E25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run'!B24</f>
        <v>Variation d'allure Progressive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run'!C24</f>
        <v>Sem 7 - jour 1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3.472222222222222E-3</v>
      </c>
      <c r="C5" s="245">
        <f>Allure75</f>
        <v>4.7453703703703703E-3</v>
      </c>
      <c r="D5" s="246">
        <f>Vitesse75</f>
        <v>8.7749999999999986</v>
      </c>
      <c r="E5" s="247">
        <f t="shared" ref="E5:E23" si="0">((B5-INT(B5))*24)*D5</f>
        <v>0.73124999999999984</v>
      </c>
    </row>
    <row r="6" spans="1:5" ht="20.100000000000001" customHeight="1" thickBot="1" x14ac:dyDescent="0.45">
      <c r="A6" s="266">
        <f>A5+B5</f>
        <v>6.9444444444444441E-3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thickBot="1" x14ac:dyDescent="0.45">
      <c r="A8" s="248">
        <f>A6+B6</f>
        <v>1.0416666666666666E-2</v>
      </c>
      <c r="B8" s="240">
        <v>8.3333333333333332E-3</v>
      </c>
      <c r="C8" s="240">
        <f>Allure83</f>
        <v>4.2824074074074075E-3</v>
      </c>
      <c r="D8" s="253">
        <f>Vitesse83</f>
        <v>9.7109999999999985</v>
      </c>
      <c r="E8" s="243">
        <f t="shared" si="0"/>
        <v>1.9421999999999997</v>
      </c>
    </row>
    <row r="9" spans="1:5" ht="20.100000000000001" customHeight="1" thickBot="1" x14ac:dyDescent="0.45">
      <c r="A9" s="318">
        <f>A8+B8</f>
        <v>1.8749999999999999E-2</v>
      </c>
      <c r="B9" s="319">
        <v>4.1666666666666666E-3</v>
      </c>
      <c r="C9" s="319">
        <f>Allure88</f>
        <v>4.0393518518518521E-3</v>
      </c>
      <c r="D9" s="321">
        <f>Vitesse88</f>
        <v>10.295999999999999</v>
      </c>
      <c r="E9" s="322">
        <f t="shared" si="0"/>
        <v>1.0296000000000001</v>
      </c>
    </row>
    <row r="10" spans="1:5" ht="20.100000000000001" customHeight="1" x14ac:dyDescent="0.4">
      <c r="A10" s="326">
        <f t="shared" ref="A10:A21" si="1">A9+B9</f>
        <v>2.2916666666666665E-2</v>
      </c>
      <c r="B10" s="327">
        <v>2.0833333333333333E-3</v>
      </c>
      <c r="C10" s="327">
        <f>Allure93</f>
        <v>3.8194444444444443E-3</v>
      </c>
      <c r="D10" s="328">
        <f>Vitesse93</f>
        <v>10.881</v>
      </c>
      <c r="E10" s="329">
        <f t="shared" si="0"/>
        <v>0.54405000000000003</v>
      </c>
    </row>
    <row r="11" spans="1:5" ht="20.100000000000001" customHeight="1" thickBot="1" x14ac:dyDescent="0.45">
      <c r="A11" s="293">
        <f t="shared" si="1"/>
        <v>2.4999999999999998E-2</v>
      </c>
      <c r="B11" s="294">
        <v>6.9444444444444447E-4</v>
      </c>
      <c r="C11" s="295"/>
      <c r="D11" s="296"/>
      <c r="E11" s="297"/>
    </row>
    <row r="12" spans="1:5" ht="20.100000000000001" customHeight="1" x14ac:dyDescent="0.4">
      <c r="A12" s="326">
        <f t="shared" si="1"/>
        <v>2.5694444444444443E-2</v>
      </c>
      <c r="B12" s="327">
        <v>6.9444444444444447E-4</v>
      </c>
      <c r="C12" s="327">
        <f>Allure99</f>
        <v>3.5879629629629629E-3</v>
      </c>
      <c r="D12" s="328">
        <f>Vitesse99</f>
        <v>11.582999999999998</v>
      </c>
      <c r="E12" s="329">
        <f t="shared" si="0"/>
        <v>0.19304999999999997</v>
      </c>
    </row>
    <row r="13" spans="1:5" ht="20.100000000000001" customHeight="1" x14ac:dyDescent="0.4">
      <c r="A13" s="283">
        <f t="shared" si="1"/>
        <v>2.6388888888888889E-2</v>
      </c>
      <c r="B13" s="284">
        <v>6.9444444444444447E-4</v>
      </c>
      <c r="C13" s="285"/>
      <c r="D13" s="286"/>
      <c r="E13" s="287"/>
    </row>
    <row r="14" spans="1:5" ht="20.100000000000001" customHeight="1" x14ac:dyDescent="0.4">
      <c r="A14" s="289">
        <f t="shared" si="1"/>
        <v>2.7083333333333334E-2</v>
      </c>
      <c r="B14" s="290">
        <v>6.9444444444444447E-4</v>
      </c>
      <c r="C14" s="290">
        <f>Allure99</f>
        <v>3.5879629629629629E-3</v>
      </c>
      <c r="D14" s="291">
        <f>Vitesse99</f>
        <v>11.582999999999998</v>
      </c>
      <c r="E14" s="292">
        <f>((B14-INT(B14))*24)*D14</f>
        <v>0.19304999999999997</v>
      </c>
    </row>
    <row r="15" spans="1:5" ht="20.100000000000001" customHeight="1" x14ac:dyDescent="0.4">
      <c r="A15" s="283">
        <f t="shared" si="1"/>
        <v>2.777777777777778E-2</v>
      </c>
      <c r="B15" s="284">
        <v>6.9444444444444447E-4</v>
      </c>
      <c r="C15" s="285"/>
      <c r="D15" s="286"/>
      <c r="E15" s="287"/>
    </row>
    <row r="16" spans="1:5" ht="20.100000000000001" customHeight="1" x14ac:dyDescent="0.4">
      <c r="A16" s="289">
        <f t="shared" si="1"/>
        <v>2.8472222222222225E-2</v>
      </c>
      <c r="B16" s="290">
        <v>6.9444444444444447E-4</v>
      </c>
      <c r="C16" s="290">
        <f>Allure99</f>
        <v>3.5879629629629629E-3</v>
      </c>
      <c r="D16" s="291">
        <f>Vitesse99</f>
        <v>11.582999999999998</v>
      </c>
      <c r="E16" s="292">
        <f>((B16-INT(B16))*24)*D16</f>
        <v>0.19304999999999997</v>
      </c>
    </row>
    <row r="17" spans="1:5" ht="20.100000000000001" customHeight="1" x14ac:dyDescent="0.4">
      <c r="A17" s="283">
        <f t="shared" si="1"/>
        <v>2.9166666666666671E-2</v>
      </c>
      <c r="B17" s="284">
        <v>6.9444444444444447E-4</v>
      </c>
      <c r="C17" s="285"/>
      <c r="D17" s="286"/>
      <c r="E17" s="287"/>
    </row>
    <row r="18" spans="1:5" ht="20.100000000000001" customHeight="1" x14ac:dyDescent="0.4">
      <c r="A18" s="289">
        <f t="shared" si="1"/>
        <v>2.9861111111111116E-2</v>
      </c>
      <c r="B18" s="290">
        <v>6.9444444444444447E-4</v>
      </c>
      <c r="C18" s="290">
        <f>Allure99</f>
        <v>3.5879629629629629E-3</v>
      </c>
      <c r="D18" s="291">
        <f>Vitesse99</f>
        <v>11.582999999999998</v>
      </c>
      <c r="E18" s="292">
        <f t="shared" si="0"/>
        <v>0.19304999999999997</v>
      </c>
    </row>
    <row r="19" spans="1:5" ht="20.100000000000001" customHeight="1" x14ac:dyDescent="0.4">
      <c r="A19" s="283">
        <f t="shared" si="1"/>
        <v>3.0555555555555561E-2</v>
      </c>
      <c r="B19" s="284">
        <v>6.9444444444444447E-4</v>
      </c>
      <c r="C19" s="285"/>
      <c r="D19" s="286"/>
      <c r="E19" s="287"/>
    </row>
    <row r="20" spans="1:5" ht="20.100000000000001" customHeight="1" x14ac:dyDescent="0.4">
      <c r="A20" s="289">
        <f t="shared" si="1"/>
        <v>3.1250000000000007E-2</v>
      </c>
      <c r="B20" s="290">
        <v>6.9444444444444447E-4</v>
      </c>
      <c r="C20" s="290">
        <f>Allure99</f>
        <v>3.5879629629629629E-3</v>
      </c>
      <c r="D20" s="291">
        <f>Vitesse99</f>
        <v>11.582999999999998</v>
      </c>
      <c r="E20" s="292">
        <f t="shared" si="0"/>
        <v>0.19304999999999997</v>
      </c>
    </row>
    <row r="21" spans="1:5" ht="20.100000000000001" customHeight="1" thickBot="1" x14ac:dyDescent="0.45">
      <c r="A21" s="293">
        <f t="shared" si="1"/>
        <v>3.1944444444444449E-2</v>
      </c>
      <c r="B21" s="294">
        <v>6.9444444444444447E-4</v>
      </c>
      <c r="C21" s="295"/>
      <c r="D21" s="296"/>
      <c r="E21" s="297"/>
    </row>
    <row r="22" spans="1:5" ht="20.100000000000001" customHeight="1" thickBot="1" x14ac:dyDescent="0.45">
      <c r="A22" s="708" t="s">
        <v>13</v>
      </c>
      <c r="B22" s="709"/>
      <c r="C22" s="709"/>
      <c r="D22" s="709"/>
      <c r="E22" s="710"/>
    </row>
    <row r="23" spans="1:5" ht="20.100000000000001" customHeight="1" thickBot="1" x14ac:dyDescent="0.45">
      <c r="A23" s="248">
        <f>A21+B21</f>
        <v>3.2638888888888891E-2</v>
      </c>
      <c r="B23" s="240">
        <v>3.472222222222222E-3</v>
      </c>
      <c r="C23" s="240">
        <f>Allure73</f>
        <v>4.8726851851851856E-3</v>
      </c>
      <c r="D23" s="253">
        <f>Vitesse73</f>
        <v>8.5409999999999986</v>
      </c>
      <c r="E23" s="243">
        <f t="shared" si="0"/>
        <v>0.71174999999999988</v>
      </c>
    </row>
    <row r="24" spans="1:5" ht="19.5" customHeight="1" thickBot="1" x14ac:dyDescent="0.45">
      <c r="A24" s="271">
        <f>A23+B23</f>
        <v>3.6111111111111115E-2</v>
      </c>
      <c r="E24" s="256">
        <f>SUM(E4+E5+E6+E8+E9+E10+E12+E14+E16+E18+E20+E23)</f>
        <v>7.3866000000000014</v>
      </c>
    </row>
    <row r="25" spans="1:5" ht="19.5" customHeight="1" x14ac:dyDescent="0.4"/>
  </sheetData>
  <mergeCells count="5">
    <mergeCell ref="A7:E7"/>
    <mergeCell ref="A3:E3"/>
    <mergeCell ref="A2:E2"/>
    <mergeCell ref="A1:E1"/>
    <mergeCell ref="A22:E2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rgb="FF3C65AF"/>
    <pageSetUpPr fitToPage="1"/>
  </sheetPr>
  <dimension ref="A1:E22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run'!B25</f>
        <v>Travail VMA Longue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run'!C25</f>
        <v>Sem 7 - jour 3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21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2.1064814814814813E-3</v>
      </c>
      <c r="C8" s="280">
        <f>Allure92</f>
        <v>3.8657407407407408E-3</v>
      </c>
      <c r="D8" s="281">
        <f>Vitesse92</f>
        <v>10.763999999999999</v>
      </c>
      <c r="E8" s="282">
        <f t="shared" si="0"/>
        <v>0.54417999999999989</v>
      </c>
    </row>
    <row r="9" spans="1:5" ht="20.100000000000001" customHeight="1" x14ac:dyDescent="0.4">
      <c r="A9" s="283">
        <f>A8+B8</f>
        <v>1.5995370370370368E-2</v>
      </c>
      <c r="B9" s="284">
        <v>8.6805555555555551E-4</v>
      </c>
      <c r="C9" s="285"/>
      <c r="D9" s="286"/>
      <c r="E9" s="287"/>
    </row>
    <row r="10" spans="1:5" ht="20.100000000000001" customHeight="1" x14ac:dyDescent="0.4">
      <c r="A10" s="289">
        <f t="shared" ref="A10:A19" si="1">A9+B9</f>
        <v>1.6863425925925924E-2</v>
      </c>
      <c r="B10" s="290">
        <v>2.1064814814814813E-3</v>
      </c>
      <c r="C10" s="290">
        <f>Allure92</f>
        <v>3.8657407407407408E-3</v>
      </c>
      <c r="D10" s="291">
        <f>Vitesse92</f>
        <v>10.763999999999999</v>
      </c>
      <c r="E10" s="292">
        <f t="shared" si="0"/>
        <v>0.54417999999999989</v>
      </c>
    </row>
    <row r="11" spans="1:5" ht="20.100000000000001" customHeight="1" x14ac:dyDescent="0.4">
      <c r="A11" s="283">
        <f t="shared" si="1"/>
        <v>1.8969907407407404E-2</v>
      </c>
      <c r="B11" s="284">
        <v>8.6805555555555551E-4</v>
      </c>
      <c r="C11" s="285"/>
      <c r="D11" s="286"/>
      <c r="E11" s="287"/>
    </row>
    <row r="12" spans="1:5" ht="20.100000000000001" customHeight="1" x14ac:dyDescent="0.4">
      <c r="A12" s="289">
        <f t="shared" si="1"/>
        <v>1.983796296296296E-2</v>
      </c>
      <c r="B12" s="290">
        <v>2.1064814814814813E-3</v>
      </c>
      <c r="C12" s="290">
        <f>Allure92</f>
        <v>3.8657407407407408E-3</v>
      </c>
      <c r="D12" s="291">
        <f>Vitesse92</f>
        <v>10.763999999999999</v>
      </c>
      <c r="E12" s="292">
        <f t="shared" si="0"/>
        <v>0.54417999999999989</v>
      </c>
    </row>
    <row r="13" spans="1:5" ht="20.100000000000001" customHeight="1" x14ac:dyDescent="0.4">
      <c r="A13" s="283">
        <f t="shared" si="1"/>
        <v>2.194444444444444E-2</v>
      </c>
      <c r="B13" s="284">
        <v>8.6805555555555551E-4</v>
      </c>
      <c r="C13" s="285"/>
      <c r="D13" s="286"/>
      <c r="E13" s="287"/>
    </row>
    <row r="14" spans="1:5" ht="20.100000000000001" customHeight="1" x14ac:dyDescent="0.4">
      <c r="A14" s="289">
        <f t="shared" si="1"/>
        <v>2.2812499999999996E-2</v>
      </c>
      <c r="B14" s="290">
        <v>2.1064814814814813E-3</v>
      </c>
      <c r="C14" s="290">
        <f>Allure92</f>
        <v>3.8657407407407408E-3</v>
      </c>
      <c r="D14" s="291">
        <f>Vitesse92</f>
        <v>10.763999999999999</v>
      </c>
      <c r="E14" s="292">
        <f t="shared" si="0"/>
        <v>0.54417999999999989</v>
      </c>
    </row>
    <row r="15" spans="1:5" ht="20.100000000000001" customHeight="1" thickBot="1" x14ac:dyDescent="0.45">
      <c r="A15" s="356">
        <f t="shared" si="1"/>
        <v>2.4918981481481476E-2</v>
      </c>
      <c r="B15" s="357">
        <v>8.6805555555555551E-4</v>
      </c>
      <c r="C15" s="358"/>
      <c r="D15" s="359"/>
      <c r="E15" s="360"/>
    </row>
    <row r="16" spans="1:5" ht="20.100000000000001" customHeight="1" x14ac:dyDescent="0.4">
      <c r="A16" s="279">
        <f t="shared" si="1"/>
        <v>2.5787037037037032E-2</v>
      </c>
      <c r="B16" s="280">
        <v>1.9907407407407408E-3</v>
      </c>
      <c r="C16" s="280">
        <f>Allure97</f>
        <v>3.6689814814814814E-3</v>
      </c>
      <c r="D16" s="281">
        <f>Vitesse97</f>
        <v>11.348999999999998</v>
      </c>
      <c r="E16" s="282">
        <f t="shared" si="0"/>
        <v>0.54222999999999999</v>
      </c>
    </row>
    <row r="17" spans="1:5" ht="20.100000000000001" customHeight="1" x14ac:dyDescent="0.4">
      <c r="A17" s="283">
        <f t="shared" si="1"/>
        <v>2.7777777777777773E-2</v>
      </c>
      <c r="B17" s="284">
        <v>8.6805555555555551E-4</v>
      </c>
      <c r="C17" s="285"/>
      <c r="D17" s="286"/>
      <c r="E17" s="287"/>
    </row>
    <row r="18" spans="1:5" ht="20.100000000000001" customHeight="1" x14ac:dyDescent="0.4">
      <c r="A18" s="289">
        <f t="shared" si="1"/>
        <v>2.8645833333333329E-2</v>
      </c>
      <c r="B18" s="290">
        <v>1.9907407407407408E-3</v>
      </c>
      <c r="C18" s="290">
        <f>Allure97</f>
        <v>3.6689814814814814E-3</v>
      </c>
      <c r="D18" s="291">
        <f>Vitesse97</f>
        <v>11.348999999999998</v>
      </c>
      <c r="E18" s="292">
        <f t="shared" si="0"/>
        <v>0.54222999999999999</v>
      </c>
    </row>
    <row r="19" spans="1:5" ht="20.100000000000001" customHeight="1" thickBot="1" x14ac:dyDescent="0.45">
      <c r="A19" s="293">
        <f t="shared" si="1"/>
        <v>3.063657407407407E-2</v>
      </c>
      <c r="B19" s="294">
        <v>8.6805555555555551E-4</v>
      </c>
      <c r="C19" s="295"/>
      <c r="D19" s="296"/>
      <c r="E19" s="297"/>
    </row>
    <row r="20" spans="1:5" ht="20.100000000000001" customHeight="1" thickBot="1" x14ac:dyDescent="0.45">
      <c r="A20" s="705" t="s">
        <v>13</v>
      </c>
      <c r="B20" s="706"/>
      <c r="C20" s="706"/>
      <c r="D20" s="706"/>
      <c r="E20" s="707"/>
    </row>
    <row r="21" spans="1:5" ht="20.100000000000001" customHeight="1" thickBot="1" x14ac:dyDescent="0.45">
      <c r="A21" s="248">
        <f>A19+B19</f>
        <v>3.1504629629629625E-2</v>
      </c>
      <c r="B21" s="240">
        <v>3.472222222222222E-3</v>
      </c>
      <c r="C21" s="240">
        <f>Allure73</f>
        <v>4.8726851851851856E-3</v>
      </c>
      <c r="D21" s="253">
        <f>Vitesse73</f>
        <v>8.5409999999999986</v>
      </c>
      <c r="E21" s="243">
        <f t="shared" si="0"/>
        <v>0.71174999999999988</v>
      </c>
    </row>
    <row r="22" spans="1:5" ht="19.5" customHeight="1" thickBot="1" x14ac:dyDescent="0.45">
      <c r="A22" s="271">
        <f>A21+B21</f>
        <v>3.4976851851851849E-2</v>
      </c>
      <c r="E22" s="273">
        <f>SUM(E4+E5+E6+E8+E10+E12+E14+E16+E18+E21)</f>
        <v>6.8979299999999988</v>
      </c>
    </row>
  </sheetData>
  <mergeCells count="5">
    <mergeCell ref="A7:E7"/>
    <mergeCell ref="A3:E3"/>
    <mergeCell ref="A2:E2"/>
    <mergeCell ref="A1:E1"/>
    <mergeCell ref="A20:E2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rgb="FF3C65AF"/>
    <pageSetUpPr fitToPage="1"/>
  </sheetPr>
  <dimension ref="A1:E36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run'!B26</f>
        <v>Travail VMA Courte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run'!C26</f>
        <v>Sem 7 - jour 5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>((B6-INT(B6))*24)*D6</f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4.6296296296296293E-4</v>
      </c>
      <c r="C8" s="280">
        <f>Allure102</f>
        <v>3.483796296296296E-3</v>
      </c>
      <c r="D8" s="281">
        <f>Vitesse102</f>
        <v>11.933999999999999</v>
      </c>
      <c r="E8" s="282">
        <f>((B8-INT(B8))*24)*D8</f>
        <v>0.13259999999999997</v>
      </c>
    </row>
    <row r="9" spans="1:5" ht="20.100000000000001" customHeight="1" x14ac:dyDescent="0.4">
      <c r="A9" s="283">
        <f>A8+B8</f>
        <v>1.4351851851851852E-2</v>
      </c>
      <c r="B9" s="284">
        <v>6.9444444444444447E-4</v>
      </c>
      <c r="C9" s="285"/>
      <c r="D9" s="286"/>
      <c r="E9" s="287"/>
    </row>
    <row r="10" spans="1:5" ht="20.100000000000001" customHeight="1" x14ac:dyDescent="0.4">
      <c r="A10" s="289">
        <f t="shared" ref="A10:A32" si="0">A9+B9</f>
        <v>1.5046296296296295E-2</v>
      </c>
      <c r="B10" s="290">
        <v>4.6296296296296293E-4</v>
      </c>
      <c r="C10" s="290">
        <f>Allure102</f>
        <v>3.483796296296296E-3</v>
      </c>
      <c r="D10" s="291">
        <f>Vitesse102</f>
        <v>11.933999999999999</v>
      </c>
      <c r="E10" s="292">
        <f>((B10-INT(B10))*24)*D10</f>
        <v>0.13259999999999997</v>
      </c>
    </row>
    <row r="11" spans="1:5" ht="20.100000000000001" customHeight="1" x14ac:dyDescent="0.4">
      <c r="A11" s="283">
        <f t="shared" si="0"/>
        <v>1.5509259259259259E-2</v>
      </c>
      <c r="B11" s="284">
        <v>6.9444444444444447E-4</v>
      </c>
      <c r="C11" s="285"/>
      <c r="D11" s="286"/>
      <c r="E11" s="287"/>
    </row>
    <row r="12" spans="1:5" ht="20.100000000000001" customHeight="1" x14ac:dyDescent="0.4">
      <c r="A12" s="289">
        <f t="shared" si="0"/>
        <v>1.6203703703703703E-2</v>
      </c>
      <c r="B12" s="290">
        <v>4.6296296296296293E-4</v>
      </c>
      <c r="C12" s="290">
        <f>Allure102</f>
        <v>3.483796296296296E-3</v>
      </c>
      <c r="D12" s="291">
        <f>Vitesse102</f>
        <v>11.933999999999999</v>
      </c>
      <c r="E12" s="292">
        <f>((B12-INT(B12))*24)*D12</f>
        <v>0.13259999999999997</v>
      </c>
    </row>
    <row r="13" spans="1:5" ht="20.100000000000001" customHeight="1" x14ac:dyDescent="0.4">
      <c r="A13" s="283">
        <f t="shared" si="0"/>
        <v>1.6666666666666666E-2</v>
      </c>
      <c r="B13" s="284">
        <v>6.9444444444444447E-4</v>
      </c>
      <c r="C13" s="285"/>
      <c r="D13" s="286"/>
      <c r="E13" s="287"/>
    </row>
    <row r="14" spans="1:5" ht="20.100000000000001" customHeight="1" x14ac:dyDescent="0.4">
      <c r="A14" s="289">
        <f t="shared" si="0"/>
        <v>1.7361111111111112E-2</v>
      </c>
      <c r="B14" s="290">
        <v>4.6296296296296293E-4</v>
      </c>
      <c r="C14" s="290">
        <f>Allure102</f>
        <v>3.483796296296296E-3</v>
      </c>
      <c r="D14" s="291">
        <f>Vitesse102</f>
        <v>11.933999999999999</v>
      </c>
      <c r="E14" s="292">
        <f>((B14-INT(B14))*24)*D14</f>
        <v>0.13259999999999997</v>
      </c>
    </row>
    <row r="15" spans="1:5" ht="20.100000000000001" customHeight="1" x14ac:dyDescent="0.4">
      <c r="A15" s="283">
        <f t="shared" si="0"/>
        <v>1.7824074074074076E-2</v>
      </c>
      <c r="B15" s="284">
        <v>6.9444444444444447E-4</v>
      </c>
      <c r="C15" s="285"/>
      <c r="D15" s="286"/>
      <c r="E15" s="287"/>
    </row>
    <row r="16" spans="1:5" ht="20.100000000000001" customHeight="1" x14ac:dyDescent="0.4">
      <c r="A16" s="289">
        <f t="shared" si="0"/>
        <v>1.8518518518518521E-2</v>
      </c>
      <c r="B16" s="290">
        <v>4.6296296296296293E-4</v>
      </c>
      <c r="C16" s="290">
        <f>Allure102</f>
        <v>3.483796296296296E-3</v>
      </c>
      <c r="D16" s="291">
        <f>Vitesse102</f>
        <v>11.933999999999999</v>
      </c>
      <c r="E16" s="292">
        <f>((B16-INT(B16))*24)*D16</f>
        <v>0.13259999999999997</v>
      </c>
    </row>
    <row r="17" spans="1:5" ht="20.100000000000001" customHeight="1" x14ac:dyDescent="0.4">
      <c r="A17" s="283">
        <f t="shared" si="0"/>
        <v>1.8981481481481485E-2</v>
      </c>
      <c r="B17" s="284">
        <v>6.9444444444444447E-4</v>
      </c>
      <c r="C17" s="285"/>
      <c r="D17" s="286"/>
      <c r="E17" s="287"/>
    </row>
    <row r="18" spans="1:5" ht="20.100000000000001" customHeight="1" x14ac:dyDescent="0.4">
      <c r="A18" s="289">
        <f t="shared" si="0"/>
        <v>1.967592592592593E-2</v>
      </c>
      <c r="B18" s="290">
        <v>4.6296296296296293E-4</v>
      </c>
      <c r="C18" s="290">
        <f>Allure102</f>
        <v>3.483796296296296E-3</v>
      </c>
      <c r="D18" s="291">
        <f>Vitesse102</f>
        <v>11.933999999999999</v>
      </c>
      <c r="E18" s="292">
        <f>((B18-INT(B18))*24)*D18</f>
        <v>0.13259999999999997</v>
      </c>
    </row>
    <row r="19" spans="1:5" ht="20.100000000000001" customHeight="1" thickBot="1" x14ac:dyDescent="0.45">
      <c r="A19" s="293">
        <f t="shared" si="0"/>
        <v>2.0138888888888894E-2</v>
      </c>
      <c r="B19" s="294">
        <v>6.9444444444444447E-4</v>
      </c>
      <c r="C19" s="295"/>
      <c r="D19" s="296"/>
      <c r="E19" s="297"/>
    </row>
    <row r="20" spans="1:5" ht="20.100000000000001" customHeight="1" thickBot="1" x14ac:dyDescent="0.45">
      <c r="A20" s="355">
        <f t="shared" si="0"/>
        <v>2.0833333333333339E-2</v>
      </c>
      <c r="B20" s="353">
        <v>1.3888888888888889E-3</v>
      </c>
      <c r="C20" s="353">
        <f>Allure79</f>
        <v>4.5023148148148149E-3</v>
      </c>
      <c r="D20" s="361">
        <f>Vitesse79</f>
        <v>9.2430000000000003</v>
      </c>
      <c r="E20" s="354">
        <f>((B20-INT(B20))*24)*D20</f>
        <v>0.30809999999999998</v>
      </c>
    </row>
    <row r="21" spans="1:5" ht="20.100000000000001" customHeight="1" x14ac:dyDescent="0.4">
      <c r="A21" s="298">
        <f t="shared" si="0"/>
        <v>2.2222222222222227E-2</v>
      </c>
      <c r="B21" s="299">
        <v>4.6296296296296293E-4</v>
      </c>
      <c r="C21" s="299">
        <f>Allure103</f>
        <v>3.4490740740740745E-3</v>
      </c>
      <c r="D21" s="300">
        <f>Vitesse103</f>
        <v>12.051</v>
      </c>
      <c r="E21" s="301">
        <f>((B21-INT(B21))*24)*D21</f>
        <v>0.13389999999999999</v>
      </c>
    </row>
    <row r="22" spans="1:5" ht="20.100000000000001" customHeight="1" x14ac:dyDescent="0.4">
      <c r="A22" s="340">
        <f t="shared" si="0"/>
        <v>2.268518518518519E-2</v>
      </c>
      <c r="B22" s="302">
        <v>6.9444444444444447E-4</v>
      </c>
      <c r="C22" s="303"/>
      <c r="D22" s="304"/>
      <c r="E22" s="362"/>
    </row>
    <row r="23" spans="1:5" ht="20.100000000000001" customHeight="1" x14ac:dyDescent="0.4">
      <c r="A23" s="283">
        <f t="shared" si="0"/>
        <v>2.3379629629629636E-2</v>
      </c>
      <c r="B23" s="284">
        <v>4.6296296296296293E-4</v>
      </c>
      <c r="C23" s="284">
        <f>Allure103</f>
        <v>3.4490740740740745E-3</v>
      </c>
      <c r="D23" s="286">
        <f>Vitesse103</f>
        <v>12.051</v>
      </c>
      <c r="E23" s="287">
        <f>((B23-INT(B23))*24)*D23</f>
        <v>0.13389999999999999</v>
      </c>
    </row>
    <row r="24" spans="1:5" ht="20.100000000000001" customHeight="1" x14ac:dyDescent="0.4">
      <c r="A24" s="340">
        <f t="shared" si="0"/>
        <v>2.3842592592592599E-2</v>
      </c>
      <c r="B24" s="302">
        <v>6.9444444444444447E-4</v>
      </c>
      <c r="C24" s="303"/>
      <c r="D24" s="304"/>
      <c r="E24" s="362"/>
    </row>
    <row r="25" spans="1:5" ht="20.100000000000001" customHeight="1" x14ac:dyDescent="0.4">
      <c r="A25" s="283">
        <f t="shared" si="0"/>
        <v>2.4537037037037045E-2</v>
      </c>
      <c r="B25" s="284">
        <v>4.6296296296296293E-4</v>
      </c>
      <c r="C25" s="284">
        <f>Allure103</f>
        <v>3.4490740740740745E-3</v>
      </c>
      <c r="D25" s="286">
        <f>Vitesse103</f>
        <v>12.051</v>
      </c>
      <c r="E25" s="287">
        <f>((B25-INT(B25))*24)*D25</f>
        <v>0.13389999999999999</v>
      </c>
    </row>
    <row r="26" spans="1:5" ht="20.100000000000001" customHeight="1" x14ac:dyDescent="0.4">
      <c r="A26" s="340">
        <f t="shared" si="0"/>
        <v>2.5000000000000008E-2</v>
      </c>
      <c r="B26" s="302">
        <v>6.9444444444444447E-4</v>
      </c>
      <c r="C26" s="303"/>
      <c r="D26" s="304"/>
      <c r="E26" s="362"/>
    </row>
    <row r="27" spans="1:5" ht="20.100000000000001" customHeight="1" x14ac:dyDescent="0.4">
      <c r="A27" s="283">
        <f t="shared" si="0"/>
        <v>2.5694444444444454E-2</v>
      </c>
      <c r="B27" s="284">
        <v>4.6296296296296293E-4</v>
      </c>
      <c r="C27" s="284">
        <f>Allure103</f>
        <v>3.4490740740740745E-3</v>
      </c>
      <c r="D27" s="286">
        <f>Vitesse103</f>
        <v>12.051</v>
      </c>
      <c r="E27" s="287">
        <f>((B27-INT(B27))*24)*D27</f>
        <v>0.13389999999999999</v>
      </c>
    </row>
    <row r="28" spans="1:5" ht="20.100000000000001" customHeight="1" x14ac:dyDescent="0.4">
      <c r="A28" s="340">
        <f t="shared" si="0"/>
        <v>2.6157407407407417E-2</v>
      </c>
      <c r="B28" s="302">
        <v>6.9444444444444447E-4</v>
      </c>
      <c r="C28" s="303"/>
      <c r="D28" s="304"/>
      <c r="E28" s="362"/>
    </row>
    <row r="29" spans="1:5" ht="20.100000000000001" customHeight="1" x14ac:dyDescent="0.4">
      <c r="A29" s="283">
        <f t="shared" si="0"/>
        <v>2.6851851851851863E-2</v>
      </c>
      <c r="B29" s="284">
        <v>4.6296296296296293E-4</v>
      </c>
      <c r="C29" s="284">
        <f>Allure103</f>
        <v>3.4490740740740745E-3</v>
      </c>
      <c r="D29" s="286">
        <f>Vitesse103</f>
        <v>12.051</v>
      </c>
      <c r="E29" s="287">
        <f>((B29-INT(B29))*24)*D29</f>
        <v>0.13389999999999999</v>
      </c>
    </row>
    <row r="30" spans="1:5" ht="20.100000000000001" customHeight="1" x14ac:dyDescent="0.4">
      <c r="A30" s="340">
        <f t="shared" si="0"/>
        <v>2.7314814814814826E-2</v>
      </c>
      <c r="B30" s="302">
        <v>6.9444444444444447E-4</v>
      </c>
      <c r="C30" s="303"/>
      <c r="D30" s="304"/>
      <c r="E30" s="362"/>
    </row>
    <row r="31" spans="1:5" ht="20.100000000000001" customHeight="1" x14ac:dyDescent="0.4">
      <c r="A31" s="283">
        <f t="shared" si="0"/>
        <v>2.8009259259259272E-2</v>
      </c>
      <c r="B31" s="284">
        <v>4.6296296296296293E-4</v>
      </c>
      <c r="C31" s="284">
        <f>Allure103</f>
        <v>3.4490740740740745E-3</v>
      </c>
      <c r="D31" s="286">
        <f>Vitesse103</f>
        <v>12.051</v>
      </c>
      <c r="E31" s="287">
        <f>((B31-INT(B31))*24)*D31</f>
        <v>0.13389999999999999</v>
      </c>
    </row>
    <row r="32" spans="1:5" ht="20.100000000000001" customHeight="1" thickBot="1" x14ac:dyDescent="0.45">
      <c r="A32" s="363">
        <f t="shared" si="0"/>
        <v>2.8472222222222236E-2</v>
      </c>
      <c r="B32" s="306">
        <v>6.9444444444444447E-4</v>
      </c>
      <c r="C32" s="307"/>
      <c r="D32" s="308"/>
      <c r="E32" s="364"/>
    </row>
    <row r="33" spans="1:5" ht="20.100000000000001" customHeight="1" thickBot="1" x14ac:dyDescent="0.45">
      <c r="A33" s="705" t="s">
        <v>13</v>
      </c>
      <c r="B33" s="706"/>
      <c r="C33" s="706"/>
      <c r="D33" s="706"/>
      <c r="E33" s="707"/>
    </row>
    <row r="34" spans="1:5" ht="20.100000000000001" customHeight="1" thickBot="1" x14ac:dyDescent="0.45">
      <c r="A34" s="248">
        <f>A32+B32</f>
        <v>2.9166666666666681E-2</v>
      </c>
      <c r="B34" s="240">
        <v>3.472222222222222E-3</v>
      </c>
      <c r="C34" s="240">
        <f>Allure73</f>
        <v>4.8726851851851856E-3</v>
      </c>
      <c r="D34" s="253">
        <f>Vitesse73</f>
        <v>8.5409999999999986</v>
      </c>
      <c r="E34" s="243">
        <f>((B34-INT(B34))*24)*D34</f>
        <v>0.71174999999999988</v>
      </c>
    </row>
    <row r="35" spans="1:5" ht="19.5" customHeight="1" thickBot="1" x14ac:dyDescent="0.45">
      <c r="A35" s="271">
        <f>A34+B34</f>
        <v>3.2638888888888905E-2</v>
      </c>
      <c r="E35" s="256">
        <f>SUM(E4+E5+E6+E8+E10+E12+E14+E16+E18+E20+E21+E23+E25+E27+E29+E31+E34)</f>
        <v>5.5438499999999973</v>
      </c>
    </row>
    <row r="36" spans="1:5" ht="18.75" customHeight="1" x14ac:dyDescent="0.4"/>
  </sheetData>
  <mergeCells count="5">
    <mergeCell ref="A7:E7"/>
    <mergeCell ref="A3:E3"/>
    <mergeCell ref="A2:E2"/>
    <mergeCell ref="A1:E1"/>
    <mergeCell ref="A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3C65AF"/>
    <pageSetUpPr fitToPage="1"/>
  </sheetPr>
  <dimension ref="A1:E38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run'!B27</f>
        <v>Travail pyramidal VMA (à faire 2x)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run'!C27</f>
        <v>Sem 8 - jour 1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>((B6-INT(B6))*24)*D6</f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3.4722222222222224E-4</v>
      </c>
      <c r="C8" s="280">
        <f>Allure104</f>
        <v>3.414351851851852E-3</v>
      </c>
      <c r="D8" s="281">
        <f>Vitesse104</f>
        <v>12.167999999999999</v>
      </c>
      <c r="E8" s="282">
        <f>((B8-INT(B8))*24)*D8</f>
        <v>0.10139999999999999</v>
      </c>
    </row>
    <row r="9" spans="1:5" ht="20.100000000000001" customHeight="1" thickBot="1" x14ac:dyDescent="0.45">
      <c r="A9" s="293">
        <f>A8+B8</f>
        <v>1.4236111111111111E-2</v>
      </c>
      <c r="B9" s="294">
        <v>5.2083333333333333E-4</v>
      </c>
      <c r="C9" s="295"/>
      <c r="D9" s="296"/>
      <c r="E9" s="297"/>
    </row>
    <row r="10" spans="1:5" ht="20.100000000000001" customHeight="1" x14ac:dyDescent="0.4">
      <c r="A10" s="279">
        <f t="shared" ref="A10:A35" si="0">A9+B9</f>
        <v>1.4756944444444444E-2</v>
      </c>
      <c r="B10" s="280">
        <v>6.9444444444444447E-4</v>
      </c>
      <c r="C10" s="280">
        <f>Allure101</f>
        <v>3.5185185185185185E-3</v>
      </c>
      <c r="D10" s="281">
        <f>Vitesse101</f>
        <v>11.817</v>
      </c>
      <c r="E10" s="282">
        <f>((B10-INT(B10))*24)*D10</f>
        <v>0.19695000000000001</v>
      </c>
    </row>
    <row r="11" spans="1:5" ht="20.100000000000001" customHeight="1" thickBot="1" x14ac:dyDescent="0.45">
      <c r="A11" s="293">
        <f t="shared" si="0"/>
        <v>1.5451388888888888E-2</v>
      </c>
      <c r="B11" s="294">
        <v>5.2083333333333333E-4</v>
      </c>
      <c r="C11" s="295"/>
      <c r="D11" s="296"/>
      <c r="E11" s="297"/>
    </row>
    <row r="12" spans="1:5" ht="20.100000000000001" customHeight="1" x14ac:dyDescent="0.4">
      <c r="A12" s="326">
        <f t="shared" si="0"/>
        <v>1.5972222222222221E-2</v>
      </c>
      <c r="B12" s="327">
        <v>1.0416666666666667E-3</v>
      </c>
      <c r="C12" s="327">
        <f>Allure98</f>
        <v>3.6226851851851854E-3</v>
      </c>
      <c r="D12" s="328">
        <f>Vitesse98</f>
        <v>11.465999999999999</v>
      </c>
      <c r="E12" s="329">
        <f>((B12-INT(B12))*24)*D12</f>
        <v>0.28665000000000002</v>
      </c>
    </row>
    <row r="13" spans="1:5" ht="20.100000000000001" customHeight="1" thickBot="1" x14ac:dyDescent="0.45">
      <c r="A13" s="293">
        <f t="shared" si="0"/>
        <v>1.7013888888888887E-2</v>
      </c>
      <c r="B13" s="294">
        <v>5.2083333333333333E-4</v>
      </c>
      <c r="C13" s="295"/>
      <c r="D13" s="296"/>
      <c r="E13" s="297"/>
    </row>
    <row r="14" spans="1:5" ht="20.100000000000001" customHeight="1" x14ac:dyDescent="0.4">
      <c r="A14" s="279">
        <f t="shared" si="0"/>
        <v>1.7534722222222222E-2</v>
      </c>
      <c r="B14" s="280">
        <v>1.3888888888888889E-3</v>
      </c>
      <c r="C14" s="280">
        <f>Allure95</f>
        <v>3.7384259259259263E-3</v>
      </c>
      <c r="D14" s="281">
        <f>Vitesse95</f>
        <v>11.114999999999998</v>
      </c>
      <c r="E14" s="282">
        <f>((B14-INT(B14))*24)*D14</f>
        <v>0.37049999999999994</v>
      </c>
    </row>
    <row r="15" spans="1:5" ht="20.100000000000001" customHeight="1" thickBot="1" x14ac:dyDescent="0.45">
      <c r="A15" s="293">
        <f t="shared" si="0"/>
        <v>1.892361111111111E-2</v>
      </c>
      <c r="B15" s="294">
        <v>5.2083333333333333E-4</v>
      </c>
      <c r="C15" s="295"/>
      <c r="D15" s="296"/>
      <c r="E15" s="297"/>
    </row>
    <row r="16" spans="1:5" ht="20.100000000000001" customHeight="1" x14ac:dyDescent="0.4">
      <c r="A16" s="279">
        <f t="shared" si="0"/>
        <v>1.9444444444444445E-2</v>
      </c>
      <c r="B16" s="280">
        <v>1.0416666666666667E-3</v>
      </c>
      <c r="C16" s="280">
        <f>Allure98</f>
        <v>3.6226851851851854E-3</v>
      </c>
      <c r="D16" s="281">
        <f>Vitesse98</f>
        <v>11.465999999999999</v>
      </c>
      <c r="E16" s="282">
        <f>((B16-INT(B16))*24)*D16</f>
        <v>0.28665000000000002</v>
      </c>
    </row>
    <row r="17" spans="1:5" ht="20.100000000000001" customHeight="1" thickBot="1" x14ac:dyDescent="0.45">
      <c r="A17" s="293">
        <f t="shared" si="0"/>
        <v>2.0486111111111111E-2</v>
      </c>
      <c r="B17" s="294">
        <v>5.2083333333333333E-4</v>
      </c>
      <c r="C17" s="295"/>
      <c r="D17" s="296"/>
      <c r="E17" s="297"/>
    </row>
    <row r="18" spans="1:5" ht="20.100000000000001" customHeight="1" x14ac:dyDescent="0.4">
      <c r="A18" s="279">
        <f t="shared" si="0"/>
        <v>2.1006944444444446E-2</v>
      </c>
      <c r="B18" s="280">
        <v>6.9444444444444447E-4</v>
      </c>
      <c r="C18" s="280">
        <f>Allure101</f>
        <v>3.5185185185185185E-3</v>
      </c>
      <c r="D18" s="281">
        <f>Vitesse101</f>
        <v>11.817</v>
      </c>
      <c r="E18" s="282">
        <f>((B18-INT(B18))*24)*D18</f>
        <v>0.19695000000000001</v>
      </c>
    </row>
    <row r="19" spans="1:5" ht="20.100000000000001" customHeight="1" thickBot="1" x14ac:dyDescent="0.45">
      <c r="A19" s="293">
        <f t="shared" si="0"/>
        <v>2.1701388888888892E-2</v>
      </c>
      <c r="B19" s="294">
        <v>5.2083333333333333E-4</v>
      </c>
      <c r="C19" s="295"/>
      <c r="D19" s="296"/>
      <c r="E19" s="297"/>
    </row>
    <row r="20" spans="1:5" ht="20.100000000000001" customHeight="1" x14ac:dyDescent="0.4">
      <c r="A20" s="279">
        <f t="shared" si="0"/>
        <v>2.2222222222222227E-2</v>
      </c>
      <c r="B20" s="280">
        <v>3.4722222222222224E-4</v>
      </c>
      <c r="C20" s="280">
        <f>Allure104</f>
        <v>3.414351851851852E-3</v>
      </c>
      <c r="D20" s="281">
        <f>Vitesse104</f>
        <v>12.167999999999999</v>
      </c>
      <c r="E20" s="282">
        <f>((B20-INT(B20))*24)*D20</f>
        <v>0.10139999999999999</v>
      </c>
    </row>
    <row r="21" spans="1:5" ht="20.100000000000001" customHeight="1" thickBot="1" x14ac:dyDescent="0.45">
      <c r="A21" s="293">
        <f t="shared" si="0"/>
        <v>2.2569444444444448E-2</v>
      </c>
      <c r="B21" s="294">
        <v>2.0833333333333333E-3</v>
      </c>
      <c r="C21" s="295"/>
      <c r="D21" s="296"/>
      <c r="E21" s="297"/>
    </row>
    <row r="22" spans="1:5" ht="20.100000000000001" customHeight="1" x14ac:dyDescent="0.4">
      <c r="A22" s="326">
        <f t="shared" si="0"/>
        <v>2.465277777777778E-2</v>
      </c>
      <c r="B22" s="327">
        <v>3.4722222222222224E-4</v>
      </c>
      <c r="C22" s="327">
        <f>Allure104</f>
        <v>3.414351851851852E-3</v>
      </c>
      <c r="D22" s="328">
        <f>Vitesse104</f>
        <v>12.167999999999999</v>
      </c>
      <c r="E22" s="329">
        <f>((B22-INT(B22))*24)*D22</f>
        <v>0.10139999999999999</v>
      </c>
    </row>
    <row r="23" spans="1:5" ht="20.100000000000001" customHeight="1" thickBot="1" x14ac:dyDescent="0.45">
      <c r="A23" s="293">
        <f t="shared" si="0"/>
        <v>2.5000000000000001E-2</v>
      </c>
      <c r="B23" s="294">
        <v>5.2083333333333333E-4</v>
      </c>
      <c r="C23" s="295"/>
      <c r="D23" s="296"/>
      <c r="E23" s="297"/>
    </row>
    <row r="24" spans="1:5" ht="20.100000000000001" customHeight="1" x14ac:dyDescent="0.4">
      <c r="A24" s="279">
        <f t="shared" si="0"/>
        <v>2.5520833333333336E-2</v>
      </c>
      <c r="B24" s="280">
        <v>6.9444444444444447E-4</v>
      </c>
      <c r="C24" s="280">
        <f>Allure101</f>
        <v>3.5185185185185185E-3</v>
      </c>
      <c r="D24" s="281">
        <f>Vitesse101</f>
        <v>11.817</v>
      </c>
      <c r="E24" s="282">
        <f>((B24-INT(B24))*24)*D24</f>
        <v>0.19695000000000001</v>
      </c>
    </row>
    <row r="25" spans="1:5" ht="20.100000000000001" customHeight="1" thickBot="1" x14ac:dyDescent="0.45">
      <c r="A25" s="293">
        <f t="shared" si="0"/>
        <v>2.6215277777777782E-2</v>
      </c>
      <c r="B25" s="294">
        <v>5.2083333333333333E-4</v>
      </c>
      <c r="C25" s="295"/>
      <c r="D25" s="296"/>
      <c r="E25" s="297"/>
    </row>
    <row r="26" spans="1:5" ht="20.100000000000001" customHeight="1" x14ac:dyDescent="0.4">
      <c r="A26" s="279">
        <f t="shared" si="0"/>
        <v>2.6736111111111117E-2</v>
      </c>
      <c r="B26" s="280">
        <v>1.0416666666666667E-3</v>
      </c>
      <c r="C26" s="280">
        <f>Allure98</f>
        <v>3.6226851851851854E-3</v>
      </c>
      <c r="D26" s="281">
        <f>Vitesse98</f>
        <v>11.465999999999999</v>
      </c>
      <c r="E26" s="282">
        <f>((B26-INT(B26))*24)*D26</f>
        <v>0.28665000000000002</v>
      </c>
    </row>
    <row r="27" spans="1:5" ht="20.100000000000001" customHeight="1" thickBot="1" x14ac:dyDescent="0.45">
      <c r="A27" s="293">
        <f t="shared" si="0"/>
        <v>2.7777777777777783E-2</v>
      </c>
      <c r="B27" s="294">
        <v>5.2083333333333333E-4</v>
      </c>
      <c r="C27" s="295"/>
      <c r="D27" s="296"/>
      <c r="E27" s="297"/>
    </row>
    <row r="28" spans="1:5" ht="20.100000000000001" customHeight="1" x14ac:dyDescent="0.4">
      <c r="A28" s="279">
        <f t="shared" si="0"/>
        <v>2.8298611111111118E-2</v>
      </c>
      <c r="B28" s="280">
        <v>1.3888888888888889E-3</v>
      </c>
      <c r="C28" s="280">
        <f>Allure95</f>
        <v>3.7384259259259263E-3</v>
      </c>
      <c r="D28" s="281">
        <f>Vitesse95</f>
        <v>11.114999999999998</v>
      </c>
      <c r="E28" s="282">
        <f>((B28-INT(B28))*24)*D28</f>
        <v>0.37049999999999994</v>
      </c>
    </row>
    <row r="29" spans="1:5" ht="20.100000000000001" customHeight="1" thickBot="1" x14ac:dyDescent="0.45">
      <c r="A29" s="293">
        <f t="shared" si="0"/>
        <v>2.9687500000000006E-2</v>
      </c>
      <c r="B29" s="294">
        <v>5.2083333333333333E-4</v>
      </c>
      <c r="C29" s="295"/>
      <c r="D29" s="296"/>
      <c r="E29" s="297"/>
    </row>
    <row r="30" spans="1:5" ht="20.100000000000001" customHeight="1" x14ac:dyDescent="0.4">
      <c r="A30" s="279">
        <f t="shared" si="0"/>
        <v>3.0208333333333341E-2</v>
      </c>
      <c r="B30" s="280">
        <v>1.0416666666666667E-3</v>
      </c>
      <c r="C30" s="280">
        <f>Allure98</f>
        <v>3.6226851851851854E-3</v>
      </c>
      <c r="D30" s="281">
        <f>Vitesse98</f>
        <v>11.465999999999999</v>
      </c>
      <c r="E30" s="282">
        <f>((B30-INT(B30))*24)*D30</f>
        <v>0.28665000000000002</v>
      </c>
    </row>
    <row r="31" spans="1:5" ht="20.100000000000001" customHeight="1" thickBot="1" x14ac:dyDescent="0.45">
      <c r="A31" s="293">
        <f t="shared" si="0"/>
        <v>3.1250000000000007E-2</v>
      </c>
      <c r="B31" s="294">
        <v>5.2083333333333333E-4</v>
      </c>
      <c r="C31" s="295"/>
      <c r="D31" s="296"/>
      <c r="E31" s="297"/>
    </row>
    <row r="32" spans="1:5" ht="20.100000000000001" customHeight="1" x14ac:dyDescent="0.4">
      <c r="A32" s="279">
        <f t="shared" si="0"/>
        <v>3.1770833333333338E-2</v>
      </c>
      <c r="B32" s="280">
        <v>6.9444444444444447E-4</v>
      </c>
      <c r="C32" s="280">
        <f>Allure101</f>
        <v>3.5185185185185185E-3</v>
      </c>
      <c r="D32" s="281">
        <f>Vitesse101</f>
        <v>11.817</v>
      </c>
      <c r="E32" s="282">
        <f>((B32-INT(B32))*24)*D32</f>
        <v>0.19695000000000001</v>
      </c>
    </row>
    <row r="33" spans="1:5" ht="20.100000000000001" customHeight="1" thickBot="1" x14ac:dyDescent="0.45">
      <c r="A33" s="293">
        <f t="shared" si="0"/>
        <v>3.246527777777778E-2</v>
      </c>
      <c r="B33" s="294">
        <v>5.2083333333333333E-4</v>
      </c>
      <c r="C33" s="295"/>
      <c r="D33" s="296"/>
      <c r="E33" s="297"/>
    </row>
    <row r="34" spans="1:5" ht="20.100000000000001" customHeight="1" x14ac:dyDescent="0.4">
      <c r="A34" s="279">
        <f t="shared" si="0"/>
        <v>3.2986111111111112E-2</v>
      </c>
      <c r="B34" s="280">
        <v>3.4722222222222224E-4</v>
      </c>
      <c r="C34" s="280">
        <f>Allure104</f>
        <v>3.414351851851852E-3</v>
      </c>
      <c r="D34" s="281">
        <f>Vitesse104</f>
        <v>12.167999999999999</v>
      </c>
      <c r="E34" s="282">
        <f>((B34-INT(B34))*24)*D34</f>
        <v>0.10139999999999999</v>
      </c>
    </row>
    <row r="35" spans="1:5" ht="20.100000000000001" customHeight="1" thickBot="1" x14ac:dyDescent="0.45">
      <c r="A35" s="293">
        <f t="shared" si="0"/>
        <v>3.3333333333333333E-2</v>
      </c>
      <c r="B35" s="294">
        <v>6.9444444444444447E-4</v>
      </c>
      <c r="C35" s="295"/>
      <c r="D35" s="296"/>
      <c r="E35" s="297"/>
    </row>
    <row r="36" spans="1:5" ht="20.100000000000001" customHeight="1" thickBot="1" x14ac:dyDescent="0.45">
      <c r="A36" s="705" t="s">
        <v>13</v>
      </c>
      <c r="B36" s="706"/>
      <c r="C36" s="706"/>
      <c r="D36" s="706"/>
      <c r="E36" s="707"/>
    </row>
    <row r="37" spans="1:5" ht="20.100000000000001" customHeight="1" thickBot="1" x14ac:dyDescent="0.45">
      <c r="A37" s="248">
        <f>A35+B35</f>
        <v>3.4027777777777775E-2</v>
      </c>
      <c r="B37" s="240">
        <v>3.472222222222222E-3</v>
      </c>
      <c r="C37" s="240">
        <f>Allure73</f>
        <v>4.8726851851851856E-3</v>
      </c>
      <c r="D37" s="253">
        <f>Vitesse73</f>
        <v>8.5409999999999986</v>
      </c>
      <c r="E37" s="243">
        <f>((B37-INT(B37))*24)*D37</f>
        <v>0.71174999999999988</v>
      </c>
    </row>
    <row r="38" spans="1:5" ht="19.5" customHeight="1" thickBot="1" x14ac:dyDescent="0.45">
      <c r="A38" s="337">
        <f>A37+B37</f>
        <v>3.7499999999999999E-2</v>
      </c>
      <c r="E38" s="256">
        <f>SUM(E4+E5+E6+E8+E10+E12+E14+E16+E18+E20+E37+E22+E24+E26+E28+E30+E32+E34)</f>
        <v>6.7177499999999988</v>
      </c>
    </row>
  </sheetData>
  <mergeCells count="5">
    <mergeCell ref="A7:E7"/>
    <mergeCell ref="A3:E3"/>
    <mergeCell ref="A2:E2"/>
    <mergeCell ref="A1:E1"/>
    <mergeCell ref="A36:E3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3C65AF"/>
    <pageSetUpPr fitToPage="1"/>
  </sheetPr>
  <dimension ref="A1:E15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run'!B28</f>
        <v>Footing actif progressif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run'!C28</f>
        <v>Sem 8 - jour 3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3.472222222222222E-3</v>
      </c>
      <c r="C5" s="245">
        <f>Allure75</f>
        <v>4.7453703703703703E-3</v>
      </c>
      <c r="D5" s="246">
        <f>Vitesse75</f>
        <v>8.7749999999999986</v>
      </c>
      <c r="E5" s="247">
        <f t="shared" ref="E5:E13" si="0">((B5-INT(B5))*24)*D5</f>
        <v>0.73124999999999984</v>
      </c>
    </row>
    <row r="6" spans="1:5" ht="20.100000000000001" customHeight="1" thickBot="1" x14ac:dyDescent="0.45">
      <c r="A6" s="266">
        <f>A5+B5</f>
        <v>6.9444444444444441E-3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thickBot="1" x14ac:dyDescent="0.45">
      <c r="A8" s="248">
        <f>A6+B6</f>
        <v>1.0416666666666666E-2</v>
      </c>
      <c r="B8" s="240">
        <v>3.472222222222222E-3</v>
      </c>
      <c r="C8" s="240">
        <f>Allure78</f>
        <v>4.5601851851851853E-3</v>
      </c>
      <c r="D8" s="253">
        <f>Vitesse78</f>
        <v>9.1259999999999994</v>
      </c>
      <c r="E8" s="243">
        <f t="shared" si="0"/>
        <v>0.76049999999999995</v>
      </c>
    </row>
    <row r="9" spans="1:5" ht="20.100000000000001" customHeight="1" thickBot="1" x14ac:dyDescent="0.45">
      <c r="A9" s="318">
        <f>A8+B8</f>
        <v>1.3888888888888888E-2</v>
      </c>
      <c r="B9" s="319">
        <v>6.9444444444444441E-3</v>
      </c>
      <c r="C9" s="319">
        <f>Allure87</f>
        <v>4.0856481481481481E-3</v>
      </c>
      <c r="D9" s="321">
        <f>Vitesse87</f>
        <v>10.178999999999998</v>
      </c>
      <c r="E9" s="322">
        <f t="shared" si="0"/>
        <v>1.6964999999999997</v>
      </c>
    </row>
    <row r="10" spans="1:5" ht="20.100000000000001" customHeight="1" thickBot="1" x14ac:dyDescent="0.45">
      <c r="A10" s="248">
        <f>A9+B9</f>
        <v>2.0833333333333332E-2</v>
      </c>
      <c r="B10" s="240">
        <v>3.472222222222222E-3</v>
      </c>
      <c r="C10" s="240">
        <f>Allure89</f>
        <v>3.9930555555555561E-3</v>
      </c>
      <c r="D10" s="253">
        <f>Vitesse89</f>
        <v>10.413</v>
      </c>
      <c r="E10" s="243">
        <f t="shared" si="0"/>
        <v>0.86775000000000002</v>
      </c>
    </row>
    <row r="11" spans="1:5" ht="20.100000000000001" customHeight="1" thickBot="1" x14ac:dyDescent="0.45">
      <c r="A11" s="318">
        <f>A10+B10</f>
        <v>2.4305555555555552E-2</v>
      </c>
      <c r="B11" s="319">
        <v>3.472222222222222E-3</v>
      </c>
      <c r="C11" s="319">
        <f>Allure90</f>
        <v>3.9467592592592592E-3</v>
      </c>
      <c r="D11" s="321">
        <f>Vitesse90</f>
        <v>10.53</v>
      </c>
      <c r="E11" s="247">
        <f t="shared" si="0"/>
        <v>0.87749999999999995</v>
      </c>
    </row>
    <row r="12" spans="1:5" ht="20.100000000000001" customHeight="1" thickBot="1" x14ac:dyDescent="0.45">
      <c r="A12" s="708" t="s">
        <v>13</v>
      </c>
      <c r="B12" s="709"/>
      <c r="C12" s="709"/>
      <c r="D12" s="709"/>
      <c r="E12" s="710"/>
    </row>
    <row r="13" spans="1:5" ht="20.100000000000001" customHeight="1" thickBot="1" x14ac:dyDescent="0.45">
      <c r="A13" s="248">
        <f>A11+B11</f>
        <v>2.7777777777777776E-2</v>
      </c>
      <c r="B13" s="240">
        <v>3.472222222222222E-3</v>
      </c>
      <c r="C13" s="240">
        <f>Allure73</f>
        <v>4.8726851851851856E-3</v>
      </c>
      <c r="D13" s="253">
        <f>Vitesse73</f>
        <v>8.5409999999999986</v>
      </c>
      <c r="E13" s="243">
        <f t="shared" si="0"/>
        <v>0.71174999999999988</v>
      </c>
    </row>
    <row r="14" spans="1:5" ht="19.5" customHeight="1" thickBot="1" x14ac:dyDescent="0.45">
      <c r="A14" s="271">
        <f>A13+B13</f>
        <v>3.125E-2</v>
      </c>
      <c r="E14" s="256">
        <f>SUM(E4+E5+E6+E8+E9+E10+E11+E13)</f>
        <v>7.1077499999999993</v>
      </c>
    </row>
    <row r="15" spans="1:5" ht="19.5" customHeight="1" x14ac:dyDescent="0.4"/>
  </sheetData>
  <mergeCells count="5">
    <mergeCell ref="A1:E1"/>
    <mergeCell ref="A2:E2"/>
    <mergeCell ref="A3:E3"/>
    <mergeCell ref="A7:E7"/>
    <mergeCell ref="A12:E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rgb="FF3C65AF"/>
    <pageSetUpPr fitToPage="1"/>
  </sheetPr>
  <dimension ref="A1:E24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run'!B29</f>
        <v>Travail allure 1000 m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run'!C29</f>
        <v>Sem 8 - jour 5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23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4.4328703703703709E-3</v>
      </c>
      <c r="C8" s="280">
        <f>Allure87</f>
        <v>4.0856481481481481E-3</v>
      </c>
      <c r="D8" s="281">
        <f>Vitesse87</f>
        <v>10.178999999999998</v>
      </c>
      <c r="E8" s="282">
        <f t="shared" si="0"/>
        <v>1.0829324999999999</v>
      </c>
    </row>
    <row r="9" spans="1:5" ht="20.100000000000001" customHeight="1" x14ac:dyDescent="0.4">
      <c r="A9" s="283">
        <f>A8+B8</f>
        <v>1.832175925925926E-2</v>
      </c>
      <c r="B9" s="284">
        <v>1.0416666666666667E-3</v>
      </c>
      <c r="C9" s="285"/>
      <c r="D9" s="286"/>
      <c r="E9" s="287"/>
    </row>
    <row r="10" spans="1:5" ht="20.100000000000001" customHeight="1" x14ac:dyDescent="0.4">
      <c r="A10" s="289">
        <f t="shared" ref="A10:A21" si="1">A9+B9</f>
        <v>1.9363425925925926E-2</v>
      </c>
      <c r="B10" s="290">
        <v>4.4328703703703709E-3</v>
      </c>
      <c r="C10" s="290">
        <f>Allure87</f>
        <v>4.0856481481481481E-3</v>
      </c>
      <c r="D10" s="291">
        <f>Vitesse87</f>
        <v>10.178999999999998</v>
      </c>
      <c r="E10" s="292">
        <f t="shared" si="0"/>
        <v>1.0829324999999999</v>
      </c>
    </row>
    <row r="11" spans="1:5" ht="20.100000000000001" customHeight="1" x14ac:dyDescent="0.4">
      <c r="A11" s="283">
        <f t="shared" si="1"/>
        <v>2.3796296296296298E-2</v>
      </c>
      <c r="B11" s="284">
        <v>1.0416666666666667E-3</v>
      </c>
      <c r="C11" s="285"/>
      <c r="D11" s="286"/>
      <c r="E11" s="287"/>
    </row>
    <row r="12" spans="1:5" ht="20.100000000000001" customHeight="1" x14ac:dyDescent="0.4">
      <c r="A12" s="289">
        <f t="shared" si="1"/>
        <v>2.4837962962962964E-2</v>
      </c>
      <c r="B12" s="290">
        <v>4.4328703703703709E-3</v>
      </c>
      <c r="C12" s="290">
        <f>Allure87</f>
        <v>4.0856481481481481E-3</v>
      </c>
      <c r="D12" s="291">
        <f>Vitesse87</f>
        <v>10.178999999999998</v>
      </c>
      <c r="E12" s="292">
        <f t="shared" si="0"/>
        <v>1.0829324999999999</v>
      </c>
    </row>
    <row r="13" spans="1:5" ht="20.100000000000001" customHeight="1" x14ac:dyDescent="0.4">
      <c r="A13" s="283">
        <f t="shared" si="1"/>
        <v>2.9270833333333336E-2</v>
      </c>
      <c r="B13" s="284">
        <v>1.0416666666666667E-3</v>
      </c>
      <c r="C13" s="285"/>
      <c r="D13" s="286"/>
      <c r="E13" s="287"/>
    </row>
    <row r="14" spans="1:5" ht="20.100000000000001" customHeight="1" x14ac:dyDescent="0.4">
      <c r="A14" s="289">
        <f t="shared" si="1"/>
        <v>3.0312500000000003E-2</v>
      </c>
      <c r="B14" s="290">
        <v>4.4328703703703709E-3</v>
      </c>
      <c r="C14" s="290">
        <f>Allure87</f>
        <v>4.0856481481481481E-3</v>
      </c>
      <c r="D14" s="291">
        <f>Vitesse87</f>
        <v>10.178999999999998</v>
      </c>
      <c r="E14" s="292">
        <f t="shared" si="0"/>
        <v>1.0829324999999999</v>
      </c>
    </row>
    <row r="15" spans="1:5" ht="20.100000000000001" customHeight="1" thickBot="1" x14ac:dyDescent="0.45">
      <c r="A15" s="356">
        <f t="shared" si="1"/>
        <v>3.4745370370370371E-2</v>
      </c>
      <c r="B15" s="357">
        <v>1.0416666666666667E-3</v>
      </c>
      <c r="C15" s="358"/>
      <c r="D15" s="359"/>
      <c r="E15" s="360"/>
    </row>
    <row r="16" spans="1:5" ht="20.100000000000001" customHeight="1" x14ac:dyDescent="0.4">
      <c r="A16" s="279">
        <f t="shared" si="1"/>
        <v>3.5787037037037041E-2</v>
      </c>
      <c r="B16" s="280">
        <v>4.6296296296296293E-4</v>
      </c>
      <c r="C16" s="280">
        <f>Allure103</f>
        <v>3.4490740740740745E-3</v>
      </c>
      <c r="D16" s="281">
        <f>Vitesse103</f>
        <v>12.051</v>
      </c>
      <c r="E16" s="282">
        <f t="shared" si="0"/>
        <v>0.13389999999999999</v>
      </c>
    </row>
    <row r="17" spans="1:5" ht="20.100000000000001" customHeight="1" x14ac:dyDescent="0.4">
      <c r="A17" s="283">
        <f t="shared" si="1"/>
        <v>3.6250000000000004E-2</v>
      </c>
      <c r="B17" s="284">
        <v>2.3148148148148146E-4</v>
      </c>
      <c r="C17" s="284"/>
      <c r="D17" s="286"/>
      <c r="E17" s="287"/>
    </row>
    <row r="18" spans="1:5" ht="20.100000000000001" customHeight="1" x14ac:dyDescent="0.4">
      <c r="A18" s="289">
        <f t="shared" si="1"/>
        <v>3.6481481481481483E-2</v>
      </c>
      <c r="B18" s="290">
        <v>4.6296296296296293E-4</v>
      </c>
      <c r="C18" s="290">
        <f>Allure103</f>
        <v>3.4490740740740745E-3</v>
      </c>
      <c r="D18" s="291">
        <f>Vitesse103</f>
        <v>12.051</v>
      </c>
      <c r="E18" s="362">
        <f t="shared" si="0"/>
        <v>0.13389999999999999</v>
      </c>
    </row>
    <row r="19" spans="1:5" ht="20.100000000000001" customHeight="1" x14ac:dyDescent="0.4">
      <c r="A19" s="283">
        <f t="shared" si="1"/>
        <v>3.6944444444444446E-2</v>
      </c>
      <c r="B19" s="284">
        <v>2.3148148148148146E-4</v>
      </c>
      <c r="C19" s="284"/>
      <c r="D19" s="286"/>
      <c r="E19" s="287"/>
    </row>
    <row r="20" spans="1:5" ht="20.100000000000001" customHeight="1" x14ac:dyDescent="0.4">
      <c r="A20" s="289">
        <f t="shared" si="1"/>
        <v>3.7175925925925925E-2</v>
      </c>
      <c r="B20" s="290">
        <v>4.6296296296296293E-4</v>
      </c>
      <c r="C20" s="290">
        <f>Allure103</f>
        <v>3.4490740740740745E-3</v>
      </c>
      <c r="D20" s="291">
        <f>Vitesse103</f>
        <v>12.051</v>
      </c>
      <c r="E20" s="362">
        <f t="shared" si="0"/>
        <v>0.13389999999999999</v>
      </c>
    </row>
    <row r="21" spans="1:5" ht="20.100000000000001" customHeight="1" thickBot="1" x14ac:dyDescent="0.45">
      <c r="A21" s="293">
        <f t="shared" si="1"/>
        <v>3.7638888888888888E-2</v>
      </c>
      <c r="B21" s="294">
        <v>2.3148148148148146E-4</v>
      </c>
      <c r="C21" s="294"/>
      <c r="D21" s="296"/>
      <c r="E21" s="297"/>
    </row>
    <row r="22" spans="1:5" ht="20.100000000000001" customHeight="1" thickBot="1" x14ac:dyDescent="0.45">
      <c r="A22" s="705" t="s">
        <v>13</v>
      </c>
      <c r="B22" s="706"/>
      <c r="C22" s="706"/>
      <c r="D22" s="706"/>
      <c r="E22" s="707"/>
    </row>
    <row r="23" spans="1:5" ht="20.100000000000001" customHeight="1" thickBot="1" x14ac:dyDescent="0.45">
      <c r="A23" s="248">
        <f>A21+B21</f>
        <v>3.7870370370370367E-2</v>
      </c>
      <c r="B23" s="240">
        <v>3.472222222222222E-3</v>
      </c>
      <c r="C23" s="240">
        <f>Allure73</f>
        <v>4.8726851851851856E-3</v>
      </c>
      <c r="D23" s="253">
        <f>Vitesse73</f>
        <v>8.5409999999999986</v>
      </c>
      <c r="E23" s="243">
        <f t="shared" si="0"/>
        <v>0.71174999999999988</v>
      </c>
    </row>
    <row r="24" spans="1:5" ht="19.5" customHeight="1" thickBot="1" x14ac:dyDescent="0.45">
      <c r="A24" s="337">
        <f>A23+B23</f>
        <v>4.1342592592592591E-2</v>
      </c>
      <c r="E24" s="256">
        <f>SUM(E4+E5+E6+E8+E10+E12+E14+E16+E18+E20+E23)</f>
        <v>8.3701799999999995</v>
      </c>
    </row>
  </sheetData>
  <mergeCells count="5">
    <mergeCell ref="A1:E1"/>
    <mergeCell ref="A2:E2"/>
    <mergeCell ref="A3:E3"/>
    <mergeCell ref="A7:E7"/>
    <mergeCell ref="A22:E2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9">
    <tabColor rgb="FF3C65AF"/>
    <pageSetUpPr fitToPage="1"/>
  </sheetPr>
  <dimension ref="A1:E36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run'!B30</f>
        <v>Travail VMA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run'!C30</f>
        <v>Sem 9 - jour 1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35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1.0416666666666667E-3</v>
      </c>
      <c r="C8" s="280">
        <f>Allure98</f>
        <v>3.6226851851851854E-3</v>
      </c>
      <c r="D8" s="281">
        <f>Vitesse98</f>
        <v>11.465999999999999</v>
      </c>
      <c r="E8" s="282">
        <f t="shared" si="0"/>
        <v>0.28665000000000002</v>
      </c>
    </row>
    <row r="9" spans="1:5" ht="20.100000000000001" customHeight="1" x14ac:dyDescent="0.4">
      <c r="A9" s="283">
        <f>A8+B8</f>
        <v>1.4930555555555555E-2</v>
      </c>
      <c r="B9" s="284">
        <v>5.2083333333333333E-4</v>
      </c>
      <c r="C9" s="285"/>
      <c r="D9" s="286"/>
      <c r="E9" s="287"/>
    </row>
    <row r="10" spans="1:5" ht="20.100000000000001" customHeight="1" x14ac:dyDescent="0.4">
      <c r="A10" s="289">
        <f t="shared" ref="A10:A33" si="1">A9+B9</f>
        <v>1.5451388888888888E-2</v>
      </c>
      <c r="B10" s="290">
        <v>1.0416666666666667E-3</v>
      </c>
      <c r="C10" s="290">
        <f>Allure98</f>
        <v>3.6226851851851854E-3</v>
      </c>
      <c r="D10" s="291">
        <f>Vitesse98</f>
        <v>11.465999999999999</v>
      </c>
      <c r="E10" s="292">
        <f t="shared" si="0"/>
        <v>0.28665000000000002</v>
      </c>
    </row>
    <row r="11" spans="1:5" ht="20.100000000000001" customHeight="1" x14ac:dyDescent="0.4">
      <c r="A11" s="283">
        <f t="shared" si="1"/>
        <v>1.6493055555555556E-2</v>
      </c>
      <c r="B11" s="284">
        <v>5.2083333333333333E-4</v>
      </c>
      <c r="C11" s="285"/>
      <c r="D11" s="286"/>
      <c r="E11" s="287"/>
    </row>
    <row r="12" spans="1:5" ht="20.100000000000001" customHeight="1" x14ac:dyDescent="0.4">
      <c r="A12" s="289">
        <f t="shared" si="1"/>
        <v>1.7013888888888891E-2</v>
      </c>
      <c r="B12" s="290">
        <v>1.0416666666666667E-3</v>
      </c>
      <c r="C12" s="290">
        <f>Allure98</f>
        <v>3.6226851851851854E-3</v>
      </c>
      <c r="D12" s="291">
        <f>Vitesse98</f>
        <v>11.465999999999999</v>
      </c>
      <c r="E12" s="292">
        <f t="shared" si="0"/>
        <v>0.28665000000000002</v>
      </c>
    </row>
    <row r="13" spans="1:5" ht="20.100000000000001" customHeight="1" x14ac:dyDescent="0.4">
      <c r="A13" s="283">
        <f t="shared" si="1"/>
        <v>1.8055555555555557E-2</v>
      </c>
      <c r="B13" s="284">
        <v>5.2083333333333333E-4</v>
      </c>
      <c r="C13" s="285"/>
      <c r="D13" s="286"/>
      <c r="E13" s="287"/>
    </row>
    <row r="14" spans="1:5" ht="20.100000000000001" customHeight="1" x14ac:dyDescent="0.4">
      <c r="A14" s="289">
        <f t="shared" si="1"/>
        <v>1.8576388888888892E-2</v>
      </c>
      <c r="B14" s="290">
        <v>1.0416666666666667E-3</v>
      </c>
      <c r="C14" s="290">
        <f>Allure98</f>
        <v>3.6226851851851854E-3</v>
      </c>
      <c r="D14" s="291">
        <f>Vitesse98</f>
        <v>11.465999999999999</v>
      </c>
      <c r="E14" s="292">
        <f t="shared" si="0"/>
        <v>0.28665000000000002</v>
      </c>
    </row>
    <row r="15" spans="1:5" ht="20.100000000000001" customHeight="1" x14ac:dyDescent="0.4">
      <c r="A15" s="283">
        <f t="shared" si="1"/>
        <v>1.9618055555555559E-2</v>
      </c>
      <c r="B15" s="284">
        <v>5.2083333333333333E-4</v>
      </c>
      <c r="C15" s="285"/>
      <c r="D15" s="286"/>
      <c r="E15" s="287"/>
    </row>
    <row r="16" spans="1:5" ht="20.100000000000001" customHeight="1" x14ac:dyDescent="0.4">
      <c r="A16" s="289">
        <f t="shared" si="1"/>
        <v>2.0138888888888894E-2</v>
      </c>
      <c r="B16" s="290">
        <v>1.0416666666666667E-3</v>
      </c>
      <c r="C16" s="290">
        <f>Allure98</f>
        <v>3.6226851851851854E-3</v>
      </c>
      <c r="D16" s="291">
        <f>Vitesse98</f>
        <v>11.465999999999999</v>
      </c>
      <c r="E16" s="292">
        <f t="shared" si="0"/>
        <v>0.28665000000000002</v>
      </c>
    </row>
    <row r="17" spans="1:5" ht="20.100000000000001" customHeight="1" x14ac:dyDescent="0.4">
      <c r="A17" s="283">
        <f t="shared" si="1"/>
        <v>2.118055555555556E-2</v>
      </c>
      <c r="B17" s="284">
        <v>5.2083333333333333E-4</v>
      </c>
      <c r="C17" s="285"/>
      <c r="D17" s="286"/>
      <c r="E17" s="287"/>
    </row>
    <row r="18" spans="1:5" ht="20.100000000000001" customHeight="1" x14ac:dyDescent="0.4">
      <c r="A18" s="289">
        <f t="shared" si="1"/>
        <v>2.1701388888888895E-2</v>
      </c>
      <c r="B18" s="290">
        <v>1.0416666666666667E-3</v>
      </c>
      <c r="C18" s="290">
        <f>Allure98</f>
        <v>3.6226851851851854E-3</v>
      </c>
      <c r="D18" s="291">
        <f>Vitesse98</f>
        <v>11.465999999999999</v>
      </c>
      <c r="E18" s="292">
        <f t="shared" si="0"/>
        <v>0.28665000000000002</v>
      </c>
    </row>
    <row r="19" spans="1:5" ht="20.100000000000001" customHeight="1" thickBot="1" x14ac:dyDescent="0.45">
      <c r="A19" s="293">
        <f t="shared" si="1"/>
        <v>2.2743055555555561E-2</v>
      </c>
      <c r="B19" s="294">
        <v>5.2083333333333333E-4</v>
      </c>
      <c r="C19" s="295"/>
      <c r="D19" s="296"/>
      <c r="E19" s="297"/>
    </row>
    <row r="20" spans="1:5" ht="20.100000000000001" customHeight="1" thickBot="1" x14ac:dyDescent="0.45">
      <c r="A20" s="365">
        <f t="shared" si="1"/>
        <v>2.3263888888888896E-2</v>
      </c>
      <c r="B20" s="366">
        <v>1.3888888888888889E-3</v>
      </c>
      <c r="C20" s="366">
        <f>Allure82</f>
        <v>4.340277777777778E-3</v>
      </c>
      <c r="D20" s="367">
        <f>Vitesse82</f>
        <v>9.5939999999999994</v>
      </c>
      <c r="E20" s="277">
        <f t="shared" si="0"/>
        <v>0.31979999999999997</v>
      </c>
    </row>
    <row r="21" spans="1:5" ht="20.100000000000001" customHeight="1" x14ac:dyDescent="0.4">
      <c r="A21" s="298">
        <f t="shared" si="1"/>
        <v>2.4652777777777784E-2</v>
      </c>
      <c r="B21" s="299">
        <v>1.0416666666666667E-3</v>
      </c>
      <c r="C21" s="299">
        <f>Allure100</f>
        <v>3.5532407407407405E-3</v>
      </c>
      <c r="D21" s="300">
        <f>Vitesse100</f>
        <v>11.7</v>
      </c>
      <c r="E21" s="301">
        <f t="shared" si="0"/>
        <v>0.29249999999999998</v>
      </c>
    </row>
    <row r="22" spans="1:5" ht="20.100000000000001" customHeight="1" x14ac:dyDescent="0.4">
      <c r="A22" s="340">
        <f t="shared" si="1"/>
        <v>2.569444444444445E-2</v>
      </c>
      <c r="B22" s="302">
        <v>5.2083333333333333E-4</v>
      </c>
      <c r="C22" s="302"/>
      <c r="D22" s="304"/>
      <c r="E22" s="292"/>
    </row>
    <row r="23" spans="1:5" ht="20.100000000000001" customHeight="1" x14ac:dyDescent="0.4">
      <c r="A23" s="283">
        <f t="shared" si="1"/>
        <v>2.6215277777777785E-2</v>
      </c>
      <c r="B23" s="284">
        <v>1.0416666666666667E-3</v>
      </c>
      <c r="C23" s="284">
        <f>Allure100</f>
        <v>3.5532407407407405E-3</v>
      </c>
      <c r="D23" s="286">
        <f>Vitesse100</f>
        <v>11.7</v>
      </c>
      <c r="E23" s="287">
        <f t="shared" si="0"/>
        <v>0.29249999999999998</v>
      </c>
    </row>
    <row r="24" spans="1:5" ht="20.100000000000001" customHeight="1" x14ac:dyDescent="0.4">
      <c r="A24" s="340">
        <f t="shared" si="1"/>
        <v>2.7256944444444452E-2</v>
      </c>
      <c r="B24" s="302">
        <v>5.2083333333333333E-4</v>
      </c>
      <c r="C24" s="302"/>
      <c r="D24" s="304"/>
      <c r="E24" s="292"/>
    </row>
    <row r="25" spans="1:5" ht="20.100000000000001" customHeight="1" x14ac:dyDescent="0.4">
      <c r="A25" s="283">
        <f t="shared" si="1"/>
        <v>2.7777777777777787E-2</v>
      </c>
      <c r="B25" s="284">
        <v>1.0416666666666667E-3</v>
      </c>
      <c r="C25" s="284">
        <f>Allure100</f>
        <v>3.5532407407407405E-3</v>
      </c>
      <c r="D25" s="286">
        <f>Vitesse100</f>
        <v>11.7</v>
      </c>
      <c r="E25" s="287">
        <f t="shared" si="0"/>
        <v>0.29249999999999998</v>
      </c>
    </row>
    <row r="26" spans="1:5" ht="20.100000000000001" customHeight="1" x14ac:dyDescent="0.4">
      <c r="A26" s="340">
        <f t="shared" si="1"/>
        <v>2.8819444444444453E-2</v>
      </c>
      <c r="B26" s="302">
        <v>5.2083333333333333E-4</v>
      </c>
      <c r="C26" s="303"/>
      <c r="D26" s="304"/>
      <c r="E26" s="362"/>
    </row>
    <row r="27" spans="1:5" ht="20.100000000000001" customHeight="1" x14ac:dyDescent="0.4">
      <c r="A27" s="283">
        <f t="shared" si="1"/>
        <v>2.9340277777777788E-2</v>
      </c>
      <c r="B27" s="284">
        <v>1.0416666666666667E-3</v>
      </c>
      <c r="C27" s="284">
        <f>Allure100</f>
        <v>3.5532407407407405E-3</v>
      </c>
      <c r="D27" s="286">
        <f>Vitesse100</f>
        <v>11.7</v>
      </c>
      <c r="E27" s="287">
        <f t="shared" si="0"/>
        <v>0.29249999999999998</v>
      </c>
    </row>
    <row r="28" spans="1:5" ht="20.100000000000001" customHeight="1" thickBot="1" x14ac:dyDescent="0.45">
      <c r="A28" s="363">
        <f t="shared" si="1"/>
        <v>3.0381944444444454E-2</v>
      </c>
      <c r="B28" s="306">
        <v>5.2083333333333333E-4</v>
      </c>
      <c r="C28" s="307"/>
      <c r="D28" s="308"/>
      <c r="E28" s="364"/>
    </row>
    <row r="29" spans="1:5" ht="20.100000000000001" customHeight="1" thickBot="1" x14ac:dyDescent="0.45">
      <c r="A29" s="313">
        <f t="shared" si="1"/>
        <v>3.0902777777777789E-2</v>
      </c>
      <c r="B29" s="314">
        <v>1.3888888888888889E-3</v>
      </c>
      <c r="C29" s="314">
        <f>Allure82</f>
        <v>4.340277777777778E-3</v>
      </c>
      <c r="D29" s="316">
        <f>Vitesse82</f>
        <v>9.5939999999999994</v>
      </c>
      <c r="E29" s="317">
        <f t="shared" si="0"/>
        <v>0.31979999999999997</v>
      </c>
    </row>
    <row r="30" spans="1:5" ht="20.100000000000001" customHeight="1" x14ac:dyDescent="0.4">
      <c r="A30" s="368">
        <f t="shared" si="1"/>
        <v>3.2291666666666677E-2</v>
      </c>
      <c r="B30" s="369">
        <v>1.0416666666666667E-3</v>
      </c>
      <c r="C30" s="369">
        <f>Allure101</f>
        <v>3.5185185185185185E-3</v>
      </c>
      <c r="D30" s="370">
        <f>Vitesse101</f>
        <v>11.817</v>
      </c>
      <c r="E30" s="371">
        <f t="shared" si="0"/>
        <v>0.29542499999999999</v>
      </c>
    </row>
    <row r="31" spans="1:5" ht="20.100000000000001" customHeight="1" x14ac:dyDescent="0.4">
      <c r="A31" s="283">
        <f t="shared" si="1"/>
        <v>3.3333333333333347E-2</v>
      </c>
      <c r="B31" s="284">
        <v>5.2083333333333333E-4</v>
      </c>
      <c r="C31" s="285"/>
      <c r="D31" s="286"/>
      <c r="E31" s="287"/>
    </row>
    <row r="32" spans="1:5" ht="20.100000000000001" customHeight="1" x14ac:dyDescent="0.4">
      <c r="A32" s="340">
        <f t="shared" si="1"/>
        <v>3.3854166666666678E-2</v>
      </c>
      <c r="B32" s="302">
        <v>1.0416666666666667E-3</v>
      </c>
      <c r="C32" s="302">
        <f>Allure101</f>
        <v>3.5185185185185185E-3</v>
      </c>
      <c r="D32" s="304">
        <f>Vitesse101</f>
        <v>11.817</v>
      </c>
      <c r="E32" s="362">
        <f t="shared" si="0"/>
        <v>0.29542499999999999</v>
      </c>
    </row>
    <row r="33" spans="1:5" ht="20.100000000000001" customHeight="1" thickBot="1" x14ac:dyDescent="0.45">
      <c r="A33" s="293">
        <f t="shared" si="1"/>
        <v>3.4895833333333348E-2</v>
      </c>
      <c r="B33" s="294">
        <v>5.2083333333333333E-4</v>
      </c>
      <c r="C33" s="295"/>
      <c r="D33" s="296"/>
      <c r="E33" s="297"/>
    </row>
    <row r="34" spans="1:5" ht="20.100000000000001" customHeight="1" thickBot="1" x14ac:dyDescent="0.45">
      <c r="A34" s="708" t="s">
        <v>13</v>
      </c>
      <c r="B34" s="709"/>
      <c r="C34" s="709"/>
      <c r="D34" s="709"/>
      <c r="E34" s="710"/>
    </row>
    <row r="35" spans="1:5" ht="20.100000000000001" customHeight="1" thickBot="1" x14ac:dyDescent="0.45">
      <c r="A35" s="248">
        <f>A33+B33</f>
        <v>3.541666666666668E-2</v>
      </c>
      <c r="B35" s="240">
        <v>3.472222222222222E-3</v>
      </c>
      <c r="C35" s="240">
        <f>Allure73</f>
        <v>4.8726851851851856E-3</v>
      </c>
      <c r="D35" s="253">
        <f>Vitesse73</f>
        <v>8.5409999999999986</v>
      </c>
      <c r="E35" s="243">
        <f t="shared" si="0"/>
        <v>0.71174999999999988</v>
      </c>
    </row>
    <row r="36" spans="1:5" ht="19.5" customHeight="1" thickBot="1" x14ac:dyDescent="0.45">
      <c r="A36" s="337">
        <f>A35+B35</f>
        <v>3.8888888888888903E-2</v>
      </c>
      <c r="E36" s="256">
        <f>SUM(E4+E5+E6+E8+E10+E12+E14+E16+E18+E20+E21+E23+E25+E27+E29+E30+E32++E35)</f>
        <v>7.7570999999999994</v>
      </c>
    </row>
  </sheetData>
  <mergeCells count="5">
    <mergeCell ref="A1:E1"/>
    <mergeCell ref="A2:E2"/>
    <mergeCell ref="A3:E3"/>
    <mergeCell ref="A7:E7"/>
    <mergeCell ref="A34:E34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rgb="FF3C65AF"/>
    <pageSetUpPr fitToPage="1"/>
  </sheetPr>
  <dimension ref="A1:E13"/>
  <sheetViews>
    <sheetView showGridLines="0" workbookViewId="0">
      <selection sqref="A1:E1"/>
    </sheetView>
  </sheetViews>
  <sheetFormatPr baseColWidth="10" defaultRowHeight="22.5" x14ac:dyDescent="0.45"/>
  <cols>
    <col min="1" max="1" width="15.7109375" style="323" customWidth="1"/>
    <col min="2" max="2" width="15.7109375" style="255" customWidth="1"/>
    <col min="3" max="4" width="20.7109375" style="238" customWidth="1"/>
    <col min="5" max="5" width="15.7109375" style="324" customWidth="1"/>
    <col min="6" max="16384" width="11.42578125" style="238"/>
  </cols>
  <sheetData>
    <row r="1" spans="1:5" ht="30" customHeight="1" thickBot="1" x14ac:dyDescent="0.45">
      <c r="A1" s="693" t="str">
        <f>'Programme entrainement run'!B31</f>
        <v>Footing pogressif 50 min</v>
      </c>
      <c r="B1" s="694"/>
      <c r="C1" s="694"/>
      <c r="D1" s="694"/>
      <c r="E1" s="695"/>
    </row>
    <row r="2" spans="1:5" s="259" customFormat="1" ht="20.100000000000001" customHeight="1" thickBot="1" x14ac:dyDescent="0.3">
      <c r="A2" s="696" t="str">
        <f>'Programme entrainement run'!C31</f>
        <v>Sem 9 - jour 3</v>
      </c>
      <c r="B2" s="697"/>
      <c r="C2" s="697"/>
      <c r="D2" s="697"/>
      <c r="E2" s="698"/>
    </row>
    <row r="3" spans="1:5" s="259" customFormat="1" ht="20.100000000000001" customHeight="1" thickBot="1" x14ac:dyDescent="0.3">
      <c r="A3" s="702" t="s">
        <v>11</v>
      </c>
      <c r="B3" s="703"/>
      <c r="C3" s="703"/>
      <c r="D3" s="703"/>
      <c r="E3" s="704"/>
    </row>
    <row r="4" spans="1:5" s="259" customFormat="1" ht="20.100000000000001" customHeight="1" thickBot="1" x14ac:dyDescent="0.3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s="259" customFormat="1" ht="20.100000000000001" customHeight="1" thickBot="1" x14ac:dyDescent="0.3">
      <c r="A5" s="244">
        <f>B4</f>
        <v>3.472222222222222E-3</v>
      </c>
      <c r="B5" s="245">
        <v>3.472222222222222E-3</v>
      </c>
      <c r="C5" s="245">
        <f>Allure75</f>
        <v>4.7453703703703703E-3</v>
      </c>
      <c r="D5" s="246">
        <f>Vitesse75</f>
        <v>8.7749999999999986</v>
      </c>
      <c r="E5" s="247">
        <f t="shared" ref="E5:E12" si="0">((B5-INT(B5))*24)*D5</f>
        <v>0.73124999999999984</v>
      </c>
    </row>
    <row r="6" spans="1:5" s="259" customFormat="1" ht="20.100000000000001" customHeight="1" thickBot="1" x14ac:dyDescent="0.3">
      <c r="A6" s="266">
        <f>A5+B5</f>
        <v>6.9444444444444441E-3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s="259" customFormat="1" ht="20.100000000000001" customHeight="1" thickBot="1" x14ac:dyDescent="0.3">
      <c r="A7" s="699" t="s">
        <v>12</v>
      </c>
      <c r="B7" s="700"/>
      <c r="C7" s="700"/>
      <c r="D7" s="700"/>
      <c r="E7" s="701"/>
    </row>
    <row r="8" spans="1:5" s="259" customFormat="1" ht="20.100000000000001" customHeight="1" thickBot="1" x14ac:dyDescent="0.3">
      <c r="A8" s="248">
        <f>A6+B6</f>
        <v>1.0416666666666666E-2</v>
      </c>
      <c r="B8" s="240">
        <v>6.9444444444444441E-3</v>
      </c>
      <c r="C8" s="240">
        <f>Allure85</f>
        <v>4.1782407407407402E-3</v>
      </c>
      <c r="D8" s="253">
        <f>Vitesse85</f>
        <v>9.9449999999999985</v>
      </c>
      <c r="E8" s="243">
        <f t="shared" si="0"/>
        <v>1.6574999999999998</v>
      </c>
    </row>
    <row r="9" spans="1:5" s="259" customFormat="1" ht="20.100000000000001" customHeight="1" thickBot="1" x14ac:dyDescent="0.3">
      <c r="A9" s="244">
        <f>A8+B8</f>
        <v>1.7361111111111112E-2</v>
      </c>
      <c r="B9" s="245">
        <v>6.9444444444444441E-3</v>
      </c>
      <c r="C9" s="245">
        <f>Allure89</f>
        <v>3.9930555555555561E-3</v>
      </c>
      <c r="D9" s="246">
        <f>Vitesse89</f>
        <v>10.413</v>
      </c>
      <c r="E9" s="247">
        <f t="shared" si="0"/>
        <v>1.7355</v>
      </c>
    </row>
    <row r="10" spans="1:5" s="259" customFormat="1" ht="20.100000000000001" customHeight="1" thickBot="1" x14ac:dyDescent="0.3">
      <c r="A10" s="355">
        <f>A9+B9</f>
        <v>2.4305555555555556E-2</v>
      </c>
      <c r="B10" s="353">
        <v>6.9444444444444441E-3</v>
      </c>
      <c r="C10" s="353">
        <f>Allure93</f>
        <v>3.8194444444444443E-3</v>
      </c>
      <c r="D10" s="361">
        <f>Vitesse93</f>
        <v>10.881</v>
      </c>
      <c r="E10" s="354">
        <f t="shared" si="0"/>
        <v>1.8134999999999999</v>
      </c>
    </row>
    <row r="11" spans="1:5" s="259" customFormat="1" ht="20.100000000000001" customHeight="1" thickBot="1" x14ac:dyDescent="0.3">
      <c r="A11" s="699" t="s">
        <v>13</v>
      </c>
      <c r="B11" s="700"/>
      <c r="C11" s="700"/>
      <c r="D11" s="700"/>
      <c r="E11" s="701"/>
    </row>
    <row r="12" spans="1:5" s="259" customFormat="1" ht="20.100000000000001" customHeight="1" thickBot="1" x14ac:dyDescent="0.3">
      <c r="A12" s="266">
        <f>A10+B10</f>
        <v>3.125E-2</v>
      </c>
      <c r="B12" s="249">
        <v>3.472222222222222E-3</v>
      </c>
      <c r="C12" s="249">
        <f>Allure73</f>
        <v>4.8726851851851856E-3</v>
      </c>
      <c r="D12" s="250">
        <f>Vitesse73</f>
        <v>8.5409999999999986</v>
      </c>
      <c r="E12" s="278">
        <f t="shared" si="0"/>
        <v>0.71174999999999988</v>
      </c>
    </row>
    <row r="13" spans="1:5" ht="19.5" customHeight="1" thickBot="1" x14ac:dyDescent="0.45">
      <c r="A13" s="271">
        <f>A12+B12</f>
        <v>3.4722222222222224E-2</v>
      </c>
      <c r="B13" s="330"/>
      <c r="C13" s="331"/>
      <c r="D13" s="331"/>
      <c r="E13" s="256">
        <f>SUM(E4+E5+E6+E8+E9+E10+E12)</f>
        <v>8.1120000000000001</v>
      </c>
    </row>
  </sheetData>
  <mergeCells count="5">
    <mergeCell ref="A1:E1"/>
    <mergeCell ref="A2:E2"/>
    <mergeCell ref="A3:E3"/>
    <mergeCell ref="A7:E7"/>
    <mergeCell ref="A11:E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rgb="FF3C65AF"/>
    <pageSetUpPr fitToPage="1"/>
  </sheetPr>
  <dimension ref="A1:E22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run'!B32</f>
        <v>Travail allure 800 m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run'!C32</f>
        <v>Sem 9 - jour 5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21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699" t="s">
        <v>12</v>
      </c>
      <c r="B7" s="700"/>
      <c r="C7" s="700"/>
      <c r="D7" s="700"/>
      <c r="E7" s="701"/>
    </row>
    <row r="8" spans="1:5" ht="20.100000000000001" customHeight="1" x14ac:dyDescent="0.4">
      <c r="A8" s="279">
        <f>A6+B6</f>
        <v>1.3888888888888888E-2</v>
      </c>
      <c r="B8" s="280">
        <v>3.1944444444444442E-3</v>
      </c>
      <c r="C8" s="280">
        <f>Allure97</f>
        <v>3.6689814814814814E-3</v>
      </c>
      <c r="D8" s="281">
        <f>Vitesse97</f>
        <v>11.348999999999998</v>
      </c>
      <c r="E8" s="282">
        <f t="shared" si="0"/>
        <v>0.87008999999999981</v>
      </c>
    </row>
    <row r="9" spans="1:5" ht="20.100000000000001" customHeight="1" x14ac:dyDescent="0.4">
      <c r="A9" s="283">
        <f>A8+B8</f>
        <v>1.7083333333333332E-2</v>
      </c>
      <c r="B9" s="284">
        <v>8.6805555555555551E-4</v>
      </c>
      <c r="C9" s="285"/>
      <c r="D9" s="286"/>
      <c r="E9" s="287"/>
    </row>
    <row r="10" spans="1:5" ht="20.100000000000001" customHeight="1" x14ac:dyDescent="0.4">
      <c r="A10" s="289">
        <f t="shared" ref="A10:A19" si="1">A9+B9</f>
        <v>1.7951388888888888E-2</v>
      </c>
      <c r="B10" s="290">
        <v>3.1944444444444442E-3</v>
      </c>
      <c r="C10" s="290">
        <f>Allure97</f>
        <v>3.6689814814814814E-3</v>
      </c>
      <c r="D10" s="291">
        <f>Vitesse97</f>
        <v>11.348999999999998</v>
      </c>
      <c r="E10" s="292">
        <f t="shared" si="0"/>
        <v>0.87008999999999981</v>
      </c>
    </row>
    <row r="11" spans="1:5" ht="20.100000000000001" customHeight="1" x14ac:dyDescent="0.4">
      <c r="A11" s="283">
        <f t="shared" si="1"/>
        <v>2.1145833333333332E-2</v>
      </c>
      <c r="B11" s="284">
        <v>8.6805555555555551E-4</v>
      </c>
      <c r="C11" s="285"/>
      <c r="D11" s="286"/>
      <c r="E11" s="287"/>
    </row>
    <row r="12" spans="1:5" ht="20.100000000000001" customHeight="1" x14ac:dyDescent="0.4">
      <c r="A12" s="289">
        <f t="shared" si="1"/>
        <v>2.2013888888888888E-2</v>
      </c>
      <c r="B12" s="290">
        <v>3.1944444444444442E-3</v>
      </c>
      <c r="C12" s="290">
        <f>Allure97</f>
        <v>3.6689814814814814E-3</v>
      </c>
      <c r="D12" s="291">
        <f>Vitesse97</f>
        <v>11.348999999999998</v>
      </c>
      <c r="E12" s="292">
        <f t="shared" si="0"/>
        <v>0.87008999999999981</v>
      </c>
    </row>
    <row r="13" spans="1:5" ht="20.100000000000001" customHeight="1" x14ac:dyDescent="0.4">
      <c r="A13" s="283">
        <f t="shared" si="1"/>
        <v>2.5208333333333333E-2</v>
      </c>
      <c r="B13" s="284">
        <v>8.6805555555555551E-4</v>
      </c>
      <c r="C13" s="285"/>
      <c r="D13" s="286"/>
      <c r="E13" s="287"/>
    </row>
    <row r="14" spans="1:5" ht="20.100000000000001" customHeight="1" x14ac:dyDescent="0.4">
      <c r="A14" s="289">
        <f t="shared" si="1"/>
        <v>2.6076388888888889E-2</v>
      </c>
      <c r="B14" s="290">
        <v>3.1944444444444442E-3</v>
      </c>
      <c r="C14" s="290">
        <f>Allure97</f>
        <v>3.6689814814814814E-3</v>
      </c>
      <c r="D14" s="291">
        <f>Vitesse97</f>
        <v>11.348999999999998</v>
      </c>
      <c r="E14" s="292">
        <f t="shared" si="0"/>
        <v>0.87008999999999981</v>
      </c>
    </row>
    <row r="15" spans="1:5" ht="20.100000000000001" customHeight="1" x14ac:dyDescent="0.4">
      <c r="A15" s="283">
        <f t="shared" si="1"/>
        <v>2.9270833333333333E-2</v>
      </c>
      <c r="B15" s="284">
        <v>8.6805555555555551E-4</v>
      </c>
      <c r="C15" s="285"/>
      <c r="D15" s="286"/>
      <c r="E15" s="287"/>
    </row>
    <row r="16" spans="1:5" ht="20.100000000000001" customHeight="1" x14ac:dyDescent="0.4">
      <c r="A16" s="289">
        <f t="shared" si="1"/>
        <v>3.0138888888888889E-2</v>
      </c>
      <c r="B16" s="290">
        <v>3.1944444444444442E-3</v>
      </c>
      <c r="C16" s="290">
        <f>Allure97</f>
        <v>3.6689814814814814E-3</v>
      </c>
      <c r="D16" s="291">
        <f>Vitesse97</f>
        <v>11.348999999999998</v>
      </c>
      <c r="E16" s="292">
        <f t="shared" si="0"/>
        <v>0.87008999999999981</v>
      </c>
    </row>
    <row r="17" spans="1:5" ht="20.100000000000001" customHeight="1" x14ac:dyDescent="0.4">
      <c r="A17" s="283">
        <f t="shared" si="1"/>
        <v>3.3333333333333333E-2</v>
      </c>
      <c r="B17" s="284">
        <v>8.6805555555555551E-4</v>
      </c>
      <c r="C17" s="285"/>
      <c r="D17" s="286"/>
      <c r="E17" s="287"/>
    </row>
    <row r="18" spans="1:5" ht="20.100000000000001" customHeight="1" x14ac:dyDescent="0.4">
      <c r="A18" s="289">
        <f t="shared" si="1"/>
        <v>3.4201388888888885E-2</v>
      </c>
      <c r="B18" s="290">
        <v>3.1944444444444442E-3</v>
      </c>
      <c r="C18" s="290">
        <f>Allure97</f>
        <v>3.6689814814814814E-3</v>
      </c>
      <c r="D18" s="291">
        <f>Vitesse97</f>
        <v>11.348999999999998</v>
      </c>
      <c r="E18" s="292">
        <f t="shared" si="0"/>
        <v>0.87008999999999981</v>
      </c>
    </row>
    <row r="19" spans="1:5" ht="20.100000000000001" customHeight="1" thickBot="1" x14ac:dyDescent="0.45">
      <c r="A19" s="293">
        <f t="shared" si="1"/>
        <v>3.739583333333333E-2</v>
      </c>
      <c r="B19" s="294">
        <v>8.6805555555555551E-4</v>
      </c>
      <c r="C19" s="295"/>
      <c r="D19" s="296"/>
      <c r="E19" s="297"/>
    </row>
    <row r="20" spans="1:5" ht="20.100000000000001" customHeight="1" thickBot="1" x14ac:dyDescent="0.45">
      <c r="A20" s="705" t="s">
        <v>13</v>
      </c>
      <c r="B20" s="706"/>
      <c r="C20" s="706"/>
      <c r="D20" s="706"/>
      <c r="E20" s="707"/>
    </row>
    <row r="21" spans="1:5" ht="20.100000000000001" customHeight="1" thickBot="1" x14ac:dyDescent="0.45">
      <c r="A21" s="248">
        <f>A19+B19</f>
        <v>3.8263888888888882E-2</v>
      </c>
      <c r="B21" s="240">
        <v>3.472222222222222E-3</v>
      </c>
      <c r="C21" s="240">
        <f>Allure73</f>
        <v>4.8726851851851856E-3</v>
      </c>
      <c r="D21" s="253">
        <f>Vitesse73</f>
        <v>8.5409999999999986</v>
      </c>
      <c r="E21" s="243">
        <f t="shared" si="0"/>
        <v>0.71174999999999988</v>
      </c>
    </row>
    <row r="22" spans="1:5" ht="19.5" customHeight="1" thickBot="1" x14ac:dyDescent="0.45">
      <c r="A22" s="372">
        <f>A21+B21</f>
        <v>4.1736111111111106E-2</v>
      </c>
      <c r="E22" s="256">
        <f>SUM(E4+E5+E6+E8+E10+E12+E14+E16+E18+E21)</f>
        <v>8.8572899999999972</v>
      </c>
    </row>
  </sheetData>
  <mergeCells count="5">
    <mergeCell ref="A1:E1"/>
    <mergeCell ref="A2:E2"/>
    <mergeCell ref="A3:E3"/>
    <mergeCell ref="A7:E7"/>
    <mergeCell ref="A20:E2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rgb="FF3C65AF"/>
    <pageSetUpPr fitToPage="1"/>
  </sheetPr>
  <dimension ref="A1:E35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run'!B33</f>
        <v>Travail VMA courte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run'!C33</f>
        <v>Sem 10 - jour 1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34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5" t="s">
        <v>12</v>
      </c>
      <c r="B7" s="706"/>
      <c r="C7" s="706"/>
      <c r="D7" s="706"/>
      <c r="E7" s="707"/>
    </row>
    <row r="8" spans="1:5" ht="20.100000000000001" customHeight="1" x14ac:dyDescent="0.4">
      <c r="A8" s="279">
        <f>A6+B6</f>
        <v>1.3888888888888888E-2</v>
      </c>
      <c r="B8" s="280">
        <v>4.6296296296296293E-4</v>
      </c>
      <c r="C8" s="280">
        <f>Allure101</f>
        <v>3.5185185185185185E-3</v>
      </c>
      <c r="D8" s="281">
        <f>Vitesse101</f>
        <v>11.817</v>
      </c>
      <c r="E8" s="282">
        <f t="shared" si="0"/>
        <v>0.1313</v>
      </c>
    </row>
    <row r="9" spans="1:5" ht="20.100000000000001" customHeight="1" x14ac:dyDescent="0.4">
      <c r="A9" s="283">
        <f>A8+B8</f>
        <v>1.4351851851851852E-2</v>
      </c>
      <c r="B9" s="284">
        <v>6.9444444444444447E-4</v>
      </c>
      <c r="C9" s="285"/>
      <c r="D9" s="286"/>
      <c r="E9" s="287"/>
    </row>
    <row r="10" spans="1:5" ht="20.100000000000001" customHeight="1" x14ac:dyDescent="0.4">
      <c r="A10" s="289">
        <f t="shared" ref="A10:A32" si="1">A9+B9</f>
        <v>1.5046296296296295E-2</v>
      </c>
      <c r="B10" s="290">
        <v>4.6296296296296293E-4</v>
      </c>
      <c r="C10" s="290">
        <f>Allure101</f>
        <v>3.5185185185185185E-3</v>
      </c>
      <c r="D10" s="291">
        <f>Vitesse101</f>
        <v>11.817</v>
      </c>
      <c r="E10" s="292">
        <f t="shared" si="0"/>
        <v>0.1313</v>
      </c>
    </row>
    <row r="11" spans="1:5" ht="20.100000000000001" customHeight="1" x14ac:dyDescent="0.4">
      <c r="A11" s="283">
        <f t="shared" si="1"/>
        <v>1.5509259259259259E-2</v>
      </c>
      <c r="B11" s="284">
        <v>6.9444444444444447E-4</v>
      </c>
      <c r="C11" s="285"/>
      <c r="D11" s="286"/>
      <c r="E11" s="287"/>
    </row>
    <row r="12" spans="1:5" ht="20.100000000000001" customHeight="1" x14ac:dyDescent="0.4">
      <c r="A12" s="289">
        <f t="shared" si="1"/>
        <v>1.6203703703703703E-2</v>
      </c>
      <c r="B12" s="290">
        <v>4.6296296296296293E-4</v>
      </c>
      <c r="C12" s="290">
        <f>Allure101</f>
        <v>3.5185185185185185E-3</v>
      </c>
      <c r="D12" s="291">
        <f>Vitesse101</f>
        <v>11.817</v>
      </c>
      <c r="E12" s="292">
        <f t="shared" si="0"/>
        <v>0.1313</v>
      </c>
    </row>
    <row r="13" spans="1:5" ht="20.100000000000001" customHeight="1" x14ac:dyDescent="0.4">
      <c r="A13" s="283">
        <f t="shared" si="1"/>
        <v>1.6666666666666666E-2</v>
      </c>
      <c r="B13" s="284">
        <v>6.9444444444444447E-4</v>
      </c>
      <c r="C13" s="285"/>
      <c r="D13" s="286"/>
      <c r="E13" s="287"/>
    </row>
    <row r="14" spans="1:5" ht="20.100000000000001" customHeight="1" thickBot="1" x14ac:dyDescent="0.45">
      <c r="A14" s="305">
        <f t="shared" si="1"/>
        <v>1.7361111111111112E-2</v>
      </c>
      <c r="B14" s="346">
        <v>4.6296296296296293E-4</v>
      </c>
      <c r="C14" s="346">
        <f>Allure101</f>
        <v>3.5185185185185185E-3</v>
      </c>
      <c r="D14" s="347">
        <f>Vitesse101</f>
        <v>11.817</v>
      </c>
      <c r="E14" s="309">
        <f t="shared" si="0"/>
        <v>0.1313</v>
      </c>
    </row>
    <row r="15" spans="1:5" ht="20.100000000000001" customHeight="1" thickBot="1" x14ac:dyDescent="0.45">
      <c r="A15" s="373">
        <f t="shared" si="1"/>
        <v>1.7824074074074076E-2</v>
      </c>
      <c r="B15" s="374">
        <v>1.3888888888888889E-3</v>
      </c>
      <c r="C15" s="374">
        <f>Allure85</f>
        <v>4.1782407407407402E-3</v>
      </c>
      <c r="D15" s="375">
        <f>Vitesse85</f>
        <v>9.9449999999999985</v>
      </c>
      <c r="E15" s="376">
        <f t="shared" si="0"/>
        <v>0.33149999999999996</v>
      </c>
    </row>
    <row r="16" spans="1:5" ht="20.100000000000001" customHeight="1" x14ac:dyDescent="0.4">
      <c r="A16" s="279">
        <f t="shared" si="1"/>
        <v>1.9212962962962963E-2</v>
      </c>
      <c r="B16" s="280">
        <v>4.6296296296296293E-4</v>
      </c>
      <c r="C16" s="280">
        <f>Allure101</f>
        <v>3.5185185185185185E-3</v>
      </c>
      <c r="D16" s="281">
        <f>Vitesse101</f>
        <v>11.817</v>
      </c>
      <c r="E16" s="282">
        <f t="shared" si="0"/>
        <v>0.1313</v>
      </c>
    </row>
    <row r="17" spans="1:5" ht="20.100000000000001" customHeight="1" x14ac:dyDescent="0.4">
      <c r="A17" s="283">
        <f t="shared" si="1"/>
        <v>1.9675925925925927E-2</v>
      </c>
      <c r="B17" s="284">
        <v>6.9444444444444447E-4</v>
      </c>
      <c r="C17" s="285"/>
      <c r="D17" s="286"/>
      <c r="E17" s="287"/>
    </row>
    <row r="18" spans="1:5" ht="20.100000000000001" customHeight="1" x14ac:dyDescent="0.4">
      <c r="A18" s="289">
        <f t="shared" si="1"/>
        <v>2.0370370370370372E-2</v>
      </c>
      <c r="B18" s="290">
        <v>4.6296296296296293E-4</v>
      </c>
      <c r="C18" s="290">
        <f>Allure101</f>
        <v>3.5185185185185185E-3</v>
      </c>
      <c r="D18" s="291">
        <f>Vitesse101</f>
        <v>11.817</v>
      </c>
      <c r="E18" s="292">
        <f t="shared" si="0"/>
        <v>0.1313</v>
      </c>
    </row>
    <row r="19" spans="1:5" ht="20.100000000000001" customHeight="1" x14ac:dyDescent="0.4">
      <c r="A19" s="283">
        <f t="shared" si="1"/>
        <v>2.0833333333333336E-2</v>
      </c>
      <c r="B19" s="284">
        <v>6.9444444444444447E-4</v>
      </c>
      <c r="C19" s="285"/>
      <c r="D19" s="286"/>
      <c r="E19" s="287"/>
    </row>
    <row r="20" spans="1:5" ht="20.100000000000001" customHeight="1" x14ac:dyDescent="0.4">
      <c r="A20" s="340">
        <f t="shared" si="1"/>
        <v>2.1527777777777781E-2</v>
      </c>
      <c r="B20" s="302">
        <v>4.6296296296296293E-4</v>
      </c>
      <c r="C20" s="302">
        <f>Allure101</f>
        <v>3.5185185185185185E-3</v>
      </c>
      <c r="D20" s="304">
        <f>Vitesse101</f>
        <v>11.817</v>
      </c>
      <c r="E20" s="292">
        <f t="shared" si="0"/>
        <v>0.1313</v>
      </c>
    </row>
    <row r="21" spans="1:5" ht="20.100000000000001" customHeight="1" x14ac:dyDescent="0.4">
      <c r="A21" s="283">
        <f t="shared" si="1"/>
        <v>2.1990740740740745E-2</v>
      </c>
      <c r="B21" s="284">
        <v>6.9444444444444447E-4</v>
      </c>
      <c r="C21" s="284"/>
      <c r="D21" s="286"/>
      <c r="E21" s="287"/>
    </row>
    <row r="22" spans="1:5" ht="20.100000000000001" customHeight="1" x14ac:dyDescent="0.4">
      <c r="A22" s="340">
        <f t="shared" si="1"/>
        <v>2.268518518518519E-2</v>
      </c>
      <c r="B22" s="302">
        <v>4.6296296296296293E-4</v>
      </c>
      <c r="C22" s="302">
        <f>Allure101</f>
        <v>3.5185185185185185E-3</v>
      </c>
      <c r="D22" s="304">
        <f>Vitesse101</f>
        <v>11.817</v>
      </c>
      <c r="E22" s="377">
        <f t="shared" si="0"/>
        <v>0.1313</v>
      </c>
    </row>
    <row r="23" spans="1:5" ht="20.100000000000001" customHeight="1" thickBot="1" x14ac:dyDescent="0.45">
      <c r="A23" s="293">
        <f t="shared" si="1"/>
        <v>2.3148148148148154E-2</v>
      </c>
      <c r="B23" s="294">
        <v>6.9444444444444447E-4</v>
      </c>
      <c r="C23" s="294"/>
      <c r="D23" s="378"/>
      <c r="E23" s="297"/>
    </row>
    <row r="24" spans="1:5" ht="20.100000000000001" customHeight="1" thickBot="1" x14ac:dyDescent="0.45">
      <c r="A24" s="379">
        <f t="shared" si="1"/>
        <v>2.3842592592592599E-2</v>
      </c>
      <c r="B24" s="366">
        <v>1.3888888888888889E-3</v>
      </c>
      <c r="C24" s="366">
        <f>Allure85</f>
        <v>4.1782407407407402E-3</v>
      </c>
      <c r="D24" s="367">
        <f>Vitesse85</f>
        <v>9.9449999999999985</v>
      </c>
      <c r="E24" s="380">
        <f t="shared" si="0"/>
        <v>0.33149999999999996</v>
      </c>
    </row>
    <row r="25" spans="1:5" ht="20.100000000000001" customHeight="1" x14ac:dyDescent="0.4">
      <c r="A25" s="298">
        <f t="shared" si="1"/>
        <v>2.5231481481481487E-2</v>
      </c>
      <c r="B25" s="299">
        <v>4.6296296296296293E-4</v>
      </c>
      <c r="C25" s="299">
        <f>Allure101</f>
        <v>3.5185185185185185E-3</v>
      </c>
      <c r="D25" s="300">
        <f>Vitesse101</f>
        <v>11.817</v>
      </c>
      <c r="E25" s="301">
        <f t="shared" si="0"/>
        <v>0.1313</v>
      </c>
    </row>
    <row r="26" spans="1:5" ht="20.100000000000001" customHeight="1" x14ac:dyDescent="0.4">
      <c r="A26" s="340">
        <f t="shared" si="1"/>
        <v>2.569444444444445E-2</v>
      </c>
      <c r="B26" s="302">
        <v>6.9444444444444447E-4</v>
      </c>
      <c r="C26" s="303"/>
      <c r="D26" s="304"/>
      <c r="E26" s="362"/>
    </row>
    <row r="27" spans="1:5" ht="20.100000000000001" customHeight="1" x14ac:dyDescent="0.4">
      <c r="A27" s="283">
        <f t="shared" si="1"/>
        <v>2.6388888888888896E-2</v>
      </c>
      <c r="B27" s="284">
        <v>4.6296296296296293E-4</v>
      </c>
      <c r="C27" s="284">
        <f>Allure101</f>
        <v>3.5185185185185185E-3</v>
      </c>
      <c r="D27" s="286">
        <f>Vitesse101</f>
        <v>11.817</v>
      </c>
      <c r="E27" s="287">
        <f t="shared" si="0"/>
        <v>0.1313</v>
      </c>
    </row>
    <row r="28" spans="1:5" ht="20.100000000000001" customHeight="1" x14ac:dyDescent="0.4">
      <c r="A28" s="340">
        <f t="shared" si="1"/>
        <v>2.6851851851851859E-2</v>
      </c>
      <c r="B28" s="302">
        <v>6.9444444444444447E-4</v>
      </c>
      <c r="C28" s="303"/>
      <c r="D28" s="304"/>
      <c r="E28" s="362"/>
    </row>
    <row r="29" spans="1:5" ht="20.100000000000001" customHeight="1" x14ac:dyDescent="0.4">
      <c r="A29" s="283">
        <f t="shared" si="1"/>
        <v>2.7546296296296305E-2</v>
      </c>
      <c r="B29" s="284">
        <v>4.6296296296296293E-4</v>
      </c>
      <c r="C29" s="284">
        <f>Allure101</f>
        <v>3.5185185185185185E-3</v>
      </c>
      <c r="D29" s="286">
        <f>Vitesse101</f>
        <v>11.817</v>
      </c>
      <c r="E29" s="287">
        <f t="shared" si="0"/>
        <v>0.1313</v>
      </c>
    </row>
    <row r="30" spans="1:5" ht="20.100000000000001" customHeight="1" x14ac:dyDescent="0.4">
      <c r="A30" s="340">
        <f t="shared" si="1"/>
        <v>2.8009259259259268E-2</v>
      </c>
      <c r="B30" s="302">
        <v>6.9444444444444447E-4</v>
      </c>
      <c r="C30" s="302"/>
      <c r="D30" s="304"/>
      <c r="E30" s="362"/>
    </row>
    <row r="31" spans="1:5" ht="20.100000000000001" customHeight="1" x14ac:dyDescent="0.4">
      <c r="A31" s="283">
        <f t="shared" si="1"/>
        <v>2.8703703703703714E-2</v>
      </c>
      <c r="B31" s="284">
        <v>4.6296296296296293E-4</v>
      </c>
      <c r="C31" s="284">
        <f>Allure101</f>
        <v>3.5185185185185185E-3</v>
      </c>
      <c r="D31" s="286">
        <f>Vitesse101</f>
        <v>11.817</v>
      </c>
      <c r="E31" s="287">
        <f t="shared" si="0"/>
        <v>0.1313</v>
      </c>
    </row>
    <row r="32" spans="1:5" ht="20.100000000000001" customHeight="1" thickBot="1" x14ac:dyDescent="0.45">
      <c r="A32" s="363">
        <f t="shared" si="1"/>
        <v>2.9166666666666678E-2</v>
      </c>
      <c r="B32" s="306">
        <v>6.9444444444444447E-4</v>
      </c>
      <c r="C32" s="306"/>
      <c r="D32" s="308"/>
      <c r="E32" s="364"/>
    </row>
    <row r="33" spans="1:5" ht="20.100000000000001" customHeight="1" thickBot="1" x14ac:dyDescent="0.45">
      <c r="A33" s="708" t="s">
        <v>13</v>
      </c>
      <c r="B33" s="709"/>
      <c r="C33" s="709"/>
      <c r="D33" s="709"/>
      <c r="E33" s="710"/>
    </row>
    <row r="34" spans="1:5" ht="20.100000000000001" customHeight="1" thickBot="1" x14ac:dyDescent="0.45">
      <c r="A34" s="248">
        <f>A32+B32</f>
        <v>2.9861111111111123E-2</v>
      </c>
      <c r="B34" s="240">
        <v>3.472222222222222E-3</v>
      </c>
      <c r="C34" s="240">
        <f>Allure73</f>
        <v>4.8726851851851856E-3</v>
      </c>
      <c r="D34" s="253">
        <f>Vitesse73</f>
        <v>8.5409999999999986</v>
      </c>
      <c r="E34" s="243">
        <f t="shared" si="0"/>
        <v>0.71174999999999988</v>
      </c>
    </row>
    <row r="35" spans="1:5" ht="19.5" customHeight="1" thickBot="1" x14ac:dyDescent="0.45">
      <c r="A35" s="337">
        <f>A34+B34</f>
        <v>3.3333333333333347E-2</v>
      </c>
      <c r="E35" s="256">
        <f>SUM(E4+E5+E6+E8+E10+E12+E14+E15+E16+E18+E20+E22+E24+E25+E27+E29+E31+E34)</f>
        <v>5.8753500000000027</v>
      </c>
    </row>
  </sheetData>
  <mergeCells count="5">
    <mergeCell ref="A1:E1"/>
    <mergeCell ref="A2:E2"/>
    <mergeCell ref="A3:E3"/>
    <mergeCell ref="A7:E7"/>
    <mergeCell ref="A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ignoredErrors>
    <ignoredError sqref="C15:D15" 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3C65AF"/>
    <pageSetUpPr fitToPage="1"/>
  </sheetPr>
  <dimension ref="A1:E16"/>
  <sheetViews>
    <sheetView showGridLines="0" zoomScaleNormal="10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run'!B34</f>
        <v>Travail d'allure 1500 m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run'!C34</f>
        <v>Sem 10 - jour 3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15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699" t="s">
        <v>12</v>
      </c>
      <c r="B7" s="700"/>
      <c r="C7" s="700"/>
      <c r="D7" s="700"/>
      <c r="E7" s="701"/>
    </row>
    <row r="8" spans="1:5" ht="20.100000000000001" customHeight="1" x14ac:dyDescent="0.4">
      <c r="A8" s="279">
        <f>A6+B6</f>
        <v>1.3888888888888888E-2</v>
      </c>
      <c r="B8" s="280">
        <v>6.6435185185185182E-3</v>
      </c>
      <c r="C8" s="280">
        <f>Allure87</f>
        <v>4.0856481481481481E-3</v>
      </c>
      <c r="D8" s="281">
        <f>Vitesse87</f>
        <v>10.178999999999998</v>
      </c>
      <c r="E8" s="282">
        <f t="shared" si="0"/>
        <v>1.6229849999999997</v>
      </c>
    </row>
    <row r="9" spans="1:5" ht="20.100000000000001" customHeight="1" x14ac:dyDescent="0.4">
      <c r="A9" s="283">
        <f>A8+B8</f>
        <v>2.0532407407407405E-2</v>
      </c>
      <c r="B9" s="284">
        <v>1.3888888888888889E-3</v>
      </c>
      <c r="C9" s="285"/>
      <c r="D9" s="286"/>
      <c r="E9" s="287"/>
    </row>
    <row r="10" spans="1:5" ht="20.100000000000001" customHeight="1" x14ac:dyDescent="0.4">
      <c r="A10" s="289">
        <f>A9+B9</f>
        <v>2.1921296296296293E-2</v>
      </c>
      <c r="B10" s="290">
        <v>6.6435185185185182E-3</v>
      </c>
      <c r="C10" s="290">
        <f>Allure87</f>
        <v>4.0856481481481481E-3</v>
      </c>
      <c r="D10" s="291">
        <f>Vitesse87</f>
        <v>10.178999999999998</v>
      </c>
      <c r="E10" s="292">
        <f t="shared" si="0"/>
        <v>1.6229849999999997</v>
      </c>
    </row>
    <row r="11" spans="1:5" ht="20.100000000000001" customHeight="1" x14ac:dyDescent="0.4">
      <c r="A11" s="283">
        <f>A10+B10</f>
        <v>2.856481481481481E-2</v>
      </c>
      <c r="B11" s="284">
        <v>1.3888888888888889E-3</v>
      </c>
      <c r="C11" s="285"/>
      <c r="D11" s="286"/>
      <c r="E11" s="287"/>
    </row>
    <row r="12" spans="1:5" ht="20.100000000000001" customHeight="1" x14ac:dyDescent="0.4">
      <c r="A12" s="289">
        <f>A11+B11</f>
        <v>2.9953703703703698E-2</v>
      </c>
      <c r="B12" s="290">
        <v>6.6435185185185182E-3</v>
      </c>
      <c r="C12" s="290">
        <f>Allure87</f>
        <v>4.0856481481481481E-3</v>
      </c>
      <c r="D12" s="291">
        <f>Vitesse87</f>
        <v>10.178999999999998</v>
      </c>
      <c r="E12" s="292">
        <f t="shared" si="0"/>
        <v>1.6229849999999997</v>
      </c>
    </row>
    <row r="13" spans="1:5" ht="20.100000000000001" customHeight="1" thickBot="1" x14ac:dyDescent="0.45">
      <c r="A13" s="293">
        <f>A12+B12</f>
        <v>3.6597222222222218E-2</v>
      </c>
      <c r="B13" s="294">
        <v>1.3888888888888889E-3</v>
      </c>
      <c r="C13" s="295"/>
      <c r="D13" s="296"/>
      <c r="E13" s="297"/>
    </row>
    <row r="14" spans="1:5" ht="20.100000000000001" customHeight="1" thickBot="1" x14ac:dyDescent="0.45">
      <c r="A14" s="705" t="s">
        <v>13</v>
      </c>
      <c r="B14" s="706"/>
      <c r="C14" s="706"/>
      <c r="D14" s="706"/>
      <c r="E14" s="707"/>
    </row>
    <row r="15" spans="1:5" ht="20.100000000000001" customHeight="1" thickBot="1" x14ac:dyDescent="0.45">
      <c r="A15" s="248">
        <f>A13+B13</f>
        <v>3.7986111111111109E-2</v>
      </c>
      <c r="B15" s="240">
        <v>3.472222222222222E-3</v>
      </c>
      <c r="C15" s="240">
        <f>Allure73</f>
        <v>4.8726851851851856E-3</v>
      </c>
      <c r="D15" s="253">
        <f>Vitesse73</f>
        <v>8.5409999999999986</v>
      </c>
      <c r="E15" s="243">
        <f t="shared" si="0"/>
        <v>0.71174999999999988</v>
      </c>
    </row>
    <row r="16" spans="1:5" ht="23.25" thickBot="1" x14ac:dyDescent="0.45">
      <c r="A16" s="372">
        <f>A15+B15</f>
        <v>4.1458333333333333E-2</v>
      </c>
      <c r="E16" s="256">
        <f>SUM(E4+E5+E6+E8+E10+E12+E15)</f>
        <v>8.505704999999999</v>
      </c>
    </row>
  </sheetData>
  <mergeCells count="5">
    <mergeCell ref="A1:E1"/>
    <mergeCell ref="A2:E2"/>
    <mergeCell ref="A3:E3"/>
    <mergeCell ref="A7:E7"/>
    <mergeCell ref="A14:E14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3C65AF"/>
    <pageSetUpPr fitToPage="1"/>
  </sheetPr>
  <dimension ref="A1:E26"/>
  <sheetViews>
    <sheetView showGridLines="0" workbookViewId="0">
      <selection sqref="A1:E1"/>
    </sheetView>
  </sheetViews>
  <sheetFormatPr baseColWidth="10" defaultRowHeight="22.5" x14ac:dyDescent="0.4"/>
  <cols>
    <col min="1" max="1" width="15.7109375" style="257" customWidth="1"/>
    <col min="2" max="2" width="15.7109375" style="338" customWidth="1"/>
    <col min="3" max="3" width="20.7109375" style="259" customWidth="1"/>
    <col min="4" max="4" width="20.7109375" style="339" customWidth="1"/>
    <col min="5" max="5" width="15.7109375" style="258" customWidth="1"/>
    <col min="6" max="16384" width="11.42578125" style="238"/>
  </cols>
  <sheetData>
    <row r="1" spans="1:5" ht="30" customHeight="1" thickBot="1" x14ac:dyDescent="0.45">
      <c r="A1" s="693" t="str">
        <f>'Programme entrainement run'!B35</f>
        <v>Travail allure 400 m (VMA longue)</v>
      </c>
      <c r="B1" s="694"/>
      <c r="C1" s="694"/>
      <c r="D1" s="694"/>
      <c r="E1" s="695"/>
    </row>
    <row r="2" spans="1:5" ht="20.100000000000001" customHeight="1" thickBot="1" x14ac:dyDescent="0.45">
      <c r="A2" s="696" t="str">
        <f>'Programme entrainement run'!C35</f>
        <v>Sem 10 - jour 5</v>
      </c>
      <c r="B2" s="697"/>
      <c r="C2" s="697"/>
      <c r="D2" s="697"/>
      <c r="E2" s="698"/>
    </row>
    <row r="3" spans="1:5" ht="20.100000000000001" customHeight="1" thickBot="1" x14ac:dyDescent="0.45">
      <c r="A3" s="702" t="s">
        <v>11</v>
      </c>
      <c r="B3" s="703"/>
      <c r="C3" s="703"/>
      <c r="D3" s="703"/>
      <c r="E3" s="704"/>
    </row>
    <row r="4" spans="1:5" ht="20.100000000000001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0.100000000000001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25" si="0">((B5-INT(B5))*24)*D5</f>
        <v>1.4624999999999997</v>
      </c>
    </row>
    <row r="6" spans="1:5" ht="20.100000000000001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0.100000000000001" customHeight="1" thickBot="1" x14ac:dyDescent="0.45">
      <c r="A7" s="702" t="s">
        <v>12</v>
      </c>
      <c r="B7" s="703"/>
      <c r="C7" s="703"/>
      <c r="D7" s="703"/>
      <c r="E7" s="704"/>
    </row>
    <row r="8" spans="1:5" ht="20.100000000000001" customHeight="1" x14ac:dyDescent="0.4">
      <c r="A8" s="279">
        <f>A6+B6</f>
        <v>1.3888888888888888E-2</v>
      </c>
      <c r="B8" s="280">
        <v>1.689814814814815E-3</v>
      </c>
      <c r="C8" s="280">
        <f>Allure91</f>
        <v>3.9120370370370377E-3</v>
      </c>
      <c r="D8" s="281">
        <f>Vitesse91</f>
        <v>10.647</v>
      </c>
      <c r="E8" s="282">
        <f t="shared" si="0"/>
        <v>0.43179500000000004</v>
      </c>
    </row>
    <row r="9" spans="1:5" ht="20.100000000000001" customHeight="1" x14ac:dyDescent="0.4">
      <c r="A9" s="283">
        <f>A8+B8</f>
        <v>1.5578703703703702E-2</v>
      </c>
      <c r="B9" s="284">
        <v>1.0416666666666667E-3</v>
      </c>
      <c r="C9" s="285"/>
      <c r="D9" s="286"/>
      <c r="E9" s="287"/>
    </row>
    <row r="10" spans="1:5" ht="20.100000000000001" customHeight="1" x14ac:dyDescent="0.4">
      <c r="A10" s="289">
        <f t="shared" ref="A10:A23" si="1">A9+B9</f>
        <v>1.6620370370370369E-2</v>
      </c>
      <c r="B10" s="290">
        <v>1.689814814814815E-3</v>
      </c>
      <c r="C10" s="290">
        <f>Allure91</f>
        <v>3.9120370370370377E-3</v>
      </c>
      <c r="D10" s="291">
        <f>Vitesse91</f>
        <v>10.647</v>
      </c>
      <c r="E10" s="292">
        <f t="shared" si="0"/>
        <v>0.43179500000000004</v>
      </c>
    </row>
    <row r="11" spans="1:5" ht="20.100000000000001" customHeight="1" x14ac:dyDescent="0.4">
      <c r="A11" s="283">
        <f t="shared" si="1"/>
        <v>1.8310185185185183E-2</v>
      </c>
      <c r="B11" s="284">
        <v>1.0416666666666667E-3</v>
      </c>
      <c r="C11" s="285"/>
      <c r="D11" s="286"/>
      <c r="E11" s="287"/>
    </row>
    <row r="12" spans="1:5" ht="20.100000000000001" customHeight="1" x14ac:dyDescent="0.4">
      <c r="A12" s="289">
        <f t="shared" si="1"/>
        <v>1.9351851851851849E-2</v>
      </c>
      <c r="B12" s="290">
        <v>1.689814814814815E-3</v>
      </c>
      <c r="C12" s="290">
        <f>Allure91</f>
        <v>3.9120370370370377E-3</v>
      </c>
      <c r="D12" s="291">
        <f>Vitesse91</f>
        <v>10.647</v>
      </c>
      <c r="E12" s="292">
        <f t="shared" si="0"/>
        <v>0.43179500000000004</v>
      </c>
    </row>
    <row r="13" spans="1:5" ht="20.100000000000001" customHeight="1" x14ac:dyDescent="0.4">
      <c r="A13" s="283">
        <f t="shared" si="1"/>
        <v>2.1041666666666663E-2</v>
      </c>
      <c r="B13" s="284">
        <v>1.0416666666666667E-3</v>
      </c>
      <c r="C13" s="285"/>
      <c r="D13" s="286"/>
      <c r="E13" s="287"/>
    </row>
    <row r="14" spans="1:5" ht="20.100000000000001" customHeight="1" x14ac:dyDescent="0.4">
      <c r="A14" s="289">
        <f t="shared" si="1"/>
        <v>2.208333333333333E-2</v>
      </c>
      <c r="B14" s="290">
        <v>1.689814814814815E-3</v>
      </c>
      <c r="C14" s="290">
        <f>Allure91</f>
        <v>3.9120370370370377E-3</v>
      </c>
      <c r="D14" s="291">
        <f>Vitesse91</f>
        <v>10.647</v>
      </c>
      <c r="E14" s="292">
        <f t="shared" si="0"/>
        <v>0.43179500000000004</v>
      </c>
    </row>
    <row r="15" spans="1:5" ht="20.100000000000001" customHeight="1" x14ac:dyDescent="0.4">
      <c r="A15" s="283">
        <f t="shared" si="1"/>
        <v>2.3773148148148144E-2</v>
      </c>
      <c r="B15" s="284">
        <v>1.0416666666666667E-3</v>
      </c>
      <c r="C15" s="285"/>
      <c r="D15" s="286"/>
      <c r="E15" s="287"/>
    </row>
    <row r="16" spans="1:5" ht="20.100000000000001" customHeight="1" x14ac:dyDescent="0.4">
      <c r="A16" s="289">
        <f t="shared" si="1"/>
        <v>2.481481481481481E-2</v>
      </c>
      <c r="B16" s="290">
        <v>1.689814814814815E-3</v>
      </c>
      <c r="C16" s="290">
        <f>Allure91</f>
        <v>3.9120370370370377E-3</v>
      </c>
      <c r="D16" s="291">
        <f>Vitesse91</f>
        <v>10.647</v>
      </c>
      <c r="E16" s="292">
        <f t="shared" si="0"/>
        <v>0.43179500000000004</v>
      </c>
    </row>
    <row r="17" spans="1:5" ht="20.100000000000001" customHeight="1" x14ac:dyDescent="0.4">
      <c r="A17" s="283">
        <f t="shared" si="1"/>
        <v>2.6504629629629625E-2</v>
      </c>
      <c r="B17" s="284">
        <v>1.0416666666666667E-3</v>
      </c>
      <c r="C17" s="285"/>
      <c r="D17" s="286"/>
      <c r="E17" s="287"/>
    </row>
    <row r="18" spans="1:5" ht="20.100000000000001" customHeight="1" x14ac:dyDescent="0.4">
      <c r="A18" s="340">
        <f t="shared" si="1"/>
        <v>2.7546296296296291E-2</v>
      </c>
      <c r="B18" s="290">
        <v>1.689814814814815E-3</v>
      </c>
      <c r="C18" s="290">
        <f>Allure91</f>
        <v>3.9120370370370377E-3</v>
      </c>
      <c r="D18" s="291">
        <f>Vitesse91</f>
        <v>10.647</v>
      </c>
      <c r="E18" s="292">
        <f t="shared" si="0"/>
        <v>0.43179500000000004</v>
      </c>
    </row>
    <row r="19" spans="1:5" ht="20.100000000000001" customHeight="1" x14ac:dyDescent="0.4">
      <c r="A19" s="283">
        <f t="shared" si="1"/>
        <v>2.9236111111111105E-2</v>
      </c>
      <c r="B19" s="284">
        <v>1.0416666666666667E-3</v>
      </c>
      <c r="C19" s="284"/>
      <c r="D19" s="286"/>
      <c r="E19" s="287"/>
    </row>
    <row r="20" spans="1:5" ht="20.100000000000001" customHeight="1" x14ac:dyDescent="0.4">
      <c r="A20" s="340">
        <f t="shared" si="1"/>
        <v>3.0277777777777772E-2</v>
      </c>
      <c r="B20" s="290">
        <v>1.689814814814815E-3</v>
      </c>
      <c r="C20" s="290">
        <f>Allure91</f>
        <v>3.9120370370370377E-3</v>
      </c>
      <c r="D20" s="291">
        <f>Vitesse91</f>
        <v>10.647</v>
      </c>
      <c r="E20" s="292">
        <f t="shared" si="0"/>
        <v>0.43179500000000004</v>
      </c>
    </row>
    <row r="21" spans="1:5" ht="20.100000000000001" customHeight="1" x14ac:dyDescent="0.4">
      <c r="A21" s="283">
        <f t="shared" si="1"/>
        <v>3.1967592592592589E-2</v>
      </c>
      <c r="B21" s="284">
        <v>1.0416666666666667E-3</v>
      </c>
      <c r="C21" s="284"/>
      <c r="D21" s="286"/>
      <c r="E21" s="287"/>
    </row>
    <row r="22" spans="1:5" ht="20.100000000000001" customHeight="1" x14ac:dyDescent="0.4">
      <c r="A22" s="340">
        <f t="shared" si="1"/>
        <v>3.3009259259259259E-2</v>
      </c>
      <c r="B22" s="290">
        <v>1.689814814814815E-3</v>
      </c>
      <c r="C22" s="290">
        <f>Allure91</f>
        <v>3.9120370370370377E-3</v>
      </c>
      <c r="D22" s="291">
        <f>Vitesse91</f>
        <v>10.647</v>
      </c>
      <c r="E22" s="292">
        <f t="shared" si="0"/>
        <v>0.43179500000000004</v>
      </c>
    </row>
    <row r="23" spans="1:5" ht="20.100000000000001" customHeight="1" thickBot="1" x14ac:dyDescent="0.45">
      <c r="A23" s="293">
        <f t="shared" si="1"/>
        <v>3.4699074074074077E-2</v>
      </c>
      <c r="B23" s="294">
        <v>1.0416666666666667E-3</v>
      </c>
      <c r="C23" s="294"/>
      <c r="D23" s="296"/>
      <c r="E23" s="297"/>
    </row>
    <row r="24" spans="1:5" ht="20.100000000000001" customHeight="1" thickBot="1" x14ac:dyDescent="0.45">
      <c r="A24" s="705" t="s">
        <v>13</v>
      </c>
      <c r="B24" s="706"/>
      <c r="C24" s="706"/>
      <c r="D24" s="706"/>
      <c r="E24" s="707"/>
    </row>
    <row r="25" spans="1:5" ht="20.100000000000001" customHeight="1" thickBot="1" x14ac:dyDescent="0.45">
      <c r="A25" s="248">
        <f>A23+B23</f>
        <v>3.5740740740740747E-2</v>
      </c>
      <c r="B25" s="240">
        <v>3.472222222222222E-3</v>
      </c>
      <c r="C25" s="240">
        <f>Allure73</f>
        <v>4.8726851851851856E-3</v>
      </c>
      <c r="D25" s="253">
        <f>Vitesse73</f>
        <v>8.5409999999999986</v>
      </c>
      <c r="E25" s="243">
        <f t="shared" si="0"/>
        <v>0.71174999999999988</v>
      </c>
    </row>
    <row r="26" spans="1:5" ht="19.5" customHeight="1" thickBot="1" x14ac:dyDescent="0.45">
      <c r="A26" s="372">
        <f>A25+B25</f>
        <v>3.921296296296297E-2</v>
      </c>
      <c r="E26" s="256">
        <f>SUM(E4+E5+E6+E8+E10+E12+E14+E16+E18+E20+E22+E25)</f>
        <v>7.0911100000000005</v>
      </c>
    </row>
  </sheetData>
  <mergeCells count="5">
    <mergeCell ref="A1:E1"/>
    <mergeCell ref="A2:E2"/>
    <mergeCell ref="A3:E3"/>
    <mergeCell ref="A7:E7"/>
    <mergeCell ref="A24:E24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rgb="FF3C65AF"/>
    <pageSetUpPr fitToPage="1"/>
  </sheetPr>
  <dimension ref="A1:E40"/>
  <sheetViews>
    <sheetView showGridLines="0" workbookViewId="0">
      <selection sqref="A1:E1"/>
    </sheetView>
  </sheetViews>
  <sheetFormatPr baseColWidth="10" defaultRowHeight="18.75" x14ac:dyDescent="0.4"/>
  <cols>
    <col min="1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run'!B36</f>
        <v>Travail VMA court</v>
      </c>
      <c r="B1" s="694"/>
      <c r="C1" s="694"/>
      <c r="D1" s="694"/>
      <c r="E1" s="695"/>
    </row>
    <row r="2" spans="1:5" ht="19.5" customHeight="1" thickBot="1" x14ac:dyDescent="0.45">
      <c r="A2" s="696" t="str">
        <f>'Programme entrainement run'!C36</f>
        <v>Sem 11 - jour 1</v>
      </c>
      <c r="B2" s="697"/>
      <c r="C2" s="697"/>
      <c r="D2" s="697"/>
      <c r="E2" s="698"/>
    </row>
    <row r="3" spans="1:5" ht="23.25" thickBot="1" x14ac:dyDescent="0.45">
      <c r="A3" s="702" t="s">
        <v>11</v>
      </c>
      <c r="B3" s="703"/>
      <c r="C3" s="703"/>
      <c r="D3" s="703"/>
      <c r="E3" s="704"/>
    </row>
    <row r="4" spans="1:5" ht="23.25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3.25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39" si="0">((B5-INT(B5))*24)*D5</f>
        <v>1.4624999999999997</v>
      </c>
    </row>
    <row r="6" spans="1:5" ht="23.25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3.25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279">
        <f>A6+B6</f>
        <v>1.3888888888888888E-2</v>
      </c>
      <c r="B8" s="280">
        <v>3.4722222222222224E-4</v>
      </c>
      <c r="C8" s="280">
        <f>Allure90</f>
        <v>3.9467592592592592E-3</v>
      </c>
      <c r="D8" s="281">
        <f>Vitesse90</f>
        <v>10.53</v>
      </c>
      <c r="E8" s="282">
        <f t="shared" si="0"/>
        <v>8.7749999999999995E-2</v>
      </c>
    </row>
    <row r="9" spans="1:5" ht="19.5" customHeight="1" x14ac:dyDescent="0.4">
      <c r="A9" s="283">
        <f>A8+B8</f>
        <v>1.4236111111111111E-2</v>
      </c>
      <c r="B9" s="284">
        <v>3.4722222222222224E-4</v>
      </c>
      <c r="C9" s="285"/>
      <c r="D9" s="286"/>
      <c r="E9" s="287"/>
    </row>
    <row r="10" spans="1:5" ht="19.5" customHeight="1" x14ac:dyDescent="0.4">
      <c r="A10" s="289">
        <f t="shared" ref="A10:A37" si="1">A9+B9</f>
        <v>1.4583333333333334E-2</v>
      </c>
      <c r="B10" s="290">
        <v>3.4722222222222224E-4</v>
      </c>
      <c r="C10" s="290">
        <f>Allure90</f>
        <v>3.9467592592592592E-3</v>
      </c>
      <c r="D10" s="291">
        <f>Vitesse90</f>
        <v>10.53</v>
      </c>
      <c r="E10" s="292">
        <f t="shared" si="0"/>
        <v>8.7749999999999995E-2</v>
      </c>
    </row>
    <row r="11" spans="1:5" ht="19.5" customHeight="1" x14ac:dyDescent="0.4">
      <c r="A11" s="283">
        <f t="shared" si="1"/>
        <v>1.4930555555555556E-2</v>
      </c>
      <c r="B11" s="284">
        <v>3.4722222222222224E-4</v>
      </c>
      <c r="C11" s="285"/>
      <c r="D11" s="286"/>
      <c r="E11" s="287"/>
    </row>
    <row r="12" spans="1:5" ht="19.5" customHeight="1" x14ac:dyDescent="0.4">
      <c r="A12" s="289">
        <f t="shared" si="1"/>
        <v>1.5277777777777779E-2</v>
      </c>
      <c r="B12" s="290">
        <v>3.4722222222222224E-4</v>
      </c>
      <c r="C12" s="290">
        <f>Allure90</f>
        <v>3.9467592592592592E-3</v>
      </c>
      <c r="D12" s="291">
        <f>Vitesse90</f>
        <v>10.53</v>
      </c>
      <c r="E12" s="292">
        <f t="shared" si="0"/>
        <v>8.7749999999999995E-2</v>
      </c>
    </row>
    <row r="13" spans="1:5" ht="19.5" customHeight="1" x14ac:dyDescent="0.4">
      <c r="A13" s="283">
        <f t="shared" si="1"/>
        <v>1.5625E-2</v>
      </c>
      <c r="B13" s="284">
        <v>3.4722222222222224E-4</v>
      </c>
      <c r="C13" s="285"/>
      <c r="D13" s="286"/>
      <c r="E13" s="287"/>
    </row>
    <row r="14" spans="1:5" ht="19.5" customHeight="1" x14ac:dyDescent="0.4">
      <c r="A14" s="289">
        <f t="shared" si="1"/>
        <v>1.5972222222222221E-2</v>
      </c>
      <c r="B14" s="290">
        <v>3.4722222222222224E-4</v>
      </c>
      <c r="C14" s="290">
        <f>Allure90</f>
        <v>3.9467592592592592E-3</v>
      </c>
      <c r="D14" s="291">
        <f>Vitesse90</f>
        <v>10.53</v>
      </c>
      <c r="E14" s="292">
        <f t="shared" si="0"/>
        <v>8.7749999999999995E-2</v>
      </c>
    </row>
    <row r="15" spans="1:5" ht="19.5" customHeight="1" x14ac:dyDescent="0.4">
      <c r="A15" s="283">
        <f t="shared" si="1"/>
        <v>1.6319444444444442E-2</v>
      </c>
      <c r="B15" s="284">
        <v>3.4722222222222224E-4</v>
      </c>
      <c r="C15" s="284"/>
      <c r="D15" s="286"/>
      <c r="E15" s="287"/>
    </row>
    <row r="16" spans="1:5" ht="19.5" customHeight="1" x14ac:dyDescent="0.4">
      <c r="A16" s="289">
        <f t="shared" si="1"/>
        <v>1.6666666666666663E-2</v>
      </c>
      <c r="B16" s="290">
        <v>3.4722222222222224E-4</v>
      </c>
      <c r="C16" s="290">
        <f>Allure90</f>
        <v>3.9467592592592592E-3</v>
      </c>
      <c r="D16" s="291">
        <f>Vitesse90</f>
        <v>10.53</v>
      </c>
      <c r="E16" s="292">
        <f t="shared" si="0"/>
        <v>8.7749999999999995E-2</v>
      </c>
    </row>
    <row r="17" spans="1:5" ht="23.25" thickBot="1" x14ac:dyDescent="0.45">
      <c r="A17" s="293">
        <f t="shared" si="1"/>
        <v>1.7013888888888884E-2</v>
      </c>
      <c r="B17" s="294">
        <v>3.4722222222222224E-4</v>
      </c>
      <c r="C17" s="295"/>
      <c r="D17" s="296"/>
      <c r="E17" s="297"/>
    </row>
    <row r="18" spans="1:5" ht="23.25" thickBot="1" x14ac:dyDescent="0.45">
      <c r="A18" s="260">
        <f t="shared" si="1"/>
        <v>1.7361111111111105E-2</v>
      </c>
      <c r="B18" s="241">
        <v>1.3888888888888889E-3</v>
      </c>
      <c r="C18" s="241">
        <f>Allure80</f>
        <v>4.4444444444444444E-3</v>
      </c>
      <c r="D18" s="242">
        <f>Vitesse80</f>
        <v>9.36</v>
      </c>
      <c r="E18" s="277">
        <f t="shared" si="0"/>
        <v>0.312</v>
      </c>
    </row>
    <row r="19" spans="1:5" ht="19.5" customHeight="1" x14ac:dyDescent="0.4">
      <c r="A19" s="368">
        <f>A18+B18</f>
        <v>1.8749999999999992E-2</v>
      </c>
      <c r="B19" s="369">
        <v>3.4722222222222224E-4</v>
      </c>
      <c r="C19" s="369">
        <f>Allure90</f>
        <v>3.9467592592592592E-3</v>
      </c>
      <c r="D19" s="370">
        <f>Vitesse90</f>
        <v>10.53</v>
      </c>
      <c r="E19" s="282">
        <f t="shared" si="0"/>
        <v>8.7749999999999995E-2</v>
      </c>
    </row>
    <row r="20" spans="1:5" ht="19.5" customHeight="1" x14ac:dyDescent="0.4">
      <c r="A20" s="283">
        <f t="shared" si="1"/>
        <v>1.9097222222222213E-2</v>
      </c>
      <c r="B20" s="284">
        <v>3.4722222222222224E-4</v>
      </c>
      <c r="C20" s="284"/>
      <c r="D20" s="286"/>
      <c r="E20" s="287"/>
    </row>
    <row r="21" spans="1:5" ht="19.5" customHeight="1" x14ac:dyDescent="0.4">
      <c r="A21" s="340">
        <f t="shared" si="1"/>
        <v>1.9444444444444434E-2</v>
      </c>
      <c r="B21" s="302">
        <v>3.4722222222222224E-4</v>
      </c>
      <c r="C21" s="302">
        <f>Allure90</f>
        <v>3.9467592592592592E-3</v>
      </c>
      <c r="D21" s="304">
        <f>Vitesse90</f>
        <v>10.53</v>
      </c>
      <c r="E21" s="292">
        <f t="shared" si="0"/>
        <v>8.7749999999999995E-2</v>
      </c>
    </row>
    <row r="22" spans="1:5" ht="19.5" customHeight="1" x14ac:dyDescent="0.4">
      <c r="A22" s="283">
        <f t="shared" si="1"/>
        <v>1.9791666666666655E-2</v>
      </c>
      <c r="B22" s="284">
        <v>3.4722222222222224E-4</v>
      </c>
      <c r="C22" s="284"/>
      <c r="D22" s="286"/>
      <c r="E22" s="287"/>
    </row>
    <row r="23" spans="1:5" ht="19.5" customHeight="1" x14ac:dyDescent="0.4">
      <c r="A23" s="340">
        <f t="shared" si="1"/>
        <v>2.0138888888888876E-2</v>
      </c>
      <c r="B23" s="302">
        <v>3.4722222222222224E-4</v>
      </c>
      <c r="C23" s="302">
        <f>Allure90</f>
        <v>3.9467592592592592E-3</v>
      </c>
      <c r="D23" s="304">
        <f>Vitesse90</f>
        <v>10.53</v>
      </c>
      <c r="E23" s="292">
        <f t="shared" si="0"/>
        <v>8.7749999999999995E-2</v>
      </c>
    </row>
    <row r="24" spans="1:5" ht="19.5" customHeight="1" x14ac:dyDescent="0.4">
      <c r="A24" s="283">
        <f t="shared" si="1"/>
        <v>2.0486111111111097E-2</v>
      </c>
      <c r="B24" s="284">
        <v>3.4722222222222224E-4</v>
      </c>
      <c r="C24" s="284"/>
      <c r="D24" s="286"/>
      <c r="E24" s="287"/>
    </row>
    <row r="25" spans="1:5" ht="19.5" customHeight="1" x14ac:dyDescent="0.4">
      <c r="A25" s="340">
        <f t="shared" si="1"/>
        <v>2.0833333333333318E-2</v>
      </c>
      <c r="B25" s="302">
        <v>3.4722222222222224E-4</v>
      </c>
      <c r="C25" s="302">
        <f>Allure90</f>
        <v>3.9467592592592592E-3</v>
      </c>
      <c r="D25" s="304">
        <f>Vitesse90</f>
        <v>10.53</v>
      </c>
      <c r="E25" s="292">
        <f t="shared" si="0"/>
        <v>8.7749999999999995E-2</v>
      </c>
    </row>
    <row r="26" spans="1:5" ht="19.5" customHeight="1" x14ac:dyDescent="0.4">
      <c r="A26" s="283">
        <f t="shared" si="1"/>
        <v>2.1180555555555539E-2</v>
      </c>
      <c r="B26" s="284">
        <v>3.4722222222222224E-4</v>
      </c>
      <c r="C26" s="284"/>
      <c r="D26" s="286"/>
      <c r="E26" s="287"/>
    </row>
    <row r="27" spans="1:5" ht="23.25" thickBot="1" x14ac:dyDescent="0.45">
      <c r="A27" s="363">
        <f t="shared" si="1"/>
        <v>2.152777777777776E-2</v>
      </c>
      <c r="B27" s="306">
        <v>3.4722222222222224E-4</v>
      </c>
      <c r="C27" s="306">
        <f>Allure90</f>
        <v>3.9467592592592592E-3</v>
      </c>
      <c r="D27" s="308">
        <f>Vitesse90</f>
        <v>10.53</v>
      </c>
      <c r="E27" s="309">
        <f t="shared" si="0"/>
        <v>8.7749999999999995E-2</v>
      </c>
    </row>
    <row r="28" spans="1:5" ht="23.25" thickBot="1" x14ac:dyDescent="0.45">
      <c r="A28" s="313">
        <f t="shared" si="1"/>
        <v>2.1874999999999981E-2</v>
      </c>
      <c r="B28" s="314">
        <v>1.3888888888888889E-3</v>
      </c>
      <c r="C28" s="314">
        <f>Allure80</f>
        <v>4.4444444444444444E-3</v>
      </c>
      <c r="D28" s="316">
        <f>Vitesse80</f>
        <v>9.36</v>
      </c>
      <c r="E28" s="360">
        <f t="shared" si="0"/>
        <v>0.312</v>
      </c>
    </row>
    <row r="29" spans="1:5" ht="19.5" customHeight="1" x14ac:dyDescent="0.4">
      <c r="A29" s="368">
        <f t="shared" si="1"/>
        <v>2.3263888888888869E-2</v>
      </c>
      <c r="B29" s="369">
        <v>3.4722222222222224E-4</v>
      </c>
      <c r="C29" s="369">
        <f>Allure97</f>
        <v>3.6689814814814814E-3</v>
      </c>
      <c r="D29" s="370">
        <f>Vitesse97</f>
        <v>11.348999999999998</v>
      </c>
      <c r="E29" s="282">
        <f t="shared" si="0"/>
        <v>9.4574999999999992E-2</v>
      </c>
    </row>
    <row r="30" spans="1:5" ht="19.5" customHeight="1" x14ac:dyDescent="0.4">
      <c r="A30" s="283">
        <f t="shared" si="1"/>
        <v>2.361111111111109E-2</v>
      </c>
      <c r="B30" s="284">
        <v>3.4722222222222224E-4</v>
      </c>
      <c r="C30" s="284"/>
      <c r="D30" s="286"/>
      <c r="E30" s="287"/>
    </row>
    <row r="31" spans="1:5" ht="19.5" customHeight="1" x14ac:dyDescent="0.4">
      <c r="A31" s="340">
        <f t="shared" si="1"/>
        <v>2.3958333333333311E-2</v>
      </c>
      <c r="B31" s="381">
        <v>3.4722222222222224E-4</v>
      </c>
      <c r="C31" s="302">
        <f>Allure97</f>
        <v>3.6689814814814814E-3</v>
      </c>
      <c r="D31" s="304">
        <f>Vitesse97</f>
        <v>11.348999999999998</v>
      </c>
      <c r="E31" s="292">
        <f>((B31-INT(B31))*24)*D31</f>
        <v>9.4574999999999992E-2</v>
      </c>
    </row>
    <row r="32" spans="1:5" ht="19.5" customHeight="1" x14ac:dyDescent="0.4">
      <c r="A32" s="283">
        <f t="shared" si="1"/>
        <v>2.4305555555555532E-2</v>
      </c>
      <c r="B32" s="284">
        <v>3.4722222222222224E-4</v>
      </c>
      <c r="C32" s="284"/>
      <c r="D32" s="286"/>
      <c r="E32" s="287"/>
    </row>
    <row r="33" spans="1:5" ht="19.5" customHeight="1" x14ac:dyDescent="0.4">
      <c r="A33" s="340">
        <f t="shared" si="1"/>
        <v>2.4652777777777753E-2</v>
      </c>
      <c r="B33" s="302">
        <v>3.4722222222222224E-4</v>
      </c>
      <c r="C33" s="302">
        <f>Allure97</f>
        <v>3.6689814814814814E-3</v>
      </c>
      <c r="D33" s="304">
        <f>Vitesse97</f>
        <v>11.348999999999998</v>
      </c>
      <c r="E33" s="292">
        <f t="shared" si="0"/>
        <v>9.4574999999999992E-2</v>
      </c>
    </row>
    <row r="34" spans="1:5" ht="19.5" customHeight="1" x14ac:dyDescent="0.4">
      <c r="A34" s="283">
        <f t="shared" si="1"/>
        <v>2.4999999999999974E-2</v>
      </c>
      <c r="B34" s="284">
        <v>3.4722222222222224E-4</v>
      </c>
      <c r="C34" s="284"/>
      <c r="D34" s="286"/>
      <c r="E34" s="287"/>
    </row>
    <row r="35" spans="1:5" ht="19.5" customHeight="1" x14ac:dyDescent="0.4">
      <c r="A35" s="340">
        <f t="shared" si="1"/>
        <v>2.5347222222222195E-2</v>
      </c>
      <c r="B35" s="302">
        <v>3.4722222222222224E-4</v>
      </c>
      <c r="C35" s="302">
        <f>Allure97</f>
        <v>3.6689814814814814E-3</v>
      </c>
      <c r="D35" s="304">
        <f>Vitesse97</f>
        <v>11.348999999999998</v>
      </c>
      <c r="E35" s="362">
        <f t="shared" si="0"/>
        <v>9.4574999999999992E-2</v>
      </c>
    </row>
    <row r="36" spans="1:5" ht="19.5" customHeight="1" x14ac:dyDescent="0.4">
      <c r="A36" s="283">
        <f t="shared" si="1"/>
        <v>2.5694444444444416E-2</v>
      </c>
      <c r="B36" s="284">
        <v>3.4722222222222224E-4</v>
      </c>
      <c r="C36" s="284"/>
      <c r="D36" s="286"/>
      <c r="E36" s="287"/>
    </row>
    <row r="37" spans="1:5" ht="23.25" thickBot="1" x14ac:dyDescent="0.45">
      <c r="A37" s="363">
        <f t="shared" si="1"/>
        <v>2.6041666666666637E-2</v>
      </c>
      <c r="B37" s="306">
        <v>3.4722222222222224E-4</v>
      </c>
      <c r="C37" s="306">
        <f>Allure97</f>
        <v>3.6689814814814814E-3</v>
      </c>
      <c r="D37" s="308">
        <f>Vitesse97</f>
        <v>11.348999999999998</v>
      </c>
      <c r="E37" s="309">
        <f t="shared" si="0"/>
        <v>9.4574999999999992E-2</v>
      </c>
    </row>
    <row r="38" spans="1:5" ht="23.25" thickBot="1" x14ac:dyDescent="0.45">
      <c r="A38" s="708" t="s">
        <v>13</v>
      </c>
      <c r="B38" s="709"/>
      <c r="C38" s="709"/>
      <c r="D38" s="709"/>
      <c r="E38" s="710"/>
    </row>
    <row r="39" spans="1:5" ht="23.25" thickBot="1" x14ac:dyDescent="0.45">
      <c r="A39" s="248">
        <f>A37+B37</f>
        <v>2.6388888888888858E-2</v>
      </c>
      <c r="B39" s="240">
        <v>3.472222222222222E-3</v>
      </c>
      <c r="C39" s="240">
        <f>Allure73</f>
        <v>4.8726851851851856E-3</v>
      </c>
      <c r="D39" s="253">
        <f>Vitesse73</f>
        <v>8.5409999999999986</v>
      </c>
      <c r="E39" s="243">
        <f t="shared" si="0"/>
        <v>0.71174999999999988</v>
      </c>
    </row>
    <row r="40" spans="1:5" ht="23.25" thickBot="1" x14ac:dyDescent="0.45">
      <c r="A40" s="337">
        <f>A39+B39</f>
        <v>2.9861111111111081E-2</v>
      </c>
      <c r="B40" s="338"/>
      <c r="C40" s="259"/>
      <c r="D40" s="339"/>
      <c r="E40" s="256">
        <f>SUM(E4+E5+E6+E8+E10+E12+E14+E16+E18+E19+E21+E23+E25+E27+E28+E29+E31+E33++E35+E37+E39)</f>
        <v>5.6111249999999977</v>
      </c>
    </row>
  </sheetData>
  <mergeCells count="5">
    <mergeCell ref="A1:E1"/>
    <mergeCell ref="A2:E2"/>
    <mergeCell ref="A3:E3"/>
    <mergeCell ref="A7:E7"/>
    <mergeCell ref="A38:E38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5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>
    <tabColor rgb="FF3C65AF"/>
    <pageSetUpPr fitToPage="1"/>
  </sheetPr>
  <dimension ref="A1:E50"/>
  <sheetViews>
    <sheetView showGridLines="0" workbookViewId="0">
      <selection sqref="A1:E1"/>
    </sheetView>
  </sheetViews>
  <sheetFormatPr baseColWidth="10" defaultRowHeight="18.75" x14ac:dyDescent="0.4"/>
  <cols>
    <col min="1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run'!B37</f>
        <v>Travail VMA court</v>
      </c>
      <c r="B1" s="694"/>
      <c r="C1" s="694"/>
      <c r="D1" s="694"/>
      <c r="E1" s="695"/>
    </row>
    <row r="2" spans="1:5" ht="23.25" thickBot="1" x14ac:dyDescent="0.45">
      <c r="A2" s="696" t="str">
        <f>'Programme entrainement run'!C37</f>
        <v>Sem 11 - jour 3</v>
      </c>
      <c r="B2" s="697"/>
      <c r="C2" s="697"/>
      <c r="D2" s="697"/>
      <c r="E2" s="698"/>
    </row>
    <row r="3" spans="1:5" ht="23.25" thickBot="1" x14ac:dyDescent="0.45">
      <c r="A3" s="702" t="s">
        <v>11</v>
      </c>
      <c r="B3" s="703"/>
      <c r="C3" s="703"/>
      <c r="D3" s="703"/>
      <c r="E3" s="704"/>
    </row>
    <row r="4" spans="1:5" ht="23.25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3.25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49" si="0">((B5-INT(B5))*24)*D5</f>
        <v>1.4624999999999997</v>
      </c>
    </row>
    <row r="6" spans="1:5" ht="23.25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3.25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279">
        <f>A6+B6</f>
        <v>1.3888888888888888E-2</v>
      </c>
      <c r="B8" s="280">
        <v>4.6296296296296293E-4</v>
      </c>
      <c r="C8" s="280">
        <f>Allure93</f>
        <v>3.8194444444444443E-3</v>
      </c>
      <c r="D8" s="281">
        <f>Vitesse93</f>
        <v>10.881</v>
      </c>
      <c r="E8" s="282">
        <f t="shared" si="0"/>
        <v>0.12089999999999999</v>
      </c>
    </row>
    <row r="9" spans="1:5" ht="19.5" customHeight="1" thickBot="1" x14ac:dyDescent="0.45">
      <c r="A9" s="293">
        <f>A8+B8</f>
        <v>1.4351851851851852E-2</v>
      </c>
      <c r="B9" s="294">
        <v>2.3148148148148146E-4</v>
      </c>
      <c r="C9" s="295"/>
      <c r="D9" s="296"/>
      <c r="E9" s="297"/>
    </row>
    <row r="10" spans="1:5" ht="19.5" customHeight="1" x14ac:dyDescent="0.4">
      <c r="A10" s="279">
        <f t="shared" ref="A10:A43" si="1">A9+B9</f>
        <v>1.4583333333333334E-2</v>
      </c>
      <c r="B10" s="280">
        <v>2.3148148148148146E-4</v>
      </c>
      <c r="C10" s="280">
        <f>Allure105</f>
        <v>3.391203703703704E-3</v>
      </c>
      <c r="D10" s="281">
        <f>Vitesse105</f>
        <v>12.285</v>
      </c>
      <c r="E10" s="282">
        <f t="shared" si="0"/>
        <v>6.8249999999999991E-2</v>
      </c>
    </row>
    <row r="11" spans="1:5" ht="19.5" customHeight="1" thickBot="1" x14ac:dyDescent="0.45">
      <c r="A11" s="293">
        <f t="shared" si="1"/>
        <v>1.4814814814814815E-2</v>
      </c>
      <c r="B11" s="294">
        <v>6.9444444444444447E-4</v>
      </c>
      <c r="C11" s="295"/>
      <c r="D11" s="296"/>
      <c r="E11" s="297"/>
    </row>
    <row r="12" spans="1:5" ht="19.5" customHeight="1" x14ac:dyDescent="0.4">
      <c r="A12" s="279">
        <f t="shared" si="1"/>
        <v>1.5509259259259259E-2</v>
      </c>
      <c r="B12" s="280">
        <v>4.6296296296296293E-4</v>
      </c>
      <c r="C12" s="280">
        <f>Allure93</f>
        <v>3.8194444444444443E-3</v>
      </c>
      <c r="D12" s="281">
        <f>Vitesse93</f>
        <v>10.881</v>
      </c>
      <c r="E12" s="282">
        <f t="shared" si="0"/>
        <v>0.12089999999999999</v>
      </c>
    </row>
    <row r="13" spans="1:5" ht="19.5" customHeight="1" thickBot="1" x14ac:dyDescent="0.45">
      <c r="A13" s="293">
        <f t="shared" si="1"/>
        <v>1.5972222222222221E-2</v>
      </c>
      <c r="B13" s="294">
        <v>2.3148148148148146E-4</v>
      </c>
      <c r="C13" s="295"/>
      <c r="D13" s="296"/>
      <c r="E13" s="297"/>
    </row>
    <row r="14" spans="1:5" ht="19.5" customHeight="1" x14ac:dyDescent="0.4">
      <c r="A14" s="279">
        <f t="shared" si="1"/>
        <v>1.6203703703703703E-2</v>
      </c>
      <c r="B14" s="280">
        <v>2.3148148148148146E-4</v>
      </c>
      <c r="C14" s="280">
        <f>Allure105</f>
        <v>3.391203703703704E-3</v>
      </c>
      <c r="D14" s="281">
        <f>Vitesse105</f>
        <v>12.285</v>
      </c>
      <c r="E14" s="282">
        <f t="shared" si="0"/>
        <v>6.8249999999999991E-2</v>
      </c>
    </row>
    <row r="15" spans="1:5" ht="19.5" customHeight="1" thickBot="1" x14ac:dyDescent="0.45">
      <c r="A15" s="293">
        <f t="shared" si="1"/>
        <v>1.6435185185185185E-2</v>
      </c>
      <c r="B15" s="294">
        <v>6.9444444444444447E-4</v>
      </c>
      <c r="C15" s="294"/>
      <c r="D15" s="296"/>
      <c r="E15" s="297"/>
    </row>
    <row r="16" spans="1:5" ht="19.5" customHeight="1" x14ac:dyDescent="0.4">
      <c r="A16" s="279">
        <f t="shared" si="1"/>
        <v>1.712962962962963E-2</v>
      </c>
      <c r="B16" s="280">
        <v>4.6296296296296293E-4</v>
      </c>
      <c r="C16" s="280">
        <f>Allure93</f>
        <v>3.8194444444444443E-3</v>
      </c>
      <c r="D16" s="281">
        <f>Vitesse93</f>
        <v>10.881</v>
      </c>
      <c r="E16" s="282">
        <f t="shared" si="0"/>
        <v>0.12089999999999999</v>
      </c>
    </row>
    <row r="17" spans="1:5" ht="19.5" customHeight="1" thickBot="1" x14ac:dyDescent="0.45">
      <c r="A17" s="293">
        <f t="shared" si="1"/>
        <v>1.7592592592592594E-2</v>
      </c>
      <c r="B17" s="294">
        <v>2.3148148148148146E-4</v>
      </c>
      <c r="C17" s="295"/>
      <c r="D17" s="296"/>
      <c r="E17" s="297"/>
    </row>
    <row r="18" spans="1:5" ht="19.5" customHeight="1" x14ac:dyDescent="0.4">
      <c r="A18" s="279">
        <f t="shared" si="1"/>
        <v>1.7824074074074076E-2</v>
      </c>
      <c r="B18" s="280">
        <v>2.3148148148148146E-4</v>
      </c>
      <c r="C18" s="280">
        <f>Allure105</f>
        <v>3.391203703703704E-3</v>
      </c>
      <c r="D18" s="281">
        <f>Vitesse105</f>
        <v>12.285</v>
      </c>
      <c r="E18" s="282">
        <f t="shared" si="0"/>
        <v>6.8249999999999991E-2</v>
      </c>
    </row>
    <row r="19" spans="1:5" ht="19.5" customHeight="1" thickBot="1" x14ac:dyDescent="0.45">
      <c r="A19" s="293">
        <f>A18+B18</f>
        <v>1.8055555555555557E-2</v>
      </c>
      <c r="B19" s="294">
        <v>6.9444444444444447E-4</v>
      </c>
      <c r="C19" s="294"/>
      <c r="D19" s="296"/>
      <c r="E19" s="297"/>
    </row>
    <row r="20" spans="1:5" ht="19.5" customHeight="1" x14ac:dyDescent="0.4">
      <c r="A20" s="368">
        <f t="shared" si="1"/>
        <v>1.8750000000000003E-2</v>
      </c>
      <c r="B20" s="369">
        <v>4.6296296296296293E-4</v>
      </c>
      <c r="C20" s="369">
        <f>Allure93</f>
        <v>3.8194444444444443E-3</v>
      </c>
      <c r="D20" s="370">
        <f>Vitesse93</f>
        <v>10.881</v>
      </c>
      <c r="E20" s="371">
        <f t="shared" si="0"/>
        <v>0.12089999999999999</v>
      </c>
    </row>
    <row r="21" spans="1:5" ht="19.5" customHeight="1" thickBot="1" x14ac:dyDescent="0.45">
      <c r="A21" s="293">
        <f t="shared" si="1"/>
        <v>1.9212962962962966E-2</v>
      </c>
      <c r="B21" s="294">
        <v>2.3148148148148146E-4</v>
      </c>
      <c r="C21" s="294"/>
      <c r="D21" s="296"/>
      <c r="E21" s="297"/>
    </row>
    <row r="22" spans="1:5" ht="19.5" customHeight="1" x14ac:dyDescent="0.4">
      <c r="A22" s="368">
        <f t="shared" si="1"/>
        <v>1.9444444444444448E-2</v>
      </c>
      <c r="B22" s="369">
        <v>2.3148148148148146E-4</v>
      </c>
      <c r="C22" s="369">
        <f>Allure105</f>
        <v>3.391203703703704E-3</v>
      </c>
      <c r="D22" s="370">
        <f>Vitesse105</f>
        <v>12.285</v>
      </c>
      <c r="E22" s="371">
        <f t="shared" si="0"/>
        <v>6.8249999999999991E-2</v>
      </c>
    </row>
    <row r="23" spans="1:5" ht="19.5" customHeight="1" thickBot="1" x14ac:dyDescent="0.45">
      <c r="A23" s="293">
        <f t="shared" si="1"/>
        <v>1.967592592592593E-2</v>
      </c>
      <c r="B23" s="294">
        <v>6.9444444444444447E-4</v>
      </c>
      <c r="C23" s="294"/>
      <c r="D23" s="296"/>
      <c r="E23" s="297"/>
    </row>
    <row r="24" spans="1:5" ht="19.5" customHeight="1" x14ac:dyDescent="0.4">
      <c r="A24" s="368">
        <f t="shared" si="1"/>
        <v>2.0370370370370375E-2</v>
      </c>
      <c r="B24" s="369">
        <v>4.6296296296296293E-4</v>
      </c>
      <c r="C24" s="369">
        <f>Allure93</f>
        <v>3.8194444444444443E-3</v>
      </c>
      <c r="D24" s="370">
        <f>Vitesse93</f>
        <v>10.881</v>
      </c>
      <c r="E24" s="371">
        <f t="shared" si="0"/>
        <v>0.12089999999999999</v>
      </c>
    </row>
    <row r="25" spans="1:5" ht="19.5" customHeight="1" thickBot="1" x14ac:dyDescent="0.45">
      <c r="A25" s="293">
        <f t="shared" si="1"/>
        <v>2.0833333333333339E-2</v>
      </c>
      <c r="B25" s="294">
        <v>2.3148148148148146E-4</v>
      </c>
      <c r="C25" s="294"/>
      <c r="D25" s="296"/>
      <c r="E25" s="297"/>
    </row>
    <row r="26" spans="1:5" ht="19.5" customHeight="1" x14ac:dyDescent="0.4">
      <c r="A26" s="368">
        <f t="shared" si="1"/>
        <v>2.1064814814814821E-2</v>
      </c>
      <c r="B26" s="369">
        <v>2.3148148148148146E-4</v>
      </c>
      <c r="C26" s="369">
        <f>Allure105</f>
        <v>3.391203703703704E-3</v>
      </c>
      <c r="D26" s="370">
        <f>Vitesse105</f>
        <v>12.285</v>
      </c>
      <c r="E26" s="371">
        <f t="shared" si="0"/>
        <v>6.8249999999999991E-2</v>
      </c>
    </row>
    <row r="27" spans="1:5" ht="19.5" customHeight="1" thickBot="1" x14ac:dyDescent="0.45">
      <c r="A27" s="293">
        <f t="shared" si="1"/>
        <v>2.1296296296296303E-2</v>
      </c>
      <c r="B27" s="294">
        <v>6.9444444444444447E-4</v>
      </c>
      <c r="C27" s="294"/>
      <c r="D27" s="296"/>
      <c r="E27" s="297"/>
    </row>
    <row r="28" spans="1:5" ht="19.5" customHeight="1" x14ac:dyDescent="0.4">
      <c r="A28" s="368">
        <f t="shared" si="1"/>
        <v>2.1990740740740748E-2</v>
      </c>
      <c r="B28" s="369">
        <v>4.6296296296296293E-4</v>
      </c>
      <c r="C28" s="369">
        <f>Allure93</f>
        <v>3.8194444444444443E-3</v>
      </c>
      <c r="D28" s="370">
        <f>Vitesse93</f>
        <v>10.881</v>
      </c>
      <c r="E28" s="371">
        <f t="shared" si="0"/>
        <v>0.12089999999999999</v>
      </c>
    </row>
    <row r="29" spans="1:5" ht="19.5" customHeight="1" thickBot="1" x14ac:dyDescent="0.45">
      <c r="A29" s="293">
        <f t="shared" si="1"/>
        <v>2.2453703703703712E-2</v>
      </c>
      <c r="B29" s="294">
        <v>2.3148148148148146E-4</v>
      </c>
      <c r="C29" s="294"/>
      <c r="D29" s="296"/>
      <c r="E29" s="297"/>
    </row>
    <row r="30" spans="1:5" ht="19.5" customHeight="1" x14ac:dyDescent="0.4">
      <c r="A30" s="368">
        <f t="shared" si="1"/>
        <v>2.2685185185185194E-2</v>
      </c>
      <c r="B30" s="369">
        <v>2.3148148148148146E-4</v>
      </c>
      <c r="C30" s="369">
        <f>Allure105</f>
        <v>3.391203703703704E-3</v>
      </c>
      <c r="D30" s="370">
        <f>Vitesse105</f>
        <v>12.285</v>
      </c>
      <c r="E30" s="371">
        <f t="shared" si="0"/>
        <v>6.8249999999999991E-2</v>
      </c>
    </row>
    <row r="31" spans="1:5" ht="19.5" customHeight="1" thickBot="1" x14ac:dyDescent="0.45">
      <c r="A31" s="293">
        <f t="shared" si="1"/>
        <v>2.2916666666666675E-2</v>
      </c>
      <c r="B31" s="294">
        <v>6.9444444444444447E-4</v>
      </c>
      <c r="C31" s="294"/>
      <c r="D31" s="296"/>
      <c r="E31" s="297"/>
    </row>
    <row r="32" spans="1:5" ht="19.5" customHeight="1" x14ac:dyDescent="0.4">
      <c r="A32" s="368">
        <f t="shared" si="1"/>
        <v>2.3611111111111121E-2</v>
      </c>
      <c r="B32" s="369">
        <v>4.6296296296296293E-4</v>
      </c>
      <c r="C32" s="369">
        <f>Allure93</f>
        <v>3.8194444444444443E-3</v>
      </c>
      <c r="D32" s="370">
        <f>Vitesse93</f>
        <v>10.881</v>
      </c>
      <c r="E32" s="371">
        <f t="shared" si="0"/>
        <v>0.12089999999999999</v>
      </c>
    </row>
    <row r="33" spans="1:5" ht="19.5" customHeight="1" thickBot="1" x14ac:dyDescent="0.45">
      <c r="A33" s="293">
        <f t="shared" si="1"/>
        <v>2.4074074074074085E-2</v>
      </c>
      <c r="B33" s="294">
        <v>2.3148148148148146E-4</v>
      </c>
      <c r="C33" s="294"/>
      <c r="D33" s="296"/>
      <c r="E33" s="297"/>
    </row>
    <row r="34" spans="1:5" ht="19.5" customHeight="1" x14ac:dyDescent="0.4">
      <c r="A34" s="368">
        <f t="shared" si="1"/>
        <v>2.4305555555555566E-2</v>
      </c>
      <c r="B34" s="369">
        <v>2.3148148148148146E-4</v>
      </c>
      <c r="C34" s="369">
        <f>Allure105</f>
        <v>3.391203703703704E-3</v>
      </c>
      <c r="D34" s="370">
        <f>Vitesse105</f>
        <v>12.285</v>
      </c>
      <c r="E34" s="371">
        <f t="shared" si="0"/>
        <v>6.8249999999999991E-2</v>
      </c>
    </row>
    <row r="35" spans="1:5" ht="19.5" customHeight="1" thickBot="1" x14ac:dyDescent="0.45">
      <c r="A35" s="293">
        <f t="shared" si="1"/>
        <v>2.4537037037037048E-2</v>
      </c>
      <c r="B35" s="294">
        <v>6.9444444444444447E-4</v>
      </c>
      <c r="C35" s="294"/>
      <c r="D35" s="296"/>
      <c r="E35" s="297"/>
    </row>
    <row r="36" spans="1:5" ht="19.5" customHeight="1" x14ac:dyDescent="0.4">
      <c r="A36" s="368">
        <f t="shared" si="1"/>
        <v>2.5231481481481494E-2</v>
      </c>
      <c r="B36" s="369">
        <v>4.6296296296296293E-4</v>
      </c>
      <c r="C36" s="369">
        <f>Allure93</f>
        <v>3.8194444444444443E-3</v>
      </c>
      <c r="D36" s="370">
        <f>Vitesse93</f>
        <v>10.881</v>
      </c>
      <c r="E36" s="371">
        <f t="shared" si="0"/>
        <v>0.12089999999999999</v>
      </c>
    </row>
    <row r="37" spans="1:5" ht="19.5" customHeight="1" thickBot="1" x14ac:dyDescent="0.45">
      <c r="A37" s="293">
        <f t="shared" si="1"/>
        <v>2.5694444444444457E-2</v>
      </c>
      <c r="B37" s="294">
        <v>2.3148148148148146E-4</v>
      </c>
      <c r="C37" s="294"/>
      <c r="D37" s="296"/>
      <c r="E37" s="297"/>
    </row>
    <row r="38" spans="1:5" ht="19.5" customHeight="1" x14ac:dyDescent="0.4">
      <c r="A38" s="368">
        <f t="shared" si="1"/>
        <v>2.5925925925925939E-2</v>
      </c>
      <c r="B38" s="369">
        <v>2.3148148148148146E-4</v>
      </c>
      <c r="C38" s="369">
        <f>Allure105</f>
        <v>3.391203703703704E-3</v>
      </c>
      <c r="D38" s="370">
        <f>Vitesse105</f>
        <v>12.285</v>
      </c>
      <c r="E38" s="371">
        <f t="shared" si="0"/>
        <v>6.8249999999999991E-2</v>
      </c>
    </row>
    <row r="39" spans="1:5" ht="19.5" customHeight="1" thickBot="1" x14ac:dyDescent="0.45">
      <c r="A39" s="293">
        <f t="shared" si="1"/>
        <v>2.6157407407407421E-2</v>
      </c>
      <c r="B39" s="294">
        <v>6.9444444444444447E-4</v>
      </c>
      <c r="C39" s="294"/>
      <c r="D39" s="296"/>
      <c r="E39" s="297"/>
    </row>
    <row r="40" spans="1:5" ht="19.5" customHeight="1" x14ac:dyDescent="0.4">
      <c r="A40" s="368">
        <f t="shared" si="1"/>
        <v>2.6851851851851866E-2</v>
      </c>
      <c r="B40" s="369">
        <v>4.6296296296296293E-4</v>
      </c>
      <c r="C40" s="369">
        <f>Allure93</f>
        <v>3.8194444444444443E-3</v>
      </c>
      <c r="D40" s="370">
        <f>Vitesse93</f>
        <v>10.881</v>
      </c>
      <c r="E40" s="371">
        <f t="shared" si="0"/>
        <v>0.12089999999999999</v>
      </c>
    </row>
    <row r="41" spans="1:5" ht="19.5" customHeight="1" thickBot="1" x14ac:dyDescent="0.45">
      <c r="A41" s="293">
        <f t="shared" si="1"/>
        <v>2.731481481481483E-2</v>
      </c>
      <c r="B41" s="294">
        <v>2.3148148148148146E-4</v>
      </c>
      <c r="C41" s="294"/>
      <c r="D41" s="296"/>
      <c r="E41" s="297"/>
    </row>
    <row r="42" spans="1:5" ht="19.5" customHeight="1" x14ac:dyDescent="0.4">
      <c r="A42" s="368">
        <f t="shared" si="1"/>
        <v>2.7546296296296312E-2</v>
      </c>
      <c r="B42" s="369">
        <v>2.3148148148148146E-4</v>
      </c>
      <c r="C42" s="369">
        <f>Allure105</f>
        <v>3.391203703703704E-3</v>
      </c>
      <c r="D42" s="370">
        <f>Vitesse105</f>
        <v>12.285</v>
      </c>
      <c r="E42" s="371">
        <f t="shared" si="0"/>
        <v>6.8249999999999991E-2</v>
      </c>
    </row>
    <row r="43" spans="1:5" ht="19.5" customHeight="1" x14ac:dyDescent="0.4">
      <c r="A43" s="356">
        <f t="shared" si="1"/>
        <v>2.7777777777777794E-2</v>
      </c>
      <c r="B43" s="357">
        <v>6.9444444444444447E-4</v>
      </c>
      <c r="C43" s="357"/>
      <c r="D43" s="359"/>
      <c r="E43" s="360"/>
    </row>
    <row r="44" spans="1:5" ht="19.5" customHeight="1" x14ac:dyDescent="0.4">
      <c r="A44" s="382">
        <f>A43+B43</f>
        <v>2.8472222222222239E-2</v>
      </c>
      <c r="B44" s="302">
        <v>4.6296296296296293E-4</v>
      </c>
      <c r="C44" s="302">
        <f>Allure93</f>
        <v>3.8194444444444443E-3</v>
      </c>
      <c r="D44" s="304">
        <f>Vitesse93</f>
        <v>10.881</v>
      </c>
      <c r="E44" s="383">
        <f t="shared" si="0"/>
        <v>0.12089999999999999</v>
      </c>
    </row>
    <row r="45" spans="1:5" ht="19.5" customHeight="1" x14ac:dyDescent="0.4">
      <c r="A45" s="384">
        <f>A44+B44</f>
        <v>2.8935185185185203E-2</v>
      </c>
      <c r="B45" s="284">
        <v>6.9444444444444447E-4</v>
      </c>
      <c r="C45" s="284"/>
      <c r="D45" s="286"/>
      <c r="E45" s="385"/>
    </row>
    <row r="46" spans="1:5" ht="19.5" customHeight="1" x14ac:dyDescent="0.4">
      <c r="A46" s="386">
        <f>A45+B45</f>
        <v>2.9629629629629648E-2</v>
      </c>
      <c r="B46" s="344">
        <v>2.3148148148148146E-4</v>
      </c>
      <c r="C46" s="344">
        <f>Allure105</f>
        <v>3.391203703703704E-3</v>
      </c>
      <c r="D46" s="345">
        <f>Vitesse105</f>
        <v>12.285</v>
      </c>
      <c r="E46" s="387">
        <f t="shared" si="0"/>
        <v>6.8249999999999991E-2</v>
      </c>
    </row>
    <row r="47" spans="1:5" ht="19.5" customHeight="1" thickBot="1" x14ac:dyDescent="0.45">
      <c r="A47" s="293">
        <f>A46+B46</f>
        <v>2.986111111111113E-2</v>
      </c>
      <c r="B47" s="294">
        <v>6.9444444444444447E-4</v>
      </c>
      <c r="C47" s="294"/>
      <c r="D47" s="296"/>
      <c r="E47" s="297"/>
    </row>
    <row r="48" spans="1:5" ht="19.5" customHeight="1" thickBot="1" x14ac:dyDescent="0.45">
      <c r="A48" s="708" t="s">
        <v>13</v>
      </c>
      <c r="B48" s="709"/>
      <c r="C48" s="709"/>
      <c r="D48" s="709"/>
      <c r="E48" s="710"/>
    </row>
    <row r="49" spans="1:5" ht="19.5" customHeight="1" thickBot="1" x14ac:dyDescent="0.45">
      <c r="A49" s="248">
        <f>A44+B44</f>
        <v>2.8935185185185203E-2</v>
      </c>
      <c r="B49" s="240">
        <v>3.472222222222222E-3</v>
      </c>
      <c r="C49" s="240">
        <f>Allure73</f>
        <v>4.8726851851851856E-3</v>
      </c>
      <c r="D49" s="253">
        <f>Vitesse73</f>
        <v>8.5409999999999986</v>
      </c>
      <c r="E49" s="243">
        <f t="shared" si="0"/>
        <v>0.71174999999999988</v>
      </c>
    </row>
    <row r="50" spans="1:5" ht="19.5" customHeight="1" thickBot="1" x14ac:dyDescent="0.45">
      <c r="A50" s="337">
        <f>A49+B49</f>
        <v>3.2407407407407426E-2</v>
      </c>
      <c r="B50" s="338"/>
      <c r="C50" s="259"/>
      <c r="D50" s="339"/>
      <c r="E50" s="256">
        <f>SUM(E4+E5+E6+E8+E10+E12+E14+E16+E18+E20+E22+E24+E26+E28+E30+E32+E34+E36+E38+E40+E42+E44+E49+E46)</f>
        <v>5.5282499999999972</v>
      </c>
    </row>
  </sheetData>
  <mergeCells count="5">
    <mergeCell ref="A1:E1"/>
    <mergeCell ref="A2:E2"/>
    <mergeCell ref="A3:E3"/>
    <mergeCell ref="A7:E7"/>
    <mergeCell ref="A48:E48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1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7">
    <tabColor rgb="FF3C65AF"/>
    <pageSetUpPr fitToPage="1"/>
  </sheetPr>
  <dimension ref="A1:E50"/>
  <sheetViews>
    <sheetView showGridLines="0" workbookViewId="0">
      <selection sqref="A1:E1"/>
    </sheetView>
  </sheetViews>
  <sheetFormatPr baseColWidth="10" defaultRowHeight="15" x14ac:dyDescent="0.25"/>
  <cols>
    <col min="1" max="2" width="15.7109375" customWidth="1"/>
    <col min="3" max="4" width="20.7109375" customWidth="1"/>
    <col min="5" max="5" width="15.7109375" customWidth="1"/>
  </cols>
  <sheetData>
    <row r="1" spans="1:5" ht="30" customHeight="1" thickBot="1" x14ac:dyDescent="0.3">
      <c r="A1" s="711" t="str">
        <f>'Programme entrainement run'!B38</f>
        <v>Travail VMA court</v>
      </c>
      <c r="B1" s="712"/>
      <c r="C1" s="712"/>
      <c r="D1" s="712"/>
      <c r="E1" s="713"/>
    </row>
    <row r="2" spans="1:5" ht="19.5" customHeight="1" thickBot="1" x14ac:dyDescent="0.3">
      <c r="A2" s="714" t="str">
        <f>'Programme entrainement run'!C38</f>
        <v>Sem 11 - jour 5</v>
      </c>
      <c r="B2" s="715"/>
      <c r="C2" s="715"/>
      <c r="D2" s="715"/>
      <c r="E2" s="716"/>
    </row>
    <row r="3" spans="1:5" ht="19.5" customHeight="1" thickBot="1" x14ac:dyDescent="0.3">
      <c r="A3" s="717" t="s">
        <v>11</v>
      </c>
      <c r="B3" s="718"/>
      <c r="C3" s="718"/>
      <c r="D3" s="718"/>
      <c r="E3" s="719"/>
    </row>
    <row r="4" spans="1:5" ht="19.5" customHeight="1" thickBot="1" x14ac:dyDescent="0.3">
      <c r="A4" s="110" t="s">
        <v>94</v>
      </c>
      <c r="B4" s="103">
        <v>3.472222222222222E-3</v>
      </c>
      <c r="C4" s="103">
        <f>Allure73</f>
        <v>4.8726851851851856E-3</v>
      </c>
      <c r="D4" s="104">
        <f>Vitesse73</f>
        <v>8.5409999999999986</v>
      </c>
      <c r="E4" s="105">
        <f>((B4-INT(B4))*24)*D4</f>
        <v>0.71174999999999988</v>
      </c>
    </row>
    <row r="5" spans="1:5" ht="19.5" customHeight="1" thickBot="1" x14ac:dyDescent="0.3">
      <c r="A5" s="225">
        <f>B4</f>
        <v>3.472222222222222E-3</v>
      </c>
      <c r="B5" s="226">
        <v>6.9444444444444441E-3</v>
      </c>
      <c r="C5" s="226">
        <f>Allure75</f>
        <v>4.7453703703703703E-3</v>
      </c>
      <c r="D5" s="227">
        <f>Vitesse75</f>
        <v>8.7749999999999986</v>
      </c>
      <c r="E5" s="228">
        <f t="shared" ref="E5:E49" si="0">((B5-INT(B5))*24)*D5</f>
        <v>1.4624999999999997</v>
      </c>
    </row>
    <row r="6" spans="1:5" ht="19.5" customHeight="1" thickBot="1" x14ac:dyDescent="0.3">
      <c r="A6" s="108">
        <f>A5+B5</f>
        <v>1.0416666666666666E-2</v>
      </c>
      <c r="B6" s="29">
        <v>3.472222222222222E-3</v>
      </c>
      <c r="C6" s="29">
        <f>Allure77</f>
        <v>4.6180555555555558E-3</v>
      </c>
      <c r="D6" s="30">
        <f>Vitesse77</f>
        <v>9.0090000000000003</v>
      </c>
      <c r="E6" s="38">
        <f t="shared" si="0"/>
        <v>0.75075000000000003</v>
      </c>
    </row>
    <row r="7" spans="1:5" ht="19.5" customHeight="1" thickBot="1" x14ac:dyDescent="0.3">
      <c r="A7" s="720" t="s">
        <v>12</v>
      </c>
      <c r="B7" s="721"/>
      <c r="C7" s="721"/>
      <c r="D7" s="721"/>
      <c r="E7" s="722"/>
    </row>
    <row r="8" spans="1:5" ht="19.5" customHeight="1" x14ac:dyDescent="0.25">
      <c r="A8" s="109">
        <f>A6+B6</f>
        <v>1.3888888888888888E-2</v>
      </c>
      <c r="B8" s="24">
        <v>8.6805555555555551E-4</v>
      </c>
      <c r="C8" s="24">
        <f>Allure87</f>
        <v>4.0856481481481481E-3</v>
      </c>
      <c r="D8" s="25">
        <f>Vitesse87</f>
        <v>10.178999999999998</v>
      </c>
      <c r="E8" s="36">
        <f t="shared" si="0"/>
        <v>0.21206249999999996</v>
      </c>
    </row>
    <row r="9" spans="1:5" ht="19.5" customHeight="1" x14ac:dyDescent="0.25">
      <c r="A9" s="229">
        <f>A8+B8</f>
        <v>1.4756944444444444E-2</v>
      </c>
      <c r="B9" s="230">
        <v>6.9444444444444447E-4</v>
      </c>
      <c r="C9" s="231"/>
      <c r="D9" s="232"/>
      <c r="E9" s="233"/>
    </row>
    <row r="10" spans="1:5" ht="19.5" customHeight="1" x14ac:dyDescent="0.25">
      <c r="A10" s="107">
        <f t="shared" ref="A10:A47" si="1">A9+B9</f>
        <v>1.5451388888888888E-2</v>
      </c>
      <c r="B10" s="26">
        <v>8.6805555555555551E-4</v>
      </c>
      <c r="C10" s="26">
        <f>Allure87</f>
        <v>4.0856481481481481E-3</v>
      </c>
      <c r="D10" s="27">
        <f>Vitesse87</f>
        <v>10.178999999999998</v>
      </c>
      <c r="E10" s="37">
        <f t="shared" si="0"/>
        <v>0.21206249999999996</v>
      </c>
    </row>
    <row r="11" spans="1:5" ht="19.5" customHeight="1" x14ac:dyDescent="0.25">
      <c r="A11" s="229">
        <f t="shared" si="1"/>
        <v>1.6319444444444442E-2</v>
      </c>
      <c r="B11" s="230">
        <v>6.9444444444444447E-4</v>
      </c>
      <c r="C11" s="231"/>
      <c r="D11" s="232"/>
      <c r="E11" s="233"/>
    </row>
    <row r="12" spans="1:5" ht="19.5" customHeight="1" x14ac:dyDescent="0.25">
      <c r="A12" s="107">
        <f t="shared" si="1"/>
        <v>1.7013888888888887E-2</v>
      </c>
      <c r="B12" s="26">
        <v>8.6805555555555551E-4</v>
      </c>
      <c r="C12" s="26">
        <f>Allure87</f>
        <v>4.0856481481481481E-3</v>
      </c>
      <c r="D12" s="27">
        <f>Vitesse87</f>
        <v>10.178999999999998</v>
      </c>
      <c r="E12" s="37">
        <f t="shared" si="0"/>
        <v>0.21206249999999996</v>
      </c>
    </row>
    <row r="13" spans="1:5" ht="19.5" customHeight="1" x14ac:dyDescent="0.25">
      <c r="A13" s="229">
        <f t="shared" si="1"/>
        <v>1.7881944444444443E-2</v>
      </c>
      <c r="B13" s="230">
        <v>6.9444444444444447E-4</v>
      </c>
      <c r="C13" s="231"/>
      <c r="D13" s="232"/>
      <c r="E13" s="233"/>
    </row>
    <row r="14" spans="1:5" ht="19.5" customHeight="1" x14ac:dyDescent="0.25">
      <c r="A14" s="107">
        <f t="shared" si="1"/>
        <v>1.8576388888888889E-2</v>
      </c>
      <c r="B14" s="26">
        <v>8.6805555555555551E-4</v>
      </c>
      <c r="C14" s="26">
        <f>Allure87</f>
        <v>4.0856481481481481E-3</v>
      </c>
      <c r="D14" s="27">
        <f>Vitesse87</f>
        <v>10.178999999999998</v>
      </c>
      <c r="E14" s="37">
        <f t="shared" si="0"/>
        <v>0.21206249999999996</v>
      </c>
    </row>
    <row r="15" spans="1:5" ht="19.5" customHeight="1" thickBot="1" x14ac:dyDescent="0.3">
      <c r="A15" s="348">
        <f t="shared" si="1"/>
        <v>1.9444444444444445E-2</v>
      </c>
      <c r="B15" s="349">
        <v>6.9444444444444447E-4</v>
      </c>
      <c r="C15" s="349"/>
      <c r="D15" s="350"/>
      <c r="E15" s="351"/>
    </row>
    <row r="16" spans="1:5" ht="19.5" customHeight="1" x14ac:dyDescent="0.25">
      <c r="A16" s="109">
        <f t="shared" si="1"/>
        <v>2.013888888888889E-2</v>
      </c>
      <c r="B16" s="24">
        <v>6.9444444444444447E-4</v>
      </c>
      <c r="C16" s="24">
        <f>Allure88</f>
        <v>4.0393518518518521E-3</v>
      </c>
      <c r="D16" s="25">
        <f>Vitesse88</f>
        <v>10.295999999999999</v>
      </c>
      <c r="E16" s="36">
        <f t="shared" si="0"/>
        <v>0.17159999999999997</v>
      </c>
    </row>
    <row r="17" spans="1:5" ht="19.5" customHeight="1" x14ac:dyDescent="0.25">
      <c r="A17" s="229">
        <f t="shared" si="1"/>
        <v>2.0833333333333336E-2</v>
      </c>
      <c r="B17" s="230">
        <v>5.2083333333333333E-4</v>
      </c>
      <c r="C17" s="231"/>
      <c r="D17" s="232"/>
      <c r="E17" s="233"/>
    </row>
    <row r="18" spans="1:5" ht="19.5" customHeight="1" x14ac:dyDescent="0.25">
      <c r="A18" s="107">
        <f t="shared" si="1"/>
        <v>2.1354166666666671E-2</v>
      </c>
      <c r="B18" s="26">
        <v>6.9444444444444447E-4</v>
      </c>
      <c r="C18" s="26">
        <f>Allure88</f>
        <v>4.0393518518518521E-3</v>
      </c>
      <c r="D18" s="27">
        <f>Vitesse88</f>
        <v>10.295999999999999</v>
      </c>
      <c r="E18" s="37">
        <f t="shared" si="0"/>
        <v>0.17159999999999997</v>
      </c>
    </row>
    <row r="19" spans="1:5" ht="19.5" customHeight="1" x14ac:dyDescent="0.25">
      <c r="A19" s="229">
        <f>A18+B18</f>
        <v>2.2048611111111116E-2</v>
      </c>
      <c r="B19" s="230">
        <v>5.2083333333333333E-4</v>
      </c>
      <c r="C19" s="230"/>
      <c r="D19" s="232"/>
      <c r="E19" s="233"/>
    </row>
    <row r="20" spans="1:5" ht="19.5" customHeight="1" x14ac:dyDescent="0.25">
      <c r="A20" s="112">
        <f t="shared" si="1"/>
        <v>2.2569444444444451E-2</v>
      </c>
      <c r="B20" s="32">
        <v>6.9444444444444447E-4</v>
      </c>
      <c r="C20" s="32">
        <f>Allure88</f>
        <v>4.0393518518518521E-3</v>
      </c>
      <c r="D20" s="28">
        <f>Vitesse88</f>
        <v>10.295999999999999</v>
      </c>
      <c r="E20" s="113">
        <f t="shared" si="0"/>
        <v>0.17159999999999997</v>
      </c>
    </row>
    <row r="21" spans="1:5" ht="19.5" customHeight="1" x14ac:dyDescent="0.25">
      <c r="A21" s="229">
        <f t="shared" si="1"/>
        <v>2.3263888888888896E-2</v>
      </c>
      <c r="B21" s="230">
        <v>5.2083333333333333E-4</v>
      </c>
      <c r="C21" s="230"/>
      <c r="D21" s="232"/>
      <c r="E21" s="233"/>
    </row>
    <row r="22" spans="1:5" ht="19.5" customHeight="1" x14ac:dyDescent="0.25">
      <c r="A22" s="112">
        <f t="shared" si="1"/>
        <v>2.3784722222222231E-2</v>
      </c>
      <c r="B22" s="32">
        <v>6.9444444444444447E-4</v>
      </c>
      <c r="C22" s="32">
        <f>Allure88</f>
        <v>4.0393518518518521E-3</v>
      </c>
      <c r="D22" s="28">
        <f>Vitesse88</f>
        <v>10.295999999999999</v>
      </c>
      <c r="E22" s="113">
        <f t="shared" si="0"/>
        <v>0.17159999999999997</v>
      </c>
    </row>
    <row r="23" spans="1:5" ht="19.5" customHeight="1" thickBot="1" x14ac:dyDescent="0.3">
      <c r="A23" s="348">
        <f t="shared" si="1"/>
        <v>2.4479166666666677E-2</v>
      </c>
      <c r="B23" s="349">
        <v>5.2083333333333333E-4</v>
      </c>
      <c r="C23" s="349"/>
      <c r="D23" s="350"/>
      <c r="E23" s="351"/>
    </row>
    <row r="24" spans="1:5" ht="19.5" customHeight="1" x14ac:dyDescent="0.25">
      <c r="A24" s="114">
        <f t="shared" si="1"/>
        <v>2.5000000000000012E-2</v>
      </c>
      <c r="B24" s="115">
        <v>5.2083333333333333E-4</v>
      </c>
      <c r="C24" s="115">
        <f>Allure93</f>
        <v>3.8194444444444443E-3</v>
      </c>
      <c r="D24" s="116">
        <f>Vitesse93</f>
        <v>10.881</v>
      </c>
      <c r="E24" s="117">
        <f t="shared" si="0"/>
        <v>0.13601250000000001</v>
      </c>
    </row>
    <row r="25" spans="1:5" ht="19.5" customHeight="1" x14ac:dyDescent="0.25">
      <c r="A25" s="229">
        <f t="shared" si="1"/>
        <v>2.5520833333333347E-2</v>
      </c>
      <c r="B25" s="230">
        <v>4.6296296296296293E-4</v>
      </c>
      <c r="C25" s="230"/>
      <c r="D25" s="232"/>
      <c r="E25" s="233"/>
    </row>
    <row r="26" spans="1:5" ht="19.5" customHeight="1" x14ac:dyDescent="0.25">
      <c r="A26" s="112">
        <f t="shared" si="1"/>
        <v>2.598379629629631E-2</v>
      </c>
      <c r="B26" s="32">
        <v>5.2083333333333333E-4</v>
      </c>
      <c r="C26" s="32">
        <f>Allure93</f>
        <v>3.8194444444444443E-3</v>
      </c>
      <c r="D26" s="28">
        <f>Vitesse93</f>
        <v>10.881</v>
      </c>
      <c r="E26" s="113">
        <f t="shared" si="0"/>
        <v>0.13601250000000001</v>
      </c>
    </row>
    <row r="27" spans="1:5" ht="19.5" customHeight="1" x14ac:dyDescent="0.25">
      <c r="A27" s="229">
        <f t="shared" si="1"/>
        <v>2.6504629629629645E-2</v>
      </c>
      <c r="B27" s="230">
        <v>4.6296296296296293E-4</v>
      </c>
      <c r="C27" s="230"/>
      <c r="D27" s="232"/>
      <c r="E27" s="233"/>
    </row>
    <row r="28" spans="1:5" ht="19.5" customHeight="1" x14ac:dyDescent="0.25">
      <c r="A28" s="112">
        <f t="shared" si="1"/>
        <v>2.6967592592592609E-2</v>
      </c>
      <c r="B28" s="32">
        <v>5.2083333333333333E-4</v>
      </c>
      <c r="C28" s="32">
        <f>Allure93</f>
        <v>3.8194444444444443E-3</v>
      </c>
      <c r="D28" s="28">
        <f>Vitesse93</f>
        <v>10.881</v>
      </c>
      <c r="E28" s="113">
        <f t="shared" si="0"/>
        <v>0.13601250000000001</v>
      </c>
    </row>
    <row r="29" spans="1:5" ht="19.5" customHeight="1" x14ac:dyDescent="0.25">
      <c r="A29" s="229">
        <f t="shared" si="1"/>
        <v>2.7488425925925944E-2</v>
      </c>
      <c r="B29" s="230">
        <v>4.6296296296296293E-4</v>
      </c>
      <c r="C29" s="230"/>
      <c r="D29" s="232"/>
      <c r="E29" s="233"/>
    </row>
    <row r="30" spans="1:5" ht="19.5" customHeight="1" x14ac:dyDescent="0.25">
      <c r="A30" s="112">
        <f t="shared" si="1"/>
        <v>2.7951388888888908E-2</v>
      </c>
      <c r="B30" s="32">
        <v>5.2083333333333333E-4</v>
      </c>
      <c r="C30" s="32">
        <f>Allure93</f>
        <v>3.8194444444444443E-3</v>
      </c>
      <c r="D30" s="28">
        <f>Vitesse93</f>
        <v>10.881</v>
      </c>
      <c r="E30" s="113">
        <f t="shared" si="0"/>
        <v>0.13601250000000001</v>
      </c>
    </row>
    <row r="31" spans="1:5" ht="19.5" customHeight="1" thickBot="1" x14ac:dyDescent="0.3">
      <c r="A31" s="348">
        <f t="shared" si="1"/>
        <v>2.8472222222222242E-2</v>
      </c>
      <c r="B31" s="349">
        <v>4.6296296296296293E-4</v>
      </c>
      <c r="C31" s="349"/>
      <c r="D31" s="350"/>
      <c r="E31" s="351"/>
    </row>
    <row r="32" spans="1:5" ht="19.5" customHeight="1" x14ac:dyDescent="0.25">
      <c r="A32" s="114">
        <f t="shared" si="1"/>
        <v>2.8935185185185206E-2</v>
      </c>
      <c r="B32" s="115">
        <v>3.4722222222222224E-4</v>
      </c>
      <c r="C32" s="115">
        <f>Allure100</f>
        <v>3.5532407407407405E-3</v>
      </c>
      <c r="D32" s="116">
        <f>Vitesse100</f>
        <v>11.7</v>
      </c>
      <c r="E32" s="117">
        <f t="shared" si="0"/>
        <v>9.7499999999999989E-2</v>
      </c>
    </row>
    <row r="33" spans="1:5" ht="19.5" customHeight="1" x14ac:dyDescent="0.25">
      <c r="A33" s="229">
        <f t="shared" si="1"/>
        <v>2.9282407407407427E-2</v>
      </c>
      <c r="B33" s="230">
        <v>3.4722222222222224E-4</v>
      </c>
      <c r="C33" s="230"/>
      <c r="D33" s="232"/>
      <c r="E33" s="233"/>
    </row>
    <row r="34" spans="1:5" ht="19.5" customHeight="1" x14ac:dyDescent="0.25">
      <c r="A34" s="112">
        <f t="shared" si="1"/>
        <v>2.9629629629629648E-2</v>
      </c>
      <c r="B34" s="32">
        <v>3.4722222222222224E-4</v>
      </c>
      <c r="C34" s="32">
        <f>Allure100</f>
        <v>3.5532407407407405E-3</v>
      </c>
      <c r="D34" s="28">
        <f>Vitesse100</f>
        <v>11.7</v>
      </c>
      <c r="E34" s="113">
        <f t="shared" si="0"/>
        <v>9.7499999999999989E-2</v>
      </c>
    </row>
    <row r="35" spans="1:5" ht="19.5" customHeight="1" x14ac:dyDescent="0.25">
      <c r="A35" s="229">
        <f t="shared" si="1"/>
        <v>2.9976851851851869E-2</v>
      </c>
      <c r="B35" s="230">
        <v>3.4722222222222224E-4</v>
      </c>
      <c r="C35" s="230"/>
      <c r="D35" s="232"/>
      <c r="E35" s="233"/>
    </row>
    <row r="36" spans="1:5" ht="19.5" customHeight="1" x14ac:dyDescent="0.25">
      <c r="A36" s="112">
        <f t="shared" si="1"/>
        <v>3.032407407407409E-2</v>
      </c>
      <c r="B36" s="32">
        <v>3.4722222222222224E-4</v>
      </c>
      <c r="C36" s="32">
        <f>Allure100</f>
        <v>3.5532407407407405E-3</v>
      </c>
      <c r="D36" s="28">
        <f>Vitesse100</f>
        <v>11.7</v>
      </c>
      <c r="E36" s="113">
        <f t="shared" si="0"/>
        <v>9.7499999999999989E-2</v>
      </c>
    </row>
    <row r="37" spans="1:5" ht="19.5" customHeight="1" x14ac:dyDescent="0.25">
      <c r="A37" s="229">
        <f t="shared" si="1"/>
        <v>3.0671296296296311E-2</v>
      </c>
      <c r="B37" s="230">
        <v>3.4722222222222224E-4</v>
      </c>
      <c r="C37" s="230"/>
      <c r="D37" s="232"/>
      <c r="E37" s="233"/>
    </row>
    <row r="38" spans="1:5" ht="19.5" customHeight="1" x14ac:dyDescent="0.25">
      <c r="A38" s="112">
        <f t="shared" si="1"/>
        <v>3.1018518518518532E-2</v>
      </c>
      <c r="B38" s="32">
        <v>3.4722222222222224E-4</v>
      </c>
      <c r="C38" s="32">
        <f>Allure100</f>
        <v>3.5532407407407405E-3</v>
      </c>
      <c r="D38" s="28">
        <f>Vitesse100</f>
        <v>11.7</v>
      </c>
      <c r="E38" s="113">
        <f t="shared" si="0"/>
        <v>9.7499999999999989E-2</v>
      </c>
    </row>
    <row r="39" spans="1:5" ht="19.5" customHeight="1" thickBot="1" x14ac:dyDescent="0.3">
      <c r="A39" s="348">
        <f t="shared" si="1"/>
        <v>3.1365740740740757E-2</v>
      </c>
      <c r="B39" s="349">
        <v>3.4722222222222224E-4</v>
      </c>
      <c r="C39" s="349"/>
      <c r="D39" s="350"/>
      <c r="E39" s="351"/>
    </row>
    <row r="40" spans="1:5" ht="19.5" customHeight="1" x14ac:dyDescent="0.25">
      <c r="A40" s="114">
        <f t="shared" si="1"/>
        <v>3.1712962962962978E-2</v>
      </c>
      <c r="B40" s="115">
        <v>1.7361111111111112E-4</v>
      </c>
      <c r="C40" s="115">
        <f>Allure110</f>
        <v>3.2291666666666666E-3</v>
      </c>
      <c r="D40" s="116">
        <f>Vitesse110</f>
        <v>12.870000000000001</v>
      </c>
      <c r="E40" s="117">
        <f t="shared" si="0"/>
        <v>5.3625000000000006E-2</v>
      </c>
    </row>
    <row r="41" spans="1:5" ht="19.5" customHeight="1" x14ac:dyDescent="0.25">
      <c r="A41" s="229">
        <f t="shared" si="1"/>
        <v>3.1886574074074088E-2</v>
      </c>
      <c r="B41" s="230">
        <v>2.3148148148148146E-4</v>
      </c>
      <c r="C41" s="230"/>
      <c r="D41" s="232"/>
      <c r="E41" s="233"/>
    </row>
    <row r="42" spans="1:5" ht="19.5" customHeight="1" x14ac:dyDescent="0.25">
      <c r="A42" s="112">
        <f t="shared" si="1"/>
        <v>3.2118055555555566E-2</v>
      </c>
      <c r="B42" s="32">
        <v>1.7361111111111112E-4</v>
      </c>
      <c r="C42" s="32">
        <f>Allure110</f>
        <v>3.2291666666666666E-3</v>
      </c>
      <c r="D42" s="28">
        <f>Vitesse110</f>
        <v>12.870000000000001</v>
      </c>
      <c r="E42" s="113">
        <f t="shared" si="0"/>
        <v>5.3625000000000006E-2</v>
      </c>
    </row>
    <row r="43" spans="1:5" ht="19.5" customHeight="1" x14ac:dyDescent="0.25">
      <c r="A43" s="229">
        <f t="shared" si="1"/>
        <v>3.2291666666666677E-2</v>
      </c>
      <c r="B43" s="230">
        <v>2.3148148148148146E-4</v>
      </c>
      <c r="C43" s="230"/>
      <c r="D43" s="232"/>
      <c r="E43" s="233"/>
    </row>
    <row r="44" spans="1:5" ht="19.5" customHeight="1" x14ac:dyDescent="0.25">
      <c r="A44" s="112">
        <f t="shared" si="1"/>
        <v>3.2523148148148155E-2</v>
      </c>
      <c r="B44" s="32">
        <v>1.7361111111111112E-4</v>
      </c>
      <c r="C44" s="32">
        <f>Allure110</f>
        <v>3.2291666666666666E-3</v>
      </c>
      <c r="D44" s="28">
        <f>Vitesse110</f>
        <v>12.870000000000001</v>
      </c>
      <c r="E44" s="113">
        <f t="shared" si="0"/>
        <v>5.3625000000000006E-2</v>
      </c>
    </row>
    <row r="45" spans="1:5" ht="19.5" customHeight="1" x14ac:dyDescent="0.25">
      <c r="A45" s="229">
        <f t="shared" si="1"/>
        <v>3.2696759259259266E-2</v>
      </c>
      <c r="B45" s="230">
        <v>2.3148148148148146E-4</v>
      </c>
      <c r="C45" s="230"/>
      <c r="D45" s="232"/>
      <c r="E45" s="233"/>
    </row>
    <row r="46" spans="1:5" ht="19.5" customHeight="1" x14ac:dyDescent="0.25">
      <c r="A46" s="112">
        <f t="shared" si="1"/>
        <v>3.2928240740740744E-2</v>
      </c>
      <c r="B46" s="32">
        <v>1.7361111111111112E-4</v>
      </c>
      <c r="C46" s="32">
        <f>Allure110</f>
        <v>3.2291666666666666E-3</v>
      </c>
      <c r="D46" s="28">
        <f>Vitesse110</f>
        <v>12.870000000000001</v>
      </c>
      <c r="E46" s="113">
        <f t="shared" si="0"/>
        <v>5.3625000000000006E-2</v>
      </c>
    </row>
    <row r="47" spans="1:5" ht="19.5" customHeight="1" thickBot="1" x14ac:dyDescent="0.3">
      <c r="A47" s="234">
        <f t="shared" si="1"/>
        <v>3.3101851851851855E-2</v>
      </c>
      <c r="B47" s="235">
        <v>2.3148148148148146E-4</v>
      </c>
      <c r="C47" s="235"/>
      <c r="D47" s="236"/>
      <c r="E47" s="237"/>
    </row>
    <row r="48" spans="1:5" ht="19.5" customHeight="1" thickBot="1" x14ac:dyDescent="0.3">
      <c r="A48" s="723" t="s">
        <v>13</v>
      </c>
      <c r="B48" s="724"/>
      <c r="C48" s="724"/>
      <c r="D48" s="724"/>
      <c r="E48" s="725"/>
    </row>
    <row r="49" spans="1:5" ht="19.5" customHeight="1" thickBot="1" x14ac:dyDescent="0.3">
      <c r="A49" s="106">
        <f>A46+B46</f>
        <v>3.3101851851851855E-2</v>
      </c>
      <c r="B49" s="31">
        <v>3.472222222222222E-3</v>
      </c>
      <c r="C49" s="31">
        <f>Allure73</f>
        <v>4.8726851851851856E-3</v>
      </c>
      <c r="D49" s="33">
        <f>Vitesse73</f>
        <v>8.5409999999999986</v>
      </c>
      <c r="E49" s="35">
        <f t="shared" si="0"/>
        <v>0.71174999999999988</v>
      </c>
    </row>
    <row r="50" spans="1:5" ht="19.5" customHeight="1" thickBot="1" x14ac:dyDescent="0.3">
      <c r="A50" s="111">
        <f>A49+B49</f>
        <v>3.6574074074074078E-2</v>
      </c>
      <c r="B50" s="23"/>
      <c r="C50" s="21"/>
      <c r="D50" s="22"/>
      <c r="E50" s="39">
        <f>SUM(E4+E5+E6+E8+E10+E12+E14+E16+E18+E20+E22+E24+E26+E28+E30+E32+E34+E36+E38+E40+E42+E44+E46+E49)</f>
        <v>6.3199499999999986</v>
      </c>
    </row>
  </sheetData>
  <mergeCells count="5">
    <mergeCell ref="A1:E1"/>
    <mergeCell ref="A2:E2"/>
    <mergeCell ref="A3:E3"/>
    <mergeCell ref="A7:E7"/>
    <mergeCell ref="A48:E48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6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rgb="FF3C65AF"/>
  </sheetPr>
  <dimension ref="A1:E41"/>
  <sheetViews>
    <sheetView showGridLines="0" workbookViewId="0">
      <selection sqref="A1:E1"/>
    </sheetView>
  </sheetViews>
  <sheetFormatPr baseColWidth="10" defaultRowHeight="18.75" x14ac:dyDescent="0.4"/>
  <cols>
    <col min="1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run'!B39</f>
        <v>Travail VMA court</v>
      </c>
      <c r="B1" s="694"/>
      <c r="C1" s="694"/>
      <c r="D1" s="694"/>
      <c r="E1" s="695"/>
    </row>
    <row r="2" spans="1:5" ht="19.5" customHeight="1" thickBot="1" x14ac:dyDescent="0.45">
      <c r="A2" s="696" t="str">
        <f>'Programme entrainement run'!C39</f>
        <v>Sem 12 - jour 1</v>
      </c>
      <c r="B2" s="697"/>
      <c r="C2" s="697"/>
      <c r="D2" s="697"/>
      <c r="E2" s="698"/>
    </row>
    <row r="3" spans="1:5" ht="19.5" customHeight="1" thickBot="1" x14ac:dyDescent="0.45">
      <c r="A3" s="702" t="s">
        <v>11</v>
      </c>
      <c r="B3" s="703"/>
      <c r="C3" s="703"/>
      <c r="D3" s="703"/>
      <c r="E3" s="704"/>
    </row>
    <row r="4" spans="1:5" ht="19.5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19.5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40" si="0">((B5-INT(B5))*24)*D5</f>
        <v>1.4624999999999997</v>
      </c>
    </row>
    <row r="6" spans="1:5" ht="19.5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19.5" customHeight="1" thickBot="1" x14ac:dyDescent="0.45">
      <c r="A7" s="705" t="s">
        <v>12</v>
      </c>
      <c r="B7" s="706"/>
      <c r="C7" s="706"/>
      <c r="D7" s="706"/>
      <c r="E7" s="707"/>
    </row>
    <row r="8" spans="1:5" ht="19.5" customHeight="1" thickBot="1" x14ac:dyDescent="0.45">
      <c r="A8" s="373">
        <f>A6+B6</f>
        <v>1.3888888888888888E-2</v>
      </c>
      <c r="B8" s="374">
        <v>3.472222222222222E-3</v>
      </c>
      <c r="C8" s="374">
        <f>Allure84</f>
        <v>4.2361111111111106E-3</v>
      </c>
      <c r="D8" s="375">
        <f>Vitesse84</f>
        <v>9.8279999999999994</v>
      </c>
      <c r="E8" s="376">
        <f t="shared" si="0"/>
        <v>0.81899999999999995</v>
      </c>
    </row>
    <row r="9" spans="1:5" ht="19.5" customHeight="1" x14ac:dyDescent="0.4">
      <c r="A9" s="279">
        <f>A8+B8</f>
        <v>1.7361111111111112E-2</v>
      </c>
      <c r="B9" s="280">
        <v>4.0509259259259258E-4</v>
      </c>
      <c r="C9" s="280">
        <f>Allure100</f>
        <v>3.5532407407407405E-3</v>
      </c>
      <c r="D9" s="281">
        <f>Vitesse100</f>
        <v>11.7</v>
      </c>
      <c r="E9" s="282">
        <f t="shared" si="0"/>
        <v>0.11374999999999999</v>
      </c>
    </row>
    <row r="10" spans="1:5" ht="19.5" customHeight="1" x14ac:dyDescent="0.4">
      <c r="A10" s="283">
        <f t="shared" ref="A10:A38" si="1">A9+B9</f>
        <v>1.7766203703703704E-2</v>
      </c>
      <c r="B10" s="284">
        <v>2.8935185185185189E-4</v>
      </c>
      <c r="C10" s="285"/>
      <c r="D10" s="286"/>
      <c r="E10" s="287"/>
    </row>
    <row r="11" spans="1:5" ht="19.5" customHeight="1" x14ac:dyDescent="0.4">
      <c r="A11" s="289">
        <f t="shared" si="1"/>
        <v>1.8055555555555557E-2</v>
      </c>
      <c r="B11" s="290">
        <v>4.0509259259259258E-4</v>
      </c>
      <c r="C11" s="290">
        <f>Allure100</f>
        <v>3.5532407407407405E-3</v>
      </c>
      <c r="D11" s="291">
        <f>Vitesse100</f>
        <v>11.7</v>
      </c>
      <c r="E11" s="292">
        <f t="shared" si="0"/>
        <v>0.11374999999999999</v>
      </c>
    </row>
    <row r="12" spans="1:5" ht="19.5" customHeight="1" x14ac:dyDescent="0.4">
      <c r="A12" s="283">
        <f t="shared" si="1"/>
        <v>1.846064814814815E-2</v>
      </c>
      <c r="B12" s="284">
        <v>2.8935185185185189E-4</v>
      </c>
      <c r="C12" s="285"/>
      <c r="D12" s="286"/>
      <c r="E12" s="287"/>
    </row>
    <row r="13" spans="1:5" ht="19.5" customHeight="1" x14ac:dyDescent="0.4">
      <c r="A13" s="289">
        <f t="shared" si="1"/>
        <v>1.8750000000000003E-2</v>
      </c>
      <c r="B13" s="290">
        <v>4.0509259259259258E-4</v>
      </c>
      <c r="C13" s="290">
        <f>Allure100</f>
        <v>3.5532407407407405E-3</v>
      </c>
      <c r="D13" s="291">
        <f>Vitesse100</f>
        <v>11.7</v>
      </c>
      <c r="E13" s="292">
        <f t="shared" si="0"/>
        <v>0.11374999999999999</v>
      </c>
    </row>
    <row r="14" spans="1:5" ht="19.5" customHeight="1" x14ac:dyDescent="0.4">
      <c r="A14" s="283">
        <f t="shared" si="1"/>
        <v>1.9155092592592595E-2</v>
      </c>
      <c r="B14" s="284">
        <v>2.8935185185185189E-4</v>
      </c>
      <c r="C14" s="284"/>
      <c r="D14" s="286"/>
      <c r="E14" s="287"/>
    </row>
    <row r="15" spans="1:5" ht="19.5" customHeight="1" x14ac:dyDescent="0.4">
      <c r="A15" s="289">
        <f t="shared" si="1"/>
        <v>1.9444444444444448E-2</v>
      </c>
      <c r="B15" s="290">
        <v>4.0509259259259258E-4</v>
      </c>
      <c r="C15" s="290">
        <f>Allure100</f>
        <v>3.5532407407407405E-3</v>
      </c>
      <c r="D15" s="291">
        <f>Vitesse100</f>
        <v>11.7</v>
      </c>
      <c r="E15" s="292">
        <f t="shared" si="0"/>
        <v>0.11374999999999999</v>
      </c>
    </row>
    <row r="16" spans="1:5" ht="19.5" customHeight="1" x14ac:dyDescent="0.4">
      <c r="A16" s="283">
        <f t="shared" si="1"/>
        <v>1.9849537037037041E-2</v>
      </c>
      <c r="B16" s="284">
        <v>2.8935185185185189E-4</v>
      </c>
      <c r="C16" s="285"/>
      <c r="D16" s="286"/>
      <c r="E16" s="287"/>
    </row>
    <row r="17" spans="1:5" ht="19.5" customHeight="1" x14ac:dyDescent="0.4">
      <c r="A17" s="289">
        <f t="shared" si="1"/>
        <v>2.0138888888888894E-2</v>
      </c>
      <c r="B17" s="290">
        <v>4.0509259259259258E-4</v>
      </c>
      <c r="C17" s="290">
        <f>Allure100</f>
        <v>3.5532407407407405E-3</v>
      </c>
      <c r="D17" s="291">
        <f>Vitesse100</f>
        <v>11.7</v>
      </c>
      <c r="E17" s="292">
        <f t="shared" si="0"/>
        <v>0.11374999999999999</v>
      </c>
    </row>
    <row r="18" spans="1:5" ht="19.5" customHeight="1" x14ac:dyDescent="0.4">
      <c r="A18" s="283">
        <f>A17+B17</f>
        <v>2.0543981481481486E-2</v>
      </c>
      <c r="B18" s="284">
        <v>2.8935185185185189E-4</v>
      </c>
      <c r="C18" s="284"/>
      <c r="D18" s="286"/>
      <c r="E18" s="287"/>
    </row>
    <row r="19" spans="1:5" ht="19.5" customHeight="1" x14ac:dyDescent="0.4">
      <c r="A19" s="340">
        <f t="shared" si="1"/>
        <v>2.0833333333333339E-2</v>
      </c>
      <c r="B19" s="302">
        <v>4.0509259259259258E-4</v>
      </c>
      <c r="C19" s="302">
        <f>Allure100</f>
        <v>3.5532407407407405E-3</v>
      </c>
      <c r="D19" s="304">
        <f>Vitesse100</f>
        <v>11.7</v>
      </c>
      <c r="E19" s="362">
        <f t="shared" si="0"/>
        <v>0.11374999999999999</v>
      </c>
    </row>
    <row r="20" spans="1:5" ht="19.5" customHeight="1" x14ac:dyDescent="0.4">
      <c r="A20" s="283">
        <f t="shared" si="1"/>
        <v>2.1238425925925931E-2</v>
      </c>
      <c r="B20" s="284">
        <v>2.8935185185185189E-4</v>
      </c>
      <c r="C20" s="284"/>
      <c r="D20" s="286"/>
      <c r="E20" s="287"/>
    </row>
    <row r="21" spans="1:5" ht="19.5" customHeight="1" x14ac:dyDescent="0.4">
      <c r="A21" s="340">
        <f t="shared" si="1"/>
        <v>2.1527777777777785E-2</v>
      </c>
      <c r="B21" s="302">
        <v>4.0509259259259258E-4</v>
      </c>
      <c r="C21" s="302">
        <f>Allure100</f>
        <v>3.5532407407407405E-3</v>
      </c>
      <c r="D21" s="304">
        <f>Vitesse100</f>
        <v>11.7</v>
      </c>
      <c r="E21" s="362">
        <f t="shared" si="0"/>
        <v>0.11374999999999999</v>
      </c>
    </row>
    <row r="22" spans="1:5" ht="19.5" customHeight="1" x14ac:dyDescent="0.4">
      <c r="A22" s="283">
        <f t="shared" si="1"/>
        <v>2.1932870370370377E-2</v>
      </c>
      <c r="B22" s="284">
        <v>2.8935185185185189E-4</v>
      </c>
      <c r="C22" s="284"/>
      <c r="D22" s="286"/>
      <c r="E22" s="287"/>
    </row>
    <row r="23" spans="1:5" ht="19.5" customHeight="1" x14ac:dyDescent="0.4">
      <c r="A23" s="340">
        <f t="shared" si="1"/>
        <v>2.222222222222223E-2</v>
      </c>
      <c r="B23" s="302">
        <v>4.0509259259259258E-4</v>
      </c>
      <c r="C23" s="302">
        <f>Allure100</f>
        <v>3.5532407407407405E-3</v>
      </c>
      <c r="D23" s="304">
        <f>Vitesse100</f>
        <v>11.7</v>
      </c>
      <c r="E23" s="362">
        <f t="shared" si="0"/>
        <v>0.11374999999999999</v>
      </c>
    </row>
    <row r="24" spans="1:5" ht="19.5" customHeight="1" x14ac:dyDescent="0.4">
      <c r="A24" s="283">
        <f t="shared" si="1"/>
        <v>2.2627314814814822E-2</v>
      </c>
      <c r="B24" s="284">
        <v>2.8935185185185189E-4</v>
      </c>
      <c r="C24" s="284"/>
      <c r="D24" s="286"/>
      <c r="E24" s="287"/>
    </row>
    <row r="25" spans="1:5" ht="19.5" customHeight="1" x14ac:dyDescent="0.4">
      <c r="A25" s="340">
        <f t="shared" si="1"/>
        <v>2.2916666666666675E-2</v>
      </c>
      <c r="B25" s="302">
        <v>4.0509259259259258E-4</v>
      </c>
      <c r="C25" s="302">
        <f>Allure100</f>
        <v>3.5532407407407405E-3</v>
      </c>
      <c r="D25" s="304">
        <f>Vitesse100</f>
        <v>11.7</v>
      </c>
      <c r="E25" s="362">
        <f t="shared" si="0"/>
        <v>0.11374999999999999</v>
      </c>
    </row>
    <row r="26" spans="1:5" ht="19.5" customHeight="1" x14ac:dyDescent="0.4">
      <c r="A26" s="283">
        <f t="shared" si="1"/>
        <v>2.3321759259259268E-2</v>
      </c>
      <c r="B26" s="284">
        <v>2.8935185185185189E-4</v>
      </c>
      <c r="C26" s="284"/>
      <c r="D26" s="286"/>
      <c r="E26" s="287"/>
    </row>
    <row r="27" spans="1:5" ht="19.5" customHeight="1" x14ac:dyDescent="0.4">
      <c r="A27" s="340">
        <f t="shared" si="1"/>
        <v>2.3611111111111121E-2</v>
      </c>
      <c r="B27" s="302">
        <v>4.0509259259259258E-4</v>
      </c>
      <c r="C27" s="302">
        <f>Allure100</f>
        <v>3.5532407407407405E-3</v>
      </c>
      <c r="D27" s="304">
        <f>Vitesse100</f>
        <v>11.7</v>
      </c>
      <c r="E27" s="362">
        <f t="shared" si="0"/>
        <v>0.11374999999999999</v>
      </c>
    </row>
    <row r="28" spans="1:5" ht="19.5" customHeight="1" x14ac:dyDescent="0.4">
      <c r="A28" s="283">
        <f t="shared" si="1"/>
        <v>2.4016203703703713E-2</v>
      </c>
      <c r="B28" s="284">
        <v>2.8935185185185189E-4</v>
      </c>
      <c r="C28" s="284"/>
      <c r="D28" s="286"/>
      <c r="E28" s="287"/>
    </row>
    <row r="29" spans="1:5" ht="19.5" customHeight="1" x14ac:dyDescent="0.4">
      <c r="A29" s="340">
        <f t="shared" si="1"/>
        <v>2.4305555555555566E-2</v>
      </c>
      <c r="B29" s="302">
        <v>4.0509259259259258E-4</v>
      </c>
      <c r="C29" s="302">
        <f>Allure100</f>
        <v>3.5532407407407405E-3</v>
      </c>
      <c r="D29" s="304">
        <f>Vitesse100</f>
        <v>11.7</v>
      </c>
      <c r="E29" s="362">
        <f t="shared" si="0"/>
        <v>0.11374999999999999</v>
      </c>
    </row>
    <row r="30" spans="1:5" ht="19.5" customHeight="1" x14ac:dyDescent="0.4">
      <c r="A30" s="283">
        <f t="shared" si="1"/>
        <v>2.4710648148148159E-2</v>
      </c>
      <c r="B30" s="284">
        <v>2.8935185185185189E-4</v>
      </c>
      <c r="C30" s="284"/>
      <c r="D30" s="286"/>
      <c r="E30" s="287"/>
    </row>
    <row r="31" spans="1:5" ht="19.5" customHeight="1" x14ac:dyDescent="0.4">
      <c r="A31" s="340">
        <f t="shared" si="1"/>
        <v>2.5000000000000012E-2</v>
      </c>
      <c r="B31" s="302">
        <v>4.0509259259259258E-4</v>
      </c>
      <c r="C31" s="302">
        <f>Allure100</f>
        <v>3.5532407407407405E-3</v>
      </c>
      <c r="D31" s="304">
        <f>Vitesse100</f>
        <v>11.7</v>
      </c>
      <c r="E31" s="362">
        <f t="shared" si="0"/>
        <v>0.11374999999999999</v>
      </c>
    </row>
    <row r="32" spans="1:5" ht="19.5" customHeight="1" x14ac:dyDescent="0.4">
      <c r="A32" s="283">
        <f t="shared" si="1"/>
        <v>2.5405092592592604E-2</v>
      </c>
      <c r="B32" s="284">
        <v>2.8935185185185189E-4</v>
      </c>
      <c r="C32" s="284"/>
      <c r="D32" s="286"/>
      <c r="E32" s="287"/>
    </row>
    <row r="33" spans="1:5" ht="19.5" customHeight="1" x14ac:dyDescent="0.4">
      <c r="A33" s="340">
        <f t="shared" si="1"/>
        <v>2.5694444444444457E-2</v>
      </c>
      <c r="B33" s="302">
        <v>4.0509259259259258E-4</v>
      </c>
      <c r="C33" s="302">
        <f>Allure100</f>
        <v>3.5532407407407405E-3</v>
      </c>
      <c r="D33" s="304">
        <f>Vitesse100</f>
        <v>11.7</v>
      </c>
      <c r="E33" s="362">
        <f t="shared" si="0"/>
        <v>0.11374999999999999</v>
      </c>
    </row>
    <row r="34" spans="1:5" ht="19.5" customHeight="1" x14ac:dyDescent="0.4">
      <c r="A34" s="283">
        <f t="shared" si="1"/>
        <v>2.609953703703705E-2</v>
      </c>
      <c r="B34" s="284">
        <v>2.8935185185185189E-4</v>
      </c>
      <c r="C34" s="284"/>
      <c r="D34" s="286"/>
      <c r="E34" s="287"/>
    </row>
    <row r="35" spans="1:5" ht="19.5" customHeight="1" x14ac:dyDescent="0.4">
      <c r="A35" s="340">
        <f t="shared" si="1"/>
        <v>2.6388888888888903E-2</v>
      </c>
      <c r="B35" s="302">
        <v>4.0509259259259258E-4</v>
      </c>
      <c r="C35" s="302">
        <f>Allure100</f>
        <v>3.5532407407407405E-3</v>
      </c>
      <c r="D35" s="304">
        <f>Vitesse100</f>
        <v>11.7</v>
      </c>
      <c r="E35" s="362">
        <f t="shared" si="0"/>
        <v>0.11374999999999999</v>
      </c>
    </row>
    <row r="36" spans="1:5" ht="19.5" customHeight="1" x14ac:dyDescent="0.4">
      <c r="A36" s="283">
        <f t="shared" si="1"/>
        <v>2.6793981481481495E-2</v>
      </c>
      <c r="B36" s="284">
        <v>2.8935185185185189E-4</v>
      </c>
      <c r="C36" s="284"/>
      <c r="D36" s="286"/>
      <c r="E36" s="287"/>
    </row>
    <row r="37" spans="1:5" ht="19.5" customHeight="1" x14ac:dyDescent="0.4">
      <c r="A37" s="340">
        <f t="shared" si="1"/>
        <v>2.7083333333333348E-2</v>
      </c>
      <c r="B37" s="302">
        <v>4.0509259259259258E-4</v>
      </c>
      <c r="C37" s="302">
        <f>Allure100</f>
        <v>3.5532407407407405E-3</v>
      </c>
      <c r="D37" s="304">
        <f>Vitesse100</f>
        <v>11.7</v>
      </c>
      <c r="E37" s="362">
        <f t="shared" si="0"/>
        <v>0.11374999999999999</v>
      </c>
    </row>
    <row r="38" spans="1:5" ht="19.5" customHeight="1" thickBot="1" x14ac:dyDescent="0.45">
      <c r="A38" s="293">
        <f t="shared" si="1"/>
        <v>2.748842592592594E-2</v>
      </c>
      <c r="B38" s="294">
        <v>2.8935185185185189E-4</v>
      </c>
      <c r="C38" s="294"/>
      <c r="D38" s="296"/>
      <c r="E38" s="297"/>
    </row>
    <row r="39" spans="1:5" ht="19.5" customHeight="1" thickBot="1" x14ac:dyDescent="0.45">
      <c r="A39" s="708" t="s">
        <v>13</v>
      </c>
      <c r="B39" s="709"/>
      <c r="C39" s="709"/>
      <c r="D39" s="709"/>
      <c r="E39" s="710"/>
    </row>
    <row r="40" spans="1:5" ht="19.5" customHeight="1" thickBot="1" x14ac:dyDescent="0.45">
      <c r="A40" s="248">
        <f>A38+B38</f>
        <v>2.7777777777777794E-2</v>
      </c>
      <c r="B40" s="240">
        <v>3.472222222222222E-3</v>
      </c>
      <c r="C40" s="240">
        <f>Allure73</f>
        <v>4.8726851851851856E-3</v>
      </c>
      <c r="D40" s="253">
        <f>Vitesse73</f>
        <v>8.5409999999999986</v>
      </c>
      <c r="E40" s="243">
        <f t="shared" si="0"/>
        <v>0.71174999999999988</v>
      </c>
    </row>
    <row r="41" spans="1:5" ht="19.5" customHeight="1" thickBot="1" x14ac:dyDescent="0.45">
      <c r="A41" s="337">
        <f>A40+B40</f>
        <v>3.1250000000000014E-2</v>
      </c>
      <c r="B41" s="338"/>
      <c r="C41" s="259"/>
      <c r="D41" s="339"/>
      <c r="E41" s="256">
        <f>SUM(E4+E5+E6+E8+E9+E11+E13+E15+E17+E19+E21+E23+E25+E27+E29+E31+E33+E35+E37+E40)</f>
        <v>6.1619999999999937</v>
      </c>
    </row>
  </sheetData>
  <mergeCells count="5">
    <mergeCell ref="A1:E1"/>
    <mergeCell ref="A2:E2"/>
    <mergeCell ref="A3:E3"/>
    <mergeCell ref="A7:E7"/>
    <mergeCell ref="A39:E39"/>
  </mergeCell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rgb="FF3C65AF"/>
    <pageSetUpPr fitToPage="1"/>
  </sheetPr>
  <dimension ref="A1:E46"/>
  <sheetViews>
    <sheetView showGridLines="0" workbookViewId="0">
      <selection sqref="A1:E1"/>
    </sheetView>
  </sheetViews>
  <sheetFormatPr baseColWidth="10" defaultRowHeight="18.75" x14ac:dyDescent="0.4"/>
  <cols>
    <col min="1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run'!B40</f>
        <v>Travail VMA court</v>
      </c>
      <c r="B1" s="694"/>
      <c r="C1" s="694"/>
      <c r="D1" s="694"/>
      <c r="E1" s="695"/>
    </row>
    <row r="2" spans="1:5" ht="19.5" customHeight="1" thickBot="1" x14ac:dyDescent="0.45">
      <c r="A2" s="696" t="str">
        <f>'Programme entrainement run'!C40</f>
        <v>Sem 12 - jour 3</v>
      </c>
      <c r="B2" s="697"/>
      <c r="C2" s="697"/>
      <c r="D2" s="697"/>
      <c r="E2" s="698"/>
    </row>
    <row r="3" spans="1:5" ht="19.5" customHeight="1" thickBot="1" x14ac:dyDescent="0.45">
      <c r="A3" s="702" t="s">
        <v>11</v>
      </c>
      <c r="B3" s="703"/>
      <c r="C3" s="703"/>
      <c r="D3" s="703"/>
      <c r="E3" s="704"/>
    </row>
    <row r="4" spans="1:5" ht="19.5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19.5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45" si="0">((B5-INT(B5))*24)*D5</f>
        <v>1.4624999999999997</v>
      </c>
    </row>
    <row r="6" spans="1:5" ht="19.5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19.5" customHeight="1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298">
        <f>A6+B6</f>
        <v>1.3888888888888888E-2</v>
      </c>
      <c r="B8" s="299">
        <v>3.4722222222222224E-4</v>
      </c>
      <c r="C8" s="299">
        <f>Allure100</f>
        <v>3.5532407407407405E-3</v>
      </c>
      <c r="D8" s="300">
        <f>Vitesse100</f>
        <v>11.7</v>
      </c>
      <c r="E8" s="301">
        <f t="shared" si="0"/>
        <v>9.7499999999999989E-2</v>
      </c>
    </row>
    <row r="9" spans="1:5" ht="19.5" customHeight="1" x14ac:dyDescent="0.4">
      <c r="A9" s="289">
        <f>A8+B8</f>
        <v>1.4236111111111111E-2</v>
      </c>
      <c r="B9" s="290">
        <v>2.3148148148148146E-4</v>
      </c>
      <c r="C9" s="290"/>
      <c r="D9" s="291"/>
      <c r="E9" s="362"/>
    </row>
    <row r="10" spans="1:5" ht="19.5" customHeight="1" x14ac:dyDescent="0.4">
      <c r="A10" s="283">
        <f t="shared" ref="A10:A43" si="1">A9+B9</f>
        <v>1.4467592592592593E-2</v>
      </c>
      <c r="B10" s="284">
        <v>3.4722222222222224E-4</v>
      </c>
      <c r="C10" s="284">
        <f>Allure100</f>
        <v>3.5532407407407405E-3</v>
      </c>
      <c r="D10" s="286">
        <f>Vitesse100</f>
        <v>11.7</v>
      </c>
      <c r="E10" s="287">
        <f t="shared" si="0"/>
        <v>9.7499999999999989E-2</v>
      </c>
    </row>
    <row r="11" spans="1:5" ht="19.5" customHeight="1" x14ac:dyDescent="0.4">
      <c r="A11" s="289">
        <f t="shared" si="1"/>
        <v>1.4814814814814815E-2</v>
      </c>
      <c r="B11" s="290">
        <v>2.3148148148148146E-4</v>
      </c>
      <c r="C11" s="290"/>
      <c r="D11" s="291"/>
      <c r="E11" s="362"/>
    </row>
    <row r="12" spans="1:5" ht="19.5" customHeight="1" x14ac:dyDescent="0.4">
      <c r="A12" s="283">
        <f t="shared" si="1"/>
        <v>1.5046296296296297E-2</v>
      </c>
      <c r="B12" s="284">
        <v>3.4722222222222224E-4</v>
      </c>
      <c r="C12" s="284">
        <f>Allure100</f>
        <v>3.5532407407407405E-3</v>
      </c>
      <c r="D12" s="286">
        <f>Vitesse100</f>
        <v>11.7</v>
      </c>
      <c r="E12" s="287">
        <f t="shared" si="0"/>
        <v>9.7499999999999989E-2</v>
      </c>
    </row>
    <row r="13" spans="1:5" ht="19.5" customHeight="1" thickBot="1" x14ac:dyDescent="0.45">
      <c r="A13" s="305">
        <f t="shared" si="1"/>
        <v>1.539351851851852E-2</v>
      </c>
      <c r="B13" s="346">
        <v>2.3148148148148146E-4</v>
      </c>
      <c r="C13" s="346"/>
      <c r="D13" s="347"/>
      <c r="E13" s="364"/>
    </row>
    <row r="14" spans="1:5" ht="19.5" customHeight="1" x14ac:dyDescent="0.4">
      <c r="A14" s="298">
        <f t="shared" si="1"/>
        <v>1.5625E-2</v>
      </c>
      <c r="B14" s="299">
        <v>6.9444444444444447E-4</v>
      </c>
      <c r="C14" s="299">
        <f>Allure95</f>
        <v>3.7384259259259263E-3</v>
      </c>
      <c r="D14" s="300">
        <f>Vitesse95</f>
        <v>11.114999999999998</v>
      </c>
      <c r="E14" s="301">
        <f t="shared" si="0"/>
        <v>0.18524999999999997</v>
      </c>
    </row>
    <row r="15" spans="1:5" ht="19.5" customHeight="1" thickBot="1" x14ac:dyDescent="0.45">
      <c r="A15" s="305">
        <f t="shared" si="1"/>
        <v>1.6319444444444445E-2</v>
      </c>
      <c r="B15" s="346">
        <v>3.4722222222222224E-4</v>
      </c>
      <c r="C15" s="346"/>
      <c r="D15" s="347"/>
      <c r="E15" s="364"/>
    </row>
    <row r="16" spans="1:5" ht="19.5" customHeight="1" x14ac:dyDescent="0.4">
      <c r="A16" s="298">
        <f t="shared" si="1"/>
        <v>1.6666666666666666E-2</v>
      </c>
      <c r="B16" s="299">
        <v>3.4722222222222224E-4</v>
      </c>
      <c r="C16" s="299">
        <f>Allure100</f>
        <v>3.5532407407407405E-3</v>
      </c>
      <c r="D16" s="300">
        <f>Vitesse100</f>
        <v>11.7</v>
      </c>
      <c r="E16" s="301">
        <f t="shared" si="0"/>
        <v>9.7499999999999989E-2</v>
      </c>
    </row>
    <row r="17" spans="1:5" ht="19.5" customHeight="1" thickBot="1" x14ac:dyDescent="0.45">
      <c r="A17" s="305">
        <f t="shared" si="1"/>
        <v>1.7013888888888887E-2</v>
      </c>
      <c r="B17" s="346">
        <v>6.9444444444444447E-4</v>
      </c>
      <c r="C17" s="346"/>
      <c r="D17" s="347"/>
      <c r="E17" s="364"/>
    </row>
    <row r="18" spans="1:5" ht="19.5" customHeight="1" x14ac:dyDescent="0.4">
      <c r="A18" s="298">
        <f>A17+B17</f>
        <v>1.7708333333333333E-2</v>
      </c>
      <c r="B18" s="299">
        <v>6.9444444444444447E-4</v>
      </c>
      <c r="C18" s="299">
        <f>Allure95</f>
        <v>3.7384259259259263E-3</v>
      </c>
      <c r="D18" s="300">
        <f>Vitesse95</f>
        <v>11.114999999999998</v>
      </c>
      <c r="E18" s="301">
        <f t="shared" si="0"/>
        <v>0.18524999999999997</v>
      </c>
    </row>
    <row r="19" spans="1:5" ht="19.5" customHeight="1" thickBot="1" x14ac:dyDescent="0.45">
      <c r="A19" s="363">
        <f t="shared" si="1"/>
        <v>1.8402777777777778E-2</v>
      </c>
      <c r="B19" s="346">
        <v>3.4722222222222224E-4</v>
      </c>
      <c r="C19" s="306"/>
      <c r="D19" s="308"/>
      <c r="E19" s="364"/>
    </row>
    <row r="20" spans="1:5" ht="19.5" customHeight="1" x14ac:dyDescent="0.4">
      <c r="A20" s="298">
        <f t="shared" si="1"/>
        <v>1.8749999999999999E-2</v>
      </c>
      <c r="B20" s="299">
        <v>3.4722222222222224E-4</v>
      </c>
      <c r="C20" s="299">
        <f>Allure100</f>
        <v>3.5532407407407405E-3</v>
      </c>
      <c r="D20" s="300">
        <f>Vitesse100</f>
        <v>11.7</v>
      </c>
      <c r="E20" s="301">
        <f t="shared" si="0"/>
        <v>9.7499999999999989E-2</v>
      </c>
    </row>
    <row r="21" spans="1:5" ht="19.5" customHeight="1" thickBot="1" x14ac:dyDescent="0.45">
      <c r="A21" s="363">
        <f t="shared" si="1"/>
        <v>1.909722222222222E-2</v>
      </c>
      <c r="B21" s="346">
        <v>6.9444444444444447E-4</v>
      </c>
      <c r="C21" s="306"/>
      <c r="D21" s="308"/>
      <c r="E21" s="364"/>
    </row>
    <row r="22" spans="1:5" ht="19.5" customHeight="1" x14ac:dyDescent="0.4">
      <c r="A22" s="298">
        <f t="shared" si="1"/>
        <v>1.9791666666666666E-2</v>
      </c>
      <c r="B22" s="299">
        <v>6.9444444444444447E-4</v>
      </c>
      <c r="C22" s="299">
        <f>Allure95</f>
        <v>3.7384259259259263E-3</v>
      </c>
      <c r="D22" s="300">
        <f>Vitesse95</f>
        <v>11.114999999999998</v>
      </c>
      <c r="E22" s="301">
        <f t="shared" si="0"/>
        <v>0.18524999999999997</v>
      </c>
    </row>
    <row r="23" spans="1:5" ht="19.5" customHeight="1" thickBot="1" x14ac:dyDescent="0.45">
      <c r="A23" s="363">
        <f t="shared" si="1"/>
        <v>2.0486111111111111E-2</v>
      </c>
      <c r="B23" s="346">
        <v>3.4722222222222224E-4</v>
      </c>
      <c r="C23" s="306"/>
      <c r="D23" s="308"/>
      <c r="E23" s="364"/>
    </row>
    <row r="24" spans="1:5" ht="19.5" customHeight="1" x14ac:dyDescent="0.4">
      <c r="A24" s="298">
        <f t="shared" si="1"/>
        <v>2.0833333333333332E-2</v>
      </c>
      <c r="B24" s="299">
        <v>3.4722222222222224E-4</v>
      </c>
      <c r="C24" s="299">
        <f>Allure100</f>
        <v>3.5532407407407405E-3</v>
      </c>
      <c r="D24" s="300">
        <f>Vitesse100</f>
        <v>11.7</v>
      </c>
      <c r="E24" s="301">
        <f t="shared" si="0"/>
        <v>9.7499999999999989E-2</v>
      </c>
    </row>
    <row r="25" spans="1:5" ht="19.5" customHeight="1" thickBot="1" x14ac:dyDescent="0.45">
      <c r="A25" s="363">
        <f t="shared" si="1"/>
        <v>2.1180555555555553E-2</v>
      </c>
      <c r="B25" s="346">
        <v>6.9444444444444447E-4</v>
      </c>
      <c r="C25" s="306"/>
      <c r="D25" s="308"/>
      <c r="E25" s="364"/>
    </row>
    <row r="26" spans="1:5" ht="19.5" customHeight="1" x14ac:dyDescent="0.4">
      <c r="A26" s="298">
        <f t="shared" si="1"/>
        <v>2.1874999999999999E-2</v>
      </c>
      <c r="B26" s="299">
        <v>6.9444444444444447E-4</v>
      </c>
      <c r="C26" s="299">
        <f>Allure95</f>
        <v>3.7384259259259263E-3</v>
      </c>
      <c r="D26" s="300">
        <f>Vitesse95</f>
        <v>11.114999999999998</v>
      </c>
      <c r="E26" s="301">
        <f t="shared" si="0"/>
        <v>0.18524999999999997</v>
      </c>
    </row>
    <row r="27" spans="1:5" ht="19.5" customHeight="1" thickBot="1" x14ac:dyDescent="0.45">
      <c r="A27" s="363">
        <f t="shared" si="1"/>
        <v>2.2569444444444444E-2</v>
      </c>
      <c r="B27" s="346">
        <v>3.4722222222222224E-4</v>
      </c>
      <c r="C27" s="306"/>
      <c r="D27" s="308"/>
      <c r="E27" s="364"/>
    </row>
    <row r="28" spans="1:5" ht="19.5" customHeight="1" x14ac:dyDescent="0.4">
      <c r="A28" s="298">
        <f t="shared" si="1"/>
        <v>2.2916666666666665E-2</v>
      </c>
      <c r="B28" s="299">
        <v>3.4722222222222224E-4</v>
      </c>
      <c r="C28" s="299">
        <f>Allure100</f>
        <v>3.5532407407407405E-3</v>
      </c>
      <c r="D28" s="300">
        <f>Vitesse100</f>
        <v>11.7</v>
      </c>
      <c r="E28" s="301">
        <f t="shared" si="0"/>
        <v>9.7499999999999989E-2</v>
      </c>
    </row>
    <row r="29" spans="1:5" ht="19.5" customHeight="1" thickBot="1" x14ac:dyDescent="0.45">
      <c r="A29" s="363">
        <f t="shared" si="1"/>
        <v>2.3263888888888886E-2</v>
      </c>
      <c r="B29" s="346">
        <v>6.9444444444444447E-4</v>
      </c>
      <c r="C29" s="306"/>
      <c r="D29" s="308"/>
      <c r="E29" s="364"/>
    </row>
    <row r="30" spans="1:5" ht="19.5" customHeight="1" x14ac:dyDescent="0.4">
      <c r="A30" s="298">
        <f t="shared" si="1"/>
        <v>2.3958333333333331E-2</v>
      </c>
      <c r="B30" s="299">
        <v>6.9444444444444447E-4</v>
      </c>
      <c r="C30" s="299">
        <f>Allure95</f>
        <v>3.7384259259259263E-3</v>
      </c>
      <c r="D30" s="300">
        <f>Vitesse95</f>
        <v>11.114999999999998</v>
      </c>
      <c r="E30" s="301">
        <f t="shared" si="0"/>
        <v>0.18524999999999997</v>
      </c>
    </row>
    <row r="31" spans="1:5" ht="19.5" customHeight="1" thickBot="1" x14ac:dyDescent="0.45">
      <c r="A31" s="363">
        <f t="shared" si="1"/>
        <v>2.4652777777777777E-2</v>
      </c>
      <c r="B31" s="346">
        <v>3.4722222222222224E-4</v>
      </c>
      <c r="C31" s="306"/>
      <c r="D31" s="308"/>
      <c r="E31" s="364"/>
    </row>
    <row r="32" spans="1:5" ht="19.5" customHeight="1" x14ac:dyDescent="0.4">
      <c r="A32" s="298">
        <f t="shared" si="1"/>
        <v>2.4999999999999998E-2</v>
      </c>
      <c r="B32" s="299">
        <v>3.4722222222222224E-4</v>
      </c>
      <c r="C32" s="299">
        <f>Allure100</f>
        <v>3.5532407407407405E-3</v>
      </c>
      <c r="D32" s="300">
        <f>Vitesse100</f>
        <v>11.7</v>
      </c>
      <c r="E32" s="301">
        <f t="shared" si="0"/>
        <v>9.7499999999999989E-2</v>
      </c>
    </row>
    <row r="33" spans="1:5" ht="19.5" customHeight="1" thickBot="1" x14ac:dyDescent="0.45">
      <c r="A33" s="363">
        <f t="shared" si="1"/>
        <v>2.5347222222222219E-2</v>
      </c>
      <c r="B33" s="346">
        <v>6.9444444444444447E-4</v>
      </c>
      <c r="C33" s="306"/>
      <c r="D33" s="308"/>
      <c r="E33" s="364"/>
    </row>
    <row r="34" spans="1:5" ht="19.5" customHeight="1" x14ac:dyDescent="0.4">
      <c r="A34" s="298">
        <f t="shared" si="1"/>
        <v>2.6041666666666664E-2</v>
      </c>
      <c r="B34" s="299">
        <v>6.9444444444444447E-4</v>
      </c>
      <c r="C34" s="299">
        <f>Allure95</f>
        <v>3.7384259259259263E-3</v>
      </c>
      <c r="D34" s="300">
        <f>Vitesse95</f>
        <v>11.114999999999998</v>
      </c>
      <c r="E34" s="301">
        <f t="shared" si="0"/>
        <v>0.18524999999999997</v>
      </c>
    </row>
    <row r="35" spans="1:5" ht="19.5" customHeight="1" thickBot="1" x14ac:dyDescent="0.45">
      <c r="A35" s="363">
        <f t="shared" si="1"/>
        <v>2.673611111111111E-2</v>
      </c>
      <c r="B35" s="346">
        <v>3.4722222222222224E-4</v>
      </c>
      <c r="C35" s="306"/>
      <c r="D35" s="308"/>
      <c r="E35" s="364"/>
    </row>
    <row r="36" spans="1:5" ht="19.5" customHeight="1" x14ac:dyDescent="0.4">
      <c r="A36" s="333">
        <f t="shared" si="1"/>
        <v>2.7083333333333331E-2</v>
      </c>
      <c r="B36" s="334">
        <v>3.4722222222222224E-4</v>
      </c>
      <c r="C36" s="334">
        <f>Allure100</f>
        <v>3.5532407407407405E-3</v>
      </c>
      <c r="D36" s="335">
        <f>Vitesse100</f>
        <v>11.7</v>
      </c>
      <c r="E36" s="336">
        <f t="shared" si="0"/>
        <v>9.7499999999999989E-2</v>
      </c>
    </row>
    <row r="37" spans="1:5" ht="19.5" customHeight="1" thickBot="1" x14ac:dyDescent="0.45">
      <c r="A37" s="365">
        <f t="shared" si="1"/>
        <v>2.7430555555555552E-2</v>
      </c>
      <c r="B37" s="388">
        <v>6.9444444444444447E-4</v>
      </c>
      <c r="C37" s="389"/>
      <c r="D37" s="390"/>
      <c r="E37" s="377"/>
    </row>
    <row r="38" spans="1:5" ht="19.5" customHeight="1" x14ac:dyDescent="0.4">
      <c r="A38" s="298">
        <f t="shared" si="1"/>
        <v>2.8124999999999997E-2</v>
      </c>
      <c r="B38" s="299">
        <v>3.4722222222222224E-4</v>
      </c>
      <c r="C38" s="299">
        <f>Allure100</f>
        <v>3.5532407407407405E-3</v>
      </c>
      <c r="D38" s="300">
        <f>Vitesse100</f>
        <v>11.7</v>
      </c>
      <c r="E38" s="301">
        <f t="shared" si="0"/>
        <v>9.7499999999999989E-2</v>
      </c>
    </row>
    <row r="39" spans="1:5" ht="19.5" customHeight="1" x14ac:dyDescent="0.4">
      <c r="A39" s="340">
        <f t="shared" si="1"/>
        <v>2.8472222222222218E-2</v>
      </c>
      <c r="B39" s="290">
        <v>2.3148148148148146E-4</v>
      </c>
      <c r="C39" s="302"/>
      <c r="D39" s="304"/>
      <c r="E39" s="362"/>
    </row>
    <row r="40" spans="1:5" ht="19.5" customHeight="1" x14ac:dyDescent="0.4">
      <c r="A40" s="283">
        <f t="shared" si="1"/>
        <v>2.87037037037037E-2</v>
      </c>
      <c r="B40" s="284">
        <v>3.4722222222222224E-4</v>
      </c>
      <c r="C40" s="284">
        <f>Allure100</f>
        <v>3.5532407407407405E-3</v>
      </c>
      <c r="D40" s="286">
        <f>Vitesse100</f>
        <v>11.7</v>
      </c>
      <c r="E40" s="287">
        <f t="shared" si="0"/>
        <v>9.7499999999999989E-2</v>
      </c>
    </row>
    <row r="41" spans="1:5" ht="19.5" customHeight="1" x14ac:dyDescent="0.4">
      <c r="A41" s="340">
        <f t="shared" si="1"/>
        <v>2.9050925925925921E-2</v>
      </c>
      <c r="B41" s="290">
        <v>2.3148148148148146E-4</v>
      </c>
      <c r="C41" s="302"/>
      <c r="D41" s="304"/>
      <c r="E41" s="362"/>
    </row>
    <row r="42" spans="1:5" ht="19.5" customHeight="1" x14ac:dyDescent="0.4">
      <c r="A42" s="283">
        <f t="shared" si="1"/>
        <v>2.9282407407407403E-2</v>
      </c>
      <c r="B42" s="284">
        <v>3.4722222222222224E-4</v>
      </c>
      <c r="C42" s="284">
        <f>Allure100</f>
        <v>3.5532407407407405E-3</v>
      </c>
      <c r="D42" s="286">
        <f>Vitesse100</f>
        <v>11.7</v>
      </c>
      <c r="E42" s="287">
        <f t="shared" si="0"/>
        <v>9.7499999999999989E-2</v>
      </c>
    </row>
    <row r="43" spans="1:5" ht="19.5" customHeight="1" thickBot="1" x14ac:dyDescent="0.45">
      <c r="A43" s="363">
        <f t="shared" si="1"/>
        <v>2.9629629629629624E-2</v>
      </c>
      <c r="B43" s="306">
        <v>2.3148148148148146E-4</v>
      </c>
      <c r="C43" s="306"/>
      <c r="D43" s="308"/>
      <c r="E43" s="364"/>
    </row>
    <row r="44" spans="1:5" ht="19.5" customHeight="1" thickBot="1" x14ac:dyDescent="0.45">
      <c r="A44" s="708" t="s">
        <v>13</v>
      </c>
      <c r="B44" s="709"/>
      <c r="C44" s="709"/>
      <c r="D44" s="709"/>
      <c r="E44" s="710"/>
    </row>
    <row r="45" spans="1:5" ht="19.5" customHeight="1" thickBot="1" x14ac:dyDescent="0.45">
      <c r="A45" s="248">
        <f>A43+B43</f>
        <v>2.9861111111111106E-2</v>
      </c>
      <c r="B45" s="240">
        <v>3.472222222222222E-3</v>
      </c>
      <c r="C45" s="240">
        <f>Allure73</f>
        <v>4.8726851851851856E-3</v>
      </c>
      <c r="D45" s="253">
        <f>Vitesse73</f>
        <v>8.5409999999999986</v>
      </c>
      <c r="E45" s="243">
        <f t="shared" si="0"/>
        <v>0.71174999999999988</v>
      </c>
    </row>
    <row r="46" spans="1:5" ht="19.5" customHeight="1" thickBot="1" x14ac:dyDescent="0.45">
      <c r="A46" s="337">
        <f>A45+B45</f>
        <v>3.3333333333333326E-2</v>
      </c>
      <c r="B46" s="338"/>
      <c r="C46" s="259"/>
      <c r="D46" s="339"/>
      <c r="E46" s="256">
        <f>SUM(E4+E5+E6+E8+E10+E12+E14+E16+E18+E20+E22+E24+E26+E26+E28+E30+E32+E34+E36+E38+E40+E42+E45)</f>
        <v>6.1035000000000004</v>
      </c>
    </row>
  </sheetData>
  <mergeCells count="5">
    <mergeCell ref="A1:E1"/>
    <mergeCell ref="A2:E2"/>
    <mergeCell ref="A3:E3"/>
    <mergeCell ref="A7:E7"/>
    <mergeCell ref="A44:E44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3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0">
    <tabColor rgb="FF3C65AF"/>
    <pageSetUpPr fitToPage="1"/>
  </sheetPr>
  <dimension ref="A1:E52"/>
  <sheetViews>
    <sheetView showGridLines="0" workbookViewId="0">
      <selection sqref="A1:E1"/>
    </sheetView>
  </sheetViews>
  <sheetFormatPr baseColWidth="10" defaultRowHeight="18.75" x14ac:dyDescent="0.4"/>
  <cols>
    <col min="1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run'!B41</f>
        <v>Travail VMA pyramidal (à faire 4x)</v>
      </c>
      <c r="B1" s="694"/>
      <c r="C1" s="694"/>
      <c r="D1" s="694"/>
      <c r="E1" s="695"/>
    </row>
    <row r="2" spans="1:5" ht="19.5" customHeight="1" thickBot="1" x14ac:dyDescent="0.45">
      <c r="A2" s="696" t="str">
        <f>'Programme entrainement run'!C41</f>
        <v>Sem 12 - jour 5</v>
      </c>
      <c r="B2" s="697"/>
      <c r="C2" s="697"/>
      <c r="D2" s="697"/>
      <c r="E2" s="698"/>
    </row>
    <row r="3" spans="1:5" ht="19.5" customHeight="1" thickBot="1" x14ac:dyDescent="0.45">
      <c r="A3" s="702" t="s">
        <v>11</v>
      </c>
      <c r="B3" s="703"/>
      <c r="C3" s="703"/>
      <c r="D3" s="703"/>
      <c r="E3" s="704"/>
    </row>
    <row r="4" spans="1:5" ht="19.5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19.5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51" si="0">((B5-INT(B5))*24)*D5</f>
        <v>1.4624999999999997</v>
      </c>
    </row>
    <row r="6" spans="1:5" ht="19.5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19.5" customHeight="1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298">
        <f>A6+B6</f>
        <v>1.3888888888888888E-2</v>
      </c>
      <c r="B8" s="299">
        <v>3.472222222222222E-3</v>
      </c>
      <c r="C8" s="299">
        <f>Allure90</f>
        <v>3.9467592592592592E-3</v>
      </c>
      <c r="D8" s="300">
        <f>Vitesse90</f>
        <v>10.53</v>
      </c>
      <c r="E8" s="301">
        <f t="shared" si="0"/>
        <v>0.87749999999999995</v>
      </c>
    </row>
    <row r="9" spans="1:5" ht="19.5" customHeight="1" thickBot="1" x14ac:dyDescent="0.45">
      <c r="A9" s="391">
        <f>A8+B8</f>
        <v>1.7361111111111112E-2</v>
      </c>
      <c r="B9" s="388">
        <v>6.9444444444444447E-4</v>
      </c>
      <c r="C9" s="388"/>
      <c r="D9" s="392"/>
      <c r="E9" s="377"/>
    </row>
    <row r="10" spans="1:5" ht="19.5" customHeight="1" x14ac:dyDescent="0.4">
      <c r="A10" s="298">
        <f t="shared" ref="A10:A49" si="1">A9+B9</f>
        <v>1.8055555555555557E-2</v>
      </c>
      <c r="B10" s="299">
        <v>2.3148148148148146E-4</v>
      </c>
      <c r="C10" s="299">
        <f>Allure105</f>
        <v>3.391203703703704E-3</v>
      </c>
      <c r="D10" s="300">
        <f>Vitesse105</f>
        <v>12.285</v>
      </c>
      <c r="E10" s="301">
        <f t="shared" si="0"/>
        <v>6.8249999999999991E-2</v>
      </c>
    </row>
    <row r="11" spans="1:5" ht="19.5" customHeight="1" x14ac:dyDescent="0.4">
      <c r="A11" s="289">
        <f t="shared" si="1"/>
        <v>1.8287037037037039E-2</v>
      </c>
      <c r="B11" s="290">
        <v>2.3148148148148146E-4</v>
      </c>
      <c r="C11" s="290"/>
      <c r="D11" s="291"/>
      <c r="E11" s="362"/>
    </row>
    <row r="12" spans="1:5" ht="19.5" customHeight="1" x14ac:dyDescent="0.4">
      <c r="A12" s="283">
        <f t="shared" si="1"/>
        <v>1.8518518518518521E-2</v>
      </c>
      <c r="B12" s="284">
        <v>4.6296296296296293E-4</v>
      </c>
      <c r="C12" s="284">
        <f>Allure100</f>
        <v>3.5532407407407405E-3</v>
      </c>
      <c r="D12" s="286">
        <f>Vitesse100</f>
        <v>11.7</v>
      </c>
      <c r="E12" s="287">
        <f t="shared" si="0"/>
        <v>0.12999999999999998</v>
      </c>
    </row>
    <row r="13" spans="1:5" ht="19.5" customHeight="1" x14ac:dyDescent="0.4">
      <c r="A13" s="289">
        <f t="shared" si="1"/>
        <v>1.8981481481481485E-2</v>
      </c>
      <c r="B13" s="290">
        <v>4.6296296296296293E-4</v>
      </c>
      <c r="C13" s="290"/>
      <c r="D13" s="291"/>
      <c r="E13" s="362"/>
    </row>
    <row r="14" spans="1:5" ht="19.5" customHeight="1" x14ac:dyDescent="0.4">
      <c r="A14" s="283">
        <f t="shared" si="1"/>
        <v>1.9444444444444448E-2</v>
      </c>
      <c r="B14" s="284">
        <v>6.9444444444444447E-4</v>
      </c>
      <c r="C14" s="284">
        <f>Allure95</f>
        <v>3.7384259259259263E-3</v>
      </c>
      <c r="D14" s="286">
        <f>Vitesse95</f>
        <v>11.114999999999998</v>
      </c>
      <c r="E14" s="287">
        <f t="shared" si="0"/>
        <v>0.18524999999999997</v>
      </c>
    </row>
    <row r="15" spans="1:5" ht="19.5" customHeight="1" x14ac:dyDescent="0.4">
      <c r="A15" s="289">
        <f t="shared" si="1"/>
        <v>2.0138888888888894E-2</v>
      </c>
      <c r="B15" s="290">
        <v>6.9444444444444447E-4</v>
      </c>
      <c r="C15" s="290"/>
      <c r="D15" s="291"/>
      <c r="E15" s="362"/>
    </row>
    <row r="16" spans="1:5" ht="19.5" customHeight="1" x14ac:dyDescent="0.4">
      <c r="A16" s="283">
        <f t="shared" si="1"/>
        <v>2.0833333333333339E-2</v>
      </c>
      <c r="B16" s="284">
        <v>4.6296296296296293E-4</v>
      </c>
      <c r="C16" s="284">
        <f>Allure100</f>
        <v>3.5532407407407405E-3</v>
      </c>
      <c r="D16" s="286">
        <f>Vitesse100</f>
        <v>11.7</v>
      </c>
      <c r="E16" s="287">
        <f t="shared" si="0"/>
        <v>0.12999999999999998</v>
      </c>
    </row>
    <row r="17" spans="1:5" ht="19.5" customHeight="1" x14ac:dyDescent="0.4">
      <c r="A17" s="289">
        <f t="shared" si="1"/>
        <v>2.1296296296296303E-2</v>
      </c>
      <c r="B17" s="290">
        <v>4.6296296296296293E-4</v>
      </c>
      <c r="C17" s="290"/>
      <c r="D17" s="291"/>
      <c r="E17" s="362"/>
    </row>
    <row r="18" spans="1:5" ht="19.5" customHeight="1" x14ac:dyDescent="0.4">
      <c r="A18" s="283">
        <f>A17+B17</f>
        <v>2.1759259259259266E-2</v>
      </c>
      <c r="B18" s="284">
        <v>2.3148148148148146E-4</v>
      </c>
      <c r="C18" s="284">
        <f>Allure105</f>
        <v>3.391203703703704E-3</v>
      </c>
      <c r="D18" s="286">
        <f>Vitesse105</f>
        <v>12.285</v>
      </c>
      <c r="E18" s="287">
        <f t="shared" si="0"/>
        <v>6.8249999999999991E-2</v>
      </c>
    </row>
    <row r="19" spans="1:5" ht="19.5" customHeight="1" thickBot="1" x14ac:dyDescent="0.45">
      <c r="A19" s="365">
        <f t="shared" si="1"/>
        <v>2.1990740740740748E-2</v>
      </c>
      <c r="B19" s="388">
        <v>6.9444444444444447E-4</v>
      </c>
      <c r="C19" s="389"/>
      <c r="D19" s="390"/>
      <c r="E19" s="377"/>
    </row>
    <row r="20" spans="1:5" ht="19.5" customHeight="1" x14ac:dyDescent="0.4">
      <c r="A20" s="298">
        <f t="shared" si="1"/>
        <v>2.2685185185185194E-2</v>
      </c>
      <c r="B20" s="299">
        <v>2.3148148148148146E-4</v>
      </c>
      <c r="C20" s="299">
        <f>Allure105</f>
        <v>3.391203703703704E-3</v>
      </c>
      <c r="D20" s="300">
        <f>Vitesse105</f>
        <v>12.285</v>
      </c>
      <c r="E20" s="301">
        <f t="shared" si="0"/>
        <v>6.8249999999999991E-2</v>
      </c>
    </row>
    <row r="21" spans="1:5" ht="19.5" customHeight="1" x14ac:dyDescent="0.4">
      <c r="A21" s="340">
        <f t="shared" si="1"/>
        <v>2.2916666666666675E-2</v>
      </c>
      <c r="B21" s="290">
        <v>2.3148148148148146E-4</v>
      </c>
      <c r="C21" s="302"/>
      <c r="D21" s="304"/>
      <c r="E21" s="362"/>
    </row>
    <row r="22" spans="1:5" ht="19.5" customHeight="1" x14ac:dyDescent="0.4">
      <c r="A22" s="283">
        <f t="shared" si="1"/>
        <v>2.3148148148148157E-2</v>
      </c>
      <c r="B22" s="284">
        <v>4.6296296296296293E-4</v>
      </c>
      <c r="C22" s="284">
        <f>Allure100</f>
        <v>3.5532407407407405E-3</v>
      </c>
      <c r="D22" s="286">
        <f>Vitesse100</f>
        <v>11.7</v>
      </c>
      <c r="E22" s="287">
        <f t="shared" si="0"/>
        <v>0.12999999999999998</v>
      </c>
    </row>
    <row r="23" spans="1:5" ht="19.5" customHeight="1" x14ac:dyDescent="0.4">
      <c r="A23" s="340">
        <f t="shared" si="1"/>
        <v>2.3611111111111121E-2</v>
      </c>
      <c r="B23" s="290">
        <v>4.6296296296296293E-4</v>
      </c>
      <c r="C23" s="302"/>
      <c r="D23" s="304"/>
      <c r="E23" s="362"/>
    </row>
    <row r="24" spans="1:5" ht="19.5" customHeight="1" x14ac:dyDescent="0.4">
      <c r="A24" s="283">
        <f t="shared" si="1"/>
        <v>2.4074074074074085E-2</v>
      </c>
      <c r="B24" s="284">
        <v>6.9444444444444447E-4</v>
      </c>
      <c r="C24" s="284">
        <f>Allure95</f>
        <v>3.7384259259259263E-3</v>
      </c>
      <c r="D24" s="286">
        <f>Vitesse95</f>
        <v>11.114999999999998</v>
      </c>
      <c r="E24" s="287">
        <f t="shared" si="0"/>
        <v>0.18524999999999997</v>
      </c>
    </row>
    <row r="25" spans="1:5" ht="19.5" customHeight="1" x14ac:dyDescent="0.4">
      <c r="A25" s="340">
        <f t="shared" si="1"/>
        <v>2.476851851851853E-2</v>
      </c>
      <c r="B25" s="290">
        <v>6.9444444444444447E-4</v>
      </c>
      <c r="C25" s="302"/>
      <c r="D25" s="304"/>
      <c r="E25" s="362"/>
    </row>
    <row r="26" spans="1:5" ht="19.5" customHeight="1" x14ac:dyDescent="0.4">
      <c r="A26" s="283">
        <f t="shared" si="1"/>
        <v>2.5462962962962975E-2</v>
      </c>
      <c r="B26" s="284">
        <v>4.6296296296296293E-4</v>
      </c>
      <c r="C26" s="284">
        <f>Allure100</f>
        <v>3.5532407407407405E-3</v>
      </c>
      <c r="D26" s="286">
        <f>Vitesse100</f>
        <v>11.7</v>
      </c>
      <c r="E26" s="287">
        <f t="shared" si="0"/>
        <v>0.12999999999999998</v>
      </c>
    </row>
    <row r="27" spans="1:5" ht="19.5" customHeight="1" x14ac:dyDescent="0.4">
      <c r="A27" s="340">
        <f t="shared" si="1"/>
        <v>2.5925925925925939E-2</v>
      </c>
      <c r="B27" s="290">
        <v>4.6296296296296293E-4</v>
      </c>
      <c r="C27" s="302"/>
      <c r="D27" s="304"/>
      <c r="E27" s="362"/>
    </row>
    <row r="28" spans="1:5" ht="19.5" customHeight="1" x14ac:dyDescent="0.4">
      <c r="A28" s="283">
        <f t="shared" si="1"/>
        <v>2.6388888888888903E-2</v>
      </c>
      <c r="B28" s="284">
        <v>2.3148148148148146E-4</v>
      </c>
      <c r="C28" s="284">
        <f>Allure105</f>
        <v>3.391203703703704E-3</v>
      </c>
      <c r="D28" s="286">
        <f>Vitesse105</f>
        <v>12.285</v>
      </c>
      <c r="E28" s="287">
        <f t="shared" si="0"/>
        <v>6.8249999999999991E-2</v>
      </c>
    </row>
    <row r="29" spans="1:5" ht="19.5" customHeight="1" thickBot="1" x14ac:dyDescent="0.45">
      <c r="A29" s="365">
        <f t="shared" si="1"/>
        <v>2.6620370370370385E-2</v>
      </c>
      <c r="B29" s="388">
        <v>6.9444444444444447E-4</v>
      </c>
      <c r="C29" s="389"/>
      <c r="D29" s="390"/>
      <c r="E29" s="377"/>
    </row>
    <row r="30" spans="1:5" ht="19.5" customHeight="1" x14ac:dyDescent="0.4">
      <c r="A30" s="298">
        <f t="shared" si="1"/>
        <v>2.731481481481483E-2</v>
      </c>
      <c r="B30" s="299">
        <v>2.3148148148148146E-4</v>
      </c>
      <c r="C30" s="299">
        <f>Allure105</f>
        <v>3.391203703703704E-3</v>
      </c>
      <c r="D30" s="300">
        <f>Vitesse105</f>
        <v>12.285</v>
      </c>
      <c r="E30" s="301">
        <f t="shared" si="0"/>
        <v>6.8249999999999991E-2</v>
      </c>
    </row>
    <row r="31" spans="1:5" ht="19.5" customHeight="1" x14ac:dyDescent="0.4">
      <c r="A31" s="340">
        <f t="shared" si="1"/>
        <v>2.7546296296296312E-2</v>
      </c>
      <c r="B31" s="290">
        <v>2.3148148148148146E-4</v>
      </c>
      <c r="C31" s="302"/>
      <c r="D31" s="304"/>
      <c r="E31" s="362"/>
    </row>
    <row r="32" spans="1:5" ht="19.5" customHeight="1" x14ac:dyDescent="0.4">
      <c r="A32" s="283">
        <f t="shared" si="1"/>
        <v>2.7777777777777794E-2</v>
      </c>
      <c r="B32" s="284">
        <v>4.6296296296296293E-4</v>
      </c>
      <c r="C32" s="284">
        <f>Allure100</f>
        <v>3.5532407407407405E-3</v>
      </c>
      <c r="D32" s="286">
        <f>Vitesse100</f>
        <v>11.7</v>
      </c>
      <c r="E32" s="287">
        <f t="shared" si="0"/>
        <v>0.12999999999999998</v>
      </c>
    </row>
    <row r="33" spans="1:5" ht="19.5" customHeight="1" x14ac:dyDescent="0.4">
      <c r="A33" s="340">
        <f t="shared" si="1"/>
        <v>2.8240740740740757E-2</v>
      </c>
      <c r="B33" s="290">
        <v>4.6296296296296293E-4</v>
      </c>
      <c r="C33" s="302"/>
      <c r="D33" s="304"/>
      <c r="E33" s="362"/>
    </row>
    <row r="34" spans="1:5" ht="19.5" customHeight="1" x14ac:dyDescent="0.4">
      <c r="A34" s="283">
        <f t="shared" si="1"/>
        <v>2.8703703703703721E-2</v>
      </c>
      <c r="B34" s="284">
        <v>6.9444444444444447E-4</v>
      </c>
      <c r="C34" s="284">
        <f>Allure95</f>
        <v>3.7384259259259263E-3</v>
      </c>
      <c r="D34" s="286">
        <f>Vitesse95</f>
        <v>11.114999999999998</v>
      </c>
      <c r="E34" s="287">
        <f t="shared" si="0"/>
        <v>0.18524999999999997</v>
      </c>
    </row>
    <row r="35" spans="1:5" ht="19.5" customHeight="1" x14ac:dyDescent="0.4">
      <c r="A35" s="340">
        <f t="shared" si="1"/>
        <v>2.9398148148148166E-2</v>
      </c>
      <c r="B35" s="290">
        <v>6.9444444444444447E-4</v>
      </c>
      <c r="C35" s="302"/>
      <c r="D35" s="304"/>
      <c r="E35" s="362"/>
    </row>
    <row r="36" spans="1:5" ht="19.5" customHeight="1" x14ac:dyDescent="0.4">
      <c r="A36" s="283">
        <f t="shared" si="1"/>
        <v>3.0092592592592612E-2</v>
      </c>
      <c r="B36" s="284">
        <v>4.6296296296296293E-4</v>
      </c>
      <c r="C36" s="284">
        <f>Allure100</f>
        <v>3.5532407407407405E-3</v>
      </c>
      <c r="D36" s="286">
        <f>Vitesse100</f>
        <v>11.7</v>
      </c>
      <c r="E36" s="287">
        <f t="shared" si="0"/>
        <v>0.12999999999999998</v>
      </c>
    </row>
    <row r="37" spans="1:5" ht="19.5" customHeight="1" x14ac:dyDescent="0.4">
      <c r="A37" s="340">
        <f t="shared" si="1"/>
        <v>3.0555555555555575E-2</v>
      </c>
      <c r="B37" s="290">
        <v>4.6296296296296293E-4</v>
      </c>
      <c r="C37" s="302"/>
      <c r="D37" s="304"/>
      <c r="E37" s="362"/>
    </row>
    <row r="38" spans="1:5" ht="19.5" customHeight="1" x14ac:dyDescent="0.4">
      <c r="A38" s="283">
        <f t="shared" si="1"/>
        <v>3.1018518518518539E-2</v>
      </c>
      <c r="B38" s="284">
        <v>2.3148148148148146E-4</v>
      </c>
      <c r="C38" s="284">
        <f>Allure105</f>
        <v>3.391203703703704E-3</v>
      </c>
      <c r="D38" s="286">
        <f>Vitesse105</f>
        <v>12.285</v>
      </c>
      <c r="E38" s="287">
        <f t="shared" si="0"/>
        <v>6.8249999999999991E-2</v>
      </c>
    </row>
    <row r="39" spans="1:5" ht="19.5" customHeight="1" thickBot="1" x14ac:dyDescent="0.45">
      <c r="A39" s="365">
        <f t="shared" si="1"/>
        <v>3.1250000000000021E-2</v>
      </c>
      <c r="B39" s="388">
        <v>6.9444444444444447E-4</v>
      </c>
      <c r="C39" s="389"/>
      <c r="D39" s="390"/>
      <c r="E39" s="377"/>
    </row>
    <row r="40" spans="1:5" ht="19.5" customHeight="1" x14ac:dyDescent="0.4">
      <c r="A40" s="298">
        <f t="shared" si="1"/>
        <v>3.1944444444444463E-2</v>
      </c>
      <c r="B40" s="299">
        <v>2.3148148148148146E-4</v>
      </c>
      <c r="C40" s="299">
        <f>Allure105</f>
        <v>3.391203703703704E-3</v>
      </c>
      <c r="D40" s="300">
        <f>Vitesse105</f>
        <v>12.285</v>
      </c>
      <c r="E40" s="301">
        <f t="shared" si="0"/>
        <v>6.8249999999999991E-2</v>
      </c>
    </row>
    <row r="41" spans="1:5" ht="19.5" customHeight="1" x14ac:dyDescent="0.4">
      <c r="A41" s="340">
        <f t="shared" si="1"/>
        <v>3.2175925925925941E-2</v>
      </c>
      <c r="B41" s="290">
        <v>2.3148148148148146E-4</v>
      </c>
      <c r="C41" s="302"/>
      <c r="D41" s="304"/>
      <c r="E41" s="362"/>
    </row>
    <row r="42" spans="1:5" ht="19.5" customHeight="1" x14ac:dyDescent="0.4">
      <c r="A42" s="283">
        <f t="shared" si="1"/>
        <v>3.2407407407407419E-2</v>
      </c>
      <c r="B42" s="284">
        <v>4.6296296296296293E-4</v>
      </c>
      <c r="C42" s="284">
        <f>Allure100</f>
        <v>3.5532407407407405E-3</v>
      </c>
      <c r="D42" s="286">
        <f>Vitesse100</f>
        <v>11.7</v>
      </c>
      <c r="E42" s="287">
        <f t="shared" si="0"/>
        <v>0.12999999999999998</v>
      </c>
    </row>
    <row r="43" spans="1:5" ht="19.5" customHeight="1" x14ac:dyDescent="0.4">
      <c r="A43" s="340">
        <f t="shared" si="1"/>
        <v>3.2870370370370383E-2</v>
      </c>
      <c r="B43" s="302">
        <v>4.6296296296296293E-4</v>
      </c>
      <c r="C43" s="302"/>
      <c r="D43" s="304"/>
      <c r="E43" s="362"/>
    </row>
    <row r="44" spans="1:5" ht="19.5" customHeight="1" x14ac:dyDescent="0.4">
      <c r="A44" s="283">
        <f t="shared" si="1"/>
        <v>3.3333333333333347E-2</v>
      </c>
      <c r="B44" s="284">
        <v>6.9444444444444447E-4</v>
      </c>
      <c r="C44" s="284">
        <f>Allure95</f>
        <v>3.7384259259259263E-3</v>
      </c>
      <c r="D44" s="286">
        <f>Vitesse95</f>
        <v>11.114999999999998</v>
      </c>
      <c r="E44" s="287">
        <f t="shared" si="0"/>
        <v>0.18524999999999997</v>
      </c>
    </row>
    <row r="45" spans="1:5" ht="19.5" customHeight="1" x14ac:dyDescent="0.4">
      <c r="A45" s="340">
        <f t="shared" si="1"/>
        <v>3.4027777777777789E-2</v>
      </c>
      <c r="B45" s="302">
        <v>6.9444444444444447E-4</v>
      </c>
      <c r="C45" s="302"/>
      <c r="D45" s="304"/>
      <c r="E45" s="362"/>
    </row>
    <row r="46" spans="1:5" ht="19.5" customHeight="1" x14ac:dyDescent="0.4">
      <c r="A46" s="283">
        <f t="shared" si="1"/>
        <v>3.4722222222222231E-2</v>
      </c>
      <c r="B46" s="284">
        <v>4.6296296296296293E-4</v>
      </c>
      <c r="C46" s="284">
        <f>Allure100</f>
        <v>3.5532407407407405E-3</v>
      </c>
      <c r="D46" s="286">
        <f>Vitesse100</f>
        <v>11.7</v>
      </c>
      <c r="E46" s="287">
        <f t="shared" si="0"/>
        <v>0.12999999999999998</v>
      </c>
    </row>
    <row r="47" spans="1:5" ht="19.5" customHeight="1" x14ac:dyDescent="0.4">
      <c r="A47" s="340">
        <f t="shared" si="1"/>
        <v>3.5185185185185194E-2</v>
      </c>
      <c r="B47" s="302">
        <v>4.6296296296296293E-4</v>
      </c>
      <c r="C47" s="302"/>
      <c r="D47" s="304"/>
      <c r="E47" s="362"/>
    </row>
    <row r="48" spans="1:5" ht="19.5" customHeight="1" x14ac:dyDescent="0.4">
      <c r="A48" s="283">
        <f t="shared" si="1"/>
        <v>3.5648148148148158E-2</v>
      </c>
      <c r="B48" s="284">
        <v>2.3148148148148146E-4</v>
      </c>
      <c r="C48" s="284">
        <f>Allure105</f>
        <v>3.391203703703704E-3</v>
      </c>
      <c r="D48" s="286">
        <f>Vitesse105</f>
        <v>12.285</v>
      </c>
      <c r="E48" s="287">
        <f t="shared" si="0"/>
        <v>6.8249999999999991E-2</v>
      </c>
    </row>
    <row r="49" spans="1:5" ht="19.5" customHeight="1" thickBot="1" x14ac:dyDescent="0.45">
      <c r="A49" s="363">
        <f t="shared" si="1"/>
        <v>3.5879629629629636E-2</v>
      </c>
      <c r="B49" s="306">
        <v>6.9444444444444447E-4</v>
      </c>
      <c r="C49" s="306"/>
      <c r="D49" s="308"/>
      <c r="E49" s="364"/>
    </row>
    <row r="50" spans="1:5" ht="19.5" customHeight="1" thickBot="1" x14ac:dyDescent="0.45">
      <c r="A50" s="708" t="s">
        <v>13</v>
      </c>
      <c r="B50" s="709"/>
      <c r="C50" s="709"/>
      <c r="D50" s="709"/>
      <c r="E50" s="710"/>
    </row>
    <row r="51" spans="1:5" ht="19.5" customHeight="1" thickBot="1" x14ac:dyDescent="0.45">
      <c r="A51" s="248">
        <f>A49+B49</f>
        <v>3.6574074074074078E-2</v>
      </c>
      <c r="B51" s="240">
        <v>3.472222222222222E-3</v>
      </c>
      <c r="C51" s="240">
        <f>Allure73</f>
        <v>4.8726851851851856E-3</v>
      </c>
      <c r="D51" s="253">
        <f>Vitesse73</f>
        <v>8.5409999999999986</v>
      </c>
      <c r="E51" s="243">
        <f t="shared" si="0"/>
        <v>0.71174999999999988</v>
      </c>
    </row>
    <row r="52" spans="1:5" ht="19.5" customHeight="1" thickBot="1" x14ac:dyDescent="0.45">
      <c r="A52" s="337">
        <f>A51+B51</f>
        <v>4.0046296296296302E-2</v>
      </c>
      <c r="B52" s="338"/>
      <c r="C52" s="259"/>
      <c r="D52" s="339"/>
      <c r="E52" s="256">
        <f>SUM(E4+E5+E6+E8+E10+E12+E14+E16+E18+E20+E22+E24+E26+E26+E28+E30+E32+E34+E36+E38+E40+E42+E51+E44+E46+E48)</f>
        <v>6.9712499999999977</v>
      </c>
    </row>
  </sheetData>
  <mergeCells count="5">
    <mergeCell ref="A1:E1"/>
    <mergeCell ref="A2:E2"/>
    <mergeCell ref="A3:E3"/>
    <mergeCell ref="A7:E7"/>
    <mergeCell ref="A50:E5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4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1">
    <tabColor rgb="FF3C65AF"/>
    <pageSetUpPr fitToPage="1"/>
  </sheetPr>
  <dimension ref="A1:E42"/>
  <sheetViews>
    <sheetView showGridLines="0" workbookViewId="0">
      <selection sqref="A1:E1"/>
    </sheetView>
  </sheetViews>
  <sheetFormatPr baseColWidth="10" defaultRowHeight="18.75" x14ac:dyDescent="0.4"/>
  <cols>
    <col min="1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run'!B42</f>
        <v>Travail VMA court</v>
      </c>
      <c r="B1" s="694"/>
      <c r="C1" s="694"/>
      <c r="D1" s="694"/>
      <c r="E1" s="695"/>
    </row>
    <row r="2" spans="1:5" ht="19.5" customHeight="1" thickBot="1" x14ac:dyDescent="0.45">
      <c r="A2" s="696" t="str">
        <f>'Programme entrainement run'!C42</f>
        <v>Sem 13 - jour 1</v>
      </c>
      <c r="B2" s="697"/>
      <c r="C2" s="697"/>
      <c r="D2" s="697"/>
      <c r="E2" s="698"/>
    </row>
    <row r="3" spans="1:5" ht="19.5" customHeight="1" thickBot="1" x14ac:dyDescent="0.45">
      <c r="A3" s="702" t="s">
        <v>11</v>
      </c>
      <c r="B3" s="703"/>
      <c r="C3" s="703"/>
      <c r="D3" s="703"/>
      <c r="E3" s="704"/>
    </row>
    <row r="4" spans="1:5" ht="19.5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19.5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41" si="0">((B5-INT(B5))*24)*D5</f>
        <v>1.4624999999999997</v>
      </c>
    </row>
    <row r="6" spans="1:5" ht="19.5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19.5" customHeight="1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298">
        <f>A6+B6</f>
        <v>1.3888888888888888E-2</v>
      </c>
      <c r="B8" s="299">
        <v>3.4722222222222224E-4</v>
      </c>
      <c r="C8" s="299">
        <f>Allure100</f>
        <v>3.5532407407407405E-3</v>
      </c>
      <c r="D8" s="300">
        <f>Vitesse100</f>
        <v>11.7</v>
      </c>
      <c r="E8" s="301">
        <f t="shared" si="0"/>
        <v>9.7499999999999989E-2</v>
      </c>
    </row>
    <row r="9" spans="1:5" ht="19.5" customHeight="1" x14ac:dyDescent="0.4">
      <c r="A9" s="289">
        <f>A8+B8</f>
        <v>1.4236111111111111E-2</v>
      </c>
      <c r="B9" s="290">
        <v>3.4722222222222224E-4</v>
      </c>
      <c r="C9" s="290"/>
      <c r="D9" s="291"/>
      <c r="E9" s="362"/>
    </row>
    <row r="10" spans="1:5" ht="19.5" customHeight="1" x14ac:dyDescent="0.4">
      <c r="A10" s="283">
        <f t="shared" ref="A10:A39" si="1">A9+B9</f>
        <v>1.4583333333333334E-2</v>
      </c>
      <c r="B10" s="284">
        <v>3.4722222222222224E-4</v>
      </c>
      <c r="C10" s="284">
        <f>Allure100</f>
        <v>3.5532407407407405E-3</v>
      </c>
      <c r="D10" s="286">
        <f>Vitesse100</f>
        <v>11.7</v>
      </c>
      <c r="E10" s="287">
        <f t="shared" si="0"/>
        <v>9.7499999999999989E-2</v>
      </c>
    </row>
    <row r="11" spans="1:5" ht="19.5" customHeight="1" x14ac:dyDescent="0.4">
      <c r="A11" s="289">
        <f t="shared" si="1"/>
        <v>1.4930555555555556E-2</v>
      </c>
      <c r="B11" s="290">
        <v>3.4722222222222224E-4</v>
      </c>
      <c r="C11" s="290"/>
      <c r="D11" s="291"/>
      <c r="E11" s="362"/>
    </row>
    <row r="12" spans="1:5" ht="19.5" customHeight="1" x14ac:dyDescent="0.4">
      <c r="A12" s="283">
        <f t="shared" si="1"/>
        <v>1.5277777777777779E-2</v>
      </c>
      <c r="B12" s="284">
        <v>3.4722222222222224E-4</v>
      </c>
      <c r="C12" s="284">
        <f>Allure100</f>
        <v>3.5532407407407405E-3</v>
      </c>
      <c r="D12" s="286">
        <f>Vitesse100</f>
        <v>11.7</v>
      </c>
      <c r="E12" s="287">
        <f t="shared" si="0"/>
        <v>9.7499999999999989E-2</v>
      </c>
    </row>
    <row r="13" spans="1:5" ht="19.5" customHeight="1" x14ac:dyDescent="0.4">
      <c r="A13" s="289">
        <f t="shared" si="1"/>
        <v>1.5625E-2</v>
      </c>
      <c r="B13" s="290">
        <v>3.4722222222222224E-4</v>
      </c>
      <c r="C13" s="290"/>
      <c r="D13" s="291"/>
      <c r="E13" s="362"/>
    </row>
    <row r="14" spans="1:5" ht="19.5" customHeight="1" x14ac:dyDescent="0.4">
      <c r="A14" s="283">
        <f t="shared" si="1"/>
        <v>1.5972222222222221E-2</v>
      </c>
      <c r="B14" s="284">
        <v>3.4722222222222224E-4</v>
      </c>
      <c r="C14" s="284">
        <f>Allure100</f>
        <v>3.5532407407407405E-3</v>
      </c>
      <c r="D14" s="286">
        <f>Vitesse100</f>
        <v>11.7</v>
      </c>
      <c r="E14" s="287">
        <f t="shared" si="0"/>
        <v>9.7499999999999989E-2</v>
      </c>
    </row>
    <row r="15" spans="1:5" ht="19.5" customHeight="1" thickBot="1" x14ac:dyDescent="0.45">
      <c r="A15" s="391">
        <f t="shared" si="1"/>
        <v>1.6319444444444442E-2</v>
      </c>
      <c r="B15" s="388">
        <v>3.4722222222222224E-4</v>
      </c>
      <c r="C15" s="388"/>
      <c r="D15" s="392"/>
      <c r="E15" s="377"/>
    </row>
    <row r="16" spans="1:5" ht="19.5" customHeight="1" x14ac:dyDescent="0.4">
      <c r="A16" s="298">
        <f t="shared" si="1"/>
        <v>1.6666666666666663E-2</v>
      </c>
      <c r="B16" s="299">
        <v>5.2083333333333333E-4</v>
      </c>
      <c r="C16" s="299">
        <f>Allure95</f>
        <v>3.7384259259259263E-3</v>
      </c>
      <c r="D16" s="300">
        <f>Vitesse95</f>
        <v>11.114999999999998</v>
      </c>
      <c r="E16" s="301">
        <f t="shared" si="0"/>
        <v>0.13893749999999999</v>
      </c>
    </row>
    <row r="17" spans="1:5" ht="19.5" customHeight="1" x14ac:dyDescent="0.4">
      <c r="A17" s="289">
        <f t="shared" si="1"/>
        <v>1.7187499999999998E-2</v>
      </c>
      <c r="B17" s="290">
        <v>5.2083333333333333E-4</v>
      </c>
      <c r="C17" s="290"/>
      <c r="D17" s="291"/>
      <c r="E17" s="362"/>
    </row>
    <row r="18" spans="1:5" ht="19.5" customHeight="1" x14ac:dyDescent="0.4">
      <c r="A18" s="283">
        <f>A17+B17</f>
        <v>1.7708333333333333E-2</v>
      </c>
      <c r="B18" s="284">
        <v>5.2083333333333333E-4</v>
      </c>
      <c r="C18" s="284">
        <f>Allure95</f>
        <v>3.7384259259259263E-3</v>
      </c>
      <c r="D18" s="286">
        <f>Vitesse95</f>
        <v>11.114999999999998</v>
      </c>
      <c r="E18" s="287">
        <f t="shared" si="0"/>
        <v>0.13893749999999999</v>
      </c>
    </row>
    <row r="19" spans="1:5" ht="19.5" customHeight="1" x14ac:dyDescent="0.4">
      <c r="A19" s="340">
        <f t="shared" si="1"/>
        <v>1.8229166666666668E-2</v>
      </c>
      <c r="B19" s="290">
        <v>5.2083333333333333E-4</v>
      </c>
      <c r="C19" s="302"/>
      <c r="D19" s="304"/>
      <c r="E19" s="362"/>
    </row>
    <row r="20" spans="1:5" ht="19.5" customHeight="1" x14ac:dyDescent="0.4">
      <c r="A20" s="283">
        <f t="shared" si="1"/>
        <v>1.8750000000000003E-2</v>
      </c>
      <c r="B20" s="284">
        <v>5.2083333333333333E-4</v>
      </c>
      <c r="C20" s="284">
        <f>Allure95</f>
        <v>3.7384259259259263E-3</v>
      </c>
      <c r="D20" s="286">
        <f>Vitesse95</f>
        <v>11.114999999999998</v>
      </c>
      <c r="E20" s="287">
        <f t="shared" si="0"/>
        <v>0.13893749999999999</v>
      </c>
    </row>
    <row r="21" spans="1:5" ht="19.5" customHeight="1" x14ac:dyDescent="0.4">
      <c r="A21" s="340">
        <f t="shared" si="1"/>
        <v>1.9270833333333338E-2</v>
      </c>
      <c r="B21" s="290">
        <v>5.2083333333333333E-4</v>
      </c>
      <c r="C21" s="302"/>
      <c r="D21" s="304"/>
      <c r="E21" s="362"/>
    </row>
    <row r="22" spans="1:5" ht="19.5" customHeight="1" x14ac:dyDescent="0.4">
      <c r="A22" s="283">
        <f t="shared" si="1"/>
        <v>1.9791666666666673E-2</v>
      </c>
      <c r="B22" s="284">
        <v>5.2083333333333333E-4</v>
      </c>
      <c r="C22" s="284">
        <f>Allure95</f>
        <v>3.7384259259259263E-3</v>
      </c>
      <c r="D22" s="286">
        <f>Vitesse95</f>
        <v>11.114999999999998</v>
      </c>
      <c r="E22" s="287">
        <f t="shared" si="0"/>
        <v>0.13893749999999999</v>
      </c>
    </row>
    <row r="23" spans="1:5" ht="19.5" customHeight="1" x14ac:dyDescent="0.4">
      <c r="A23" s="340">
        <f t="shared" si="1"/>
        <v>2.0312500000000008E-2</v>
      </c>
      <c r="B23" s="290">
        <v>5.2083333333333333E-4</v>
      </c>
      <c r="C23" s="302"/>
      <c r="D23" s="304"/>
      <c r="E23" s="362"/>
    </row>
    <row r="24" spans="1:5" ht="19.5" customHeight="1" x14ac:dyDescent="0.4">
      <c r="A24" s="283">
        <f t="shared" si="1"/>
        <v>2.0833333333333343E-2</v>
      </c>
      <c r="B24" s="284">
        <v>5.2083333333333333E-4</v>
      </c>
      <c r="C24" s="284">
        <f>Allure95</f>
        <v>3.7384259259259263E-3</v>
      </c>
      <c r="D24" s="286">
        <f>Vitesse95</f>
        <v>11.114999999999998</v>
      </c>
      <c r="E24" s="287">
        <f t="shared" si="0"/>
        <v>0.13893749999999999</v>
      </c>
    </row>
    <row r="25" spans="1:5" ht="19.5" customHeight="1" x14ac:dyDescent="0.4">
      <c r="A25" s="340">
        <f t="shared" si="1"/>
        <v>2.1354166666666678E-2</v>
      </c>
      <c r="B25" s="290">
        <v>5.2083333333333333E-4</v>
      </c>
      <c r="C25" s="302"/>
      <c r="D25" s="304"/>
      <c r="E25" s="362"/>
    </row>
    <row r="26" spans="1:5" ht="19.5" customHeight="1" x14ac:dyDescent="0.4">
      <c r="A26" s="283">
        <f t="shared" si="1"/>
        <v>2.1875000000000012E-2</v>
      </c>
      <c r="B26" s="284">
        <v>5.2083333333333333E-4</v>
      </c>
      <c r="C26" s="284">
        <f>Allure95</f>
        <v>3.7384259259259263E-3</v>
      </c>
      <c r="D26" s="286">
        <f>Vitesse95</f>
        <v>11.114999999999998</v>
      </c>
      <c r="E26" s="287">
        <f t="shared" si="0"/>
        <v>0.13893749999999999</v>
      </c>
    </row>
    <row r="27" spans="1:5" ht="19.5" customHeight="1" x14ac:dyDescent="0.4">
      <c r="A27" s="340">
        <f t="shared" si="1"/>
        <v>2.2395833333333347E-2</v>
      </c>
      <c r="B27" s="290">
        <v>5.2083333333333333E-4</v>
      </c>
      <c r="C27" s="302"/>
      <c r="D27" s="304"/>
      <c r="E27" s="362"/>
    </row>
    <row r="28" spans="1:5" ht="19.5" customHeight="1" x14ac:dyDescent="0.4">
      <c r="A28" s="283">
        <f t="shared" si="1"/>
        <v>2.2916666666666682E-2</v>
      </c>
      <c r="B28" s="284">
        <v>5.2083333333333333E-4</v>
      </c>
      <c r="C28" s="284">
        <f>Allure95</f>
        <v>3.7384259259259263E-3</v>
      </c>
      <c r="D28" s="286">
        <f>Vitesse95</f>
        <v>11.114999999999998</v>
      </c>
      <c r="E28" s="287">
        <f t="shared" si="0"/>
        <v>0.13893749999999999</v>
      </c>
    </row>
    <row r="29" spans="1:5" ht="19.5" customHeight="1" x14ac:dyDescent="0.4">
      <c r="A29" s="340">
        <f t="shared" si="1"/>
        <v>2.3437500000000017E-2</v>
      </c>
      <c r="B29" s="290">
        <v>5.2083333333333333E-4</v>
      </c>
      <c r="C29" s="302"/>
      <c r="D29" s="304"/>
      <c r="E29" s="362"/>
    </row>
    <row r="30" spans="1:5" ht="19.5" customHeight="1" x14ac:dyDescent="0.4">
      <c r="A30" s="283">
        <f t="shared" si="1"/>
        <v>2.3958333333333352E-2</v>
      </c>
      <c r="B30" s="284">
        <v>5.2083333333333333E-4</v>
      </c>
      <c r="C30" s="284">
        <f>Allure95</f>
        <v>3.7384259259259263E-3</v>
      </c>
      <c r="D30" s="286">
        <f>Vitesse95</f>
        <v>11.114999999999998</v>
      </c>
      <c r="E30" s="287">
        <f t="shared" si="0"/>
        <v>0.13893749999999999</v>
      </c>
    </row>
    <row r="31" spans="1:5" ht="19.5" customHeight="1" thickBot="1" x14ac:dyDescent="0.45">
      <c r="A31" s="363">
        <f t="shared" si="1"/>
        <v>2.4479166666666687E-2</v>
      </c>
      <c r="B31" s="346">
        <v>5.2083333333333333E-4</v>
      </c>
      <c r="C31" s="306"/>
      <c r="D31" s="308"/>
      <c r="E31" s="364"/>
    </row>
    <row r="32" spans="1:5" ht="19.5" customHeight="1" x14ac:dyDescent="0.4">
      <c r="A32" s="298">
        <f t="shared" si="1"/>
        <v>2.5000000000000022E-2</v>
      </c>
      <c r="B32" s="299">
        <v>3.4722222222222224E-4</v>
      </c>
      <c r="C32" s="299">
        <f>Allure105</f>
        <v>3.391203703703704E-3</v>
      </c>
      <c r="D32" s="300">
        <f>Vitesse105</f>
        <v>12.285</v>
      </c>
      <c r="E32" s="301">
        <f t="shared" si="0"/>
        <v>0.10237499999999999</v>
      </c>
    </row>
    <row r="33" spans="1:5" ht="19.5" customHeight="1" x14ac:dyDescent="0.4">
      <c r="A33" s="340">
        <f t="shared" si="1"/>
        <v>2.5347222222222243E-2</v>
      </c>
      <c r="B33" s="290">
        <v>3.4722222222222224E-4</v>
      </c>
      <c r="C33" s="302"/>
      <c r="D33" s="304"/>
      <c r="E33" s="362"/>
    </row>
    <row r="34" spans="1:5" ht="19.5" customHeight="1" x14ac:dyDescent="0.4">
      <c r="A34" s="283">
        <f t="shared" si="1"/>
        <v>2.5694444444444464E-2</v>
      </c>
      <c r="B34" s="284">
        <v>3.4722222222222224E-4</v>
      </c>
      <c r="C34" s="284">
        <f>Allure105</f>
        <v>3.391203703703704E-3</v>
      </c>
      <c r="D34" s="286">
        <f>Vitesse105</f>
        <v>12.285</v>
      </c>
      <c r="E34" s="287">
        <f t="shared" si="0"/>
        <v>0.10237499999999999</v>
      </c>
    </row>
    <row r="35" spans="1:5" ht="19.5" customHeight="1" x14ac:dyDescent="0.4">
      <c r="A35" s="340">
        <f t="shared" si="1"/>
        <v>2.6041666666666685E-2</v>
      </c>
      <c r="B35" s="290">
        <v>3.4722222222222224E-4</v>
      </c>
      <c r="C35" s="302"/>
      <c r="D35" s="304"/>
      <c r="E35" s="362"/>
    </row>
    <row r="36" spans="1:5" ht="19.5" customHeight="1" x14ac:dyDescent="0.4">
      <c r="A36" s="283">
        <f t="shared" si="1"/>
        <v>2.6388888888888906E-2</v>
      </c>
      <c r="B36" s="284">
        <v>3.4722222222222224E-4</v>
      </c>
      <c r="C36" s="284">
        <f>Allure105</f>
        <v>3.391203703703704E-3</v>
      </c>
      <c r="D36" s="286">
        <f>Vitesse105</f>
        <v>12.285</v>
      </c>
      <c r="E36" s="287">
        <f t="shared" si="0"/>
        <v>0.10237499999999999</v>
      </c>
    </row>
    <row r="37" spans="1:5" ht="19.5" customHeight="1" x14ac:dyDescent="0.4">
      <c r="A37" s="340">
        <f t="shared" si="1"/>
        <v>2.6736111111111127E-2</v>
      </c>
      <c r="B37" s="290">
        <v>3.4722222222222224E-4</v>
      </c>
      <c r="C37" s="302"/>
      <c r="D37" s="304"/>
      <c r="E37" s="362"/>
    </row>
    <row r="38" spans="1:5" ht="19.5" customHeight="1" x14ac:dyDescent="0.4">
      <c r="A38" s="283">
        <f t="shared" si="1"/>
        <v>2.7083333333333348E-2</v>
      </c>
      <c r="B38" s="284">
        <v>3.4722222222222224E-4</v>
      </c>
      <c r="C38" s="284">
        <f>Allure105</f>
        <v>3.391203703703704E-3</v>
      </c>
      <c r="D38" s="286">
        <f>Vitesse105</f>
        <v>12.285</v>
      </c>
      <c r="E38" s="287">
        <f t="shared" si="0"/>
        <v>0.10237499999999999</v>
      </c>
    </row>
    <row r="39" spans="1:5" ht="19.5" customHeight="1" thickBot="1" x14ac:dyDescent="0.45">
      <c r="A39" s="363">
        <f t="shared" si="1"/>
        <v>2.7430555555555569E-2</v>
      </c>
      <c r="B39" s="346">
        <v>3.4722222222222224E-4</v>
      </c>
      <c r="C39" s="306"/>
      <c r="D39" s="308"/>
      <c r="E39" s="364"/>
    </row>
    <row r="40" spans="1:5" ht="19.5" customHeight="1" thickBot="1" x14ac:dyDescent="0.45">
      <c r="A40" s="699" t="s">
        <v>13</v>
      </c>
      <c r="B40" s="700"/>
      <c r="C40" s="700"/>
      <c r="D40" s="700"/>
      <c r="E40" s="701"/>
    </row>
    <row r="41" spans="1:5" ht="19.5" customHeight="1" thickBot="1" x14ac:dyDescent="0.45">
      <c r="A41" s="248">
        <f>A39+B39</f>
        <v>2.777777777777779E-2</v>
      </c>
      <c r="B41" s="240">
        <v>3.472222222222222E-3</v>
      </c>
      <c r="C41" s="240">
        <f>Allure73</f>
        <v>4.8726851851851856E-3</v>
      </c>
      <c r="D41" s="253">
        <f>Vitesse73</f>
        <v>8.5409999999999986</v>
      </c>
      <c r="E41" s="243">
        <f t="shared" si="0"/>
        <v>0.71174999999999988</v>
      </c>
    </row>
    <row r="42" spans="1:5" ht="19.5" customHeight="1" thickBot="1" x14ac:dyDescent="0.45">
      <c r="A42" s="337">
        <f>A41+B41</f>
        <v>3.1250000000000014E-2</v>
      </c>
      <c r="B42" s="338"/>
      <c r="C42" s="259"/>
      <c r="D42" s="339"/>
      <c r="E42" s="256">
        <f>SUM(E4+E5+E6+E8+E10+E12+E14+E16+E18+E20+E22+E24+E26+E26+E28+E30+E32+E34+E36+E38+E41)</f>
        <v>5.6866875000000014</v>
      </c>
    </row>
  </sheetData>
  <mergeCells count="5">
    <mergeCell ref="A1:E1"/>
    <mergeCell ref="A2:E2"/>
    <mergeCell ref="A3:E3"/>
    <mergeCell ref="A7:E7"/>
    <mergeCell ref="A40:E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1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2">
    <tabColor rgb="FF3C65AF"/>
    <pageSetUpPr fitToPage="1"/>
  </sheetPr>
  <dimension ref="A1:E34"/>
  <sheetViews>
    <sheetView showGridLines="0" workbookViewId="0">
      <selection sqref="A1:E1"/>
    </sheetView>
  </sheetViews>
  <sheetFormatPr baseColWidth="10" defaultRowHeight="18.75" x14ac:dyDescent="0.4"/>
  <cols>
    <col min="1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run'!B43</f>
        <v>Travail VMA court</v>
      </c>
      <c r="B1" s="694"/>
      <c r="C1" s="694"/>
      <c r="D1" s="694"/>
      <c r="E1" s="695"/>
    </row>
    <row r="2" spans="1:5" ht="19.5" customHeight="1" thickBot="1" x14ac:dyDescent="0.45">
      <c r="A2" s="696" t="str">
        <f>'Programme entrainement run'!C43</f>
        <v>Sem 13 - jour 3</v>
      </c>
      <c r="B2" s="697"/>
      <c r="C2" s="697"/>
      <c r="D2" s="697"/>
      <c r="E2" s="698"/>
    </row>
    <row r="3" spans="1:5" ht="19.5" customHeight="1" thickBot="1" x14ac:dyDescent="0.45">
      <c r="A3" s="702" t="s">
        <v>11</v>
      </c>
      <c r="B3" s="703"/>
      <c r="C3" s="703"/>
      <c r="D3" s="703"/>
      <c r="E3" s="704"/>
    </row>
    <row r="4" spans="1:5" ht="19.5" customHeight="1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19.5" customHeight="1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33" si="0">((B5-INT(B5))*24)*D5</f>
        <v>1.4624999999999997</v>
      </c>
    </row>
    <row r="6" spans="1:5" ht="19.5" customHeight="1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19.5" customHeight="1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298">
        <f>A6+B6</f>
        <v>1.3888888888888888E-2</v>
      </c>
      <c r="B8" s="299">
        <v>1.0416666666666667E-3</v>
      </c>
      <c r="C8" s="299">
        <f>Allure85</f>
        <v>4.1782407407407402E-3</v>
      </c>
      <c r="D8" s="300">
        <f>Vitesse85</f>
        <v>9.9449999999999985</v>
      </c>
      <c r="E8" s="301">
        <f t="shared" si="0"/>
        <v>0.24862499999999998</v>
      </c>
    </row>
    <row r="9" spans="1:5" ht="19.5" customHeight="1" x14ac:dyDescent="0.4">
      <c r="A9" s="289">
        <f>A8+B8</f>
        <v>1.4930555555555555E-2</v>
      </c>
      <c r="B9" s="290">
        <v>5.2083333333333333E-4</v>
      </c>
      <c r="C9" s="290"/>
      <c r="D9" s="291"/>
      <c r="E9" s="362"/>
    </row>
    <row r="10" spans="1:5" ht="19.5" customHeight="1" x14ac:dyDescent="0.4">
      <c r="A10" s="283">
        <f t="shared" ref="A10:A31" si="1">A9+B9</f>
        <v>1.5451388888888888E-2</v>
      </c>
      <c r="B10" s="284">
        <v>1.0416666666666667E-3</v>
      </c>
      <c r="C10" s="284">
        <f>Allure85</f>
        <v>4.1782407407407402E-3</v>
      </c>
      <c r="D10" s="286">
        <f>Vitesse85</f>
        <v>9.9449999999999985</v>
      </c>
      <c r="E10" s="287">
        <f t="shared" si="0"/>
        <v>0.24862499999999998</v>
      </c>
    </row>
    <row r="11" spans="1:5" ht="19.5" customHeight="1" x14ac:dyDescent="0.4">
      <c r="A11" s="289">
        <f t="shared" si="1"/>
        <v>1.6493055555555556E-2</v>
      </c>
      <c r="B11" s="290">
        <v>5.2083333333333333E-4</v>
      </c>
      <c r="C11" s="290"/>
      <c r="D11" s="291"/>
      <c r="E11" s="362"/>
    </row>
    <row r="12" spans="1:5" ht="19.5" customHeight="1" x14ac:dyDescent="0.4">
      <c r="A12" s="283">
        <f t="shared" si="1"/>
        <v>1.7013888888888891E-2</v>
      </c>
      <c r="B12" s="284">
        <v>1.0416666666666667E-3</v>
      </c>
      <c r="C12" s="284">
        <f>Allure85</f>
        <v>4.1782407407407402E-3</v>
      </c>
      <c r="D12" s="286">
        <f>Vitesse85</f>
        <v>9.9449999999999985</v>
      </c>
      <c r="E12" s="287">
        <f t="shared" si="0"/>
        <v>0.24862499999999998</v>
      </c>
    </row>
    <row r="13" spans="1:5" ht="19.5" customHeight="1" thickBot="1" x14ac:dyDescent="0.45">
      <c r="A13" s="391">
        <f t="shared" si="1"/>
        <v>1.8055555555555557E-2</v>
      </c>
      <c r="B13" s="388">
        <v>1.3888888888888889E-3</v>
      </c>
      <c r="C13" s="388"/>
      <c r="D13" s="392"/>
      <c r="E13" s="377"/>
    </row>
    <row r="14" spans="1:5" ht="19.5" customHeight="1" x14ac:dyDescent="0.4">
      <c r="A14" s="298">
        <f t="shared" si="1"/>
        <v>1.9444444444444445E-2</v>
      </c>
      <c r="B14" s="299">
        <v>6.9444444444444447E-4</v>
      </c>
      <c r="C14" s="299">
        <f>Allure93</f>
        <v>3.8194444444444443E-3</v>
      </c>
      <c r="D14" s="300">
        <f>Vitesse93</f>
        <v>10.881</v>
      </c>
      <c r="E14" s="301">
        <f t="shared" si="0"/>
        <v>0.18135000000000001</v>
      </c>
    </row>
    <row r="15" spans="1:5" ht="19.5" customHeight="1" x14ac:dyDescent="0.4">
      <c r="A15" s="289">
        <f t="shared" si="1"/>
        <v>2.013888888888889E-2</v>
      </c>
      <c r="B15" s="290">
        <v>4.6296296296296293E-4</v>
      </c>
      <c r="C15" s="290"/>
      <c r="D15" s="291"/>
      <c r="E15" s="362"/>
    </row>
    <row r="16" spans="1:5" ht="19.5" customHeight="1" x14ac:dyDescent="0.4">
      <c r="A16" s="283">
        <f t="shared" si="1"/>
        <v>2.0601851851851854E-2</v>
      </c>
      <c r="B16" s="284">
        <v>6.9444444444444447E-4</v>
      </c>
      <c r="C16" s="284">
        <f>Allure93</f>
        <v>3.8194444444444443E-3</v>
      </c>
      <c r="D16" s="286">
        <f>Vitesse93</f>
        <v>10.881</v>
      </c>
      <c r="E16" s="287">
        <f t="shared" si="0"/>
        <v>0.18135000000000001</v>
      </c>
    </row>
    <row r="17" spans="1:5" ht="19.5" customHeight="1" x14ac:dyDescent="0.4">
      <c r="A17" s="289">
        <f t="shared" si="1"/>
        <v>2.1296296296296299E-2</v>
      </c>
      <c r="B17" s="290">
        <v>4.6296296296296293E-4</v>
      </c>
      <c r="C17" s="290"/>
      <c r="D17" s="291"/>
      <c r="E17" s="362"/>
    </row>
    <row r="18" spans="1:5" ht="19.5" customHeight="1" x14ac:dyDescent="0.4">
      <c r="A18" s="283">
        <f>A17+B17</f>
        <v>2.1759259259259263E-2</v>
      </c>
      <c r="B18" s="284">
        <v>6.9444444444444447E-4</v>
      </c>
      <c r="C18" s="284">
        <f>Allure93</f>
        <v>3.8194444444444443E-3</v>
      </c>
      <c r="D18" s="286">
        <f>Vitesse93</f>
        <v>10.881</v>
      </c>
      <c r="E18" s="287">
        <f t="shared" si="0"/>
        <v>0.18135000000000001</v>
      </c>
    </row>
    <row r="19" spans="1:5" ht="19.5" customHeight="1" x14ac:dyDescent="0.4">
      <c r="A19" s="340">
        <f t="shared" si="1"/>
        <v>2.2453703703703708E-2</v>
      </c>
      <c r="B19" s="290">
        <v>1.3888888888888889E-3</v>
      </c>
      <c r="C19" s="302"/>
      <c r="D19" s="304"/>
      <c r="E19" s="362"/>
    </row>
    <row r="20" spans="1:5" ht="19.5" customHeight="1" x14ac:dyDescent="0.4">
      <c r="A20" s="283">
        <f t="shared" si="1"/>
        <v>2.3842592592592596E-2</v>
      </c>
      <c r="B20" s="284">
        <v>5.2083333333333333E-4</v>
      </c>
      <c r="C20" s="284">
        <f>Allure93</f>
        <v>3.8194444444444443E-3</v>
      </c>
      <c r="D20" s="286">
        <f>Vitesse93</f>
        <v>10.881</v>
      </c>
      <c r="E20" s="287">
        <f t="shared" si="0"/>
        <v>0.13601250000000001</v>
      </c>
    </row>
    <row r="21" spans="1:5" ht="19.5" customHeight="1" x14ac:dyDescent="0.4">
      <c r="A21" s="340">
        <f t="shared" si="1"/>
        <v>2.4363425925925931E-2</v>
      </c>
      <c r="B21" s="290">
        <v>3.4722222222222224E-4</v>
      </c>
      <c r="C21" s="302"/>
      <c r="D21" s="304"/>
      <c r="E21" s="362"/>
    </row>
    <row r="22" spans="1:5" ht="19.5" customHeight="1" x14ac:dyDescent="0.4">
      <c r="A22" s="283">
        <f t="shared" si="1"/>
        <v>2.4710648148148152E-2</v>
      </c>
      <c r="B22" s="284">
        <v>5.2083333333333333E-4</v>
      </c>
      <c r="C22" s="284">
        <f>Allure93</f>
        <v>3.8194444444444443E-3</v>
      </c>
      <c r="D22" s="286">
        <f>Vitesse93</f>
        <v>10.881</v>
      </c>
      <c r="E22" s="287">
        <f t="shared" si="0"/>
        <v>0.13601250000000001</v>
      </c>
    </row>
    <row r="23" spans="1:5" ht="19.5" customHeight="1" x14ac:dyDescent="0.4">
      <c r="A23" s="340">
        <f t="shared" si="1"/>
        <v>2.5231481481481487E-2</v>
      </c>
      <c r="B23" s="290">
        <v>3.4722222222222224E-4</v>
      </c>
      <c r="C23" s="302"/>
      <c r="D23" s="304"/>
      <c r="E23" s="362"/>
    </row>
    <row r="24" spans="1:5" ht="19.5" customHeight="1" x14ac:dyDescent="0.4">
      <c r="A24" s="283">
        <f t="shared" si="1"/>
        <v>2.5578703703703708E-2</v>
      </c>
      <c r="B24" s="284">
        <v>5.2083333333333333E-4</v>
      </c>
      <c r="C24" s="284">
        <f>Allure93</f>
        <v>3.8194444444444443E-3</v>
      </c>
      <c r="D24" s="286">
        <f>Vitesse93</f>
        <v>10.881</v>
      </c>
      <c r="E24" s="287">
        <f t="shared" si="0"/>
        <v>0.13601250000000001</v>
      </c>
    </row>
    <row r="25" spans="1:5" ht="19.5" customHeight="1" thickBot="1" x14ac:dyDescent="0.45">
      <c r="A25" s="363">
        <f t="shared" si="1"/>
        <v>2.6099537037037043E-2</v>
      </c>
      <c r="B25" s="346">
        <v>1.3888888888888889E-3</v>
      </c>
      <c r="C25" s="306"/>
      <c r="D25" s="308"/>
      <c r="E25" s="364"/>
    </row>
    <row r="26" spans="1:5" ht="19.5" customHeight="1" x14ac:dyDescent="0.4">
      <c r="A26" s="333">
        <f t="shared" si="1"/>
        <v>2.748842592592593E-2</v>
      </c>
      <c r="B26" s="334">
        <v>2.3148148148148146E-4</v>
      </c>
      <c r="C26" s="334">
        <f>Allure105</f>
        <v>3.391203703703704E-3</v>
      </c>
      <c r="D26" s="335">
        <f>Vitesse105</f>
        <v>12.285</v>
      </c>
      <c r="E26" s="336">
        <f t="shared" si="0"/>
        <v>6.8249999999999991E-2</v>
      </c>
    </row>
    <row r="27" spans="1:5" ht="19.5" customHeight="1" x14ac:dyDescent="0.4">
      <c r="A27" s="340">
        <f t="shared" si="1"/>
        <v>2.7719907407407412E-2</v>
      </c>
      <c r="B27" s="290">
        <v>3.4722222222222224E-4</v>
      </c>
      <c r="C27" s="302"/>
      <c r="D27" s="304"/>
      <c r="E27" s="362"/>
    </row>
    <row r="28" spans="1:5" ht="19.5" customHeight="1" x14ac:dyDescent="0.4">
      <c r="A28" s="283">
        <f t="shared" si="1"/>
        <v>2.8067129629629633E-2</v>
      </c>
      <c r="B28" s="284">
        <v>2.3148148148148146E-4</v>
      </c>
      <c r="C28" s="284">
        <f>Allure105</f>
        <v>3.391203703703704E-3</v>
      </c>
      <c r="D28" s="286">
        <f>Vitesse105</f>
        <v>12.285</v>
      </c>
      <c r="E28" s="287">
        <f t="shared" si="0"/>
        <v>6.8249999999999991E-2</v>
      </c>
    </row>
    <row r="29" spans="1:5" ht="19.5" customHeight="1" x14ac:dyDescent="0.4">
      <c r="A29" s="340">
        <f t="shared" si="1"/>
        <v>2.8298611111111115E-2</v>
      </c>
      <c r="B29" s="290">
        <v>3.4722222222222224E-4</v>
      </c>
      <c r="C29" s="302"/>
      <c r="D29" s="304"/>
      <c r="E29" s="362"/>
    </row>
    <row r="30" spans="1:5" ht="19.5" customHeight="1" x14ac:dyDescent="0.4">
      <c r="A30" s="283">
        <f t="shared" si="1"/>
        <v>2.8645833333333336E-2</v>
      </c>
      <c r="B30" s="284">
        <v>2.3148148148148146E-4</v>
      </c>
      <c r="C30" s="284">
        <f>Allure105</f>
        <v>3.391203703703704E-3</v>
      </c>
      <c r="D30" s="286">
        <f>Vitesse105</f>
        <v>12.285</v>
      </c>
      <c r="E30" s="287">
        <f t="shared" si="0"/>
        <v>6.8249999999999991E-2</v>
      </c>
    </row>
    <row r="31" spans="1:5" ht="19.5" customHeight="1" thickBot="1" x14ac:dyDescent="0.45">
      <c r="A31" s="363">
        <f t="shared" si="1"/>
        <v>2.8877314814814817E-2</v>
      </c>
      <c r="B31" s="346">
        <v>1.3888888888888889E-3</v>
      </c>
      <c r="C31" s="306"/>
      <c r="D31" s="308"/>
      <c r="E31" s="364"/>
    </row>
    <row r="32" spans="1:5" ht="19.5" customHeight="1" thickBot="1" x14ac:dyDescent="0.45">
      <c r="A32" s="708" t="s">
        <v>13</v>
      </c>
      <c r="B32" s="709"/>
      <c r="C32" s="709"/>
      <c r="D32" s="709"/>
      <c r="E32" s="710"/>
    </row>
    <row r="33" spans="1:5" ht="19.5" customHeight="1" thickBot="1" x14ac:dyDescent="0.45">
      <c r="A33" s="248">
        <f>A31+B31</f>
        <v>3.0266203703703705E-2</v>
      </c>
      <c r="B33" s="240">
        <v>3.472222222222222E-3</v>
      </c>
      <c r="C33" s="240">
        <f>Allure73</f>
        <v>4.8726851851851856E-3</v>
      </c>
      <c r="D33" s="253">
        <f>Vitesse73</f>
        <v>8.5409999999999986</v>
      </c>
      <c r="E33" s="243">
        <f t="shared" si="0"/>
        <v>0.71174999999999988</v>
      </c>
    </row>
    <row r="34" spans="1:5" ht="19.5" customHeight="1" thickBot="1" x14ac:dyDescent="0.45">
      <c r="A34" s="337">
        <f>A33+B33</f>
        <v>3.3738425925925929E-2</v>
      </c>
      <c r="B34" s="338"/>
      <c r="C34" s="259"/>
      <c r="D34" s="339"/>
      <c r="E34" s="256">
        <f>SUM(E4+E5+E6+E8+E10+E12+E14+E16+E18+E20+E22+E24+E26+E26+E28+E30+E33)</f>
        <v>5.6077124999999981</v>
      </c>
    </row>
  </sheetData>
  <mergeCells count="5">
    <mergeCell ref="A1:E1"/>
    <mergeCell ref="A2:E2"/>
    <mergeCell ref="A3:E3"/>
    <mergeCell ref="A7:E7"/>
    <mergeCell ref="A32:E3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3C65AF"/>
    <pageSetUpPr fitToPage="1"/>
  </sheetPr>
  <dimension ref="A1:E39"/>
  <sheetViews>
    <sheetView showGridLines="0" workbookViewId="0">
      <selection sqref="A1:E1"/>
    </sheetView>
  </sheetViews>
  <sheetFormatPr baseColWidth="10" defaultRowHeight="18.75" x14ac:dyDescent="0.4"/>
  <cols>
    <col min="1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726" t="str">
        <f>'Programme entrainement run'!B44</f>
        <v>Travail VMA court (6"=diag+récup 133m + 75 m)</v>
      </c>
      <c r="B1" s="727"/>
      <c r="C1" s="727"/>
      <c r="D1" s="727"/>
      <c r="E1" s="728"/>
    </row>
    <row r="2" spans="1:5" ht="23.25" thickBot="1" x14ac:dyDescent="0.45">
      <c r="A2" s="696" t="str">
        <f>'Programme entrainement run'!C44</f>
        <v>Sem 13 - jour 5</v>
      </c>
      <c r="B2" s="697"/>
      <c r="C2" s="697"/>
      <c r="D2" s="697"/>
      <c r="E2" s="698"/>
    </row>
    <row r="3" spans="1:5" ht="23.25" thickBot="1" x14ac:dyDescent="0.45">
      <c r="A3" s="702" t="s">
        <v>11</v>
      </c>
      <c r="B3" s="703"/>
      <c r="C3" s="703"/>
      <c r="D3" s="703"/>
      <c r="E3" s="704"/>
    </row>
    <row r="4" spans="1:5" ht="23.25" thickBot="1" x14ac:dyDescent="0.45">
      <c r="A4" s="276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23.25" thickBot="1" x14ac:dyDescent="0.45">
      <c r="A5" s="24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38" si="0">((B5-INT(B5))*24)*D5</f>
        <v>1.4624999999999997</v>
      </c>
    </row>
    <row r="6" spans="1:5" ht="23.25" thickBot="1" x14ac:dyDescent="0.45">
      <c r="A6" s="266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23.25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298">
        <f>A6+B6</f>
        <v>1.3888888888888888E-2</v>
      </c>
      <c r="B8" s="299">
        <v>4.1666666666666666E-3</v>
      </c>
      <c r="C8" s="299">
        <f>Allure90</f>
        <v>3.9467592592592592E-3</v>
      </c>
      <c r="D8" s="300">
        <f>Vitesse90</f>
        <v>10.53</v>
      </c>
      <c r="E8" s="301">
        <f t="shared" si="0"/>
        <v>1.0529999999999999</v>
      </c>
    </row>
    <row r="9" spans="1:5" ht="19.5" customHeight="1" thickBot="1" x14ac:dyDescent="0.45">
      <c r="A9" s="391">
        <f>A8+B8</f>
        <v>1.8055555555555554E-2</v>
      </c>
      <c r="B9" s="388">
        <v>1.3888888888888889E-3</v>
      </c>
      <c r="C9" s="388"/>
      <c r="D9" s="392"/>
      <c r="E9" s="377"/>
    </row>
    <row r="10" spans="1:5" ht="19.5" customHeight="1" x14ac:dyDescent="0.4">
      <c r="A10" s="298">
        <f t="shared" ref="A10:A36" si="1">A9+B9</f>
        <v>1.9444444444444441E-2</v>
      </c>
      <c r="B10" s="299">
        <v>3.4722222222222224E-4</v>
      </c>
      <c r="C10" s="299">
        <f>Allure105</f>
        <v>3.391203703703704E-3</v>
      </c>
      <c r="D10" s="300">
        <f>Vitesse105</f>
        <v>12.285</v>
      </c>
      <c r="E10" s="301">
        <f t="shared" si="0"/>
        <v>0.10237499999999999</v>
      </c>
    </row>
    <row r="11" spans="1:5" ht="19.5" customHeight="1" x14ac:dyDescent="0.4">
      <c r="A11" s="289">
        <f t="shared" si="1"/>
        <v>1.9791666666666662E-2</v>
      </c>
      <c r="B11" s="290">
        <v>3.4722222222222224E-4</v>
      </c>
      <c r="C11" s="290"/>
      <c r="D11" s="291"/>
      <c r="E11" s="362"/>
    </row>
    <row r="12" spans="1:5" ht="19.5" customHeight="1" x14ac:dyDescent="0.4">
      <c r="A12" s="283">
        <f t="shared" si="1"/>
        <v>2.0138888888888883E-2</v>
      </c>
      <c r="B12" s="284">
        <v>3.4722222222222224E-4</v>
      </c>
      <c r="C12" s="284">
        <f>Allure105</f>
        <v>3.391203703703704E-3</v>
      </c>
      <c r="D12" s="286">
        <f>Vitesse105</f>
        <v>12.285</v>
      </c>
      <c r="E12" s="287">
        <f t="shared" si="0"/>
        <v>0.10237499999999999</v>
      </c>
    </row>
    <row r="13" spans="1:5" ht="19.5" customHeight="1" x14ac:dyDescent="0.4">
      <c r="A13" s="289">
        <f t="shared" si="1"/>
        <v>2.0486111111111104E-2</v>
      </c>
      <c r="B13" s="290">
        <v>3.4722222222222224E-4</v>
      </c>
      <c r="C13" s="290"/>
      <c r="D13" s="291"/>
      <c r="E13" s="362"/>
    </row>
    <row r="14" spans="1:5" ht="19.5" customHeight="1" x14ac:dyDescent="0.4">
      <c r="A14" s="283">
        <f t="shared" si="1"/>
        <v>2.0833333333333325E-2</v>
      </c>
      <c r="B14" s="284">
        <v>3.4722222222222224E-4</v>
      </c>
      <c r="C14" s="284">
        <f>Allure105</f>
        <v>3.391203703703704E-3</v>
      </c>
      <c r="D14" s="286">
        <f>Vitesse105</f>
        <v>12.285</v>
      </c>
      <c r="E14" s="287">
        <f t="shared" si="0"/>
        <v>0.10237499999999999</v>
      </c>
    </row>
    <row r="15" spans="1:5" ht="19.5" customHeight="1" x14ac:dyDescent="0.4">
      <c r="A15" s="289">
        <f t="shared" si="1"/>
        <v>2.1180555555555546E-2</v>
      </c>
      <c r="B15" s="290">
        <v>3.4722222222222224E-4</v>
      </c>
      <c r="C15" s="290"/>
      <c r="D15" s="291"/>
      <c r="E15" s="362"/>
    </row>
    <row r="16" spans="1:5" ht="19.5" customHeight="1" x14ac:dyDescent="0.4">
      <c r="A16" s="283">
        <f t="shared" si="1"/>
        <v>2.1527777777777767E-2</v>
      </c>
      <c r="B16" s="284">
        <v>3.4722222222222224E-4</v>
      </c>
      <c r="C16" s="284">
        <f>Allure105</f>
        <v>3.391203703703704E-3</v>
      </c>
      <c r="D16" s="286">
        <f>Vitesse105</f>
        <v>12.285</v>
      </c>
      <c r="E16" s="287">
        <f t="shared" si="0"/>
        <v>0.10237499999999999</v>
      </c>
    </row>
    <row r="17" spans="1:5" ht="19.5" customHeight="1" thickBot="1" x14ac:dyDescent="0.45">
      <c r="A17" s="391">
        <f t="shared" si="1"/>
        <v>2.1874999999999988E-2</v>
      </c>
      <c r="B17" s="388">
        <v>3.4722222222222224E-4</v>
      </c>
      <c r="C17" s="388"/>
      <c r="D17" s="392"/>
      <c r="E17" s="377"/>
    </row>
    <row r="18" spans="1:5" ht="19.5" customHeight="1" x14ac:dyDescent="0.4">
      <c r="A18" s="298">
        <f>A17+B17</f>
        <v>2.2222222222222209E-2</v>
      </c>
      <c r="B18" s="299">
        <v>6.9444444444444447E-4</v>
      </c>
      <c r="C18" s="299">
        <f>Allure95</f>
        <v>3.7384259259259263E-3</v>
      </c>
      <c r="D18" s="300">
        <f>Vitesse95</f>
        <v>11.114999999999998</v>
      </c>
      <c r="E18" s="301">
        <f t="shared" si="0"/>
        <v>0.18524999999999997</v>
      </c>
    </row>
    <row r="19" spans="1:5" ht="19.5" customHeight="1" x14ac:dyDescent="0.4">
      <c r="A19" s="340">
        <f t="shared" si="1"/>
        <v>2.2916666666666655E-2</v>
      </c>
      <c r="B19" s="290">
        <v>5.2083333333333333E-4</v>
      </c>
      <c r="C19" s="302"/>
      <c r="D19" s="304"/>
      <c r="E19" s="362"/>
    </row>
    <row r="20" spans="1:5" ht="19.5" customHeight="1" x14ac:dyDescent="0.4">
      <c r="A20" s="283">
        <f t="shared" si="1"/>
        <v>2.343749999999999E-2</v>
      </c>
      <c r="B20" s="284">
        <v>6.9444444444444447E-4</v>
      </c>
      <c r="C20" s="284">
        <f>Allure95</f>
        <v>3.7384259259259263E-3</v>
      </c>
      <c r="D20" s="286">
        <f>Vitesse95</f>
        <v>11.114999999999998</v>
      </c>
      <c r="E20" s="287">
        <f t="shared" si="0"/>
        <v>0.18524999999999997</v>
      </c>
    </row>
    <row r="21" spans="1:5" ht="19.5" customHeight="1" x14ac:dyDescent="0.4">
      <c r="A21" s="340">
        <f t="shared" si="1"/>
        <v>2.4131944444444435E-2</v>
      </c>
      <c r="B21" s="290">
        <v>5.2083333333333333E-4</v>
      </c>
      <c r="C21" s="302"/>
      <c r="D21" s="304"/>
      <c r="E21" s="362"/>
    </row>
    <row r="22" spans="1:5" ht="19.5" customHeight="1" x14ac:dyDescent="0.4">
      <c r="A22" s="283">
        <f t="shared" si="1"/>
        <v>2.465277777777777E-2</v>
      </c>
      <c r="B22" s="284">
        <v>6.9444444444444447E-4</v>
      </c>
      <c r="C22" s="284">
        <f>Allure95</f>
        <v>3.7384259259259263E-3</v>
      </c>
      <c r="D22" s="286">
        <f>Vitesse95</f>
        <v>11.114999999999998</v>
      </c>
      <c r="E22" s="287">
        <f t="shared" si="0"/>
        <v>0.18524999999999997</v>
      </c>
    </row>
    <row r="23" spans="1:5" ht="19.5" customHeight="1" x14ac:dyDescent="0.4">
      <c r="A23" s="340">
        <f t="shared" si="1"/>
        <v>2.5347222222222215E-2</v>
      </c>
      <c r="B23" s="290">
        <v>5.2083333333333333E-4</v>
      </c>
      <c r="C23" s="302"/>
      <c r="D23" s="304"/>
      <c r="E23" s="362"/>
    </row>
    <row r="24" spans="1:5" ht="19.5" customHeight="1" x14ac:dyDescent="0.4">
      <c r="A24" s="283">
        <f t="shared" si="1"/>
        <v>2.586805555555555E-2</v>
      </c>
      <c r="B24" s="284">
        <v>6.9444444444444447E-4</v>
      </c>
      <c r="C24" s="284">
        <f>Allure95</f>
        <v>3.7384259259259263E-3</v>
      </c>
      <c r="D24" s="286">
        <f>Vitesse95</f>
        <v>11.114999999999998</v>
      </c>
      <c r="E24" s="287">
        <f t="shared" si="0"/>
        <v>0.18524999999999997</v>
      </c>
    </row>
    <row r="25" spans="1:5" ht="19.5" customHeight="1" x14ac:dyDescent="0.4">
      <c r="A25" s="340">
        <f t="shared" si="1"/>
        <v>2.6562499999999996E-2</v>
      </c>
      <c r="B25" s="290">
        <v>5.2083333333333333E-4</v>
      </c>
      <c r="C25" s="302"/>
      <c r="D25" s="304"/>
      <c r="E25" s="362"/>
    </row>
    <row r="26" spans="1:5" ht="19.5" customHeight="1" x14ac:dyDescent="0.4">
      <c r="A26" s="283">
        <f t="shared" si="1"/>
        <v>2.7083333333333331E-2</v>
      </c>
      <c r="B26" s="284">
        <v>6.9444444444444447E-4</v>
      </c>
      <c r="C26" s="284">
        <f>Allure95</f>
        <v>3.7384259259259263E-3</v>
      </c>
      <c r="D26" s="286">
        <f>Vitesse95</f>
        <v>11.114999999999998</v>
      </c>
      <c r="E26" s="287">
        <f t="shared" si="0"/>
        <v>0.18524999999999997</v>
      </c>
    </row>
    <row r="27" spans="1:5" ht="19.5" customHeight="1" thickBot="1" x14ac:dyDescent="0.45">
      <c r="A27" s="365">
        <f t="shared" si="1"/>
        <v>2.7777777777777776E-2</v>
      </c>
      <c r="B27" s="388">
        <v>5.2083333333333333E-4</v>
      </c>
      <c r="C27" s="389"/>
      <c r="D27" s="390"/>
      <c r="E27" s="377"/>
    </row>
    <row r="28" spans="1:5" ht="19.5" customHeight="1" x14ac:dyDescent="0.4">
      <c r="A28" s="298">
        <f t="shared" si="1"/>
        <v>2.8298611111111111E-2</v>
      </c>
      <c r="B28" s="299">
        <v>3.4722222222222224E-4</v>
      </c>
      <c r="C28" s="299">
        <f>Allure105</f>
        <v>3.391203703703704E-3</v>
      </c>
      <c r="D28" s="300">
        <f>Vitesse105</f>
        <v>12.285</v>
      </c>
      <c r="E28" s="301">
        <f t="shared" si="0"/>
        <v>0.10237499999999999</v>
      </c>
    </row>
    <row r="29" spans="1:5" ht="19.5" customHeight="1" x14ac:dyDescent="0.4">
      <c r="A29" s="340">
        <f t="shared" si="1"/>
        <v>2.8645833333333332E-2</v>
      </c>
      <c r="B29" s="290">
        <v>3.4722222222222224E-4</v>
      </c>
      <c r="C29" s="302"/>
      <c r="D29" s="304"/>
      <c r="E29" s="362"/>
    </row>
    <row r="30" spans="1:5" ht="19.5" customHeight="1" x14ac:dyDescent="0.4">
      <c r="A30" s="283">
        <f t="shared" si="1"/>
        <v>2.8993055555555553E-2</v>
      </c>
      <c r="B30" s="284">
        <v>3.4722222222222224E-4</v>
      </c>
      <c r="C30" s="284">
        <f>Allure105</f>
        <v>3.391203703703704E-3</v>
      </c>
      <c r="D30" s="286">
        <f>Vitesse105</f>
        <v>12.285</v>
      </c>
      <c r="E30" s="287">
        <f t="shared" si="0"/>
        <v>0.10237499999999999</v>
      </c>
    </row>
    <row r="31" spans="1:5" ht="19.5" customHeight="1" x14ac:dyDescent="0.4">
      <c r="A31" s="340">
        <f t="shared" si="1"/>
        <v>2.9340277777777774E-2</v>
      </c>
      <c r="B31" s="290">
        <v>3.4722222222222224E-4</v>
      </c>
      <c r="C31" s="302"/>
      <c r="D31" s="304"/>
      <c r="E31" s="362"/>
    </row>
    <row r="32" spans="1:5" ht="19.5" customHeight="1" x14ac:dyDescent="0.4">
      <c r="A32" s="283">
        <f t="shared" si="1"/>
        <v>2.9687499999999995E-2</v>
      </c>
      <c r="B32" s="284">
        <v>3.4722222222222224E-4</v>
      </c>
      <c r="C32" s="284">
        <f>Allure105</f>
        <v>3.391203703703704E-3</v>
      </c>
      <c r="D32" s="286">
        <f>Vitesse105</f>
        <v>12.285</v>
      </c>
      <c r="E32" s="287">
        <f t="shared" si="0"/>
        <v>0.10237499999999999</v>
      </c>
    </row>
    <row r="33" spans="1:5" ht="19.5" customHeight="1" x14ac:dyDescent="0.4">
      <c r="A33" s="340">
        <f t="shared" si="1"/>
        <v>3.0034722222222216E-2</v>
      </c>
      <c r="B33" s="290">
        <v>3.4722222222222224E-4</v>
      </c>
      <c r="C33" s="302"/>
      <c r="D33" s="304"/>
      <c r="E33" s="362"/>
    </row>
    <row r="34" spans="1:5" ht="19.5" customHeight="1" x14ac:dyDescent="0.4">
      <c r="A34" s="283">
        <f t="shared" si="1"/>
        <v>3.0381944444444437E-2</v>
      </c>
      <c r="B34" s="284">
        <v>3.4722222222222224E-4</v>
      </c>
      <c r="C34" s="284">
        <f>Allure105</f>
        <v>3.391203703703704E-3</v>
      </c>
      <c r="D34" s="286">
        <f>Vitesse105</f>
        <v>12.285</v>
      </c>
      <c r="E34" s="287">
        <f t="shared" si="0"/>
        <v>0.10237499999999999</v>
      </c>
    </row>
    <row r="35" spans="1:5" ht="19.5" customHeight="1" thickBot="1" x14ac:dyDescent="0.45">
      <c r="A35" s="363">
        <f t="shared" si="1"/>
        <v>3.0729166666666658E-2</v>
      </c>
      <c r="B35" s="346">
        <v>1.3888888888888889E-3</v>
      </c>
      <c r="C35" s="306"/>
      <c r="D35" s="308"/>
      <c r="E35" s="364"/>
    </row>
    <row r="36" spans="1:5" ht="19.5" customHeight="1" thickBot="1" x14ac:dyDescent="0.45">
      <c r="A36" s="313">
        <f t="shared" si="1"/>
        <v>3.2118055555555546E-2</v>
      </c>
      <c r="B36" s="314">
        <v>4.1666666666666666E-3</v>
      </c>
      <c r="C36" s="314">
        <f>Allure90</f>
        <v>3.9467592592592592E-3</v>
      </c>
      <c r="D36" s="316">
        <f>Vitesse90</f>
        <v>10.53</v>
      </c>
      <c r="E36" s="317">
        <f t="shared" si="0"/>
        <v>1.0529999999999999</v>
      </c>
    </row>
    <row r="37" spans="1:5" ht="19.5" customHeight="1" thickBot="1" x14ac:dyDescent="0.45">
      <c r="A37" s="699" t="s">
        <v>13</v>
      </c>
      <c r="B37" s="700"/>
      <c r="C37" s="700"/>
      <c r="D37" s="700"/>
      <c r="E37" s="701"/>
    </row>
    <row r="38" spans="1:5" ht="19.5" customHeight="1" thickBot="1" x14ac:dyDescent="0.45">
      <c r="A38" s="248">
        <f>A36+B36</f>
        <v>3.6284722222222211E-2</v>
      </c>
      <c r="B38" s="240">
        <v>3.472222222222222E-3</v>
      </c>
      <c r="C38" s="240">
        <f>Allure73</f>
        <v>4.8726851851851856E-3</v>
      </c>
      <c r="D38" s="253">
        <f>Vitesse73</f>
        <v>8.5409999999999986</v>
      </c>
      <c r="E38" s="243">
        <f t="shared" si="0"/>
        <v>0.71174999999999988</v>
      </c>
    </row>
    <row r="39" spans="1:5" ht="19.5" customHeight="1" thickBot="1" x14ac:dyDescent="0.45">
      <c r="A39" s="337">
        <f>A38+B38</f>
        <v>3.9756944444444435E-2</v>
      </c>
      <c r="B39" s="338"/>
      <c r="C39" s="259"/>
      <c r="D39" s="339"/>
      <c r="E39" s="256">
        <f>SUM(E4+E5+E6+E8+E10+E12+E14+E16+E18+E20+E22+E24+E26+E26+E28+E30+E32+E34+E36+E38)</f>
        <v>7.6732500000000012</v>
      </c>
    </row>
  </sheetData>
  <mergeCells count="5">
    <mergeCell ref="A1:E1"/>
    <mergeCell ref="A2:E2"/>
    <mergeCell ref="A3:E3"/>
    <mergeCell ref="A7:E7"/>
    <mergeCell ref="A37:E3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3C65AF"/>
    <pageSetUpPr fitToPage="1"/>
  </sheetPr>
  <dimension ref="A1:E64"/>
  <sheetViews>
    <sheetView showGridLines="0" workbookViewId="0">
      <selection sqref="A1:E1"/>
    </sheetView>
  </sheetViews>
  <sheetFormatPr baseColWidth="10" defaultRowHeight="18.75" x14ac:dyDescent="0.4"/>
  <cols>
    <col min="1" max="1" width="15.7109375" style="406" customWidth="1"/>
    <col min="2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run'!B45</f>
        <v>Travail VMA court</v>
      </c>
      <c r="B1" s="694"/>
      <c r="C1" s="694"/>
      <c r="D1" s="694"/>
      <c r="E1" s="695"/>
    </row>
    <row r="2" spans="1:5" ht="19.5" customHeight="1" thickBot="1" x14ac:dyDescent="0.45">
      <c r="A2" s="696" t="str">
        <f>'Programme entrainement run'!C45</f>
        <v>Sem 14 - jour 1</v>
      </c>
      <c r="B2" s="697"/>
      <c r="C2" s="697"/>
      <c r="D2" s="697"/>
      <c r="E2" s="698"/>
    </row>
    <row r="3" spans="1:5" ht="19.5" customHeight="1" thickBot="1" x14ac:dyDescent="0.45">
      <c r="A3" s="702" t="s">
        <v>11</v>
      </c>
      <c r="B3" s="703"/>
      <c r="C3" s="703"/>
      <c r="D3" s="703"/>
      <c r="E3" s="704"/>
    </row>
    <row r="4" spans="1:5" ht="19.5" customHeight="1" thickBot="1" x14ac:dyDescent="0.45">
      <c r="A4" s="393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19.5" customHeight="1" thickBot="1" x14ac:dyDescent="0.45">
      <c r="A5" s="39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63" si="0">((B5-INT(B5))*24)*D5</f>
        <v>1.4624999999999997</v>
      </c>
    </row>
    <row r="6" spans="1:5" ht="19.5" customHeight="1" thickBot="1" x14ac:dyDescent="0.45">
      <c r="A6" s="395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19.5" customHeight="1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396">
        <f>A6+B6</f>
        <v>1.3888888888888888E-2</v>
      </c>
      <c r="B8" s="299">
        <v>2.3148148148148146E-4</v>
      </c>
      <c r="C8" s="299">
        <f>Allure105</f>
        <v>3.391203703703704E-3</v>
      </c>
      <c r="D8" s="300">
        <f>Vitesse105</f>
        <v>12.285</v>
      </c>
      <c r="E8" s="301">
        <f t="shared" si="0"/>
        <v>6.8249999999999991E-2</v>
      </c>
    </row>
    <row r="9" spans="1:5" ht="19.5" customHeight="1" x14ac:dyDescent="0.4">
      <c r="A9" s="397">
        <f>A8+B8</f>
        <v>1.412037037037037E-2</v>
      </c>
      <c r="B9" s="290">
        <v>2.3148148148148146E-4</v>
      </c>
      <c r="C9" s="290"/>
      <c r="D9" s="291"/>
      <c r="E9" s="362"/>
    </row>
    <row r="10" spans="1:5" ht="19.5" customHeight="1" x14ac:dyDescent="0.4">
      <c r="A10" s="398">
        <f t="shared" ref="A10:A61" si="1">A9+B9</f>
        <v>1.4351851851851852E-2</v>
      </c>
      <c r="B10" s="284">
        <v>2.3148148148148146E-4</v>
      </c>
      <c r="C10" s="284">
        <f>Allure105</f>
        <v>3.391203703703704E-3</v>
      </c>
      <c r="D10" s="286">
        <f>Vitesse105</f>
        <v>12.285</v>
      </c>
      <c r="E10" s="287">
        <f t="shared" si="0"/>
        <v>6.8249999999999991E-2</v>
      </c>
    </row>
    <row r="11" spans="1:5" ht="19.5" customHeight="1" x14ac:dyDescent="0.4">
      <c r="A11" s="397">
        <f t="shared" si="1"/>
        <v>1.4583333333333334E-2</v>
      </c>
      <c r="B11" s="290">
        <v>2.3148148148148146E-4</v>
      </c>
      <c r="C11" s="290"/>
      <c r="D11" s="291"/>
      <c r="E11" s="362"/>
    </row>
    <row r="12" spans="1:5" ht="19.5" customHeight="1" x14ac:dyDescent="0.4">
      <c r="A12" s="398">
        <f t="shared" si="1"/>
        <v>1.4814814814814815E-2</v>
      </c>
      <c r="B12" s="284">
        <v>2.3148148148148146E-4</v>
      </c>
      <c r="C12" s="284">
        <f>Allure105</f>
        <v>3.391203703703704E-3</v>
      </c>
      <c r="D12" s="286">
        <f>Vitesse105</f>
        <v>12.285</v>
      </c>
      <c r="E12" s="287">
        <f t="shared" si="0"/>
        <v>6.8249999999999991E-2</v>
      </c>
    </row>
    <row r="13" spans="1:5" ht="19.5" customHeight="1" x14ac:dyDescent="0.4">
      <c r="A13" s="397">
        <f t="shared" si="1"/>
        <v>1.5046296296296297E-2</v>
      </c>
      <c r="B13" s="290">
        <v>2.3148148148148146E-4</v>
      </c>
      <c r="C13" s="290"/>
      <c r="D13" s="291"/>
      <c r="E13" s="362"/>
    </row>
    <row r="14" spans="1:5" ht="19.5" customHeight="1" x14ac:dyDescent="0.4">
      <c r="A14" s="398">
        <f t="shared" si="1"/>
        <v>1.5277777777777779E-2</v>
      </c>
      <c r="B14" s="284">
        <v>2.3148148148148146E-4</v>
      </c>
      <c r="C14" s="284">
        <f>Allure105</f>
        <v>3.391203703703704E-3</v>
      </c>
      <c r="D14" s="286">
        <f>Vitesse105</f>
        <v>12.285</v>
      </c>
      <c r="E14" s="287">
        <f t="shared" si="0"/>
        <v>6.8249999999999991E-2</v>
      </c>
    </row>
    <row r="15" spans="1:5" ht="19.5" customHeight="1" x14ac:dyDescent="0.4">
      <c r="A15" s="397">
        <f t="shared" si="1"/>
        <v>1.5509259259259261E-2</v>
      </c>
      <c r="B15" s="290">
        <v>2.3148148148148146E-4</v>
      </c>
      <c r="C15" s="290"/>
      <c r="D15" s="291"/>
      <c r="E15" s="362"/>
    </row>
    <row r="16" spans="1:5" ht="19.5" customHeight="1" x14ac:dyDescent="0.4">
      <c r="A16" s="398">
        <f t="shared" si="1"/>
        <v>1.5740740740740743E-2</v>
      </c>
      <c r="B16" s="284">
        <v>2.3148148148148146E-4</v>
      </c>
      <c r="C16" s="284">
        <f>Allure105</f>
        <v>3.391203703703704E-3</v>
      </c>
      <c r="D16" s="286">
        <f>Vitesse105</f>
        <v>12.285</v>
      </c>
      <c r="E16" s="287">
        <f t="shared" si="0"/>
        <v>6.8249999999999991E-2</v>
      </c>
    </row>
    <row r="17" spans="1:5" ht="19.5" customHeight="1" x14ac:dyDescent="0.4">
      <c r="A17" s="397">
        <f t="shared" si="1"/>
        <v>1.5972222222222224E-2</v>
      </c>
      <c r="B17" s="290">
        <v>2.3148148148148146E-4</v>
      </c>
      <c r="C17" s="290"/>
      <c r="D17" s="291"/>
      <c r="E17" s="362"/>
    </row>
    <row r="18" spans="1:5" ht="19.5" customHeight="1" x14ac:dyDescent="0.4">
      <c r="A18" s="398">
        <f>A17+B17</f>
        <v>1.6203703703703706E-2</v>
      </c>
      <c r="B18" s="284">
        <v>2.3148148148148146E-4</v>
      </c>
      <c r="C18" s="284">
        <f>Allure105</f>
        <v>3.391203703703704E-3</v>
      </c>
      <c r="D18" s="286">
        <f>Vitesse105</f>
        <v>12.285</v>
      </c>
      <c r="E18" s="287">
        <f t="shared" si="0"/>
        <v>6.8249999999999991E-2</v>
      </c>
    </row>
    <row r="19" spans="1:5" ht="19.5" customHeight="1" x14ac:dyDescent="0.4">
      <c r="A19" s="399">
        <f t="shared" si="1"/>
        <v>1.6435185185185188E-2</v>
      </c>
      <c r="B19" s="290">
        <v>2.3148148148148146E-4</v>
      </c>
      <c r="C19" s="302"/>
      <c r="D19" s="304"/>
      <c r="E19" s="362"/>
    </row>
    <row r="20" spans="1:5" ht="19.5" customHeight="1" x14ac:dyDescent="0.4">
      <c r="A20" s="398">
        <f t="shared" si="1"/>
        <v>1.666666666666667E-2</v>
      </c>
      <c r="B20" s="284">
        <v>2.3148148148148146E-4</v>
      </c>
      <c r="C20" s="284">
        <f>Allure105</f>
        <v>3.391203703703704E-3</v>
      </c>
      <c r="D20" s="286">
        <f>Vitesse105</f>
        <v>12.285</v>
      </c>
      <c r="E20" s="287">
        <f t="shared" si="0"/>
        <v>6.8249999999999991E-2</v>
      </c>
    </row>
    <row r="21" spans="1:5" ht="19.5" customHeight="1" x14ac:dyDescent="0.4">
      <c r="A21" s="399">
        <f t="shared" si="1"/>
        <v>1.6898148148148152E-2</v>
      </c>
      <c r="B21" s="290">
        <v>2.3148148148148146E-4</v>
      </c>
      <c r="C21" s="302"/>
      <c r="D21" s="304"/>
      <c r="E21" s="362"/>
    </row>
    <row r="22" spans="1:5" ht="19.5" customHeight="1" x14ac:dyDescent="0.4">
      <c r="A22" s="398">
        <f t="shared" si="1"/>
        <v>1.7129629629629634E-2</v>
      </c>
      <c r="B22" s="284">
        <v>2.3148148148148146E-4</v>
      </c>
      <c r="C22" s="284">
        <f>Allure105</f>
        <v>3.391203703703704E-3</v>
      </c>
      <c r="D22" s="286">
        <f>Vitesse105</f>
        <v>12.285</v>
      </c>
      <c r="E22" s="287">
        <f t="shared" si="0"/>
        <v>6.8249999999999991E-2</v>
      </c>
    </row>
    <row r="23" spans="1:5" ht="19.5" customHeight="1" x14ac:dyDescent="0.4">
      <c r="A23" s="399">
        <f t="shared" si="1"/>
        <v>1.7361111111111115E-2</v>
      </c>
      <c r="B23" s="290">
        <v>2.3148148148148146E-4</v>
      </c>
      <c r="C23" s="302"/>
      <c r="D23" s="304"/>
      <c r="E23" s="362"/>
    </row>
    <row r="24" spans="1:5" ht="19.5" customHeight="1" x14ac:dyDescent="0.4">
      <c r="A24" s="398">
        <f t="shared" si="1"/>
        <v>1.7592592592592597E-2</v>
      </c>
      <c r="B24" s="284">
        <v>2.3148148148148146E-4</v>
      </c>
      <c r="C24" s="284">
        <f>Allure105</f>
        <v>3.391203703703704E-3</v>
      </c>
      <c r="D24" s="286">
        <f>Vitesse105</f>
        <v>12.285</v>
      </c>
      <c r="E24" s="287">
        <f t="shared" si="0"/>
        <v>6.8249999999999991E-2</v>
      </c>
    </row>
    <row r="25" spans="1:5" ht="19.5" customHeight="1" x14ac:dyDescent="0.4">
      <c r="A25" s="399">
        <f t="shared" si="1"/>
        <v>1.7824074074074079E-2</v>
      </c>
      <c r="B25" s="290">
        <v>2.3148148148148146E-4</v>
      </c>
      <c r="C25" s="302"/>
      <c r="D25" s="304"/>
      <c r="E25" s="362"/>
    </row>
    <row r="26" spans="1:5" ht="19.5" customHeight="1" x14ac:dyDescent="0.4">
      <c r="A26" s="398">
        <f t="shared" si="1"/>
        <v>1.8055555555555561E-2</v>
      </c>
      <c r="B26" s="284">
        <v>2.3148148148148146E-4</v>
      </c>
      <c r="C26" s="284">
        <f>Allure105</f>
        <v>3.391203703703704E-3</v>
      </c>
      <c r="D26" s="286">
        <f>Vitesse105</f>
        <v>12.285</v>
      </c>
      <c r="E26" s="287">
        <f t="shared" si="0"/>
        <v>6.8249999999999991E-2</v>
      </c>
    </row>
    <row r="27" spans="1:5" ht="19.5" customHeight="1" x14ac:dyDescent="0.4">
      <c r="A27" s="399">
        <f t="shared" si="1"/>
        <v>1.8287037037037043E-2</v>
      </c>
      <c r="B27" s="290">
        <v>2.3148148148148146E-4</v>
      </c>
      <c r="C27" s="302"/>
      <c r="D27" s="304"/>
      <c r="E27" s="362"/>
    </row>
    <row r="28" spans="1:5" ht="19.5" customHeight="1" x14ac:dyDescent="0.4">
      <c r="A28" s="398">
        <f t="shared" si="1"/>
        <v>1.8518518518518524E-2</v>
      </c>
      <c r="B28" s="284">
        <v>2.3148148148148146E-4</v>
      </c>
      <c r="C28" s="284">
        <f>Allure105</f>
        <v>3.391203703703704E-3</v>
      </c>
      <c r="D28" s="286">
        <f>Vitesse105</f>
        <v>12.285</v>
      </c>
      <c r="E28" s="287">
        <f t="shared" si="0"/>
        <v>6.8249999999999991E-2</v>
      </c>
    </row>
    <row r="29" spans="1:5" ht="19.5" customHeight="1" x14ac:dyDescent="0.4">
      <c r="A29" s="399">
        <f t="shared" si="1"/>
        <v>1.8750000000000006E-2</v>
      </c>
      <c r="B29" s="290">
        <v>2.3148148148148146E-4</v>
      </c>
      <c r="C29" s="302"/>
      <c r="D29" s="304"/>
      <c r="E29" s="362"/>
    </row>
    <row r="30" spans="1:5" ht="19.5" customHeight="1" x14ac:dyDescent="0.4">
      <c r="A30" s="398">
        <f t="shared" si="1"/>
        <v>1.8981481481481488E-2</v>
      </c>
      <c r="B30" s="284">
        <v>2.3148148148148146E-4</v>
      </c>
      <c r="C30" s="284">
        <f>Allure105</f>
        <v>3.391203703703704E-3</v>
      </c>
      <c r="D30" s="286">
        <f>Vitesse105</f>
        <v>12.285</v>
      </c>
      <c r="E30" s="287">
        <f t="shared" si="0"/>
        <v>6.8249999999999991E-2</v>
      </c>
    </row>
    <row r="31" spans="1:5" ht="19.5" customHeight="1" thickBot="1" x14ac:dyDescent="0.45">
      <c r="A31" s="400">
        <f t="shared" si="1"/>
        <v>1.921296296296297E-2</v>
      </c>
      <c r="B31" s="388">
        <v>2.0833333333333333E-3</v>
      </c>
      <c r="C31" s="389"/>
      <c r="D31" s="390"/>
      <c r="E31" s="377"/>
    </row>
    <row r="32" spans="1:5" ht="19.5" customHeight="1" x14ac:dyDescent="0.4">
      <c r="A32" s="396">
        <f t="shared" si="1"/>
        <v>2.1296296296296303E-2</v>
      </c>
      <c r="B32" s="299">
        <f>'Chronos - VMA'!I29</f>
        <v>4.1782407407407402E-3</v>
      </c>
      <c r="C32" s="299">
        <f>Allure85</f>
        <v>4.1782407407407402E-3</v>
      </c>
      <c r="D32" s="300">
        <f>Vitesse85</f>
        <v>9.9449999999999985</v>
      </c>
      <c r="E32" s="301">
        <f t="shared" si="0"/>
        <v>0.99726249999999983</v>
      </c>
    </row>
    <row r="33" spans="1:5" ht="19.5" customHeight="1" x14ac:dyDescent="0.4">
      <c r="A33" s="399">
        <f t="shared" si="1"/>
        <v>2.5474537037037042E-2</v>
      </c>
      <c r="B33" s="290">
        <v>1.0416666666666667E-3</v>
      </c>
      <c r="C33" s="302"/>
      <c r="D33" s="304"/>
      <c r="E33" s="362"/>
    </row>
    <row r="34" spans="1:5" ht="19.5" customHeight="1" x14ac:dyDescent="0.4">
      <c r="A34" s="398">
        <f t="shared" si="1"/>
        <v>2.6516203703703708E-2</v>
      </c>
      <c r="B34" s="284">
        <f>'Chronos - VMA'!I29</f>
        <v>4.1782407407407402E-3</v>
      </c>
      <c r="C34" s="284">
        <f>Allure85</f>
        <v>4.1782407407407402E-3</v>
      </c>
      <c r="D34" s="286">
        <f>Vitesse85</f>
        <v>9.9449999999999985</v>
      </c>
      <c r="E34" s="287">
        <f t="shared" si="0"/>
        <v>0.99726249999999983</v>
      </c>
    </row>
    <row r="35" spans="1:5" ht="19.5" customHeight="1" x14ac:dyDescent="0.4">
      <c r="A35" s="399">
        <f t="shared" si="1"/>
        <v>3.0694444444444448E-2</v>
      </c>
      <c r="B35" s="290">
        <v>1.0416666666666667E-3</v>
      </c>
      <c r="C35" s="302"/>
      <c r="D35" s="304"/>
      <c r="E35" s="362"/>
    </row>
    <row r="36" spans="1:5" ht="19.5" customHeight="1" x14ac:dyDescent="0.4">
      <c r="A36" s="398">
        <f t="shared" si="1"/>
        <v>3.1736111111111118E-2</v>
      </c>
      <c r="B36" s="284">
        <f>'Chronos - VMA'!I29</f>
        <v>4.1782407407407402E-3</v>
      </c>
      <c r="C36" s="284">
        <f>Allure85</f>
        <v>4.1782407407407402E-3</v>
      </c>
      <c r="D36" s="286">
        <f>Vitesse85</f>
        <v>9.9449999999999985</v>
      </c>
      <c r="E36" s="287">
        <f t="shared" si="0"/>
        <v>0.99726249999999983</v>
      </c>
    </row>
    <row r="37" spans="1:5" ht="19.5" customHeight="1" thickBot="1" x14ac:dyDescent="0.45">
      <c r="A37" s="401">
        <f t="shared" si="1"/>
        <v>3.5914351851851857E-2</v>
      </c>
      <c r="B37" s="346">
        <v>1.0416666666666667E-3</v>
      </c>
      <c r="C37" s="306"/>
      <c r="D37" s="308"/>
      <c r="E37" s="364"/>
    </row>
    <row r="38" spans="1:5" ht="19.5" customHeight="1" x14ac:dyDescent="0.4">
      <c r="A38" s="402">
        <f t="shared" si="1"/>
        <v>3.6956018518518527E-2</v>
      </c>
      <c r="B38" s="299">
        <v>2.3148148148148146E-4</v>
      </c>
      <c r="C38" s="299">
        <f>Allure105</f>
        <v>3.391203703703704E-3</v>
      </c>
      <c r="D38" s="300">
        <f>Vitesse105</f>
        <v>12.285</v>
      </c>
      <c r="E38" s="301">
        <f t="shared" si="0"/>
        <v>6.8249999999999991E-2</v>
      </c>
    </row>
    <row r="39" spans="1:5" ht="19.5" customHeight="1" x14ac:dyDescent="0.4">
      <c r="A39" s="400">
        <f t="shared" si="1"/>
        <v>3.7187500000000005E-2</v>
      </c>
      <c r="B39" s="290">
        <v>2.3148148148148146E-4</v>
      </c>
      <c r="C39" s="302"/>
      <c r="D39" s="304"/>
      <c r="E39" s="362"/>
    </row>
    <row r="40" spans="1:5" ht="19.5" customHeight="1" x14ac:dyDescent="0.4">
      <c r="A40" s="403">
        <f t="shared" si="1"/>
        <v>3.7418981481481484E-2</v>
      </c>
      <c r="B40" s="284">
        <v>2.3148148148148146E-4</v>
      </c>
      <c r="C40" s="284">
        <f>Allure105</f>
        <v>3.391203703703704E-3</v>
      </c>
      <c r="D40" s="286">
        <f>Vitesse105</f>
        <v>12.285</v>
      </c>
      <c r="E40" s="287">
        <f t="shared" si="0"/>
        <v>6.8249999999999991E-2</v>
      </c>
    </row>
    <row r="41" spans="1:5" ht="19.5" customHeight="1" x14ac:dyDescent="0.4">
      <c r="A41" s="400">
        <f t="shared" si="1"/>
        <v>3.7650462962962962E-2</v>
      </c>
      <c r="B41" s="290">
        <v>2.3148148148148146E-4</v>
      </c>
      <c r="C41" s="302"/>
      <c r="D41" s="304"/>
      <c r="E41" s="362"/>
    </row>
    <row r="42" spans="1:5" ht="19.5" customHeight="1" x14ac:dyDescent="0.4">
      <c r="A42" s="403">
        <f t="shared" si="1"/>
        <v>3.788194444444444E-2</v>
      </c>
      <c r="B42" s="284">
        <v>2.3148148148148146E-4</v>
      </c>
      <c r="C42" s="284">
        <f>Allure105</f>
        <v>3.391203703703704E-3</v>
      </c>
      <c r="D42" s="286">
        <f>Vitesse105</f>
        <v>12.285</v>
      </c>
      <c r="E42" s="287">
        <f t="shared" si="0"/>
        <v>6.8249999999999991E-2</v>
      </c>
    </row>
    <row r="43" spans="1:5" ht="19.5" customHeight="1" x14ac:dyDescent="0.4">
      <c r="A43" s="400">
        <f t="shared" si="1"/>
        <v>3.8113425925925919E-2</v>
      </c>
      <c r="B43" s="290">
        <v>2.3148148148148146E-4</v>
      </c>
      <c r="C43" s="302"/>
      <c r="D43" s="304"/>
      <c r="E43" s="362"/>
    </row>
    <row r="44" spans="1:5" ht="19.5" customHeight="1" x14ac:dyDescent="0.4">
      <c r="A44" s="403">
        <f t="shared" si="1"/>
        <v>3.8344907407407397E-2</v>
      </c>
      <c r="B44" s="284">
        <v>2.3148148148148146E-4</v>
      </c>
      <c r="C44" s="284">
        <f>Allure105</f>
        <v>3.391203703703704E-3</v>
      </c>
      <c r="D44" s="286">
        <f>Vitesse105</f>
        <v>12.285</v>
      </c>
      <c r="E44" s="287">
        <f t="shared" si="0"/>
        <v>6.8249999999999991E-2</v>
      </c>
    </row>
    <row r="45" spans="1:5" ht="19.5" customHeight="1" x14ac:dyDescent="0.4">
      <c r="A45" s="400">
        <f t="shared" si="1"/>
        <v>3.8576388888888875E-2</v>
      </c>
      <c r="B45" s="290">
        <v>2.3148148148148146E-4</v>
      </c>
      <c r="C45" s="302"/>
      <c r="D45" s="304"/>
      <c r="E45" s="362"/>
    </row>
    <row r="46" spans="1:5" ht="19.5" customHeight="1" x14ac:dyDescent="0.4">
      <c r="A46" s="403">
        <f t="shared" si="1"/>
        <v>3.8807870370370354E-2</v>
      </c>
      <c r="B46" s="284">
        <v>2.3148148148148146E-4</v>
      </c>
      <c r="C46" s="284">
        <f>Allure105</f>
        <v>3.391203703703704E-3</v>
      </c>
      <c r="D46" s="286">
        <f>Vitesse105</f>
        <v>12.285</v>
      </c>
      <c r="E46" s="287">
        <f t="shared" si="0"/>
        <v>6.8249999999999991E-2</v>
      </c>
    </row>
    <row r="47" spans="1:5" ht="19.5" customHeight="1" x14ac:dyDescent="0.4">
      <c r="A47" s="400">
        <f t="shared" si="1"/>
        <v>3.9039351851851832E-2</v>
      </c>
      <c r="B47" s="290">
        <v>2.3148148148148146E-4</v>
      </c>
      <c r="C47" s="302"/>
      <c r="D47" s="304"/>
      <c r="E47" s="362"/>
    </row>
    <row r="48" spans="1:5" ht="19.5" customHeight="1" x14ac:dyDescent="0.4">
      <c r="A48" s="403">
        <f t="shared" si="1"/>
        <v>3.927083333333331E-2</v>
      </c>
      <c r="B48" s="284">
        <v>2.3148148148148146E-4</v>
      </c>
      <c r="C48" s="284">
        <f>Allure105</f>
        <v>3.391203703703704E-3</v>
      </c>
      <c r="D48" s="286">
        <f>Vitesse105</f>
        <v>12.285</v>
      </c>
      <c r="E48" s="287">
        <f t="shared" si="0"/>
        <v>6.8249999999999991E-2</v>
      </c>
    </row>
    <row r="49" spans="1:5" ht="19.5" customHeight="1" x14ac:dyDescent="0.4">
      <c r="A49" s="400">
        <f t="shared" si="1"/>
        <v>3.9502314814814789E-2</v>
      </c>
      <c r="B49" s="290">
        <v>2.3148148148148146E-4</v>
      </c>
      <c r="C49" s="302"/>
      <c r="D49" s="304"/>
      <c r="E49" s="362"/>
    </row>
    <row r="50" spans="1:5" ht="19.5" customHeight="1" x14ac:dyDescent="0.4">
      <c r="A50" s="403">
        <f t="shared" si="1"/>
        <v>3.9733796296296267E-2</v>
      </c>
      <c r="B50" s="284">
        <v>2.3148148148148146E-4</v>
      </c>
      <c r="C50" s="284">
        <f>Allure105</f>
        <v>3.391203703703704E-3</v>
      </c>
      <c r="D50" s="286">
        <f>Vitesse105</f>
        <v>12.285</v>
      </c>
      <c r="E50" s="287">
        <f t="shared" si="0"/>
        <v>6.8249999999999991E-2</v>
      </c>
    </row>
    <row r="51" spans="1:5" ht="19.5" customHeight="1" x14ac:dyDescent="0.4">
      <c r="A51" s="400">
        <f t="shared" si="1"/>
        <v>3.9965277777777745E-2</v>
      </c>
      <c r="B51" s="290">
        <v>2.3148148148148146E-4</v>
      </c>
      <c r="C51" s="302"/>
      <c r="D51" s="304"/>
      <c r="E51" s="362"/>
    </row>
    <row r="52" spans="1:5" ht="19.5" customHeight="1" x14ac:dyDescent="0.4">
      <c r="A52" s="403">
        <f t="shared" si="1"/>
        <v>4.0196759259259224E-2</v>
      </c>
      <c r="B52" s="284">
        <v>2.3148148148148146E-4</v>
      </c>
      <c r="C52" s="284">
        <f>Allure105</f>
        <v>3.391203703703704E-3</v>
      </c>
      <c r="D52" s="286">
        <f>Vitesse105</f>
        <v>12.285</v>
      </c>
      <c r="E52" s="287">
        <f t="shared" si="0"/>
        <v>6.8249999999999991E-2</v>
      </c>
    </row>
    <row r="53" spans="1:5" ht="19.5" customHeight="1" x14ac:dyDescent="0.4">
      <c r="A53" s="400">
        <f t="shared" si="1"/>
        <v>4.0428240740740702E-2</v>
      </c>
      <c r="B53" s="290">
        <v>2.3148148148148146E-4</v>
      </c>
      <c r="C53" s="302"/>
      <c r="D53" s="304"/>
      <c r="E53" s="362"/>
    </row>
    <row r="54" spans="1:5" ht="19.5" customHeight="1" x14ac:dyDescent="0.4">
      <c r="A54" s="403">
        <f t="shared" si="1"/>
        <v>4.065972222222218E-2</v>
      </c>
      <c r="B54" s="284">
        <v>2.3148148148148146E-4</v>
      </c>
      <c r="C54" s="284">
        <f>Allure105</f>
        <v>3.391203703703704E-3</v>
      </c>
      <c r="D54" s="286">
        <f>Vitesse105</f>
        <v>12.285</v>
      </c>
      <c r="E54" s="287">
        <f t="shared" si="0"/>
        <v>6.8249999999999991E-2</v>
      </c>
    </row>
    <row r="55" spans="1:5" ht="19.5" customHeight="1" x14ac:dyDescent="0.4">
      <c r="A55" s="400">
        <f t="shared" si="1"/>
        <v>4.0891203703703659E-2</v>
      </c>
      <c r="B55" s="290">
        <v>2.3148148148148146E-4</v>
      </c>
      <c r="C55" s="302"/>
      <c r="D55" s="304"/>
      <c r="E55" s="362"/>
    </row>
    <row r="56" spans="1:5" ht="19.5" customHeight="1" x14ac:dyDescent="0.4">
      <c r="A56" s="403">
        <f t="shared" si="1"/>
        <v>4.1122685185185137E-2</v>
      </c>
      <c r="B56" s="284">
        <v>2.3148148148148146E-4</v>
      </c>
      <c r="C56" s="284">
        <f>Allure105</f>
        <v>3.391203703703704E-3</v>
      </c>
      <c r="D56" s="286">
        <f>Vitesse105</f>
        <v>12.285</v>
      </c>
      <c r="E56" s="287">
        <f t="shared" si="0"/>
        <v>6.8249999999999991E-2</v>
      </c>
    </row>
    <row r="57" spans="1:5" ht="19.5" customHeight="1" x14ac:dyDescent="0.4">
      <c r="A57" s="400">
        <f t="shared" si="1"/>
        <v>4.1354166666666616E-2</v>
      </c>
      <c r="B57" s="290">
        <v>2.3148148148148146E-4</v>
      </c>
      <c r="C57" s="302"/>
      <c r="D57" s="304"/>
      <c r="E57" s="362"/>
    </row>
    <row r="58" spans="1:5" ht="19.5" customHeight="1" x14ac:dyDescent="0.4">
      <c r="A58" s="403">
        <f t="shared" si="1"/>
        <v>4.1585648148148094E-2</v>
      </c>
      <c r="B58" s="284">
        <v>2.3148148148148146E-4</v>
      </c>
      <c r="C58" s="284">
        <f>Allure105</f>
        <v>3.391203703703704E-3</v>
      </c>
      <c r="D58" s="286">
        <f>Vitesse105</f>
        <v>12.285</v>
      </c>
      <c r="E58" s="287">
        <f t="shared" si="0"/>
        <v>6.8249999999999991E-2</v>
      </c>
    </row>
    <row r="59" spans="1:5" ht="19.5" customHeight="1" x14ac:dyDescent="0.4">
      <c r="A59" s="400">
        <f t="shared" si="1"/>
        <v>4.1817129629629572E-2</v>
      </c>
      <c r="B59" s="290">
        <v>2.3148148148148146E-4</v>
      </c>
      <c r="C59" s="302"/>
      <c r="D59" s="304"/>
      <c r="E59" s="362"/>
    </row>
    <row r="60" spans="1:5" ht="19.5" customHeight="1" x14ac:dyDescent="0.4">
      <c r="A60" s="403">
        <f t="shared" si="1"/>
        <v>4.2048611111111051E-2</v>
      </c>
      <c r="B60" s="284">
        <v>2.3148148148148146E-4</v>
      </c>
      <c r="C60" s="284">
        <f>Allure105</f>
        <v>3.391203703703704E-3</v>
      </c>
      <c r="D60" s="286">
        <f>Vitesse105</f>
        <v>12.285</v>
      </c>
      <c r="E60" s="287">
        <f t="shared" si="0"/>
        <v>6.8249999999999991E-2</v>
      </c>
    </row>
    <row r="61" spans="1:5" ht="19.5" customHeight="1" thickBot="1" x14ac:dyDescent="0.45">
      <c r="A61" s="401">
        <f t="shared" si="1"/>
        <v>4.2280092592592529E-2</v>
      </c>
      <c r="B61" s="346">
        <v>2.3148148148148146E-4</v>
      </c>
      <c r="C61" s="306"/>
      <c r="D61" s="308"/>
      <c r="E61" s="364"/>
    </row>
    <row r="62" spans="1:5" ht="19.5" customHeight="1" thickBot="1" x14ac:dyDescent="0.45">
      <c r="A62" s="699" t="s">
        <v>13</v>
      </c>
      <c r="B62" s="700"/>
      <c r="C62" s="700"/>
      <c r="D62" s="700"/>
      <c r="E62" s="701"/>
    </row>
    <row r="63" spans="1:5" ht="19.5" customHeight="1" thickBot="1" x14ac:dyDescent="0.45">
      <c r="A63" s="404">
        <f>A61+B61</f>
        <v>4.2511574074074007E-2</v>
      </c>
      <c r="B63" s="240">
        <v>3.472222222222222E-3</v>
      </c>
      <c r="C63" s="240">
        <f>Allure73</f>
        <v>4.8726851851851856E-3</v>
      </c>
      <c r="D63" s="253">
        <f>Vitesse73</f>
        <v>8.5409999999999986</v>
      </c>
      <c r="E63" s="243">
        <f t="shared" si="0"/>
        <v>0.71174999999999988</v>
      </c>
    </row>
    <row r="64" spans="1:5" ht="19.5" customHeight="1" thickBot="1" x14ac:dyDescent="0.45">
      <c r="A64" s="405">
        <f>A63+B63</f>
        <v>4.5983796296296231E-2</v>
      </c>
      <c r="B64" s="338"/>
      <c r="C64" s="259"/>
      <c r="D64" s="339"/>
      <c r="E64" s="256">
        <f>SUM(E4+E5+E6+E8+E10+E12+E14+E16+E18+E20+E22+E24+E26+E26+E28+E30+E32+E34+E36++E38+E40+E42+E44+E46+E48+E50+E52+E54+E56+E58+E60+E63)</f>
        <v>8.3347874999999974</v>
      </c>
    </row>
  </sheetData>
  <mergeCells count="5">
    <mergeCell ref="A1:E1"/>
    <mergeCell ref="A2:E2"/>
    <mergeCell ref="A3:E3"/>
    <mergeCell ref="A7:E7"/>
    <mergeCell ref="A62:E6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0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5">
    <tabColor rgb="FF3C65AF"/>
    <pageSetUpPr fitToPage="1"/>
  </sheetPr>
  <dimension ref="A1:E58"/>
  <sheetViews>
    <sheetView showGridLines="0" workbookViewId="0">
      <selection sqref="A1:E1"/>
    </sheetView>
  </sheetViews>
  <sheetFormatPr baseColWidth="10" defaultRowHeight="18.75" x14ac:dyDescent="0.4"/>
  <cols>
    <col min="1" max="1" width="15.7109375" style="406" customWidth="1"/>
    <col min="2" max="2" width="15.7109375" style="238" customWidth="1"/>
    <col min="3" max="4" width="20.7109375" style="238" customWidth="1"/>
    <col min="5" max="5" width="15.7109375" style="238" customWidth="1"/>
    <col min="6" max="16384" width="11.42578125" style="238"/>
  </cols>
  <sheetData>
    <row r="1" spans="1:5" ht="30" customHeight="1" thickBot="1" x14ac:dyDescent="0.45">
      <c r="A1" s="693" t="str">
        <f>'Programme entrainement run'!B46</f>
        <v>VMA Progressive</v>
      </c>
      <c r="B1" s="694"/>
      <c r="C1" s="694"/>
      <c r="D1" s="694"/>
      <c r="E1" s="695"/>
    </row>
    <row r="2" spans="1:5" ht="19.5" customHeight="1" thickBot="1" x14ac:dyDescent="0.45">
      <c r="A2" s="696" t="str">
        <f>'Programme entrainement run'!C46</f>
        <v>Sem 14 - jour 3</v>
      </c>
      <c r="B2" s="697"/>
      <c r="C2" s="697"/>
      <c r="D2" s="697"/>
      <c r="E2" s="698"/>
    </row>
    <row r="3" spans="1:5" ht="19.5" customHeight="1" thickBot="1" x14ac:dyDescent="0.45">
      <c r="A3" s="702" t="s">
        <v>11</v>
      </c>
      <c r="B3" s="703"/>
      <c r="C3" s="703"/>
      <c r="D3" s="703"/>
      <c r="E3" s="704"/>
    </row>
    <row r="4" spans="1:5" ht="19.5" customHeight="1" thickBot="1" x14ac:dyDescent="0.45">
      <c r="A4" s="393" t="s">
        <v>94</v>
      </c>
      <c r="B4" s="241">
        <v>3.472222222222222E-3</v>
      </c>
      <c r="C4" s="241">
        <f>Allure73</f>
        <v>4.8726851851851856E-3</v>
      </c>
      <c r="D4" s="242">
        <f>Vitesse73</f>
        <v>8.5409999999999986</v>
      </c>
      <c r="E4" s="277">
        <f>((B4-INT(B4))*24)*D4</f>
        <v>0.71174999999999988</v>
      </c>
    </row>
    <row r="5" spans="1:5" ht="19.5" customHeight="1" thickBot="1" x14ac:dyDescent="0.45">
      <c r="A5" s="394">
        <f>B4</f>
        <v>3.472222222222222E-3</v>
      </c>
      <c r="B5" s="245">
        <v>6.9444444444444441E-3</v>
      </c>
      <c r="C5" s="245">
        <f>Allure75</f>
        <v>4.7453703703703703E-3</v>
      </c>
      <c r="D5" s="246">
        <f>Vitesse75</f>
        <v>8.7749999999999986</v>
      </c>
      <c r="E5" s="247">
        <f t="shared" ref="E5:E57" si="0">((B5-INT(B5))*24)*D5</f>
        <v>1.4624999999999997</v>
      </c>
    </row>
    <row r="6" spans="1:5" ht="19.5" customHeight="1" thickBot="1" x14ac:dyDescent="0.45">
      <c r="A6" s="395">
        <f>A5+B5</f>
        <v>1.0416666666666666E-2</v>
      </c>
      <c r="B6" s="249">
        <v>3.472222222222222E-3</v>
      </c>
      <c r="C6" s="249">
        <f>Allure77</f>
        <v>4.6180555555555558E-3</v>
      </c>
      <c r="D6" s="250">
        <f>Vitesse77</f>
        <v>9.0090000000000003</v>
      </c>
      <c r="E6" s="278">
        <f t="shared" si="0"/>
        <v>0.75075000000000003</v>
      </c>
    </row>
    <row r="7" spans="1:5" ht="19.5" customHeight="1" thickBot="1" x14ac:dyDescent="0.45">
      <c r="A7" s="705" t="s">
        <v>12</v>
      </c>
      <c r="B7" s="706"/>
      <c r="C7" s="706"/>
      <c r="D7" s="706"/>
      <c r="E7" s="707"/>
    </row>
    <row r="8" spans="1:5" ht="19.5" customHeight="1" x14ac:dyDescent="0.4">
      <c r="A8" s="396">
        <f>A6+B6</f>
        <v>1.3888888888888888E-2</v>
      </c>
      <c r="B8" s="299">
        <v>2.3148148148148146E-4</v>
      </c>
      <c r="C8" s="299">
        <f>Allure85</f>
        <v>4.1782407407407402E-3</v>
      </c>
      <c r="D8" s="300">
        <f>Vitesse85</f>
        <v>9.9449999999999985</v>
      </c>
      <c r="E8" s="301">
        <f t="shared" si="0"/>
        <v>5.5249999999999987E-2</v>
      </c>
    </row>
    <row r="9" spans="1:5" ht="19.5" customHeight="1" x14ac:dyDescent="0.4">
      <c r="A9" s="397">
        <f>A8+B8</f>
        <v>1.412037037037037E-2</v>
      </c>
      <c r="B9" s="290">
        <v>2.3148148148148146E-4</v>
      </c>
      <c r="C9" s="290">
        <f>Allure90</f>
        <v>3.9467592592592592E-3</v>
      </c>
      <c r="D9" s="291">
        <f>Vitesse90</f>
        <v>10.53</v>
      </c>
      <c r="E9" s="362">
        <f t="shared" si="0"/>
        <v>5.849999999999999E-2</v>
      </c>
    </row>
    <row r="10" spans="1:5" ht="19.5" customHeight="1" x14ac:dyDescent="0.4">
      <c r="A10" s="398">
        <f t="shared" ref="A10:A55" si="1">A9+B9</f>
        <v>1.4351851851851852E-2</v>
      </c>
      <c r="B10" s="284">
        <v>2.3148148148148146E-4</v>
      </c>
      <c r="C10" s="284">
        <f>Allure100</f>
        <v>3.5532407407407405E-3</v>
      </c>
      <c r="D10" s="286">
        <f>Vitesse100</f>
        <v>11.7</v>
      </c>
      <c r="E10" s="287">
        <f t="shared" si="0"/>
        <v>6.4999999999999988E-2</v>
      </c>
    </row>
    <row r="11" spans="1:5" ht="19.5" customHeight="1" thickBot="1" x14ac:dyDescent="0.45">
      <c r="A11" s="407">
        <f t="shared" si="1"/>
        <v>1.4583333333333334E-2</v>
      </c>
      <c r="B11" s="388">
        <v>6.9444444444444447E-4</v>
      </c>
      <c r="C11" s="388"/>
      <c r="D11" s="392"/>
      <c r="E11" s="377"/>
    </row>
    <row r="12" spans="1:5" ht="19.5" customHeight="1" x14ac:dyDescent="0.4">
      <c r="A12" s="396">
        <f t="shared" si="1"/>
        <v>1.5277777777777777E-2</v>
      </c>
      <c r="B12" s="299">
        <v>2.3148148148148146E-4</v>
      </c>
      <c r="C12" s="299">
        <f>Allure85</f>
        <v>4.1782407407407402E-3</v>
      </c>
      <c r="D12" s="300">
        <f>Vitesse85</f>
        <v>9.9449999999999985</v>
      </c>
      <c r="E12" s="301">
        <f t="shared" si="0"/>
        <v>5.5249999999999987E-2</v>
      </c>
    </row>
    <row r="13" spans="1:5" ht="19.5" customHeight="1" x14ac:dyDescent="0.4">
      <c r="A13" s="397">
        <f t="shared" si="1"/>
        <v>1.5509259259259259E-2</v>
      </c>
      <c r="B13" s="290">
        <v>2.3148148148148146E-4</v>
      </c>
      <c r="C13" s="290">
        <f>Allure90</f>
        <v>3.9467592592592592E-3</v>
      </c>
      <c r="D13" s="291">
        <f>Vitesse90</f>
        <v>10.53</v>
      </c>
      <c r="E13" s="362">
        <f t="shared" si="0"/>
        <v>5.849999999999999E-2</v>
      </c>
    </row>
    <row r="14" spans="1:5" ht="19.5" customHeight="1" x14ac:dyDescent="0.4">
      <c r="A14" s="398">
        <f t="shared" si="1"/>
        <v>1.5740740740740739E-2</v>
      </c>
      <c r="B14" s="284">
        <v>2.3148148148148146E-4</v>
      </c>
      <c r="C14" s="284">
        <f>Allure100</f>
        <v>3.5532407407407405E-3</v>
      </c>
      <c r="D14" s="286">
        <f>Vitesse100</f>
        <v>11.7</v>
      </c>
      <c r="E14" s="287">
        <f t="shared" si="0"/>
        <v>6.4999999999999988E-2</v>
      </c>
    </row>
    <row r="15" spans="1:5" ht="19.5" customHeight="1" thickBot="1" x14ac:dyDescent="0.45">
      <c r="A15" s="407">
        <f t="shared" si="1"/>
        <v>1.5972222222222221E-2</v>
      </c>
      <c r="B15" s="388">
        <v>6.9444444444444447E-4</v>
      </c>
      <c r="C15" s="388"/>
      <c r="D15" s="392"/>
      <c r="E15" s="377"/>
    </row>
    <row r="16" spans="1:5" ht="19.5" customHeight="1" x14ac:dyDescent="0.4">
      <c r="A16" s="396">
        <f t="shared" si="1"/>
        <v>1.6666666666666666E-2</v>
      </c>
      <c r="B16" s="299">
        <v>2.3148148148148146E-4</v>
      </c>
      <c r="C16" s="299">
        <f>Allure85</f>
        <v>4.1782407407407402E-3</v>
      </c>
      <c r="D16" s="300">
        <f>Vitesse85</f>
        <v>9.9449999999999985</v>
      </c>
      <c r="E16" s="301">
        <f t="shared" si="0"/>
        <v>5.5249999999999987E-2</v>
      </c>
    </row>
    <row r="17" spans="1:5" ht="19.5" customHeight="1" x14ac:dyDescent="0.4">
      <c r="A17" s="397">
        <f t="shared" si="1"/>
        <v>1.6898148148148148E-2</v>
      </c>
      <c r="B17" s="290">
        <v>2.3148148148148146E-4</v>
      </c>
      <c r="C17" s="290">
        <f>Allure90</f>
        <v>3.9467592592592592E-3</v>
      </c>
      <c r="D17" s="291">
        <f>Vitesse90</f>
        <v>10.53</v>
      </c>
      <c r="E17" s="362">
        <f t="shared" si="0"/>
        <v>5.849999999999999E-2</v>
      </c>
    </row>
    <row r="18" spans="1:5" ht="19.5" customHeight="1" x14ac:dyDescent="0.4">
      <c r="A18" s="398">
        <f>A17+B17</f>
        <v>1.712962962962963E-2</v>
      </c>
      <c r="B18" s="284">
        <v>2.3148148148148146E-4</v>
      </c>
      <c r="C18" s="284">
        <f>Allure100</f>
        <v>3.5532407407407405E-3</v>
      </c>
      <c r="D18" s="286">
        <f>Vitesse100</f>
        <v>11.7</v>
      </c>
      <c r="E18" s="287">
        <f t="shared" si="0"/>
        <v>6.4999999999999988E-2</v>
      </c>
    </row>
    <row r="19" spans="1:5" ht="19.5" customHeight="1" thickBot="1" x14ac:dyDescent="0.45">
      <c r="A19" s="400">
        <f t="shared" si="1"/>
        <v>1.7361111111111112E-2</v>
      </c>
      <c r="B19" s="388">
        <v>6.9444444444444447E-4</v>
      </c>
      <c r="C19" s="389"/>
      <c r="D19" s="390"/>
      <c r="E19" s="377"/>
    </row>
    <row r="20" spans="1:5" ht="19.5" customHeight="1" x14ac:dyDescent="0.4">
      <c r="A20" s="396">
        <f t="shared" si="1"/>
        <v>1.8055555555555557E-2</v>
      </c>
      <c r="B20" s="299">
        <v>2.3148148148148146E-4</v>
      </c>
      <c r="C20" s="299">
        <f>Allure85</f>
        <v>4.1782407407407402E-3</v>
      </c>
      <c r="D20" s="300">
        <f>Vitesse85</f>
        <v>9.9449999999999985</v>
      </c>
      <c r="E20" s="301">
        <f t="shared" si="0"/>
        <v>5.5249999999999987E-2</v>
      </c>
    </row>
    <row r="21" spans="1:5" ht="19.5" customHeight="1" x14ac:dyDescent="0.4">
      <c r="A21" s="399">
        <f t="shared" si="1"/>
        <v>1.8287037037037039E-2</v>
      </c>
      <c r="B21" s="290">
        <v>2.3148148148148146E-4</v>
      </c>
      <c r="C21" s="290">
        <f>Allure90</f>
        <v>3.9467592592592592E-3</v>
      </c>
      <c r="D21" s="291">
        <f>Vitesse90</f>
        <v>10.53</v>
      </c>
      <c r="E21" s="362">
        <f t="shared" si="0"/>
        <v>5.849999999999999E-2</v>
      </c>
    </row>
    <row r="22" spans="1:5" ht="19.5" customHeight="1" x14ac:dyDescent="0.4">
      <c r="A22" s="398">
        <f t="shared" si="1"/>
        <v>1.8518518518518521E-2</v>
      </c>
      <c r="B22" s="284">
        <v>2.3148148148148146E-4</v>
      </c>
      <c r="C22" s="284">
        <f>Allure100</f>
        <v>3.5532407407407405E-3</v>
      </c>
      <c r="D22" s="286">
        <f>Vitesse100</f>
        <v>11.7</v>
      </c>
      <c r="E22" s="287">
        <f t="shared" si="0"/>
        <v>6.4999999999999988E-2</v>
      </c>
    </row>
    <row r="23" spans="1:5" ht="19.5" customHeight="1" thickBot="1" x14ac:dyDescent="0.45">
      <c r="A23" s="400">
        <f t="shared" si="1"/>
        <v>1.8750000000000003E-2</v>
      </c>
      <c r="B23" s="388">
        <v>6.9444444444444447E-4</v>
      </c>
      <c r="C23" s="389"/>
      <c r="D23" s="390"/>
      <c r="E23" s="377"/>
    </row>
    <row r="24" spans="1:5" ht="19.5" customHeight="1" x14ac:dyDescent="0.4">
      <c r="A24" s="396">
        <f t="shared" si="1"/>
        <v>1.9444444444444448E-2</v>
      </c>
      <c r="B24" s="299">
        <v>2.3148148148148146E-4</v>
      </c>
      <c r="C24" s="299">
        <f>Allure85</f>
        <v>4.1782407407407402E-3</v>
      </c>
      <c r="D24" s="300">
        <f>Vitesse85</f>
        <v>9.9449999999999985</v>
      </c>
      <c r="E24" s="301">
        <f t="shared" si="0"/>
        <v>5.5249999999999987E-2</v>
      </c>
    </row>
    <row r="25" spans="1:5" ht="19.5" customHeight="1" x14ac:dyDescent="0.4">
      <c r="A25" s="399">
        <f t="shared" si="1"/>
        <v>1.967592592592593E-2</v>
      </c>
      <c r="B25" s="290">
        <v>2.3148148148148146E-4</v>
      </c>
      <c r="C25" s="290">
        <f>Allure90</f>
        <v>3.9467592592592592E-3</v>
      </c>
      <c r="D25" s="291">
        <f>Vitesse90</f>
        <v>10.53</v>
      </c>
      <c r="E25" s="362">
        <f t="shared" si="0"/>
        <v>5.849999999999999E-2</v>
      </c>
    </row>
    <row r="26" spans="1:5" ht="19.5" customHeight="1" x14ac:dyDescent="0.4">
      <c r="A26" s="398">
        <f t="shared" si="1"/>
        <v>1.9907407407407412E-2</v>
      </c>
      <c r="B26" s="284">
        <v>2.3148148148148146E-4</v>
      </c>
      <c r="C26" s="284">
        <f>Allure100</f>
        <v>3.5532407407407405E-3</v>
      </c>
      <c r="D26" s="286">
        <f>Vitesse100</f>
        <v>11.7</v>
      </c>
      <c r="E26" s="287">
        <f t="shared" si="0"/>
        <v>6.4999999999999988E-2</v>
      </c>
    </row>
    <row r="27" spans="1:5" ht="19.5" customHeight="1" thickBot="1" x14ac:dyDescent="0.45">
      <c r="A27" s="400">
        <f t="shared" si="1"/>
        <v>2.0138888888888894E-2</v>
      </c>
      <c r="B27" s="388">
        <v>6.9444444444444447E-4</v>
      </c>
      <c r="C27" s="389"/>
      <c r="D27" s="390"/>
      <c r="E27" s="377"/>
    </row>
    <row r="28" spans="1:5" ht="19.5" customHeight="1" x14ac:dyDescent="0.4">
      <c r="A28" s="396">
        <f t="shared" si="1"/>
        <v>2.0833333333333339E-2</v>
      </c>
      <c r="B28" s="299">
        <v>2.3148148148148146E-4</v>
      </c>
      <c r="C28" s="299">
        <f>Allure85</f>
        <v>4.1782407407407402E-3</v>
      </c>
      <c r="D28" s="300">
        <f>Vitesse85</f>
        <v>9.9449999999999985</v>
      </c>
      <c r="E28" s="301">
        <f t="shared" si="0"/>
        <v>5.5249999999999987E-2</v>
      </c>
    </row>
    <row r="29" spans="1:5" ht="19.5" customHeight="1" x14ac:dyDescent="0.4">
      <c r="A29" s="399">
        <f t="shared" si="1"/>
        <v>2.1064814814814821E-2</v>
      </c>
      <c r="B29" s="290">
        <v>2.3148148148148146E-4</v>
      </c>
      <c r="C29" s="290">
        <f>Allure90</f>
        <v>3.9467592592592592E-3</v>
      </c>
      <c r="D29" s="291">
        <f>Vitesse90</f>
        <v>10.53</v>
      </c>
      <c r="E29" s="362">
        <f t="shared" si="0"/>
        <v>5.849999999999999E-2</v>
      </c>
    </row>
    <row r="30" spans="1:5" ht="19.5" customHeight="1" x14ac:dyDescent="0.4">
      <c r="A30" s="398">
        <f t="shared" si="1"/>
        <v>2.1296296296296303E-2</v>
      </c>
      <c r="B30" s="284">
        <v>2.3148148148148146E-4</v>
      </c>
      <c r="C30" s="284">
        <f>Allure100</f>
        <v>3.5532407407407405E-3</v>
      </c>
      <c r="D30" s="286">
        <f>Vitesse100</f>
        <v>11.7</v>
      </c>
      <c r="E30" s="287">
        <f t="shared" si="0"/>
        <v>6.4999999999999988E-2</v>
      </c>
    </row>
    <row r="31" spans="1:5" ht="19.5" customHeight="1" thickBot="1" x14ac:dyDescent="0.45">
      <c r="A31" s="400">
        <f t="shared" si="1"/>
        <v>2.1527777777777785E-2</v>
      </c>
      <c r="B31" s="388">
        <v>6.9444444444444447E-4</v>
      </c>
      <c r="C31" s="389"/>
      <c r="D31" s="390"/>
      <c r="E31" s="377"/>
    </row>
    <row r="32" spans="1:5" ht="19.5" customHeight="1" x14ac:dyDescent="0.4">
      <c r="A32" s="396">
        <f t="shared" si="1"/>
        <v>2.222222222222223E-2</v>
      </c>
      <c r="B32" s="299">
        <v>2.3148148148148146E-4</v>
      </c>
      <c r="C32" s="299">
        <f>Allure85</f>
        <v>4.1782407407407402E-3</v>
      </c>
      <c r="D32" s="300">
        <f>Vitesse85</f>
        <v>9.9449999999999985</v>
      </c>
      <c r="E32" s="301">
        <f t="shared" si="0"/>
        <v>5.5249999999999987E-2</v>
      </c>
    </row>
    <row r="33" spans="1:5" ht="19.5" customHeight="1" x14ac:dyDescent="0.4">
      <c r="A33" s="399">
        <f t="shared" si="1"/>
        <v>2.2453703703703712E-2</v>
      </c>
      <c r="B33" s="290">
        <v>2.3148148148148146E-4</v>
      </c>
      <c r="C33" s="290">
        <f>Allure90</f>
        <v>3.9467592592592592E-3</v>
      </c>
      <c r="D33" s="291">
        <f>Vitesse90</f>
        <v>10.53</v>
      </c>
      <c r="E33" s="362">
        <f t="shared" si="0"/>
        <v>5.849999999999999E-2</v>
      </c>
    </row>
    <row r="34" spans="1:5" ht="19.5" customHeight="1" x14ac:dyDescent="0.4">
      <c r="A34" s="398">
        <f t="shared" si="1"/>
        <v>2.2685185185185194E-2</v>
      </c>
      <c r="B34" s="284">
        <v>2.3148148148148146E-4</v>
      </c>
      <c r="C34" s="284">
        <f>Allure100</f>
        <v>3.5532407407407405E-3</v>
      </c>
      <c r="D34" s="286">
        <f>Vitesse100</f>
        <v>11.7</v>
      </c>
      <c r="E34" s="287">
        <f t="shared" si="0"/>
        <v>6.4999999999999988E-2</v>
      </c>
    </row>
    <row r="35" spans="1:5" ht="19.5" customHeight="1" thickBot="1" x14ac:dyDescent="0.45">
      <c r="A35" s="400">
        <f t="shared" si="1"/>
        <v>2.2916666666666675E-2</v>
      </c>
      <c r="B35" s="388">
        <v>6.9444444444444447E-4</v>
      </c>
      <c r="C35" s="389"/>
      <c r="D35" s="390"/>
      <c r="E35" s="377"/>
    </row>
    <row r="36" spans="1:5" ht="19.5" customHeight="1" x14ac:dyDescent="0.4">
      <c r="A36" s="396">
        <f t="shared" si="1"/>
        <v>2.3611111111111121E-2</v>
      </c>
      <c r="B36" s="299">
        <v>2.3148148148148146E-4</v>
      </c>
      <c r="C36" s="299">
        <f>Allure85</f>
        <v>4.1782407407407402E-3</v>
      </c>
      <c r="D36" s="300">
        <f>Vitesse85</f>
        <v>9.9449999999999985</v>
      </c>
      <c r="E36" s="301">
        <f t="shared" si="0"/>
        <v>5.5249999999999987E-2</v>
      </c>
    </row>
    <row r="37" spans="1:5" ht="19.5" customHeight="1" x14ac:dyDescent="0.4">
      <c r="A37" s="399">
        <f t="shared" si="1"/>
        <v>2.3842592592592603E-2</v>
      </c>
      <c r="B37" s="290">
        <v>2.3148148148148146E-4</v>
      </c>
      <c r="C37" s="290">
        <f>Allure90</f>
        <v>3.9467592592592592E-3</v>
      </c>
      <c r="D37" s="291">
        <f>Vitesse90</f>
        <v>10.53</v>
      </c>
      <c r="E37" s="362">
        <f t="shared" si="0"/>
        <v>5.849999999999999E-2</v>
      </c>
    </row>
    <row r="38" spans="1:5" ht="19.5" customHeight="1" x14ac:dyDescent="0.4">
      <c r="A38" s="398">
        <f t="shared" si="1"/>
        <v>2.4074074074074085E-2</v>
      </c>
      <c r="B38" s="284">
        <v>2.3148148148148146E-4</v>
      </c>
      <c r="C38" s="284">
        <f>Allure100</f>
        <v>3.5532407407407405E-3</v>
      </c>
      <c r="D38" s="286">
        <f>Vitesse100</f>
        <v>11.7</v>
      </c>
      <c r="E38" s="287">
        <f t="shared" si="0"/>
        <v>6.4999999999999988E-2</v>
      </c>
    </row>
    <row r="39" spans="1:5" ht="19.5" customHeight="1" thickBot="1" x14ac:dyDescent="0.45">
      <c r="A39" s="400">
        <f t="shared" si="1"/>
        <v>2.4305555555555566E-2</v>
      </c>
      <c r="B39" s="388">
        <v>6.9444444444444447E-4</v>
      </c>
      <c r="C39" s="389"/>
      <c r="D39" s="390"/>
      <c r="E39" s="377"/>
    </row>
    <row r="40" spans="1:5" ht="19.5" customHeight="1" x14ac:dyDescent="0.4">
      <c r="A40" s="396">
        <f t="shared" si="1"/>
        <v>2.5000000000000012E-2</v>
      </c>
      <c r="B40" s="299">
        <v>2.3148148148148146E-4</v>
      </c>
      <c r="C40" s="299">
        <f>Allure85</f>
        <v>4.1782407407407402E-3</v>
      </c>
      <c r="D40" s="300">
        <f>Vitesse85</f>
        <v>9.9449999999999985</v>
      </c>
      <c r="E40" s="301">
        <f t="shared" si="0"/>
        <v>5.5249999999999987E-2</v>
      </c>
    </row>
    <row r="41" spans="1:5" ht="19.5" customHeight="1" x14ac:dyDescent="0.4">
      <c r="A41" s="399">
        <f t="shared" si="1"/>
        <v>2.5231481481481494E-2</v>
      </c>
      <c r="B41" s="290">
        <v>2.3148148148148146E-4</v>
      </c>
      <c r="C41" s="290">
        <f>Allure90</f>
        <v>3.9467592592592592E-3</v>
      </c>
      <c r="D41" s="291">
        <f>Vitesse90</f>
        <v>10.53</v>
      </c>
      <c r="E41" s="362">
        <f t="shared" si="0"/>
        <v>5.849999999999999E-2</v>
      </c>
    </row>
    <row r="42" spans="1:5" ht="19.5" customHeight="1" x14ac:dyDescent="0.4">
      <c r="A42" s="398">
        <f t="shared" si="1"/>
        <v>2.5462962962962975E-2</v>
      </c>
      <c r="B42" s="284">
        <v>2.3148148148148146E-4</v>
      </c>
      <c r="C42" s="284">
        <f>Allure100</f>
        <v>3.5532407407407405E-3</v>
      </c>
      <c r="D42" s="286">
        <f>Vitesse100</f>
        <v>11.7</v>
      </c>
      <c r="E42" s="287">
        <f t="shared" si="0"/>
        <v>6.4999999999999988E-2</v>
      </c>
    </row>
    <row r="43" spans="1:5" ht="19.5" customHeight="1" thickBot="1" x14ac:dyDescent="0.45">
      <c r="A43" s="400">
        <f t="shared" si="1"/>
        <v>2.5694444444444457E-2</v>
      </c>
      <c r="B43" s="388">
        <v>6.9444444444444447E-4</v>
      </c>
      <c r="C43" s="389"/>
      <c r="D43" s="390"/>
      <c r="E43" s="377"/>
    </row>
    <row r="44" spans="1:5" ht="19.5" customHeight="1" x14ac:dyDescent="0.4">
      <c r="A44" s="396">
        <f t="shared" si="1"/>
        <v>2.6388888888888903E-2</v>
      </c>
      <c r="B44" s="299">
        <v>2.3148148148148146E-4</v>
      </c>
      <c r="C44" s="299">
        <f>Allure85</f>
        <v>4.1782407407407402E-3</v>
      </c>
      <c r="D44" s="300">
        <f>Vitesse85</f>
        <v>9.9449999999999985</v>
      </c>
      <c r="E44" s="301">
        <f t="shared" si="0"/>
        <v>5.5249999999999987E-2</v>
      </c>
    </row>
    <row r="45" spans="1:5" ht="19.5" customHeight="1" x14ac:dyDescent="0.4">
      <c r="A45" s="399">
        <f t="shared" si="1"/>
        <v>2.6620370370370385E-2</v>
      </c>
      <c r="B45" s="290">
        <v>2.3148148148148146E-4</v>
      </c>
      <c r="C45" s="290">
        <f>Allure90</f>
        <v>3.9467592592592592E-3</v>
      </c>
      <c r="D45" s="291">
        <f>Vitesse90</f>
        <v>10.53</v>
      </c>
      <c r="E45" s="362">
        <f t="shared" si="0"/>
        <v>5.849999999999999E-2</v>
      </c>
    </row>
    <row r="46" spans="1:5" ht="19.5" customHeight="1" x14ac:dyDescent="0.4">
      <c r="A46" s="398">
        <f t="shared" si="1"/>
        <v>2.6851851851851866E-2</v>
      </c>
      <c r="B46" s="284">
        <v>2.3148148148148146E-4</v>
      </c>
      <c r="C46" s="284">
        <f>Allure100</f>
        <v>3.5532407407407405E-3</v>
      </c>
      <c r="D46" s="286">
        <f>Vitesse100</f>
        <v>11.7</v>
      </c>
      <c r="E46" s="287">
        <f t="shared" si="0"/>
        <v>6.4999999999999988E-2</v>
      </c>
    </row>
    <row r="47" spans="1:5" ht="19.5" customHeight="1" thickBot="1" x14ac:dyDescent="0.45">
      <c r="A47" s="400">
        <f t="shared" si="1"/>
        <v>2.7083333333333348E-2</v>
      </c>
      <c r="B47" s="388">
        <v>6.9444444444444447E-4</v>
      </c>
      <c r="C47" s="389"/>
      <c r="D47" s="390"/>
      <c r="E47" s="377"/>
    </row>
    <row r="48" spans="1:5" ht="19.5" customHeight="1" x14ac:dyDescent="0.4">
      <c r="A48" s="396">
        <f t="shared" si="1"/>
        <v>2.7777777777777794E-2</v>
      </c>
      <c r="B48" s="299">
        <v>2.3148148148148146E-4</v>
      </c>
      <c r="C48" s="299">
        <f>Allure85</f>
        <v>4.1782407407407402E-3</v>
      </c>
      <c r="D48" s="300">
        <f>Vitesse85</f>
        <v>9.9449999999999985</v>
      </c>
      <c r="E48" s="301">
        <f t="shared" si="0"/>
        <v>5.5249999999999987E-2</v>
      </c>
    </row>
    <row r="49" spans="1:5" ht="19.5" customHeight="1" x14ac:dyDescent="0.4">
      <c r="A49" s="399">
        <f t="shared" si="1"/>
        <v>2.8009259259259275E-2</v>
      </c>
      <c r="B49" s="290">
        <v>2.3148148148148146E-4</v>
      </c>
      <c r="C49" s="290">
        <f>Allure90</f>
        <v>3.9467592592592592E-3</v>
      </c>
      <c r="D49" s="291">
        <f>Vitesse90</f>
        <v>10.53</v>
      </c>
      <c r="E49" s="362">
        <f t="shared" si="0"/>
        <v>5.849999999999999E-2</v>
      </c>
    </row>
    <row r="50" spans="1:5" ht="19.5" customHeight="1" x14ac:dyDescent="0.4">
      <c r="A50" s="398">
        <f t="shared" si="1"/>
        <v>2.8240740740740757E-2</v>
      </c>
      <c r="B50" s="284">
        <v>2.3148148148148146E-4</v>
      </c>
      <c r="C50" s="284">
        <f>Allure100</f>
        <v>3.5532407407407405E-3</v>
      </c>
      <c r="D50" s="286">
        <f>Vitesse100</f>
        <v>11.7</v>
      </c>
      <c r="E50" s="287">
        <f t="shared" si="0"/>
        <v>6.4999999999999988E-2</v>
      </c>
    </row>
    <row r="51" spans="1:5" ht="19.5" customHeight="1" thickBot="1" x14ac:dyDescent="0.45">
      <c r="A51" s="400">
        <f t="shared" si="1"/>
        <v>2.8472222222222239E-2</v>
      </c>
      <c r="B51" s="388">
        <v>6.9444444444444447E-4</v>
      </c>
      <c r="C51" s="389"/>
      <c r="D51" s="390"/>
      <c r="E51" s="377"/>
    </row>
    <row r="52" spans="1:5" ht="19.5" customHeight="1" x14ac:dyDescent="0.4">
      <c r="A52" s="396">
        <f t="shared" si="1"/>
        <v>2.9166666666666684E-2</v>
      </c>
      <c r="B52" s="299">
        <v>2.3148148148148146E-4</v>
      </c>
      <c r="C52" s="299">
        <f>Allure85</f>
        <v>4.1782407407407402E-3</v>
      </c>
      <c r="D52" s="300">
        <f>Vitesse85</f>
        <v>9.9449999999999985</v>
      </c>
      <c r="E52" s="301">
        <f t="shared" si="0"/>
        <v>5.5249999999999987E-2</v>
      </c>
    </row>
    <row r="53" spans="1:5" ht="19.5" customHeight="1" x14ac:dyDescent="0.4">
      <c r="A53" s="399">
        <f t="shared" si="1"/>
        <v>2.9398148148148166E-2</v>
      </c>
      <c r="B53" s="290">
        <v>2.3148148148148146E-4</v>
      </c>
      <c r="C53" s="290">
        <f>Allure90</f>
        <v>3.9467592592592592E-3</v>
      </c>
      <c r="D53" s="291">
        <f>Vitesse90</f>
        <v>10.53</v>
      </c>
      <c r="E53" s="362">
        <f t="shared" si="0"/>
        <v>5.849999999999999E-2</v>
      </c>
    </row>
    <row r="54" spans="1:5" ht="19.5" customHeight="1" x14ac:dyDescent="0.4">
      <c r="A54" s="398">
        <f t="shared" si="1"/>
        <v>2.9629629629629648E-2</v>
      </c>
      <c r="B54" s="284">
        <v>2.3148148148148146E-4</v>
      </c>
      <c r="C54" s="284">
        <f>Allure100</f>
        <v>3.5532407407407405E-3</v>
      </c>
      <c r="D54" s="286">
        <f>Vitesse100</f>
        <v>11.7</v>
      </c>
      <c r="E54" s="287">
        <f t="shared" si="0"/>
        <v>6.4999999999999988E-2</v>
      </c>
    </row>
    <row r="55" spans="1:5" ht="19.5" customHeight="1" thickBot="1" x14ac:dyDescent="0.45">
      <c r="A55" s="401">
        <f t="shared" si="1"/>
        <v>2.986111111111113E-2</v>
      </c>
      <c r="B55" s="346">
        <v>6.9444444444444447E-4</v>
      </c>
      <c r="C55" s="306"/>
      <c r="D55" s="308"/>
      <c r="E55" s="364"/>
    </row>
    <row r="56" spans="1:5" ht="19.5" customHeight="1" thickBot="1" x14ac:dyDescent="0.45">
      <c r="A56" s="699" t="s">
        <v>13</v>
      </c>
      <c r="B56" s="700"/>
      <c r="C56" s="700"/>
      <c r="D56" s="700"/>
      <c r="E56" s="701"/>
    </row>
    <row r="57" spans="1:5" ht="19.5" customHeight="1" thickBot="1" x14ac:dyDescent="0.45">
      <c r="A57" s="404">
        <f>A55+B55</f>
        <v>3.0555555555555575E-2</v>
      </c>
      <c r="B57" s="240">
        <v>3.472222222222222E-3</v>
      </c>
      <c r="C57" s="240">
        <f>Allure73</f>
        <v>4.8726851851851856E-3</v>
      </c>
      <c r="D57" s="253">
        <f>Vitesse73</f>
        <v>8.5409999999999986</v>
      </c>
      <c r="E57" s="243">
        <f t="shared" si="0"/>
        <v>0.71174999999999988</v>
      </c>
    </row>
    <row r="58" spans="1:5" ht="19.5" customHeight="1" thickBot="1" x14ac:dyDescent="0.45">
      <c r="A58" s="405">
        <f>A57+B57</f>
        <v>3.4027777777777796E-2</v>
      </c>
      <c r="B58" s="338"/>
      <c r="C58" s="259"/>
      <c r="D58" s="339"/>
      <c r="E58" s="256">
        <f>SUM(E4+E5+E6+E8+E9+E10+E12+E13+E14+E16+E17+E18+E20+E21+E22+E24+E25+E26+E28+E29+E30+E32+E33+E34+E36+E37+E38+E40+E41+E42+E44+E45+E46+E48+E49+E50+E52+E53+E54+E57)</f>
        <v>5.7817499999999988</v>
      </c>
    </row>
  </sheetData>
  <mergeCells count="5">
    <mergeCell ref="A1:E1"/>
    <mergeCell ref="A2:E2"/>
    <mergeCell ref="A3:E3"/>
    <mergeCell ref="A7:E7"/>
    <mergeCell ref="A56:E5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168</vt:i4>
      </vt:variant>
    </vt:vector>
  </HeadingPairs>
  <TitlesOfParts>
    <vt:vector size="216" baseType="lpstr">
      <vt:lpstr>Acceuil</vt:lpstr>
      <vt:lpstr>Analyse des entrainements</vt:lpstr>
      <vt:lpstr>Chronos - VMA</vt:lpstr>
      <vt:lpstr>Carnet d'entrainement</vt:lpstr>
      <vt:lpstr>Programme entrainement run</vt:lpstr>
      <vt:lpstr>Objectifs</vt:lpstr>
      <vt:lpstr>Saisie d'un nouvel entrainement</vt:lpstr>
      <vt:lpstr>Paramètres</vt:lpstr>
      <vt:lpstr>R-1</vt:lpstr>
      <vt:lpstr>R-2</vt:lpstr>
      <vt:lpstr>R-3</vt:lpstr>
      <vt:lpstr>R-4</vt:lpstr>
      <vt:lpstr>R-5</vt:lpstr>
      <vt:lpstr>R-6</vt:lpstr>
      <vt:lpstr>R-7</vt:lpstr>
      <vt:lpstr>R-8</vt:lpstr>
      <vt:lpstr>R-9</vt:lpstr>
      <vt:lpstr>R-10</vt:lpstr>
      <vt:lpstr>R-11</vt:lpstr>
      <vt:lpstr>R-12</vt:lpstr>
      <vt:lpstr>R-13</vt:lpstr>
      <vt:lpstr>R-14</vt:lpstr>
      <vt:lpstr>R-15</vt:lpstr>
      <vt:lpstr>R-16</vt:lpstr>
      <vt:lpstr>R-17</vt:lpstr>
      <vt:lpstr>R-18</vt:lpstr>
      <vt:lpstr>R-19</vt:lpstr>
      <vt:lpstr>R-20</vt:lpstr>
      <vt:lpstr>R-21</vt:lpstr>
      <vt:lpstr>R-22</vt:lpstr>
      <vt:lpstr>R-23</vt:lpstr>
      <vt:lpstr>R-24</vt:lpstr>
      <vt:lpstr>R-25</vt:lpstr>
      <vt:lpstr>R-26</vt:lpstr>
      <vt:lpstr>R-27</vt:lpstr>
      <vt:lpstr>R-28</vt:lpstr>
      <vt:lpstr>R-29</vt:lpstr>
      <vt:lpstr>R-30</vt:lpstr>
      <vt:lpstr>R-31</vt:lpstr>
      <vt:lpstr>R-32</vt:lpstr>
      <vt:lpstr>R-33</vt:lpstr>
      <vt:lpstr>R-34</vt:lpstr>
      <vt:lpstr>R-35</vt:lpstr>
      <vt:lpstr>R-36</vt:lpstr>
      <vt:lpstr>R-37</vt:lpstr>
      <vt:lpstr>R-38</vt:lpstr>
      <vt:lpstr>R-39</vt:lpstr>
      <vt:lpstr>R-40</vt:lpstr>
      <vt:lpstr>Activité</vt:lpstr>
      <vt:lpstr>Allure100</vt:lpstr>
      <vt:lpstr>Allure101</vt:lpstr>
      <vt:lpstr>Allure102</vt:lpstr>
      <vt:lpstr>Allure103</vt:lpstr>
      <vt:lpstr>Allure104</vt:lpstr>
      <vt:lpstr>Allure105</vt:lpstr>
      <vt:lpstr>Allure106</vt:lpstr>
      <vt:lpstr>Allure107</vt:lpstr>
      <vt:lpstr>Allure108</vt:lpstr>
      <vt:lpstr>Allure109</vt:lpstr>
      <vt:lpstr>Allure110</vt:lpstr>
      <vt:lpstr>Allure111</vt:lpstr>
      <vt:lpstr>Allure112</vt:lpstr>
      <vt:lpstr>Allure113</vt:lpstr>
      <vt:lpstr>Allure114</vt:lpstr>
      <vt:lpstr>Allure115</vt:lpstr>
      <vt:lpstr>Allure116</vt:lpstr>
      <vt:lpstr>Allure117</vt:lpstr>
      <vt:lpstr>Allure118</vt:lpstr>
      <vt:lpstr>Allure119</vt:lpstr>
      <vt:lpstr>Allure120</vt:lpstr>
      <vt:lpstr>Allure121</vt:lpstr>
      <vt:lpstr>Allure122</vt:lpstr>
      <vt:lpstr>Allure123</vt:lpstr>
      <vt:lpstr>Allure124</vt:lpstr>
      <vt:lpstr>Allure125</vt:lpstr>
      <vt:lpstr>Allure60</vt:lpstr>
      <vt:lpstr>Allure61</vt:lpstr>
      <vt:lpstr>Allure62</vt:lpstr>
      <vt:lpstr>Allure63</vt:lpstr>
      <vt:lpstr>Allure64</vt:lpstr>
      <vt:lpstr>Allure65</vt:lpstr>
      <vt:lpstr>Allure66</vt:lpstr>
      <vt:lpstr>Allure67</vt:lpstr>
      <vt:lpstr>Allure68</vt:lpstr>
      <vt:lpstr>Allure69</vt:lpstr>
      <vt:lpstr>Allure70</vt:lpstr>
      <vt:lpstr>Allure71</vt:lpstr>
      <vt:lpstr>Allure72</vt:lpstr>
      <vt:lpstr>Allure73</vt:lpstr>
      <vt:lpstr>Allure74</vt:lpstr>
      <vt:lpstr>Allure75</vt:lpstr>
      <vt:lpstr>Allure76</vt:lpstr>
      <vt:lpstr>Allure77</vt:lpstr>
      <vt:lpstr>Allure78</vt:lpstr>
      <vt:lpstr>Allure79</vt:lpstr>
      <vt:lpstr>Allure80</vt:lpstr>
      <vt:lpstr>Allure81</vt:lpstr>
      <vt:lpstr>Allure82</vt:lpstr>
      <vt:lpstr>Allure83</vt:lpstr>
      <vt:lpstr>Allure84</vt:lpstr>
      <vt:lpstr>Allure85</vt:lpstr>
      <vt:lpstr>Allure86</vt:lpstr>
      <vt:lpstr>Allure87</vt:lpstr>
      <vt:lpstr>Allure88</vt:lpstr>
      <vt:lpstr>Allure89</vt:lpstr>
      <vt:lpstr>Allure90</vt:lpstr>
      <vt:lpstr>Allure91</vt:lpstr>
      <vt:lpstr>Allure92</vt:lpstr>
      <vt:lpstr>Allure93</vt:lpstr>
      <vt:lpstr>Allure94</vt:lpstr>
      <vt:lpstr>Allure95</vt:lpstr>
      <vt:lpstr>Allure96</vt:lpstr>
      <vt:lpstr>Allure97</vt:lpstr>
      <vt:lpstr>Allure98</vt:lpstr>
      <vt:lpstr>Allure99</vt:lpstr>
      <vt:lpstr>AllureMax</vt:lpstr>
      <vt:lpstr>AllureMoy</vt:lpstr>
      <vt:lpstr>CaloriesMax</vt:lpstr>
      <vt:lpstr>CaloriesMoy</vt:lpstr>
      <vt:lpstr>CaloriesTot</vt:lpstr>
      <vt:lpstr>DéniveléMax</vt:lpstr>
      <vt:lpstr>DéniveléMoy</vt:lpstr>
      <vt:lpstr>DéniveléTot</vt:lpstr>
      <vt:lpstr>Distance</vt:lpstr>
      <vt:lpstr>DistanceMax</vt:lpstr>
      <vt:lpstr>DistanceMoy</vt:lpstr>
      <vt:lpstr>DuréeMax</vt:lpstr>
      <vt:lpstr>DuréeMoy</vt:lpstr>
      <vt:lpstr>DuréeTot</vt:lpstr>
      <vt:lpstr>FréquenceMax</vt:lpstr>
      <vt:lpstr>FréquenceMoy</vt:lpstr>
      <vt:lpstr>Sortie</vt:lpstr>
      <vt:lpstr>Sorties</vt:lpstr>
      <vt:lpstr>Vitesse100</vt:lpstr>
      <vt:lpstr>Vitesse101</vt:lpstr>
      <vt:lpstr>Vitesse102</vt:lpstr>
      <vt:lpstr>Vitesse103</vt:lpstr>
      <vt:lpstr>Vitesse104</vt:lpstr>
      <vt:lpstr>Vitesse105</vt:lpstr>
      <vt:lpstr>Vitesse106</vt:lpstr>
      <vt:lpstr>Vitesse107</vt:lpstr>
      <vt:lpstr>Vitesse108</vt:lpstr>
      <vt:lpstr>Vitesse109</vt:lpstr>
      <vt:lpstr>Vitesse110</vt:lpstr>
      <vt:lpstr>Vitesse111</vt:lpstr>
      <vt:lpstr>Vitesse112</vt:lpstr>
      <vt:lpstr>Vitesse113</vt:lpstr>
      <vt:lpstr>Vitesse114</vt:lpstr>
      <vt:lpstr>Vitesse115</vt:lpstr>
      <vt:lpstr>Vitesse116</vt:lpstr>
      <vt:lpstr>Vitesse117</vt:lpstr>
      <vt:lpstr>Vitesse118</vt:lpstr>
      <vt:lpstr>Vitesse119</vt:lpstr>
      <vt:lpstr>Vitesse120</vt:lpstr>
      <vt:lpstr>Vitesse121</vt:lpstr>
      <vt:lpstr>Vitesse122</vt:lpstr>
      <vt:lpstr>Vitesse123</vt:lpstr>
      <vt:lpstr>Vitesse124</vt:lpstr>
      <vt:lpstr>Vitesse125</vt:lpstr>
      <vt:lpstr>Vitesse60</vt:lpstr>
      <vt:lpstr>Vitesse61</vt:lpstr>
      <vt:lpstr>Vitesse62</vt:lpstr>
      <vt:lpstr>Vitesse63</vt:lpstr>
      <vt:lpstr>Vitesse64</vt:lpstr>
      <vt:lpstr>Vitesse65</vt:lpstr>
      <vt:lpstr>Vitesse66</vt:lpstr>
      <vt:lpstr>Vitesse67</vt:lpstr>
      <vt:lpstr>Vitesse68</vt:lpstr>
      <vt:lpstr>Vitesse69</vt:lpstr>
      <vt:lpstr>Vitesse70</vt:lpstr>
      <vt:lpstr>Vitesse71</vt:lpstr>
      <vt:lpstr>Vitesse72</vt:lpstr>
      <vt:lpstr>Vitesse73</vt:lpstr>
      <vt:lpstr>Vitesse74</vt:lpstr>
      <vt:lpstr>Vitesse75</vt:lpstr>
      <vt:lpstr>Vitesse76</vt:lpstr>
      <vt:lpstr>Vitesse77</vt:lpstr>
      <vt:lpstr>Vitesse78</vt:lpstr>
      <vt:lpstr>Vitesse79</vt:lpstr>
      <vt:lpstr>Vitesse80</vt:lpstr>
      <vt:lpstr>Vitesse81</vt:lpstr>
      <vt:lpstr>Vitesse82</vt:lpstr>
      <vt:lpstr>Vitesse83</vt:lpstr>
      <vt:lpstr>Vitesse84</vt:lpstr>
      <vt:lpstr>Vitesse85</vt:lpstr>
      <vt:lpstr>Vitesse86</vt:lpstr>
      <vt:lpstr>Vitesse87</vt:lpstr>
      <vt:lpstr>Vitesse88</vt:lpstr>
      <vt:lpstr>Vitesse89</vt:lpstr>
      <vt:lpstr>Vitesse90</vt:lpstr>
      <vt:lpstr>Vitesse91</vt:lpstr>
      <vt:lpstr>Vitesse92</vt:lpstr>
      <vt:lpstr>Vitesse93</vt:lpstr>
      <vt:lpstr>Vitesse94</vt:lpstr>
      <vt:lpstr>Vitesse95</vt:lpstr>
      <vt:lpstr>Vitesse96</vt:lpstr>
      <vt:lpstr>Vitesse97</vt:lpstr>
      <vt:lpstr>Vitesse98</vt:lpstr>
      <vt:lpstr>Vitesse99</vt:lpstr>
      <vt:lpstr>VitesseMax</vt:lpstr>
      <vt:lpstr>VitesseMoy</vt:lpstr>
      <vt:lpstr>Zone1Max</vt:lpstr>
      <vt:lpstr>Zone1Moy</vt:lpstr>
      <vt:lpstr>Zone1Tot</vt:lpstr>
      <vt:lpstr>Zone2Max</vt:lpstr>
      <vt:lpstr>Zone2Moy</vt:lpstr>
      <vt:lpstr>Zone2Tot</vt:lpstr>
      <vt:lpstr>Zone3Max</vt:lpstr>
      <vt:lpstr>Zone3Moy</vt:lpstr>
      <vt:lpstr>Zone3Tot</vt:lpstr>
      <vt:lpstr>Zone4Max</vt:lpstr>
      <vt:lpstr>Zone4Moy</vt:lpstr>
      <vt:lpstr>Zone4Tot</vt:lpstr>
      <vt:lpstr>Zone5Max</vt:lpstr>
      <vt:lpstr>Zone5Moy</vt:lpstr>
      <vt:lpstr>Zone5Tot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Public</dc:creator>
  <cp:lastModifiedBy>CLAIRE Pierre</cp:lastModifiedBy>
  <cp:lastPrinted>2020-11-06T14:42:58Z</cp:lastPrinted>
  <dcterms:created xsi:type="dcterms:W3CDTF">2020-04-02T08:14:09Z</dcterms:created>
  <dcterms:modified xsi:type="dcterms:W3CDTF">2020-11-16T08:32:57Z</dcterms:modified>
</cp:coreProperties>
</file>